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hangzhikai\Desktop\艾兰得\立项后汇报-BO\BO后模型\投决模型\"/>
    </mc:Choice>
  </mc:AlternateContent>
  <bookViews>
    <workbookView xWindow="18210" yWindow="-21930" windowWidth="38640" windowHeight="21120" tabRatio="967"/>
  </bookViews>
  <sheets>
    <sheet name="回报测算-EVEBITDA（核心假设）" sheetId="33" r:id="rId1"/>
    <sheet name="回报测算-PE（仅供参考）" sheetId="28" state="hidden" r:id="rId2"/>
    <sheet name="Output_财务" sheetId="34" r:id="rId3"/>
    <sheet name="Output_产能" sheetId="40" r:id="rId4"/>
    <sheet name="Output_区域剂型毛利" sheetId="41" r:id="rId5"/>
    <sheet name="&gt;&gt;财务预测" sheetId="20" r:id="rId6"/>
    <sheet name="利润表" sheetId="17" r:id="rId7"/>
    <sheet name="资产负债表" sheetId="19" r:id="rId8"/>
    <sheet name="现金流量表" sheetId="22" r:id="rId9"/>
    <sheet name="Ratio" sheetId="32" state="hidden" r:id="rId10"/>
    <sheet name="&gt;&gt;核心假设及区域拆分" sheetId="7" r:id="rId11"/>
    <sheet name="集团" sheetId="5" r:id="rId12"/>
    <sheet name="美国" sheetId="2" r:id="rId13"/>
    <sheet name="中国" sheetId="36" r:id="rId14"/>
    <sheet name="Sheet1" sheetId="42" state="hidden" r:id="rId15"/>
    <sheet name="中国（旧版）" sheetId="1" state="hidden" r:id="rId16"/>
    <sheet name="加拿大" sheetId="4" r:id="rId17"/>
    <sheet name="欧洲" sheetId="3" r:id="rId18"/>
    <sheet name="各区域分剂型成本优化" sheetId="37" r:id="rId19"/>
    <sheet name="产能及CAPEX" sheetId="38" r:id="rId20"/>
    <sheet name="固定资产&amp;无形资产" sheetId="24" r:id="rId21"/>
    <sheet name="债务&amp;权益" sheetId="25" r:id="rId22"/>
    <sheet name="贷款明细" sheetId="26" state="hidden" r:id="rId23"/>
    <sheet name="CF_21-22" sheetId="15" state="hidden" r:id="rId24"/>
    <sheet name="CF_23-24(间接法)" sheetId="16" state="hidden" r:id="rId25"/>
  </sheets>
  <externalReferences>
    <externalReference r:id="rId26"/>
  </externalReferences>
  <definedNames>
    <definedName name="\" hidden="1">{"detail",#N/A,FALSE,"mfg";"summary",#N/A,FALSE,"mfg"}</definedName>
    <definedName name="\0">#REF!</definedName>
    <definedName name="\3">#N/A</definedName>
    <definedName name="\4">#N/A</definedName>
    <definedName name="\a">#REF!</definedName>
    <definedName name="\b">#N/A</definedName>
    <definedName name="\C">#REF!</definedName>
    <definedName name="\d">#REF!</definedName>
    <definedName name="\E">#REF!</definedName>
    <definedName name="\f">#N/A</definedName>
    <definedName name="\g">#REF!</definedName>
    <definedName name="\h">#REF!</definedName>
    <definedName name="\P">#REF!</definedName>
    <definedName name="\q">#N/A</definedName>
    <definedName name="\r">#REF!</definedName>
    <definedName name="\s">#REF!</definedName>
    <definedName name="\TB_1">#REF!</definedName>
    <definedName name="\TB_3">#REF!</definedName>
    <definedName name="\TB_4">#REF!</definedName>
    <definedName name="\TB_5">#REF!</definedName>
    <definedName name="\TB_6">#REF!</definedName>
    <definedName name="\TB_7">#REF!</definedName>
    <definedName name="\TB_8">#REF!</definedName>
    <definedName name="\TB_9">#REF!</definedName>
    <definedName name="\W">#REF!</definedName>
    <definedName name="\x">#REF!</definedName>
    <definedName name="\z">#REF!</definedName>
    <definedName name="\ㅈㅂ">#REF!</definedName>
    <definedName name="_">#N/A</definedName>
    <definedName name="_.12">#REF!</definedName>
    <definedName name="_.dbf">#REF!</definedName>
    <definedName name="__">#N/A</definedName>
    <definedName name="___">#N/A</definedName>
    <definedName name="____">#N/A</definedName>
    <definedName name="_____">#N/A</definedName>
    <definedName name="______">#N/A</definedName>
    <definedName name="___________________________________________NSO2" hidden="1">{"'Sheet1'!$L$16"}</definedName>
    <definedName name="__________________________________________NSO2" hidden="1">{"'Sheet1'!$L$16"}</definedName>
    <definedName name="_________________________________________NSO2" hidden="1">{"'Sheet1'!$L$16"}</definedName>
    <definedName name="_________________________________________Q1" hidden="1">{"'Sheet1'!$L$16"}</definedName>
    <definedName name="________________________________________NSO2" hidden="1">{"'Sheet1'!$L$16"}</definedName>
    <definedName name="________________________________________Q1" hidden="1">{"'Sheet1'!$L$16"}</definedName>
    <definedName name="_______________________________________NSO2" hidden="1">{"'Sheet1'!$L$16"}</definedName>
    <definedName name="_______________________________________Q1" hidden="1">{"'Sheet1'!$L$16"}</definedName>
    <definedName name="______________________________________NSO2" hidden="1">{"'Sheet1'!$L$16"}</definedName>
    <definedName name="______________________________________Q1" hidden="1">{"'Sheet1'!$L$16"}</definedName>
    <definedName name="_____________________________________NSO2" hidden="1">{"'Sheet1'!$L$16"}</definedName>
    <definedName name="_____________________________________Q1" hidden="1">{"'Sheet1'!$L$16"}</definedName>
    <definedName name="____________________________________NSO2" hidden="1">{"'Sheet1'!$L$16"}</definedName>
    <definedName name="____________________________________Q1" hidden="1">{"'Sheet1'!$L$16"}</definedName>
    <definedName name="___________________________________NSO2" hidden="1">{"'Sheet1'!$L$16"}</definedName>
    <definedName name="___________________________________Q1" hidden="1">{"'Sheet1'!$L$16"}</definedName>
    <definedName name="__________________________________NSO2" hidden="1">{"'Sheet1'!$L$16"}</definedName>
    <definedName name="__________________________________Q1" hidden="1">{"'Sheet1'!$L$16"}</definedName>
    <definedName name="_________________________________NSO2" hidden="1">{"'Sheet1'!$L$16"}</definedName>
    <definedName name="_________________________________Q1" hidden="1">{"'Sheet1'!$L$16"}</definedName>
    <definedName name="________________________________NSO2" hidden="1">{"'Sheet1'!$L$16"}</definedName>
    <definedName name="________________________________Q1" hidden="1">{"'Sheet1'!$L$16"}</definedName>
    <definedName name="_______________________________NSO2" hidden="1">{"'Sheet1'!$L$16"}</definedName>
    <definedName name="_______________________________Q1" hidden="1">{"'Sheet1'!$L$16"}</definedName>
    <definedName name="______________________________NSO2" hidden="1">{"'Sheet1'!$L$16"}</definedName>
    <definedName name="______________________________Q1" hidden="1">{"'Sheet1'!$L$16"}</definedName>
    <definedName name="_____________________________NSO2" hidden="1">{"'Sheet1'!$L$16"}</definedName>
    <definedName name="_____________________________Q1" hidden="1">{"'Sheet1'!$L$16"}</definedName>
    <definedName name="____________________________NSO2" hidden="1">{"'Sheet1'!$L$16"}</definedName>
    <definedName name="____________________________Q1" hidden="1">{"'Sheet1'!$L$16"}</definedName>
    <definedName name="___________________________NSO2" hidden="1">{"'Sheet1'!$L$16"}</definedName>
    <definedName name="___________________________Q1" hidden="1">{"'Sheet1'!$L$16"}</definedName>
    <definedName name="__________________________NSO2" hidden="1">{"'Sheet1'!$L$16"}</definedName>
    <definedName name="__________________________Q1" hidden="1">{"'Sheet1'!$L$16"}</definedName>
    <definedName name="_________________________NSO2" hidden="1">{"'Sheet1'!$L$16"}</definedName>
    <definedName name="_________________________Q1" hidden="1">{"'Sheet1'!$L$16"}</definedName>
    <definedName name="________________________NSO2" hidden="1">{"'Sheet1'!$L$16"}</definedName>
    <definedName name="________________________Q1" hidden="1">{"'Sheet1'!$L$16"}</definedName>
    <definedName name="_______________________NSO2" hidden="1">{"'Sheet1'!$L$16"}</definedName>
    <definedName name="_______________________Q1" hidden="1">{"'Sheet1'!$L$16"}</definedName>
    <definedName name="______________________NSO2" hidden="1">{"'Sheet1'!$L$16"}</definedName>
    <definedName name="______________________Q1" hidden="1">{"'Sheet1'!$L$16"}</definedName>
    <definedName name="_____________________NSO2" hidden="1">{"'Sheet1'!$L$16"}</definedName>
    <definedName name="_____________________Q1" hidden="1">{"'Sheet1'!$L$16"}</definedName>
    <definedName name="____________________NSO2" hidden="1">{"'Sheet1'!$L$16"}</definedName>
    <definedName name="____________________Q1" hidden="1">{"'Sheet1'!$L$16"}</definedName>
    <definedName name="___________________NSO2" hidden="1">{"'Sheet1'!$L$16"}</definedName>
    <definedName name="___________________Q1" hidden="1">{"'Sheet1'!$L$16"}</definedName>
    <definedName name="__________________NSO2" hidden="1">{"'Sheet1'!$L$16"}</definedName>
    <definedName name="__________________Q1" hidden="1">{"'Sheet1'!$L$16"}</definedName>
    <definedName name="_________________a1" hidden="1">{"'Sheet1'!$L$16"}</definedName>
    <definedName name="_________________a10" hidden="1">{"'Sheet1'!$L$16"}</definedName>
    <definedName name="_________________a11" hidden="1">{"'Sheet1'!$L$16"}</definedName>
    <definedName name="_________________a12" hidden="1">{"'Sheet1'!$L$16"}</definedName>
    <definedName name="_________________a2" hidden="1">{"'Sheet1'!$L$16"}</definedName>
    <definedName name="_________________a3" hidden="1">{"'Sheet1'!$L$16"}</definedName>
    <definedName name="_________________a4" hidden="1">{"'Sheet1'!$L$16"}</definedName>
    <definedName name="_________________a5" hidden="1">{"'Sheet1'!$L$16"}</definedName>
    <definedName name="_________________a7" hidden="1">{"'Sheet1'!$L$16"}</definedName>
    <definedName name="_________________a8" hidden="1">{"'Sheet1'!$L$16"}</definedName>
    <definedName name="_________________a9" hidden="1">{"'Sheet1'!$L$16"}</definedName>
    <definedName name="_________________AL2" hidden="1">{#N/A,#N/A,FALSE,"Chi tiÆt"}</definedName>
    <definedName name="_________________f5" hidden="1">{"'Sheet1'!$L$16"}</definedName>
    <definedName name="_________________NSO2" hidden="1">{"'Sheet1'!$L$16"}</definedName>
    <definedName name="_________________Q1" hidden="1">{"'Sheet1'!$L$16"}</definedName>
    <definedName name="_________________TBC95" hidden="1">{#N/A,#N/A,FALSE,"Co_BalSht";#N/A,#N/A,FALSE,"Co_IncStmt";#N/A,#N/A,FALSE,"Cons_BalSht";#N/A,#N/A,FALSE,"Cons_IncStmt";#N/A,#N/A,FALSE,"Cashflow"}</definedName>
    <definedName name="________________NSO2" hidden="1">{"'Sheet1'!$L$16"}</definedName>
    <definedName name="________________Q1" hidden="1">{"'Sheet1'!$L$16"}</definedName>
    <definedName name="_______________EXP2" hidden="1">{#N/A,#N/A,FALSE,"Aging Summary";#N/A,#N/A,FALSE,"Ratio Analysis";#N/A,#N/A,FALSE,"Test 120 Day Accts";#N/A,#N/A,FALSE,"Tickmarks"}</definedName>
    <definedName name="_______________KY1">#REF!</definedName>
    <definedName name="_______________NSO2" hidden="1">{"'Sheet1'!$L$16"}</definedName>
    <definedName name="_______________Q1" hidden="1">{"'Sheet1'!$L$16"}</definedName>
    <definedName name="_______________TBC95" hidden="1">{#N/A,#N/A,FALSE,"Co_BalSht";#N/A,#N/A,FALSE,"Co_IncStmt";#N/A,#N/A,FALSE,"Cons_BalSht";#N/A,#N/A,FALSE,"Cons_IncStmt";#N/A,#N/A,FALSE,"Cashflow"}</definedName>
    <definedName name="______________a1" hidden="1">{"'Sheet1'!$L$16"}</definedName>
    <definedName name="______________a10" hidden="1">{"'Sheet1'!$L$16"}</definedName>
    <definedName name="______________a11" hidden="1">{"'Sheet1'!$L$16"}</definedName>
    <definedName name="______________a12" hidden="1">{"'Sheet1'!$L$16"}</definedName>
    <definedName name="______________a2" hidden="1">{"'Sheet1'!$L$16"}</definedName>
    <definedName name="______________a3" hidden="1">{"'Sheet1'!$L$16"}</definedName>
    <definedName name="______________a4" hidden="1">{"'Sheet1'!$L$16"}</definedName>
    <definedName name="______________a5" hidden="1">{"'Sheet1'!$L$16"}</definedName>
    <definedName name="______________a7" hidden="1">{"'Sheet1'!$L$16"}</definedName>
    <definedName name="______________a8" hidden="1">{"'Sheet1'!$L$16"}</definedName>
    <definedName name="______________a9" hidden="1">{"'Sheet1'!$L$16"}</definedName>
    <definedName name="______________ABC1" hidden="1">{#N/A,#N/A,FALSE,"Co_BalSht";#N/A,#N/A,FALSE,"Co_IncStmt";#N/A,#N/A,FALSE,"Cons_BalSht";#N/A,#N/A,FALSE,"Cons_IncStmt";#N/A,#N/A,FALSE,"Cashflow"}</definedName>
    <definedName name="______________ABC2" hidden="1">{#N/A,#N/A,FALSE,"Co_BalSht";#N/A,#N/A,FALSE,"Co_IncStmt";#N/A,#N/A,FALSE,"Cons_BalSht";#N/A,#N/A,FALSE,"Cons_IncStmt";#N/A,#N/A,FALSE,"Cashflow"}</definedName>
    <definedName name="______________AL2" hidden="1">{#N/A,#N/A,FALSE,"Chi tiÆt"}</definedName>
    <definedName name="________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______f5" hidden="1">{"'Sheet1'!$L$16"}</definedName>
    <definedName name="______________K100" hidden="1">{#N/A,#N/A,FALSE,"Co_BalSht";#N/A,#N/A,FALSE,"Co_IncStmt";#N/A,#N/A,FALSE,"Cons_BalSht";#N/A,#N/A,FALSE,"Cons_IncStmt";#N/A,#N/A,FALSE,"Cashflow"}</definedName>
    <definedName name="______________KY1">#REF!</definedName>
    <definedName name="______________NSO2" hidden="1">{"'Sheet1'!$L$16"}</definedName>
    <definedName name="______________Q1" hidden="1">{"'Sheet1'!$L$16"}</definedName>
    <definedName name="______________TBC95" hidden="1">{#N/A,#N/A,FALSE,"Co_BalSht";#N/A,#N/A,FALSE,"Co_IncStmt";#N/A,#N/A,FALSE,"Cons_BalSht";#N/A,#N/A,FALSE,"Cons_IncStmt";#N/A,#N/A,FALSE,"Cashflow"}</definedName>
    <definedName name="_____________EXP2" hidden="1">{#N/A,#N/A,FALSE,"Aging Summary";#N/A,#N/A,FALSE,"Ratio Analysis";#N/A,#N/A,FALSE,"Test 120 Day Accts";#N/A,#N/A,FALSE,"Tickmarks"}</definedName>
    <definedName name="_____________KY1">#REF!</definedName>
    <definedName name="_____________NSO2" hidden="1">{"'Sheet1'!$L$16"}</definedName>
    <definedName name="_____________Q1" hidden="1">{"'Sheet1'!$L$16"}</definedName>
    <definedName name="_____________T01" hidden="1">#REF!</definedName>
    <definedName name="_____________TBC95" hidden="1">{#N/A,#N/A,FALSE,"Co_BalSht";#N/A,#N/A,FALSE,"Co_IncStmt";#N/A,#N/A,FALSE,"Cons_BalSht";#N/A,#N/A,FALSE,"Cons_IncStmt";#N/A,#N/A,FALSE,"Cashflow"}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____dep08">#REF!</definedName>
    <definedName name="____________EXP2" hidden="1">{#N/A,#N/A,FALSE,"Aging Summary";#N/A,#N/A,FALSE,"Ratio Analysis";#N/A,#N/A,FALSE,"Test 120 Day Accts";#N/A,#N/A,FALSE,"Tickmarks"}</definedName>
    <definedName name="____________GD10" hidden="1">{#N/A,#N/A,FALSE,"summary"}</definedName>
    <definedName name="____________K100" hidden="1">{#N/A,#N/A,FALSE,"Co_BalSht";#N/A,#N/A,FALSE,"Co_IncStmt";#N/A,#N/A,FALSE,"Cons_BalSht";#N/A,#N/A,FALSE,"Cons_IncStmt";#N/A,#N/A,FALSE,"Cashflow"}</definedName>
    <definedName name="____________KY1">#REF!</definedName>
    <definedName name="____________LF12" hidden="1">#REF!</definedName>
    <definedName name="____________NSO2" hidden="1">{"'Sheet1'!$L$16"}</definedName>
    <definedName name="____________Q1" hidden="1">{"'Sheet1'!$L$16"}</definedName>
    <definedName name="____________T01" hidden="1">#REF!</definedName>
    <definedName name="____________TBC95" hidden="1">{#N/A,#N/A,FALSE,"Co_BalSht";#N/A,#N/A,FALSE,"Co_IncStmt";#N/A,#N/A,FALSE,"Cons_BalSht";#N/A,#N/A,FALSE,"Cons_IncStmt";#N/A,#N/A,FALSE,"Cashflow"}</definedName>
    <definedName name="____________to020831">#REF!</definedName>
    <definedName name="____________x2">#REF!</definedName>
    <definedName name="____________X4">#REF!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" hidden="1">{"'Sheet1'!$L$16"}</definedName>
    <definedName name="___________a10" hidden="1">{"'Sheet1'!$L$16"}</definedName>
    <definedName name="___________a11" hidden="1">{"'Sheet1'!$L$16"}</definedName>
    <definedName name="___________a12" hidden="1">{"'Sheet1'!$L$16"}</definedName>
    <definedName name="___________a2" hidden="1">{"'Sheet1'!$L$16"}</definedName>
    <definedName name="___________a3" hidden="1">{"'Sheet1'!$L$16"}</definedName>
    <definedName name="___________a4" hidden="1">{"'Sheet1'!$L$16"}</definedName>
    <definedName name="___________a5" hidden="1">{"'Sheet1'!$L$16"}</definedName>
    <definedName name="___________a7" hidden="1">{"'Sheet1'!$L$16"}</definedName>
    <definedName name="___________a8" hidden="1">{"'Sheet1'!$L$16"}</definedName>
    <definedName name="___________a9" hidden="1">{"'Sheet1'!$L$16"}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L2" hidden="1">{#N/A,#N/A,FALSE,"Chi tiÆt"}</definedName>
    <definedName name="_____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___dep08">#REF!</definedName>
    <definedName name="___________EXP2" hidden="1">{#N/A,#N/A,FALSE,"Aging Summary";#N/A,#N/A,FALSE,"Ratio Analysis";#N/A,#N/A,FALSE,"Test 120 Day Accts";#N/A,#N/A,FALSE,"Tickmarks"}</definedName>
    <definedName name="___________f5" hidden="1">{"'Sheet1'!$L$16"}</definedName>
    <definedName name="___________GD10" hidden="1">{#N/A,#N/A,FALSE,"summary"}</definedName>
    <definedName name="___________K100" hidden="1">{#N/A,#N/A,FALSE,"Co_BalSht";#N/A,#N/A,FALSE,"Co_IncStmt";#N/A,#N/A,FALSE,"Cons_BalSht";#N/A,#N/A,FALSE,"Cons_IncStmt";#N/A,#N/A,FALSE,"Cashflow"}</definedName>
    <definedName name="___________KY1">#REF!</definedName>
    <definedName name="___________LF12" hidden="1">#REF!</definedName>
    <definedName name="___________NSO2" hidden="1">{"'Sheet1'!$L$16"}</definedName>
    <definedName name="___________Q1" hidden="1">{"'Sheet1'!$L$16"}</definedName>
    <definedName name="___________T01" hidden="1">#REF!</definedName>
    <definedName name="___________TBC95" hidden="1">{#N/A,#N/A,FALSE,"Co_BalSht";#N/A,#N/A,FALSE,"Co_IncStmt";#N/A,#N/A,FALSE,"Cons_BalSht";#N/A,#N/A,FALSE,"Cons_IncStmt";#N/A,#N/A,FALSE,"Cashflow"}</definedName>
    <definedName name="___________to020831">#REF!</definedName>
    <definedName name="___________x2">#REF!</definedName>
    <definedName name="___________X4">#REF!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" hidden="1">{"'Sheet1'!$L$16"}</definedName>
    <definedName name="__________a10" hidden="1">{"'Sheet1'!$L$16"}</definedName>
    <definedName name="__________a11" hidden="1">{"'Sheet1'!$L$16"}</definedName>
    <definedName name="__________a12" hidden="1">{"'Sheet1'!$L$16"}</definedName>
    <definedName name="__________a2" hidden="1">{"'Sheet1'!$L$16"}</definedName>
    <definedName name="__________a3" hidden="1">{"'Sheet1'!$L$16"}</definedName>
    <definedName name="__________a4" hidden="1">{"'Sheet1'!$L$16"}</definedName>
    <definedName name="__________a5" hidden="1">{"'Sheet1'!$L$16"}</definedName>
    <definedName name="__________a7" hidden="1">{"'Sheet1'!$L$16"}</definedName>
    <definedName name="__________a8" hidden="1">{"'Sheet1'!$L$16"}</definedName>
    <definedName name="__________a9" hidden="1">{"'Sheet1'!$L$16"}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L2" hidden="1">{#N/A,#N/A,FALSE,"Chi tiÆt"}</definedName>
    <definedName name="__________dep08">#REF!</definedName>
    <definedName name="__________EXP2" hidden="1">{#N/A,#N/A,FALSE,"Aging Summary";#N/A,#N/A,FALSE,"Ratio Analysis";#N/A,#N/A,FALSE,"Test 120 Day Accts";#N/A,#N/A,FALSE,"Tickmarks"}</definedName>
    <definedName name="__________f5" hidden="1">{"'Sheet1'!$L$16"}</definedName>
    <definedName name="__________GD10" hidden="1">{#N/A,#N/A,FALSE,"summary"}</definedName>
    <definedName name="__________KY1">#REF!</definedName>
    <definedName name="__________LF12" hidden="1">#REF!</definedName>
    <definedName name="__________NSO2" hidden="1">{"'Sheet1'!$L$16"}</definedName>
    <definedName name="__________Q1" hidden="1">{"'Sheet1'!$L$16"}</definedName>
    <definedName name="__________T01" hidden="1">#REF!</definedName>
    <definedName name="__________TBC95" hidden="1">{#N/A,#N/A,FALSE,"Co_BalSht";#N/A,#N/A,FALSE,"Co_IncStmt";#N/A,#N/A,FALSE,"Cons_BalSht";#N/A,#N/A,FALSE,"Cons_IncStmt";#N/A,#N/A,FALSE,"Cashflow"}</definedName>
    <definedName name="__________to020831">#REF!</definedName>
    <definedName name="__________x2">#REF!</definedName>
    <definedName name="__________X4">#REF!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L2" hidden="1">{#N/A,#N/A,FALSE,"Chi tiÆt"}</definedName>
    <definedName name="___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_dep08">#REF!</definedName>
    <definedName name="_________E100" hidden="1">{#N/A,#N/A,FALSE,"OffAdvance";#N/A,#N/A,FALSE,"OffExpRprt";#N/A,#N/A,FALSE,"Entertmnt";#N/A,#N/A,FALSE,"Promotion";#N/A,#N/A,FALSE,"Travelling"}</definedName>
    <definedName name="_________EXP2" hidden="1">{#N/A,#N/A,FALSE,"Aging Summary";#N/A,#N/A,FALSE,"Ratio Analysis";#N/A,#N/A,FALSE,"Test 120 Day Accts";#N/A,#N/A,FALSE,"Tickmarks"}</definedName>
    <definedName name="_________f5" hidden="1">{"'Sheet1'!$L$16"}</definedName>
    <definedName name="__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_GD10" hidden="1">{#N/A,#N/A,FALSE,"summary"}</definedName>
    <definedName name="_________GFD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______j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______K100" hidden="1">{#N/A,#N/A,FALSE,"Co_BalSht";#N/A,#N/A,FALSE,"Co_IncStmt";#N/A,#N/A,FALSE,"Cons_BalSht";#N/A,#N/A,FALSE,"Cons_IncStmt";#N/A,#N/A,FALSE,"Cashflow"}</definedName>
    <definedName name="_________k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______KY1">#REF!</definedName>
    <definedName name="_________LF12" hidden="1">#REF!</definedName>
    <definedName name="_________NSO2" hidden="1">{"'Sheet1'!$L$16"}</definedName>
    <definedName name="_________Q1" hidden="1">{"'Sheet1'!$L$16"}</definedName>
    <definedName name="_________rio3" hidden="1">{#N/A,#N/A,FALSE,"资产负债表";#N/A,#N/A,FALSE,"资产负债表"}</definedName>
    <definedName name="_________T01" hidden="1">#REF!</definedName>
    <definedName name="_________TBC95" hidden="1">{#N/A,#N/A,FALSE,"Co_BalSht";#N/A,#N/A,FALSE,"Co_IncStmt";#N/A,#N/A,FALSE,"Cons_BalSht";#N/A,#N/A,FALSE,"Cons_IncStmt";#N/A,#N/A,FALSE,"Cashflow"}</definedName>
    <definedName name="_________to020831">#REF!</definedName>
    <definedName name="_________U400" hidden="1">{#N/A,#N/A,FALSE,"Marketing";#N/A,#N/A,FALSE,"Selling";#N/A,#N/A,FALSE,"Promotional";#N/A,#N/A,FALSE,"Advertising"}</definedName>
    <definedName name="_________x2">#REF!</definedName>
    <definedName name="_________X4">#REF!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" hidden="1">{"'Sheet1'!$L$16"}</definedName>
    <definedName name="________a10" hidden="1">{"'Sheet1'!$L$16"}</definedName>
    <definedName name="________A11" hidden="1">{#N/A,#N/A,FALSE,"Umsatz 99";#N/A,#N/A,FALSE,"ER 99 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L2" hidden="1">{#N/A,#N/A,FALSE,"Chi tiÆt"}</definedName>
    <definedName name="__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c" hidden="1">{"Fiesta Facer Page",#N/A,FALSE,"Q_C_S";"Fiesta Main Page",#N/A,FALSE,"V_L";"Fiesta 95BP Struct",#N/A,FALSE,"StructBP";"Fiesta Post 95BP Struct",#N/A,FALSE,"AdjStructBP"}</definedName>
    <definedName name="________dep08">#REF!</definedName>
    <definedName name="________E100" hidden="1">{#N/A,#N/A,FALSE,"OffAdvance";#N/A,#N/A,FALSE,"OffExpRprt";#N/A,#N/A,FALSE,"Entertmnt";#N/A,#N/A,FALSE,"Promotion";#N/A,#N/A,FALSE,"Travelling"}</definedName>
    <definedName name="________EXP2" hidden="1">{#N/A,#N/A,FALSE,"Aging Summary";#N/A,#N/A,FALSE,"Ratio Analysis";#N/A,#N/A,FALSE,"Test 120 Day Accts";#N/A,#N/A,FALSE,"Tickmarks"}</definedName>
    <definedName name="________f5" hidden="1">{"'Sheet1'!$L$16"}</definedName>
    <definedName name="__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______GD10" hidden="1">{#N/A,#N/A,FALSE,"summary"}</definedName>
    <definedName name="________K100" hidden="1">{#N/A,#N/A,FALSE,"Co_BalSht";#N/A,#N/A,FALSE,"Co_IncStmt";#N/A,#N/A,FALSE,"Cons_BalSht";#N/A,#N/A,FALSE,"Cons_IncStmt";#N/A,#N/A,FALSE,"Cashflow"}</definedName>
    <definedName name="________k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_____KY1">#REF!</definedName>
    <definedName name="________LF12" hidden="1">#REF!</definedName>
    <definedName name="________NSO2" hidden="1">{"'Sheet1'!$L$16"}</definedName>
    <definedName name="________Q1" hidden="1">{"'Sheet1'!$L$16"}</definedName>
    <definedName name="________rio3" hidden="1">{#N/A,#N/A,FALSE,"资产负债表";#N/A,#N/A,FALSE,"资产负债表"}</definedName>
    <definedName name="________T01" hidden="1">#REF!</definedName>
    <definedName name="________TBC95" hidden="1">{#N/A,#N/A,FALSE,"Co_BalSht";#N/A,#N/A,FALSE,"Co_IncStmt";#N/A,#N/A,FALSE,"Cons_BalSht";#N/A,#N/A,FALSE,"Cons_IncStmt";#N/A,#N/A,FALSE,"Cashflow"}</definedName>
    <definedName name="________to020831">#REF!</definedName>
    <definedName name="________U400" hidden="1">{#N/A,#N/A,FALSE,"Marketing";#N/A,#N/A,FALSE,"Selling";#N/A,#N/A,FALSE,"Promotional";#N/A,#N/A,FALSE,"Advertising"}</definedName>
    <definedName name="________wrn1" hidden="1">{#N/A,#N/A,FALSE,"Co_BalSht";#N/A,#N/A,FALSE,"Co_IncStmt";#N/A,#N/A,FALSE,"Cons_BalSht";#N/A,#N/A,FALSE,"Cons_IncStmt";#N/A,#N/A,FALSE,"Cashflow"}</definedName>
    <definedName name="________wrn1.IMP03" hidden="1">{"IMP03",#N/A,FALSE,"PREVISÃO DE VENDAS"}</definedName>
    <definedName name="________wrn2" hidden="1">{#N/A,#N/A,FALSE,"Aging Summary";#N/A,#N/A,FALSE,"Ratio Analysis";#N/A,#N/A,FALSE,"Test 120 Day Accts";#N/A,#N/A,FALSE,"Tickmarks"}</definedName>
    <definedName name="________wrn3" hidden="1">{#N/A,#N/A,FALSE,"Aging Summary";#N/A,#N/A,FALSE,"Ratio Analysis";#N/A,#N/A,FALSE,"Test 120 Day Accts";#N/A,#N/A,FALSE,"Tickmarks"}</definedName>
    <definedName name="________X1" hidden="1">{#N/A,#N/A,FALSE,"AOP vs FORECAST "}</definedName>
    <definedName name="________x2">#REF!</definedName>
    <definedName name="________X4">#REF!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L2" hidden="1">{#N/A,#N/A,FALSE,"Chi tiÆt"}</definedName>
    <definedName name="_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dep08">#REF!</definedName>
    <definedName name="_______E100" hidden="1">{#N/A,#N/A,FALSE,"OffAdvance";#N/A,#N/A,FALSE,"OffExpRprt";#N/A,#N/A,FALSE,"Entertmnt";#N/A,#N/A,FALSE,"Promotion";#N/A,#N/A,FALSE,"Travelling"}</definedName>
    <definedName name="_______EXP2" hidden="1">{#N/A,#N/A,FALSE,"Aging Summary";#N/A,#N/A,FALSE,"Ratio Analysis";#N/A,#N/A,FALSE,"Test 120 Day Accts";#N/A,#N/A,FALSE,"Tickmarks"}</definedName>
    <definedName name="_______f5" hidden="1">{"'Sheet1'!$L$16"}</definedName>
    <definedName name="_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_____GD10" hidden="1">{#N/A,#N/A,FALSE,"summary"}</definedName>
    <definedName name="_______K100" hidden="1">{#N/A,#N/A,FALSE,"Co_BalSht";#N/A,#N/A,FALSE,"Co_IncStmt";#N/A,#N/A,FALSE,"Cons_BalSht";#N/A,#N/A,FALSE,"Cons_IncStmt";#N/A,#N/A,FALSE,"Cashflow"}</definedName>
    <definedName name="_______KY1">#REF!</definedName>
    <definedName name="_______LF12" hidden="1">#REF!</definedName>
    <definedName name="_______NSO2" hidden="1">{"'Sheet1'!$L$16"}</definedName>
    <definedName name="_______Q1" hidden="1">{"'Sheet1'!$L$16"}</definedName>
    <definedName name="_______r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____rio3" hidden="1">{#N/A,#N/A,FALSE,"资产负债表";#N/A,#N/A,FALSE,"资产负债表"}</definedName>
    <definedName name="_______T01" hidden="1">#REF!</definedName>
    <definedName name="_______TBC95" hidden="1">{#N/A,#N/A,FALSE,"Co_BalSht";#N/A,#N/A,FALSE,"Co_IncStmt";#N/A,#N/A,FALSE,"Cons_BalSht";#N/A,#N/A,FALSE,"Cons_IncStmt";#N/A,#N/A,FALSE,"Cashflow"}</definedName>
    <definedName name="_______to020831">#REF!</definedName>
    <definedName name="_______U400" hidden="1">{#N/A,#N/A,FALSE,"Marketing";#N/A,#N/A,FALSE,"Selling";#N/A,#N/A,FALSE,"Promotional";#N/A,#N/A,FALSE,"Advertising"}</definedName>
    <definedName name="_______wrn1" hidden="1">{#N/A,#N/A,FALSE,"Co_BalSht";#N/A,#N/A,FALSE,"Co_IncStmt";#N/A,#N/A,FALSE,"Cons_BalSht";#N/A,#N/A,FALSE,"Cons_IncStmt";#N/A,#N/A,FALSE,"Cashflow"}</definedName>
    <definedName name="_______wrn2" hidden="1">{#N/A,#N/A,FALSE,"Aging Summary";#N/A,#N/A,FALSE,"Ratio Analysis";#N/A,#N/A,FALSE,"Test 120 Day Accts";#N/A,#N/A,FALSE,"Tickmarks"}</definedName>
    <definedName name="_______wrn3" hidden="1">{#N/A,#N/A,FALSE,"Aging Summary";#N/A,#N/A,FALSE,"Ratio Analysis";#N/A,#N/A,FALSE,"Test 120 Day Accts";#N/A,#N/A,FALSE,"Tickmarks"}</definedName>
    <definedName name="_______X1" hidden="1">{#N/A,#N/A,FALSE,"AOP vs FORECAST "}</definedName>
    <definedName name="_______x2">#REF!</definedName>
    <definedName name="_______X4">#REF!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 hidden="1">{#N/A,#N/A,FALSE,"Pharm";#N/A,#N/A,FALSE,"WWCM"}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aaa1" hidden="1">{#N/A,#N/A,FALSE,"REPORT"}</definedName>
    <definedName name="______aas1" hidden="1">{#N/A,#N/A,FALSE,"REPORT"}</definedName>
    <definedName name="______ABC1" hidden="1">{#N/A,#N/A,FALSE,"Co_BalSht";#N/A,#N/A,FALSE,"Co_IncStmt";#N/A,#N/A,FALSE,"Cons_BalSht";#N/A,#N/A,FALSE,"Cons_IncStmt";#N/A,#N/A,FALSE,"Cashflow"}</definedName>
    <definedName name="______ABC2" hidden="1">{#N/A,#N/A,FALSE,"Co_BalSht";#N/A,#N/A,FALSE,"Co_IncStmt";#N/A,#N/A,FALSE,"Cons_BalSht";#N/A,#N/A,FALSE,"Cons_IncStmt";#N/A,#N/A,FALSE,"Cashflow"}</definedName>
    <definedName name="______ACS2000" hidden="1">{#N/A,#N/A,FALSE,"REPORT"}</definedName>
    <definedName name="______AL2" hidden="1">{#N/A,#N/A,FALSE,"Chi tiÆt"}</definedName>
    <definedName name="_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b111" hidden="1">{#N/A,#N/A,FALSE,"Pharm";#N/A,#N/A,FALSE,"WWCM"}</definedName>
    <definedName name="______BY329" hidden="1">{#N/A,#N/A,FALSE,"Heading";#N/A,#N/A,FALSE,"Template"}</definedName>
    <definedName name="___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dep08">#REF!</definedName>
    <definedName name="______E100" hidden="1">{#N/A,#N/A,FALSE,"OffAdvance";#N/A,#N/A,FALSE,"OffExpRprt";#N/A,#N/A,FALSE,"Entertmnt";#N/A,#N/A,FALSE,"Promotion";#N/A,#N/A,FALSE,"Travelling"}</definedName>
    <definedName name="______EXP2" hidden="1">{#N/A,#N/A,FALSE,"Aging Summary";#N/A,#N/A,FALSE,"Ratio Analysis";#N/A,#N/A,FALSE,"Test 120 Day Accts";#N/A,#N/A,FALSE,"Tickmarks"}</definedName>
    <definedName name="______f5" hidden="1">{"'Sheet1'!$L$16"}</definedName>
    <definedName name="_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____GD10" hidden="1">{#N/A,#N/A,FALSE,"summary"}</definedName>
    <definedName name="___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int1">#REF!</definedName>
    <definedName name="______int2">#REF!</definedName>
    <definedName name="______int3">#REF!</definedName>
    <definedName name="______int4">#REF!</definedName>
    <definedName name="______int5">#REF!</definedName>
    <definedName name="______int6">#REF!</definedName>
    <definedName name="___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K100" hidden="1">{#N/A,#N/A,FALSE,"Co_BalSht";#N/A,#N/A,FALSE,"Co_IncStmt";#N/A,#N/A,FALSE,"Cons_BalSht";#N/A,#N/A,FALSE,"Cons_IncStmt";#N/A,#N/A,FALSE,"Cashflow"}</definedName>
    <definedName name="______key2" hidden="1">#REF!</definedName>
    <definedName name="______LF12" hidden="1">#REF!</definedName>
    <definedName name="______new1" hidden="1">{#N/A,#N/A,FALSE,"Pharm";#N/A,#N/A,FALSE,"WWCM"}</definedName>
    <definedName name="______NEW330" hidden="1">{#N/A,#N/A,FALSE,"Heading";#N/A,#N/A,FALSE,"Template"}</definedName>
    <definedName name="______NSO2" hidden="1">{"'Sheet1'!$L$16"}</definedName>
    <definedName name="______Q1" hidden="1">{"'Sheet1'!$L$16"}</definedName>
    <definedName name="______r" hidden="1">{#N/A,#N/A,FALSE,"Pharm";#N/A,#N/A,FALSE,"WWCM"}</definedName>
    <definedName name="______rio3" hidden="1">{#N/A,#N/A,FALSE,"资产负债表";#N/A,#N/A,FALSE,"资产负债表"}</definedName>
    <definedName name="___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T01" hidden="1">#REF!</definedName>
    <definedName name="______TBC95" hidden="1">{#N/A,#N/A,FALSE,"Co_BalSht";#N/A,#N/A,FALSE,"Co_IncStmt";#N/A,#N/A,FALSE,"Cons_BalSht";#N/A,#N/A,FALSE,"Cons_IncStmt";#N/A,#N/A,FALSE,"Cashflow"}</definedName>
    <definedName name="______tm1" hidden="1">{#N/A,#N/A,FALSE,"Pharm";#N/A,#N/A,FALSE,"WWCM"}</definedName>
    <definedName name="______to020831">#REF!</definedName>
    <definedName name="______U400" hidden="1">{#N/A,#N/A,FALSE,"Marketing";#N/A,#N/A,FALSE,"Selling";#N/A,#N/A,FALSE,"Promotional";#N/A,#N/A,FALSE,"Advertising"}</definedName>
    <definedName name="___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_wrn1" hidden="1">{#N/A,#N/A,FALSE,"Co_BalSht";#N/A,#N/A,FALSE,"Co_IncStmt";#N/A,#N/A,FALSE,"Cons_BalSht";#N/A,#N/A,FALSE,"Cons_IncStmt";#N/A,#N/A,FALSE,"Cashflow"}</definedName>
    <definedName name="______wrn2" hidden="1">{#N/A,#N/A,FALSE,"Aging Summary";#N/A,#N/A,FALSE,"Ratio Analysis";#N/A,#N/A,FALSE,"Test 120 Day Accts";#N/A,#N/A,FALSE,"Tickmarks"}</definedName>
    <definedName name="______wrn21" hidden="1">{"Asset Information",#N/A,FALSE,"Asset Information";"Fixed Lease Cost",#N/A,FALSE,"Asset Information";"Maintenance",#N/A,FALSE,"Asset Information";"Depreciation",#N/A,FALSE,"Asset Information"}</definedName>
    <definedName name="______wrn3" hidden="1">{#N/A,#N/A,FALSE,"Aging Summary";#N/A,#N/A,FALSE,"Ratio Analysis";#N/A,#N/A,FALSE,"Test 120 Day Accts";#N/A,#N/A,FALSE,"Tickmarks"}</definedName>
    <definedName name="___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_X2" hidden="1">{#N/A,#N/A,FALSE,"Other";#N/A,#N/A,FALSE,"Ace";#N/A,#N/A,FALSE,"Derm"}</definedName>
    <definedName name="______X4">#REF!</definedName>
    <definedName name="______xlfn.SUMIFS" hidden="1">#NAME?</definedName>
    <definedName name="_____08.8">#REF!</definedName>
    <definedName name="_____a1" hidden="1">{"'Sheet1'!$L$16"}</definedName>
    <definedName name="_____a10" hidden="1">{"'Sheet1'!$L$16"}</definedName>
    <definedName name="_____A100" hidden="1">{#N/A,#N/A,FALSE,"Ocean";#N/A,#N/A,FALSE,"NewYork";#N/A,#N/A,FALSE,"Gateway";#N/A,#N/A,FALSE,"GVH";#N/A,#N/A,FALSE,"GVM";#N/A,#N/A,FALSE,"GVT"}</definedName>
    <definedName name="_____a11" hidden="1">{"'Sheet1'!$L$16"}</definedName>
    <definedName name="_____a12" hidden="1">{"'Sheet1'!$L$16"}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bc1" hidden="1">{"detail",#N/A,FALSE,"mfg";"summary",#N/A,FALSE,"mfg"}</definedName>
    <definedName name="_____abc2" hidden="1">{"detail",#N/A,FALSE,"mfg";"summary",#N/A,FALSE,"mfg"}</definedName>
    <definedName name="_____AL2" hidden="1">{#N/A,#N/A,FALSE,"Chi tiÆt"}</definedName>
    <definedName name="_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B201" hidden="1">{#N/A,#N/A,FALSE,"Ocean";#N/A,#N/A,FALSE,"NewYork";#N/A,#N/A,FALSE,"Gateway";#N/A,#N/A,FALSE,"GVH";#N/A,#N/A,FALSE,"GVM";#N/A,#N/A,FALSE,"GVT"}</definedName>
    <definedName name="_____BY329" hidden="1">{#N/A,#N/A,FALSE,"Heading";#N/A,#N/A,FALSE,"Template"}</definedName>
    <definedName name="__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ep08">#REF!</definedName>
    <definedName name="_____dod1" hidden="1">{#N/A,#N/A,TRUE,"CPRD";#N/A,#N/A,TRUE,"BCCPDR";#N/A,#N/A,TRUE,"EWRD";#N/A,#N/A,TRUE,"5100";#N/A,#N/A,TRUE,"5110"}</definedName>
    <definedName name="_____E100" hidden="1">{#N/A,#N/A,FALSE,"OffAdvance";#N/A,#N/A,FALSE,"OffExpRprt";#N/A,#N/A,FALSE,"Entertmnt";#N/A,#N/A,FALSE,"Promotion";#N/A,#N/A,FALSE,"Travelling"}</definedName>
    <definedName name="_____EXP2" hidden="1">{#N/A,#N/A,FALSE,"Aging Summary";#N/A,#N/A,FALSE,"Ratio Analysis";#N/A,#N/A,FALSE,"Test 120 Day Accts";#N/A,#N/A,FALSE,"Tickmarks"}</definedName>
    <definedName name="___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f5" hidden="1">{"'Sheet1'!$L$16"}</definedName>
    <definedName name="_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___GD10" hidden="1">{#N/A,#N/A,FALSE,"summary"}</definedName>
    <definedName name="__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int1">#REF!</definedName>
    <definedName name="_____int2">#REF!</definedName>
    <definedName name="_____int3">#REF!</definedName>
    <definedName name="_____int4">#REF!</definedName>
    <definedName name="_____int5">#REF!</definedName>
    <definedName name="_____int6">#REF!</definedName>
    <definedName name="__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K100" hidden="1">{#N/A,#N/A,FALSE,"Co_BalSht";#N/A,#N/A,FALSE,"Co_IncStmt";#N/A,#N/A,FALSE,"Cons_BalSht";#N/A,#N/A,FALSE,"Cons_IncStmt";#N/A,#N/A,FALSE,"Cashflow"}</definedName>
    <definedName name="_____KE3" hidden="1">#REF!</definedName>
    <definedName name="_____KE5" hidden="1">#REF!</definedName>
    <definedName name="_____KE6" hidden="1">#REF!</definedName>
    <definedName name="_____KE8" hidden="1">#REF!</definedName>
    <definedName name="_____key11" hidden="1">#REF!</definedName>
    <definedName name="_____key12" hidden="1">#REF!</definedName>
    <definedName name="_____KEY123" hidden="1">#REF!</definedName>
    <definedName name="_____key1521" hidden="1">#REF!</definedName>
    <definedName name="_____Key2" hidden="1">#REF!</definedName>
    <definedName name="_____KEY3" hidden="1">#REF!</definedName>
    <definedName name="_____KEY4" hidden="1">#REF!</definedName>
    <definedName name="_____KEY5" hidden="1">#REF!</definedName>
    <definedName name="_____KEY6" hidden="1">#REF!</definedName>
    <definedName name="_____KEY7" hidden="1">#REF!</definedName>
    <definedName name="_____key77" hidden="1">#REF!</definedName>
    <definedName name="_____key8" hidden="1">#REF!</definedName>
    <definedName name="_____KEY90" hidden="1">#REF!</definedName>
    <definedName name="_____KY1">#REF!</definedName>
    <definedName name="_____LF12" hidden="1">#REF!</definedName>
    <definedName name="_____Mgt1" hidden="1">{"DENNIS",#N/A,FALSE}</definedName>
    <definedName name="_____NEW330" hidden="1">{#N/A,#N/A,FALSE,"Heading";#N/A,#N/A,FALSE,"Template"}</definedName>
    <definedName name="_____NSO2" hidden="1">{"'Sheet1'!$L$16"}</definedName>
    <definedName name="___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P200" hidden="1">{#N/A,#N/A,FALSE,"YTCHAN";#N/A,#N/A,FALSE,"TOMMY";#N/A,#N/A,FALSE,"REP.OFFICE";#N/A,#N/A,FALSE,"E&amp;Y_CONSULTANT";#N/A,#N/A,FALSE,"BT &amp; CIT"}</definedName>
    <definedName name="_____P300" hidden="1">{#N/A,#N/A,FALSE,"资产负债表";#N/A,#N/A,FALSE,"资产负债表"}</definedName>
    <definedName name="_____P400" hidden="1">{#N/A,#N/A,FALSE,"FREEMAN";#N/A,#N/A,FALSE,"STEPHEN";#N/A,#N/A,FALSE,"VICTOR"}</definedName>
    <definedName name="_____P510" hidden="1">{#N/A,#N/A,FALSE,"²Ä1­Ó¤ë"}</definedName>
    <definedName name="_____Q1" hidden="1">{"'Sheet1'!$L$16"}</definedName>
    <definedName name="_____rio3" hidden="1">{#N/A,#N/A,FALSE,"资产负债表";#N/A,#N/A,FALSE,"资产负债表"}</definedName>
    <definedName name="__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SH1">#REF!</definedName>
    <definedName name="_____T01" hidden="1">#REF!</definedName>
    <definedName name="_____TBC95" hidden="1">{#N/A,#N/A,FALSE,"Co_BalSht";#N/A,#N/A,FALSE,"Co_IncStmt";#N/A,#N/A,FALSE,"Cons_BalSht";#N/A,#N/A,FALSE,"Cons_IncStmt";#N/A,#N/A,FALSE,"Cashflow"}</definedName>
    <definedName name="_____to020831">#REF!</definedName>
    <definedName name="_____u1" hidden="1">{"capacity",#N/A,FALSE,"Hefei";"Volume",#N/A,FALSE,"Hefei"}</definedName>
    <definedName name="_____u1001" hidden="1">{"capacity",#N/A,FALSE,"Hefei";"Volume",#N/A,FALSE,"Hefei"}</definedName>
    <definedName name="_____U232" hidden="1">{#N/A,#N/A,FALSE,"3410599";#N/A,#N/A,FALSE,"34106";#N/A,#N/A,FALSE,"34903";#N/A,#N/A,FALSE,"4450999";#N/A,#N/A,FALSE,"44901"}</definedName>
    <definedName name="__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U400" hidden="1">{#N/A,#N/A,FALSE,"Marketing";#N/A,#N/A,FALSE,"Selling";#N/A,#N/A,FALSE,"Promotional";#N/A,#N/A,FALSE,"Advertising"}</definedName>
    <definedName name="_____U701" hidden="1">{#N/A,#N/A,FALSE,"资产负债表";#N/A,#N/A,FALSE,"资产负债表"}</definedName>
    <definedName name="__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_wrn1" hidden="1">{#N/A,#N/A,FALSE,"Co_BalSht";#N/A,#N/A,FALSE,"Co_IncStmt";#N/A,#N/A,FALSE,"Cons_BalSht";#N/A,#N/A,FALSE,"Cons_IncStmt";#N/A,#N/A,FALSE,"Cashflow"}</definedName>
    <definedName name="_____wrn2" hidden="1">{#N/A,#N/A,FALSE,"Aging Summary";#N/A,#N/A,FALSE,"Ratio Analysis";#N/A,#N/A,FALSE,"Test 120 Day Accts";#N/A,#N/A,FALSE,"Tickmarks"}</definedName>
    <definedName name="_____wrn21" hidden="1">{"Asset Information",#N/A,FALSE,"Asset Information";"Fixed Lease Cost",#N/A,FALSE,"Asset Information";"Maintenance",#N/A,FALSE,"Asset Information";"Depreciation",#N/A,FALSE,"Asset Information"}</definedName>
    <definedName name="_____wrn3" hidden="1">{#N/A,#N/A,FALSE,"Aging Summary";#N/A,#N/A,FALSE,"Ratio Analysis";#N/A,#N/A,FALSE,"Test 120 Day Accts";#N/A,#N/A,FALSE,"Tickmarks"}</definedName>
    <definedName name="__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_x1" hidden="1">{#N/A,#N/A,FALSE,"FY97";#N/A,#N/A,FALSE,"FY98";#N/A,#N/A,FALSE,"FY99";#N/A,#N/A,FALSE,"FY00";#N/A,#N/A,FALSE,"FY01"}</definedName>
    <definedName name="_____x2">#REF!</definedName>
    <definedName name="_____X4">#REF!</definedName>
    <definedName name="_____xlfn.SUMIFS" hidden="1">#NAME?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08.10">#REF!</definedName>
    <definedName name="____08.11">#REF!</definedName>
    <definedName name="____08.12">#REF!</definedName>
    <definedName name="____08.9月">#REF!</definedName>
    <definedName name="____09年度">#REF!</definedName>
    <definedName name="____1">#REF!</definedName>
    <definedName name="____1到6月份其他应收款余额表">#REF!</definedName>
    <definedName name="____8月">#REF!</definedName>
    <definedName name="____a1" hidden="1">{"'Sheet1'!$L$16"}</definedName>
    <definedName name="____a10" hidden="1">{"'Sheet1'!$L$16"}</definedName>
    <definedName name="____A100" hidden="1">{#N/A,#N/A,FALSE,"Ocean";#N/A,#N/A,FALSE,"NewYork";#N/A,#N/A,FALSE,"Gateway";#N/A,#N/A,FALSE,"GVH";#N/A,#N/A,FALSE,"GVM";#N/A,#N/A,FALSE,"GVT"}</definedName>
    <definedName name="____a11" hidden="1">{"'Sheet1'!$L$16"}</definedName>
    <definedName name="____a12" hidden="1">{"'Sheet1'!$L$16"}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51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a7" hidden="1">{"'Sheet1'!$L$16"}</definedName>
    <definedName name="____a8" hidden="1">{"'Sheet1'!$L$16"}</definedName>
    <definedName name="____a9" hidden="1">{"'Sheet1'!$L$16"}</definedName>
    <definedName name="____abc1" hidden="1">{"detail",#N/A,FALSE,"mfg";"summary",#N/A,FALSE,"mfg"}</definedName>
    <definedName name="____abc2" hidden="1">{"detail",#N/A,FALSE,"mfg";"summary",#N/A,FALSE,"mfg"}</definedName>
    <definedName name="____AL2" hidden="1">{#N/A,#N/A,FALSE,"Chi tiÆt"}</definedName>
    <definedName name="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B201" hidden="1">{#N/A,#N/A,FALSE,"Ocean";#N/A,#N/A,FALSE,"NewYork";#N/A,#N/A,FALSE,"Gateway";#N/A,#N/A,FALSE,"GVH";#N/A,#N/A,FALSE,"GVM";#N/A,#N/A,FALSE,"GVT"}</definedName>
    <definedName name="____BS5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____BY329" hidden="1">{#N/A,#N/A,FALSE,"Heading";#N/A,#N/A,FALSE,"Template"}</definedName>
    <definedName name="_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D65656">#REF!</definedName>
    <definedName name="____DAT17">#REF!</definedName>
    <definedName name="____DAT5">#REF!</definedName>
    <definedName name="____dep08">#REF!</definedName>
    <definedName name="____DIV01">#REF!</definedName>
    <definedName name="____DIV02">#REF!</definedName>
    <definedName name="____DIV31">#REF!</definedName>
    <definedName name="____DIV32">#REF!</definedName>
    <definedName name="____DIV34">#REF!</definedName>
    <definedName name="____DIV38">#REF!</definedName>
    <definedName name="____DIV93">#REF!</definedName>
    <definedName name="____dod1" hidden="1">{#N/A,#N/A,TRUE,"CPRD";#N/A,#N/A,TRUE,"BCCPDR";#N/A,#N/A,TRUE,"EWRD";#N/A,#N/A,TRUE,"5100";#N/A,#N/A,TRUE,"5110"}</definedName>
    <definedName name="____E100" hidden="1">{#N/A,#N/A,FALSE,"OffAdvance";#N/A,#N/A,FALSE,"OffExpRprt";#N/A,#N/A,FALSE,"Entertmnt";#N/A,#N/A,FALSE,"Promotion";#N/A,#N/A,FALSE,"Travelling"}</definedName>
    <definedName name="____E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e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EXP2" hidden="1">{#N/A,#N/A,FALSE,"Aging Summary";#N/A,#N/A,FALSE,"Ratio Analysis";#N/A,#N/A,FALSE,"Test 120 Day Accts";#N/A,#N/A,FALSE,"Tickmarks"}</definedName>
    <definedName name="____f5" hidden="1">{"'Sheet1'!$L$16"}</definedName>
    <definedName name="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__G100">#N/A</definedName>
    <definedName name="____G300" hidden="1">#REF!</definedName>
    <definedName name="____GD10" hidden="1">{#N/A,#N/A,FALSE,"summary"}</definedName>
    <definedName name="_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int1">#REF!</definedName>
    <definedName name="____int2">#REF!</definedName>
    <definedName name="____int3">#REF!</definedName>
    <definedName name="____int4">#REF!</definedName>
    <definedName name="____int5">#REF!</definedName>
    <definedName name="____int6">#REF!</definedName>
    <definedName name="____j06" hidden="1">Main.SAPF4Help()</definedName>
    <definedName name="____Jan05" hidden="1">Main.SAPF4Help()</definedName>
    <definedName name="____Jan06" hidden="1">Main.SAPF4Help()</definedName>
    <definedName name="_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K100" hidden="1">{#N/A,#N/A,FALSE,"Co_BalSht";#N/A,#N/A,FALSE,"Co_IncStmt";#N/A,#N/A,FALSE,"Cons_BalSht";#N/A,#N/A,FALSE,"Cons_IncStmt";#N/A,#N/A,FALSE,"Cashflow"}</definedName>
    <definedName name="____K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KE3" hidden="1">#REF!</definedName>
    <definedName name="____KE5" hidden="1">#REF!</definedName>
    <definedName name="____KE6" hidden="1">#REF!</definedName>
    <definedName name="____KE8" hidden="1">#REF!</definedName>
    <definedName name="____key11" hidden="1">#REF!</definedName>
    <definedName name="____key12" hidden="1">#REF!</definedName>
    <definedName name="____KEY123" hidden="1">#REF!</definedName>
    <definedName name="____key1521" hidden="1">#REF!</definedName>
    <definedName name="____Key2" hidden="1">#REF!</definedName>
    <definedName name="____KEY3" hidden="1">#REF!</definedName>
    <definedName name="____KEY4" hidden="1">#REF!</definedName>
    <definedName name="____KEY5" hidden="1">#REF!</definedName>
    <definedName name="____KEY6" hidden="1">#REF!</definedName>
    <definedName name="____KEY7" hidden="1">#REF!</definedName>
    <definedName name="____key77" hidden="1">#REF!</definedName>
    <definedName name="____key8" hidden="1">#REF!</definedName>
    <definedName name="____KEY90" hidden="1">#REF!</definedName>
    <definedName name="____KY1">#REF!</definedName>
    <definedName name="____LF12" hidden="1">#REF!</definedName>
    <definedName name="____Mgt1" hidden="1">{"DENNIS",#N/A,FALSE}</definedName>
    <definedName name="____new10" hidden="1">{"'B-2 QSER Jun 98 4-27-98 cor'!$A$1:$F$57"}</definedName>
    <definedName name="____new2" hidden="1">{"'B-2 QSER Jun 98 4-27-98 cor'!$A$1:$F$57"}</definedName>
    <definedName name="____NEW330" hidden="1">{#N/A,#N/A,FALSE,"Heading";#N/A,#N/A,FALSE,"Template"}</definedName>
    <definedName name="____new5" hidden="1">{"'B-2 QSER Jun 98 4-27-98 cor'!$A$1:$F$57"}</definedName>
    <definedName name="____NSO2" hidden="1">{"'Sheet1'!$L$16"}</definedName>
    <definedName name="____P1" hidden="1">{"M.GOH",#N/A,FALSE}</definedName>
    <definedName name="____P200" hidden="1">{#N/A,#N/A,FALSE,"YTCHAN";#N/A,#N/A,FALSE,"TOMMY";#N/A,#N/A,FALSE,"REP.OFFICE";#N/A,#N/A,FALSE,"E&amp;Y_CONSULTANT";#N/A,#N/A,FALSE,"BT &amp; CIT"}</definedName>
    <definedName name="____P300" hidden="1">{#N/A,#N/A,FALSE,"资产负债表";#N/A,#N/A,FALSE,"资产负债表"}</definedName>
    <definedName name="____P400" hidden="1">{#N/A,#N/A,FALSE,"FREEMAN";#N/A,#N/A,FALSE,"STEPHEN";#N/A,#N/A,FALSE,"VICTOR"}</definedName>
    <definedName name="____P510" hidden="1">{#N/A,#N/A,FALSE,"²Ä1­Ó¤ë"}</definedName>
    <definedName name="____Q1" hidden="1">{"'Sheet1'!$L$16"}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io3" hidden="1">{#N/A,#N/A,FALSE,"资产负债表";#N/A,#N/A,FALSE,"资产负债表"}</definedName>
    <definedName name="____rob2" hidden="1">{"GLI-Income Statement",#N/A,FALSE,"gli";"GLI - Balance Sheet Wksht",#N/A,FALSE,"gli";"GLI-Cash Flow",#N/A,FALSE,"gli";"GLI Qtrly Stats",#N/A,FALSE,"gli"}</definedName>
    <definedName name="_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sc13">#REF!</definedName>
    <definedName name="____SH1">#REF!</definedName>
    <definedName name="____T01" hidden="1">#REF!</definedName>
    <definedName name="____TBC95" hidden="1">{#N/A,#N/A,FALSE,"Co_BalSht";#N/A,#N/A,FALSE,"Co_IncStmt";#N/A,#N/A,FALSE,"Cons_BalSht";#N/A,#N/A,FALSE,"Cons_IncStmt";#N/A,#N/A,FALSE,"Cashflow"}</definedName>
    <definedName name="____to020831">#REF!</definedName>
    <definedName name="____u1" hidden="1">{"capacity",#N/A,FALSE,"Hefei";"Volume",#N/A,FALSE,"Hefei"}</definedName>
    <definedName name="____u1001" hidden="1">{"capacity",#N/A,FALSE,"Hefei";"Volume",#N/A,FALSE,"Hefei"}</definedName>
    <definedName name="____U232" hidden="1">{#N/A,#N/A,FALSE,"3410599";#N/A,#N/A,FALSE,"34106";#N/A,#N/A,FALSE,"34903";#N/A,#N/A,FALSE,"4450999";#N/A,#N/A,FALSE,"44901"}</definedName>
    <definedName name="_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U300">MATCH(0.01,#REF!,-1)+1</definedName>
    <definedName name="____U400" hidden="1">{#N/A,#N/A,FALSE,"Marketing";#N/A,#N/A,FALSE,"Selling";#N/A,#N/A,FALSE,"Promotional";#N/A,#N/A,FALSE,"Advertising"}</definedName>
    <definedName name="____U701" hidden="1">{#N/A,#N/A,FALSE,"资产负债表";#N/A,#N/A,FALSE,"资产负债表"}</definedName>
    <definedName name="____UB1" hidden="1">{"'Feb 99'!$A$1:$G$30"}</definedName>
    <definedName name="____UB2" hidden="1">{"'Feb 99'!$A$1:$G$30"}</definedName>
    <definedName name="_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w6">#REF!</definedName>
    <definedName name="_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_wrn1" hidden="1">{#N/A,#N/A,FALSE,"Co_BalSht";#N/A,#N/A,FALSE,"Co_IncStmt";#N/A,#N/A,FALSE,"Cons_BalSht";#N/A,#N/A,FALSE,"Cons_IncStmt";#N/A,#N/A,FALSE,"Cashflow"}</definedName>
    <definedName name="____wrn2" hidden="1">{#N/A,#N/A,FALSE,"Aging Summary";#N/A,#N/A,FALSE,"Ratio Analysis";#N/A,#N/A,FALSE,"Test 120 Day Accts";#N/A,#N/A,FALSE,"Tickmarks"}</definedName>
    <definedName name="____wrn21" hidden="1">{"Asset Information",#N/A,FALSE,"Asset Information";"Fixed Lease Cost",#N/A,FALSE,"Asset Information";"Maintenance",#N/A,FALSE,"Asset Information";"Depreciation",#N/A,FALSE,"Asset Information"}</definedName>
    <definedName name="____wrn3" hidden="1">{#N/A,#N/A,FALSE,"Aging Summary";#N/A,#N/A,FALSE,"Ratio Analysis";#N/A,#N/A,FALSE,"Test 120 Day Accts";#N/A,#N/A,FALSE,"Tickmarks"}</definedName>
    <definedName name="_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 hidden="1">#NAME?</definedName>
    <definedName name="____xlfn.SUMIFS" hidden="1">#NAME?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YE1">#REF!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F12" hidden="1">#REF!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08.10">#REF!</definedName>
    <definedName name="___08.11">#REF!</definedName>
    <definedName name="___08.12">#REF!</definedName>
    <definedName name="___08.8">#REF!</definedName>
    <definedName name="___08.9月">#REF!</definedName>
    <definedName name="___09年度">#REF!</definedName>
    <definedName name="___1">#REF!</definedName>
    <definedName name="___1_余额表_一级_.dbf">#REF!</definedName>
    <definedName name="___1到6月份其他应收款余额表">#REF!</definedName>
    <definedName name="___2余额表_一级_.dbf">#REF!</definedName>
    <definedName name="___8月">#REF!</definedName>
    <definedName name="___a1" hidden="1">{"'Sheet1'!$L$16"}</definedName>
    <definedName name="___a10" hidden="1">{"'Sheet1'!$L$16"}</definedName>
    <definedName name="___A100" hidden="1">{#N/A,#N/A,FALSE,"Ocean";#N/A,#N/A,FALSE,"NewYork";#N/A,#N/A,FALSE,"Gateway";#N/A,#N/A,FALSE,"GVH";#N/A,#N/A,FALSE,"GVM";#N/A,#N/A,FALSE,"GVT"}</definedName>
    <definedName name="___A1000" hidden="1">{#N/A,#N/A,FALSE,"Ocean";#N/A,#N/A,FALSE,"NewYork";#N/A,#N/A,FALSE,"Gateway";#N/A,#N/A,FALSE,"GVH";#N/A,#N/A,FALSE,"GVM";#N/A,#N/A,FALSE,"GVT"}</definedName>
    <definedName name="___a11" hidden="1">{"'Sheet1'!$L$16"}</definedName>
    <definedName name="___a12" hidden="1">{"'Sheet1'!$L$16"}</definedName>
    <definedName name="___a2" hidden="1">{"TOTAL",#N/A,TRUE,"DETAIL";"COS",#N/A,TRUE,"DETAIL";"DOMESTIC",#N/A,TRUE,"DETAIL";"DOM TRACK",#N/A,TRUE,"DETAIL";#N/A,#N/A,TRUE,"SHOW";#N/A,#N/A,TRUE,"BALANCE";#N/A,#N/A,TRUE,"SHOW BAL"}</definedName>
    <definedName name="___a3" hidden="1">{"'Sheet1'!$L$16"}</definedName>
    <definedName name="___a4" hidden="1">{"'Sheet1'!$L$16"}</definedName>
    <definedName name="___a5" hidden="1">{"'Sheet1'!$L$16"}</definedName>
    <definedName name="___A51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a7" hidden="1">{"'Sheet1'!$L$16"}</definedName>
    <definedName name="___a8" hidden="1">{"'Sheet1'!$L$16"}</definedName>
    <definedName name="___a9" hidden="1">{"'Sheet1'!$L$16"}</definedName>
    <definedName name="___abc1" hidden="1">{"detail",#N/A,FALSE,"mfg";"summary",#N/A,FALSE,"mfg"}</definedName>
    <definedName name="___abc2" hidden="1">{"detail",#N/A,FALSE,"mfg";"summary",#N/A,FALSE,"mfg"}</definedName>
    <definedName name="___age1" hidden="1">{"'Mach'!$A$1:$D$39"}</definedName>
    <definedName name="___AL2" hidden="1">{#N/A,#N/A,FALSE,"Chi tiÆt"}</definedName>
    <definedName name="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201" hidden="1">{#N/A,#N/A,FALSE,"Ocean";#N/A,#N/A,FALSE,"NewYork";#N/A,#N/A,FALSE,"Gateway";#N/A,#N/A,FALSE,"GVH";#N/A,#N/A,FALSE,"GVM";#N/A,#N/A,FALSE,"GVT"}</definedName>
    <definedName name="___bg1" hidden="1">{"TOTAL",#N/A,TRUE,"DETAIL";"COS",#N/A,TRUE,"DETAIL";"DOMESTIC",#N/A,TRUE,"DETAIL";"DOM TRACK",#N/A,TRUE,"DETAIL";#N/A,#N/A,TRUE,"SHOW";#N/A,#N/A,TRUE,"BALANCE";#N/A,#N/A,TRUE,"SHOW BAL"}</definedName>
    <definedName name="___BY329" hidden="1">{#N/A,#N/A,FALSE,"Heading";#N/A,#N/A,FALSE,"Template"}</definedName>
    <definedName name="_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CTS2">#REF!</definedName>
    <definedName name="___D65656">#REF!</definedName>
    <definedName name="___DAT1">#REF!</definedName>
    <definedName name="___DAT12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4">#REF!</definedName>
    <definedName name="___DAT25">#REF!</definedName>
    <definedName name="___DAT3">#REF!</definedName>
    <definedName name="___DAT4">#REF!</definedName>
    <definedName name="___DAT5">#REF!</definedName>
    <definedName name="___DAT6">#REF!</definedName>
    <definedName name="___DAT9">#REF!</definedName>
    <definedName name="___dep08">#REF!</definedName>
    <definedName name="___df567" hidden="1">{"TOTAL",#N/A,TRUE,"DETAIL";"COS",#N/A,TRUE,"DETAIL";"DOMESTIC",#N/A,TRUE,"DETAIL";"DOM TRACK",#N/A,TRUE,"DETAIL";#N/A,#N/A,TRUE,"SHOW";#N/A,#N/A,TRUE,"BALANCE";#N/A,#N/A,TRUE,"SHOW BAL"}</definedName>
    <definedName name="___DGA12" hidden="1">{"DOM",#N/A,FALSE,"A8CONTENT"}</definedName>
    <definedName name="___DIV01">#REF!</definedName>
    <definedName name="___DIV02">#REF!</definedName>
    <definedName name="___DIV31">#REF!</definedName>
    <definedName name="___DIV32">#REF!</definedName>
    <definedName name="___DIV34">#REF!</definedName>
    <definedName name="___DIV38">#REF!</definedName>
    <definedName name="___DIV93">#REF!</definedName>
    <definedName name="___dod1" hidden="1">{#N/A,#N/A,TRUE,"CPRD";#N/A,#N/A,TRUE,"BCCPDR";#N/A,#N/A,TRUE,"EWRD";#N/A,#N/A,TRUE,"5100";#N/A,#N/A,TRUE,"5110"}</definedName>
    <definedName name="___dog1" hidden="1">{#N/A,#N/A,TRUE,"CPRD";#N/A,#N/A,TRUE,"BCCPDR";#N/A,#N/A,TRUE,"EWRD";#N/A,#N/A,TRUE,"5100";#N/A,#N/A,TRUE,"5110"}</definedName>
    <definedName name="___E100" hidden="1">{#N/A,#N/A,FALSE,"OffAdvance";#N/A,#N/A,FALSE,"OffExpRprt";#N/A,#N/A,FALSE,"Entertmnt";#N/A,#N/A,FALSE,"Promotion";#N/A,#N/A,FALSE,"Travelling"}</definedName>
    <definedName name="___E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e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er5" hidden="1">{"TOTAL",#N/A,TRUE,"DETAIL";"COS",#N/A,TRUE,"DETAIL";"DOMESTIC",#N/A,TRUE,"DETAIL";"DOM TRACK",#N/A,TRUE,"DETAIL";#N/A,#N/A,TRUE,"SHOW";#N/A,#N/A,TRUE,"BALANCE";#N/A,#N/A,TRUE,"SHOW BAL"}</definedName>
    <definedName name="___EXP2" hidden="1">{#N/A,#N/A,FALSE,"Aging Summary";#N/A,#N/A,FALSE,"Ratio Analysis";#N/A,#N/A,FALSE,"Test 120 Day Accts";#N/A,#N/A,FALSE,"Tickmarks"}</definedName>
    <definedName name="___f5" hidden="1">{"'Sheet1'!$L$16"}</definedName>
    <definedName name="___FC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_G100">#N/A</definedName>
    <definedName name="___G300" hidden="1">#REF!</definedName>
    <definedName name="___GD10" hidden="1">{#N/A,#N/A,FALSE,"summary"}</definedName>
    <definedName name="___GFD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gh1">#REF!</definedName>
    <definedName name="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INDEX_SHEET___ASAP_Utilities">#REF!</definedName>
    <definedName name="___int1">#REF!</definedName>
    <definedName name="___int2">#REF!</definedName>
    <definedName name="___int3">#REF!</definedName>
    <definedName name="___int4">#REF!</definedName>
    <definedName name="___int5">#REF!</definedName>
    <definedName name="___int6">#REF!</definedName>
    <definedName name="___j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K100" hidden="1">{#N/A,#N/A,FALSE,"Co_BalSht";#N/A,#N/A,FALSE,"Co_IncStmt";#N/A,#N/A,FALSE,"Cons_BalSht";#N/A,#N/A,FALSE,"Cons_IncStmt";#N/A,#N/A,FALSE,"Cashflow"}</definedName>
    <definedName name="___K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KE3" hidden="1">#REF!</definedName>
    <definedName name="___KE5" hidden="1">#REF!</definedName>
    <definedName name="___KE6" hidden="1">#REF!</definedName>
    <definedName name="___KE8" hidden="1">#REF!</definedName>
    <definedName name="___key11" hidden="1">#REF!</definedName>
    <definedName name="___key12" hidden="1">#REF!</definedName>
    <definedName name="___KEY123" hidden="1">#REF!</definedName>
    <definedName name="___key1521" hidden="1">#REF!</definedName>
    <definedName name="___Key2" hidden="1">#REF!</definedName>
    <definedName name="___KEY3" hidden="1">#REF!</definedName>
    <definedName name="___KEY4" hidden="1">#REF!</definedName>
    <definedName name="___KEY5" hidden="1">#REF!</definedName>
    <definedName name="___KEY6" hidden="1">#REF!</definedName>
    <definedName name="___KEY7" hidden="1">#REF!</definedName>
    <definedName name="___key77" hidden="1">#REF!</definedName>
    <definedName name="___key8" hidden="1">#REF!</definedName>
    <definedName name="___KEY90" hidden="1">#REF!</definedName>
    <definedName name="___k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_KY1">#REF!</definedName>
    <definedName name="___L433" hidden="1">{#N/A,#N/A,FALSE,"summary"}</definedName>
    <definedName name="___LF12" hidden="1">#REF!</definedName>
    <definedName name="___Mar07" hidden="1">Main.SAPF4Help()</definedName>
    <definedName name="___Mgt1" hidden="1">{"DENNIS",#N/A,FALSE}</definedName>
    <definedName name="___mnx3" hidden="1">{"TOTAL",#N/A,TRUE,"DETAIL";"COS",#N/A,TRUE,"DETAIL";"DOMESTIC",#N/A,TRUE,"DETAIL";"DOM TRACK",#N/A,TRUE,"DETAIL";#N/A,#N/A,TRUE,"SHOW";#N/A,#N/A,TRUE,"BALANCE";#N/A,#N/A,TRUE,"NET SALE"}</definedName>
    <definedName name="___NEW330" hidden="1">{#N/A,#N/A,FALSE,"Heading";#N/A,#N/A,FALSE,"Template"}</definedName>
    <definedName name="___NSO2" hidden="1">{"'Sheet1'!$L$16"}</definedName>
    <definedName name="___NVX1" hidden="1">{"EXPORT",#N/A,FALSE,"A8CONTENT"}</definedName>
    <definedName name="___P1" hidden="1">{"M.GOH",#N/A,FALSE}</definedName>
    <definedName name="___P100" hidden="1">{#N/A,#N/A,FALSE,"²Ä1­Ó¤ë"}</definedName>
    <definedName name="___P200" hidden="1">{#N/A,#N/A,FALSE,"YTCHAN";#N/A,#N/A,FALSE,"TOMMY";#N/A,#N/A,FALSE,"REP.OFFICE";#N/A,#N/A,FALSE,"E&amp;Y_CONSULTANT";#N/A,#N/A,FALSE,"BT &amp; CIT"}</definedName>
    <definedName name="___P300" hidden="1">{#N/A,#N/A,FALSE,"资产负债表";#N/A,#N/A,FALSE,"资产负债表"}</definedName>
    <definedName name="___P400" hidden="1">{#N/A,#N/A,FALSE,"FREEMAN";#N/A,#N/A,FALSE,"STEPHEN";#N/A,#N/A,FALSE,"VICTOR"}</definedName>
    <definedName name="___P510" hidden="1">{#N/A,#N/A,FALSE,"²Ä1­Ó¤ë"}</definedName>
    <definedName name="___Q1" hidden="1">{"'Sheet1'!$L$16"}</definedName>
    <definedName name="___QQ1" hidden="1">{"EXPORT",#N/A,FALSE,"A8CONTENT"}</definedName>
    <definedName name="___rio3" hidden="1">{#N/A,#N/A,FALSE,"资产负债表";#N/A,#N/A,FALSE,"资产负债表"}</definedName>
    <definedName name="_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sc13">#REF!</definedName>
    <definedName name="___SFD22" hidden="1">{"TOTAL",#N/A,TRUE,"DETAIL";"COS",#N/A,TRUE,"DETAIL";"DOMESTIC",#N/A,TRUE,"DETAIL";"DOM TRACK",#N/A,TRUE,"DETAIL";#N/A,#N/A,TRUE,"SHOW";#N/A,#N/A,TRUE,"BALANCE";#N/A,#N/A,TRUE,"SHOW BAL"}</definedName>
    <definedName name="___SH1">#REF!</definedName>
    <definedName name="___SY1">#REF!</definedName>
    <definedName name="___T01" hidden="1">#REF!</definedName>
    <definedName name="___TBC95" hidden="1">{#N/A,#N/A,FALSE,"Co_BalSht";#N/A,#N/A,FALSE,"Co_IncStmt";#N/A,#N/A,FALSE,"Cons_BalSht";#N/A,#N/A,FALSE,"Cons_IncStmt";#N/A,#N/A,FALSE,"Cashflow"}</definedName>
    <definedName name="___to020831">#REF!</definedName>
    <definedName name="___u1" hidden="1">{"capacity",#N/A,FALSE,"Hefei";"Volume",#N/A,FALSE,"Hefei"}</definedName>
    <definedName name="___u1001" hidden="1">{"capacity",#N/A,FALSE,"Hefei";"Volume",#N/A,FALSE,"Hefei"}</definedName>
    <definedName name="___U232" hidden="1">{#N/A,#N/A,FALSE,"3410599";#N/A,#N/A,FALSE,"34106";#N/A,#N/A,FALSE,"34903";#N/A,#N/A,FALSE,"4450999";#N/A,#N/A,FALSE,"44901"}</definedName>
    <definedName name="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U300">#N/A</definedName>
    <definedName name="___U400" hidden="1">{#N/A,#N/A,FALSE,"Marketing";#N/A,#N/A,FALSE,"Selling";#N/A,#N/A,FALSE,"Promotional";#N/A,#N/A,FALSE,"Advertising"}</definedName>
    <definedName name="___U701" hidden="1">{#N/A,#N/A,FALSE,"资产负债表";#N/A,#N/A,FALSE,"资产负债表"}</definedName>
    <definedName name="___UB1" hidden="1">{"'Feb 99'!$A$1:$G$30"}</definedName>
    <definedName name="___UB2" hidden="1">{"'Feb 99'!$A$1:$G$30"}</definedName>
    <definedName name="_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6">#REF!</definedName>
    <definedName name="___WE2" hidden="1">{"TOTAL",#N/A,TRUE,"DETAIL";"COS",#N/A,TRUE,"DETAIL";"DOMESTIC",#N/A,TRUE,"DETAIL";"DOM TRACK",#N/A,TRUE,"DETAIL";#N/A,#N/A,TRUE,"SHOW";#N/A,#N/A,TRUE,"BALANCE";#N/A,#N/A,TRUE,"SHOW BAL"}</definedName>
    <definedName name="_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_wrn1" hidden="1">{#N/A,#N/A,FALSE,"Co_BalSht";#N/A,#N/A,FALSE,"Co_IncStmt";#N/A,#N/A,FALSE,"Cons_BalSht";#N/A,#N/A,FALSE,"Cons_IncStmt";#N/A,#N/A,FALSE,"Cashflow"}</definedName>
    <definedName name="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wrn21" hidden="1">{"Asset Information",#N/A,FALSE,"Asset Information";"Fixed Lease Cost",#N/A,FALSE,"Asset Information";"Maintenance",#N/A,FALSE,"Asset Information";"Depreciation",#N/A,FALSE,"Asset Information"}</definedName>
    <definedName name="___wrn3" hidden="1">{#N/A,#N/A,FALSE,"Aging Summary";#N/A,#N/A,FALSE,"Ratio Analysis";#N/A,#N/A,FALSE,"Test 120 Day Accts";#N/A,#N/A,FALSE,"Tickmarks"}</definedName>
    <definedName name="_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_wz3">#REF!</definedName>
    <definedName name="___WZ7">#REF!</definedName>
    <definedName name="___WZ8">#REF!</definedName>
    <definedName name="___WZ99">#REF!</definedName>
    <definedName name="___X1" hidden="1">{#N/A,#N/A,FALSE,"AOP vs FORECAST "}</definedName>
    <definedName name="___x2">#REF!</definedName>
    <definedName name="___X4">#REF!</definedName>
    <definedName name="___xlc_DefaultDisplayOption___" hidden="1">"caption"</definedName>
    <definedName name="___xlc_DisplayNullValues___" hidden="1">TRUE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lfn.SUMIFS" hidden="1">#NAME?</definedName>
    <definedName name="___YE1">#REF!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F12" hidden="1">#REF!</definedName>
    <definedName name="__08.10">#REF!</definedName>
    <definedName name="__08.11">#REF!</definedName>
    <definedName name="__08.12">#REF!</definedName>
    <definedName name="__08.8">#REF!</definedName>
    <definedName name="__08.9月">#REF!</definedName>
    <definedName name="__09年度">#REF!</definedName>
    <definedName name="__1">#REF!</definedName>
    <definedName name="__1_余额表_一级_.dbf">#REF!</definedName>
    <definedName name="__123Graph_A" hidden="1">#REF!</definedName>
    <definedName name="__123Graph_ACA_MENS1" hidden="1">#REF!</definedName>
    <definedName name="__123Graph_ACASHFLOW" hidden="1">#N/A</definedName>
    <definedName name="__123gRAPH_achart" hidden="1">#REF!</definedName>
    <definedName name="__123Graph_ACOLLECTIONS" hidden="1">#REF!</definedName>
    <definedName name="__123Graph_ACurrent" hidden="1">#REF!</definedName>
    <definedName name="__123Graph_ACURVE" hidden="1">#REF!</definedName>
    <definedName name="__123Graph_ADRIVER2" hidden="1">#N/A</definedName>
    <definedName name="__123Graph_AEBIT" hidden="1">#REF!</definedName>
    <definedName name="__123Graph_AEV_CATTC" hidden="1">#REF!</definedName>
    <definedName name="__123Graph_AEV_NBMAG" hidden="1">#REF!</definedName>
    <definedName name="__123Graph_AEV_RES" hidden="1">#REF!</definedName>
    <definedName name="__123Graph_AFRAIS" hidden="1">#REF!</definedName>
    <definedName name="__123Graph_AG1" hidden="1">#REF!</definedName>
    <definedName name="__123Graph_AG2" hidden="1">#REF!</definedName>
    <definedName name="__123Graph_AG3" hidden="1">#REF!</definedName>
    <definedName name="__123Graph_AG4" hidden="1">#REF!</definedName>
    <definedName name="__123Graph_AG5" hidden="1">#REF!</definedName>
    <definedName name="__123Graph_AG6" hidden="1">#REF!</definedName>
    <definedName name="__123Graph_AGraph1" hidden="1">#REF!</definedName>
    <definedName name="__123Graph_AINCOME1" hidden="1">#N/A</definedName>
    <definedName name="__123Graph_AINCOME2" hidden="1">#N/A</definedName>
    <definedName name="__123Graph_ANETPROFIT2" hidden="1">#REF!</definedName>
    <definedName name="__123Graph_APAY" hidden="1">#REF!</definedName>
    <definedName name="__123Graph_APROJECT" hidden="1">#REF!</definedName>
    <definedName name="__123Graph_ATRES" hidden="1">#REF!</definedName>
    <definedName name="__123Graph_A現用" hidden="1">#REF!</definedName>
    <definedName name="__123Graph_B" hidden="1">#REF!</definedName>
    <definedName name="__123Graph_BCA_MENS1" hidden="1">#REF!</definedName>
    <definedName name="__123Graph_BCASHFLOW" hidden="1">#N/A</definedName>
    <definedName name="__123Graph_BCOLLECTIONS" hidden="1">#REF!</definedName>
    <definedName name="__123Graph_BCurrent" hidden="1">#REF!</definedName>
    <definedName name="__123Graph_BDRIVER2" hidden="1">#N/A</definedName>
    <definedName name="__123Graph_BEBIT" hidden="1">#REF!</definedName>
    <definedName name="__123Graph_BFRAIS" hidden="1">#REF!</definedName>
    <definedName name="__123Graph_BG1" hidden="1">#REF!</definedName>
    <definedName name="__123Graph_BG2" hidden="1">#REF!</definedName>
    <definedName name="__123Graph_BG3" hidden="1">#REF!</definedName>
    <definedName name="__123Graph_BG4" hidden="1">#REF!</definedName>
    <definedName name="__123Graph_BG5" hidden="1">#REF!</definedName>
    <definedName name="__123Graph_BG6" hidden="1">#REF!</definedName>
    <definedName name="__123Graph_BGraph1" hidden="1">#REF!</definedName>
    <definedName name="__123Graph_BINCOME1" hidden="1">#N/A</definedName>
    <definedName name="__123Graph_BINCOME2" hidden="1">#N/A</definedName>
    <definedName name="__123Graph_BTRES" hidden="1">#REF!</definedName>
    <definedName name="__123Graph_B現用" hidden="1">#REF!</definedName>
    <definedName name="__123Graph_C" hidden="1">#REF!</definedName>
    <definedName name="__123Graph_CFRAIS" hidden="1">#REF!</definedName>
    <definedName name="__123Graph_CG1" hidden="1">#REF!</definedName>
    <definedName name="__123Graph_CG2" hidden="1">#REF!</definedName>
    <definedName name="__123Graph_CG3" hidden="1">#REF!</definedName>
    <definedName name="__123Graph_CG6" hidden="1">#REF!</definedName>
    <definedName name="__123Graph_CGraph1" hidden="1">#REF!</definedName>
    <definedName name="__123Graph_C現用" hidden="1">#REF!</definedName>
    <definedName name="__123Graph_D" hidden="1">#REF!</definedName>
    <definedName name="__123Graph_DFRAIS" hidden="1">#REF!</definedName>
    <definedName name="__123Graph_DGraph1" hidden="1">#REF!</definedName>
    <definedName name="__123Graph_E" hidden="1">#REF!</definedName>
    <definedName name="__123Graph_EFRAIS" hidden="1">#REF!</definedName>
    <definedName name="__123Graph_EGraph1" hidden="1">#REF!</definedName>
    <definedName name="__123Graph_F" hidden="1">#REF!</definedName>
    <definedName name="__123Graph_FFRAIS" hidden="1">#REF!</definedName>
    <definedName name="__123Graph_LBL_A" hidden="1">#REF!</definedName>
    <definedName name="__123Graph_LBL_AEBIT" hidden="1">#REF!</definedName>
    <definedName name="__123Graph_LBL_AEV_CATTC" hidden="1">#REF!</definedName>
    <definedName name="__123Graph_LBL_AEV_NBMAG" hidden="1">#REF!</definedName>
    <definedName name="__123Graph_LBL_AEV_RES" hidden="1">#REF!</definedName>
    <definedName name="__123Graph_LBL_ANETPROFIT2" hidden="1">#REF!</definedName>
    <definedName name="__123Graph_LBL_APROJECT" hidden="1">#REF!</definedName>
    <definedName name="__123Graph_LBL_ATRES" hidden="1">#REF!</definedName>
    <definedName name="__123Graph_LBL_B" hidden="1">#REF!</definedName>
    <definedName name="__123Graph_LBL_BEBIT" hidden="1">#REF!</definedName>
    <definedName name="__123Graph_LBL_BTRES" hidden="1">#REF!</definedName>
    <definedName name="__123Graph_LBL_C" hidden="1">#REF!</definedName>
    <definedName name="__123Graph_X" hidden="1">#REF!</definedName>
    <definedName name="__123Graph_XCA_MENS1" hidden="1">#REF!</definedName>
    <definedName name="__123Graph_XCASHFLOW" hidden="1">#N/A</definedName>
    <definedName name="__123Graph_XCOLLECTIONS" hidden="1">#REF!</definedName>
    <definedName name="__123Graph_XCurrent" hidden="1">#REF!</definedName>
    <definedName name="__123Graph_XCURVE" hidden="1">#REF!</definedName>
    <definedName name="__123Graph_XDRIVER2" hidden="1">#N/A</definedName>
    <definedName name="__123Graph_XEBIT" hidden="1">#REF!</definedName>
    <definedName name="__123Graph_XEV_CATTC" hidden="1">#REF!</definedName>
    <definedName name="__123Graph_XEV_NBMAG" hidden="1">#REF!</definedName>
    <definedName name="__123Graph_XEV_PUB" hidden="1">#REF!</definedName>
    <definedName name="__123Graph_XEV_RES" hidden="1">#REF!</definedName>
    <definedName name="__123Graph_XFRAIS" hidden="1">#REF!</definedName>
    <definedName name="__123Graph_XG1" hidden="1">#REF!</definedName>
    <definedName name="__123Graph_XG2" hidden="1">#REF!</definedName>
    <definedName name="__123Graph_XG3" hidden="1">#REF!</definedName>
    <definedName name="__123Graph_XG4" hidden="1">#REF!</definedName>
    <definedName name="__123Graph_XG5" hidden="1">#REF!</definedName>
    <definedName name="__123Graph_XG6" hidden="1">#REF!</definedName>
    <definedName name="__123Graph_XGraph1" hidden="1">#REF!</definedName>
    <definedName name="__123Graph_XINCOME1" hidden="1">#N/A</definedName>
    <definedName name="__123Graph_XINCOME2" hidden="1">#N/A</definedName>
    <definedName name="__123Graph_XPAY" hidden="1">#REF!</definedName>
    <definedName name="__123Graph_XTRES" hidden="1">#REF!</definedName>
    <definedName name="__123Graph_X現用" hidden="1">#REF!</definedName>
    <definedName name="__16wrn.²Ä1­Ó¤ë1_Ü20¤H." hidden="1">{#N/A,#N/A,FALSE,"²Ä1­Ó¤ë"}</definedName>
    <definedName name="__18德巴金6u_N" hidden="1">{#N/A,#N/A,FALSE,"national";#N/A,#N/A,FALSE,"GZ";#N/A,#N/A,FALSE,"BJ";#N/A,#N/A,FALSE,"SH";#N/A,#N/A,FALSE,"ZJ"}</definedName>
    <definedName name="__1到6月份其他应收款余额表">#REF!</definedName>
    <definedName name="__2__123Graph_ACHART_1" hidden="1">#REF!</definedName>
    <definedName name="__2余额表_一级_.dbf">#REF!</definedName>
    <definedName name="__4__123Graph_BCHART_1" hidden="1">#REF!</definedName>
    <definedName name="__6__123Graph_XCHART_1" hidden="1">#REF!</definedName>
    <definedName name="__8月">#REF!</definedName>
    <definedName name="__a1" hidden="1">{#N/A,#N/A,FALSE,"Pharm";#N/A,#N/A,FALSE,"WWCM"}</definedName>
    <definedName name="__a10" hidden="1">{"'Sheet1'!$L$16"}</definedName>
    <definedName name="__A100" hidden="1">{#N/A,#N/A,FALSE,"Ocean";#N/A,#N/A,FALSE,"NewYork";#N/A,#N/A,FALSE,"Gateway";#N/A,#N/A,FALSE,"GVH";#N/A,#N/A,FALSE,"GVM";#N/A,#N/A,FALSE,"GVT"}</definedName>
    <definedName name="__A100_1" hidden="1">{#N/A,#N/A,FALSE,"Ocean";#N/A,#N/A,FALSE,"NewYork";#N/A,#N/A,FALSE,"Gateway";#N/A,#N/A,FALSE,"GVH";#N/A,#N/A,FALSE,"GVM";#N/A,#N/A,FALSE,"GVT"}</definedName>
    <definedName name="__A1000" hidden="1">{#N/A,#N/A,FALSE,"Ocean";#N/A,#N/A,FALSE,"NewYork";#N/A,#N/A,FALSE,"Gateway";#N/A,#N/A,FALSE,"GVH";#N/A,#N/A,FALSE,"GVM";#N/A,#N/A,FALSE,"GVT"}</definedName>
    <definedName name="__A1000_1" hidden="1">{#N/A,#N/A,FALSE,"Ocean";#N/A,#N/A,FALSE,"NewYork";#N/A,#N/A,FALSE,"Gateway";#N/A,#N/A,FALSE,"GVH";#N/A,#N/A,FALSE,"GVM";#N/A,#N/A,FALSE,"GVT"}</definedName>
    <definedName name="__A100000">#REF!</definedName>
    <definedName name="__A11" hidden="1">{#N/A,#N/A,FALSE,"Umsatz 99";#N/A,#N/A,FALSE,"ER 99 "}</definedName>
    <definedName name="__a12" hidden="1">{"'Sheet1'!$L$16"}</definedName>
    <definedName name="__A2" hidden="1">{"'毛利比较'!$A$4:$P$26"}</definedName>
    <definedName name="__a3" hidden="1">{"'Sheet1'!$L$16"}</definedName>
    <definedName name="__a4" hidden="1">{"'Sheet1'!$L$16"}</definedName>
    <definedName name="__a5" hidden="1">{"'Sheet1'!$L$16"}</definedName>
    <definedName name="__A51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7" hidden="1">{"'Sheet1'!$L$16"}</definedName>
    <definedName name="__A70000">#REF!</definedName>
    <definedName name="__a8" hidden="1">{"'Sheet1'!$L$16"}</definedName>
    <definedName name="__a9" hidden="1">{"'Sheet1'!$L$16"}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s1" hidden="1">{#N/A,#N/A,FALSE,"REPORT"}</definedName>
    <definedName name="__abc" hidden="1">#REF!</definedName>
    <definedName name="__abc1" hidden="1">{"detail",#N/A,FALSE,"mfg";"summary",#N/A,FALSE,"mfg"}</definedName>
    <definedName name="__ABC1_1" hidden="1">{#N/A,#N/A,FALSE,"Co_BalSht";#N/A,#N/A,FALSE,"Co_IncStmt";#N/A,#N/A,FALSE,"Cons_BalSht";#N/A,#N/A,FALSE,"Cons_IncStmt";#N/A,#N/A,FALSE,"Cashflow"}</definedName>
    <definedName name="__abc2" hidden="1">{"detail",#N/A,FALSE,"mfg";"summary",#N/A,FALSE,"mfg"}</definedName>
    <definedName name="__ABC2_1" hidden="1">{#N/A,#N/A,FALSE,"Co_BalSht";#N/A,#N/A,FALSE,"Co_IncStmt";#N/A,#N/A,FALSE,"Cons_BalSht";#N/A,#N/A,FALSE,"Cons_IncStmt";#N/A,#N/A,FALSE,"Cashflow"}</definedName>
    <definedName name="__abc3" hidden="1">{"detail",#N/A,FALSE,"mfg";"summary",#N/A,FALSE,"mfg"}</definedName>
    <definedName name="__ACS2000" hidden="1">{#N/A,#N/A,FALSE,"REPORT"}</definedName>
    <definedName name="__ae2" hidden="1">{"'Inventory &amp; Anal-Cur Wkbk'!$A$7:$AP$71"}</definedName>
    <definedName name="__AL2" hidden="1">{#N/A,#N/A,FALSE,"Chi tiÆt"}</definedName>
    <definedName name="__ap2" hidden="1">{"detail",#N/A,FALSE,"mfg";"summary",#N/A,FALSE,"mfg"}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1__" hidden="1">#REF!</definedName>
    <definedName name="__APW_RESTORE_DATA102__" hidden="1">#REF!</definedName>
    <definedName name="__APW_RESTORE_DATA103__" hidden="1">#REF!</definedName>
    <definedName name="__APW_RESTORE_DATA104__" hidden="1">#REF!</definedName>
    <definedName name="__APW_RESTORE_DATA105__" hidden="1">#REF!</definedName>
    <definedName name="__APW_RESTORE_DATA106__" hidden="1">#REF!</definedName>
    <definedName name="__APW_RESTORE_DATA107__" hidden="1">#REF!</definedName>
    <definedName name="__APW_RESTORE_DATA108__" hidden="1">#REF!</definedName>
    <definedName name="__APW_RESTORE_DATA109__" hidden="1">#REF!</definedName>
    <definedName name="__APW_RESTORE_DATA11__" hidden="1">#REF!</definedName>
    <definedName name="__APW_RESTORE_DATA110__" hidden="1">#REF!</definedName>
    <definedName name="__APW_RESTORE_DATA111__" hidden="1">#REF!</definedName>
    <definedName name="__APW_RESTORE_DATA112__" hidden="1">#REF!</definedName>
    <definedName name="__APW_RESTORE_DATA113__" hidden="1">#REF!</definedName>
    <definedName name="__APW_RESTORE_DATA114__" hidden="1">#REF!</definedName>
    <definedName name="__APW_RESTORE_DATA115__" hidden="1">#REF!</definedName>
    <definedName name="__APW_RESTORE_DATA116__" hidden="1">#REF!</definedName>
    <definedName name="__APW_RESTORE_DATA117__" hidden="1">#REF!</definedName>
    <definedName name="__APW_RESTORE_DATA118__" hidden="1">#REF!</definedName>
    <definedName name="__APW_RESTORE_DATA119__" hidden="1">#REF!</definedName>
    <definedName name="__APW_RESTORE_DATA12__" hidden="1">#REF!</definedName>
    <definedName name="__APW_RESTORE_DATA120__" hidden="1">#REF!</definedName>
    <definedName name="__APW_RESTORE_DATA121__" hidden="1">#REF!</definedName>
    <definedName name="__APW_RESTORE_DATA122__" hidden="1">#REF!</definedName>
    <definedName name="__APW_RESTORE_DATA123__" hidden="1">#REF!</definedName>
    <definedName name="__APW_RESTORE_DATA124__" hidden="1">#REF!</definedName>
    <definedName name="__APW_RESTORE_DATA125__" hidden="1">#REF!</definedName>
    <definedName name="__APW_RESTORE_DATA126__" hidden="1">#REF!</definedName>
    <definedName name="__APW_RESTORE_DATA127__" hidden="1">#REF!</definedName>
    <definedName name="__APW_RESTORE_DATA128__" hidden="1">#REF!</definedName>
    <definedName name="__APW_RESTORE_DATA129__" hidden="1">#REF!</definedName>
    <definedName name="__APW_RESTORE_DATA13__" hidden="1">#REF!</definedName>
    <definedName name="__APW_RESTORE_DATA130__" hidden="1">#REF!</definedName>
    <definedName name="__APW_RESTORE_DATA131__" hidden="1">#REF!</definedName>
    <definedName name="__APW_RESTORE_DATA132__" hidden="1">#REF!</definedName>
    <definedName name="__APW_RESTORE_DATA133__" hidden="1">#REF!</definedName>
    <definedName name="__APW_RESTORE_DATA134__" hidden="1">#REF!</definedName>
    <definedName name="__APW_RESTORE_DATA135__" hidden="1">#REF!</definedName>
    <definedName name="__APW_RESTORE_DATA136__" hidden="1">#REF!</definedName>
    <definedName name="__APW_RESTORE_DATA137__" hidden="1">#REF!</definedName>
    <definedName name="__APW_RESTORE_DATA138__" hidden="1">#REF!</definedName>
    <definedName name="__APW_RESTORE_DATA139__" hidden="1">#REF!</definedName>
    <definedName name="__APW_RESTORE_DATA14__" hidden="1">#REF!</definedName>
    <definedName name="__APW_RESTORE_DATA140__" hidden="1">#REF!</definedName>
    <definedName name="__APW_RESTORE_DATA141__" hidden="1">#REF!</definedName>
    <definedName name="__APW_RESTORE_DATA142__" hidden="1">#REF!</definedName>
    <definedName name="__APW_RESTORE_DATA143__" hidden="1">#REF!</definedName>
    <definedName name="__APW_RESTORE_DATA144__" hidden="1">#REF!</definedName>
    <definedName name="__APW_RESTORE_DATA145__" hidden="1">#REF!</definedName>
    <definedName name="__APW_RESTORE_DATA146__" hidden="1">#REF!</definedName>
    <definedName name="__APW_RESTORE_DATA147__" hidden="1">#REF!</definedName>
    <definedName name="__APW_RESTORE_DATA148__" hidden="1">#REF!</definedName>
    <definedName name="__APW_RESTORE_DATA149__" hidden="1">#REF!</definedName>
    <definedName name="__APW_RESTORE_DATA15__" hidden="1">#REF!</definedName>
    <definedName name="__APW_RESTORE_DATA150__" hidden="1">#REF!</definedName>
    <definedName name="__APW_RESTORE_DATA151__" hidden="1">#REF!</definedName>
    <definedName name="__APW_RESTORE_DATA152__" hidden="1">#REF!</definedName>
    <definedName name="__APW_RESTORE_DATA153__" hidden="1">#REF!</definedName>
    <definedName name="__APW_RESTORE_DATA154__" hidden="1">#REF!</definedName>
    <definedName name="__APW_RESTORE_DATA155__" hidden="1">#REF!</definedName>
    <definedName name="__APW_RESTORE_DATA156__" hidden="1">#REF!</definedName>
    <definedName name="__APW_RESTORE_DATA157__" hidden="1">#REF!</definedName>
    <definedName name="__APW_RESTORE_DATA158__" hidden="1">#REF!</definedName>
    <definedName name="__APW_RESTORE_DATA159__" hidden="1">#REF!</definedName>
    <definedName name="__APW_RESTORE_DATA16__" hidden="1">#REF!</definedName>
    <definedName name="__APW_RESTORE_DATA160__" hidden="1">#REF!</definedName>
    <definedName name="__APW_RESTORE_DATA161__" hidden="1">#REF!</definedName>
    <definedName name="__APW_RESTORE_DATA162__" hidden="1">#REF!</definedName>
    <definedName name="__APW_RESTORE_DATA163__" hidden="1">#REF!</definedName>
    <definedName name="__APW_RESTORE_DATA164__" hidden="1">#REF!</definedName>
    <definedName name="__APW_RESTORE_DATA165__" hidden="1">#REF!</definedName>
    <definedName name="__APW_RESTORE_DATA166__" hidden="1">#REF!</definedName>
    <definedName name="__APW_RESTORE_DATA167__" hidden="1">#REF!</definedName>
    <definedName name="__APW_RESTORE_DATA168__" hidden="1">#REF!</definedName>
    <definedName name="__APW_RESTORE_DATA169__" hidden="1">#REF!</definedName>
    <definedName name="__APW_RESTORE_DATA17__" hidden="1">#REF!</definedName>
    <definedName name="__APW_RESTORE_DATA170__" hidden="1">#REF!</definedName>
    <definedName name="__APW_RESTORE_DATA171__" hidden="1">#REF!</definedName>
    <definedName name="__APW_RESTORE_DATA172__" hidden="1">#REF!</definedName>
    <definedName name="__APW_RESTORE_DATA173__" hidden="1">#REF!</definedName>
    <definedName name="__APW_RESTORE_DATA174__" hidden="1">#REF!</definedName>
    <definedName name="__APW_RESTORE_DATA175__" hidden="1">#REF!</definedName>
    <definedName name="__APW_RESTORE_DATA176__" hidden="1">#REF!</definedName>
    <definedName name="__APW_RESTORE_DATA177__" hidden="1">#REF!</definedName>
    <definedName name="__APW_RESTORE_DATA178__" hidden="1">#REF!</definedName>
    <definedName name="__APW_RESTORE_DATA179__" hidden="1">#REF!</definedName>
    <definedName name="__APW_RESTORE_DATA18__" hidden="1">#REF!</definedName>
    <definedName name="__APW_RESTORE_DATA180__" hidden="1">#REF!</definedName>
    <definedName name="__APW_RESTORE_DATA181__" hidden="1">#REF!</definedName>
    <definedName name="__APW_RESTORE_DATA182__" hidden="1">#REF!</definedName>
    <definedName name="__APW_RESTORE_DATA183__" hidden="1">#REF!</definedName>
    <definedName name="__APW_RESTORE_DATA184__" hidden="1">#REF!</definedName>
    <definedName name="__APW_RESTORE_DATA185__" hidden="1">#REF!</definedName>
    <definedName name="__APW_RESTORE_DATA186__" hidden="1">#REF!</definedName>
    <definedName name="__APW_RESTORE_DATA187__" hidden="1">#REF!</definedName>
    <definedName name="__APW_RESTORE_DATA188__" hidden="1">#REF!</definedName>
    <definedName name="__APW_RESTORE_DATA189__" hidden="1">#REF!</definedName>
    <definedName name="__APW_RESTORE_DATA19__" hidden="1">#REF!</definedName>
    <definedName name="__APW_RESTORE_DATA190__" hidden="1">#REF!</definedName>
    <definedName name="__APW_RESTORE_DATA191__" hidden="1">#REF!</definedName>
    <definedName name="__APW_RESTORE_DATA192__" hidden="1">#REF!</definedName>
    <definedName name="__APW_RESTORE_DATA193__" hidden="1">#REF!</definedName>
    <definedName name="__APW_RESTORE_DATA194__" hidden="1">#REF!</definedName>
    <definedName name="__APW_RESTORE_DATA195__" hidden="1">#REF!</definedName>
    <definedName name="__APW_RESTORE_DATA196__" hidden="1">#REF!</definedName>
    <definedName name="__APW_RESTORE_DATA197__" hidden="1">#REF!</definedName>
    <definedName name="__APW_RESTORE_DATA198__" hidden="1">#REF!</definedName>
    <definedName name="__APW_RESTORE_DATA1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1__" hidden="1">#REF!</definedName>
    <definedName name="__APW_RESTORE_DATA202__" hidden="1">#REF!</definedName>
    <definedName name="__APW_RESTORE_DATA203__" hidden="1">#REF!</definedName>
    <definedName name="__APW_RESTORE_DATA204__" hidden="1">#REF!</definedName>
    <definedName name="__APW_RESTORE_DATA205__" hidden="1">#REF!</definedName>
    <definedName name="__APW_RESTORE_DATA206__" hidden="1">#REF!</definedName>
    <definedName name="__APW_RESTORE_DATA207__" hidden="1">#REF!</definedName>
    <definedName name="__APW_RESTORE_DATA208__" hidden="1">#REF!</definedName>
    <definedName name="__APW_RESTORE_DATA209__" hidden="1">#REF!</definedName>
    <definedName name="__APW_RESTORE_DATA21__" hidden="1">#REF!</definedName>
    <definedName name="__APW_RESTORE_DATA210__" hidden="1">#REF!</definedName>
    <definedName name="__APW_RESTORE_DATA211__" hidden="1">#REF!</definedName>
    <definedName name="__APW_RESTORE_DATA212__" hidden="1">#REF!</definedName>
    <definedName name="__APW_RESTORE_DATA213__" hidden="1">#REF!</definedName>
    <definedName name="__APW_RESTORE_DATA214__" hidden="1">#REF!</definedName>
    <definedName name="__APW_RESTORE_DATA215__" hidden="1">#REF!</definedName>
    <definedName name="__APW_RESTORE_DATA216__" hidden="1">#REF!</definedName>
    <definedName name="__APW_RESTORE_DATA217__" hidden="1">#REF!</definedName>
    <definedName name="__APW_RESTORE_DATA218__" hidden="1">#REF!</definedName>
    <definedName name="__APW_RESTORE_DATA219__" hidden="1">#REF!</definedName>
    <definedName name="__APW_RESTORE_DATA22__" hidden="1">#REF!</definedName>
    <definedName name="__APW_RESTORE_DATA220__" hidden="1">#REF!</definedName>
    <definedName name="__APW_RESTORE_DATA221__" hidden="1">#REF!</definedName>
    <definedName name="__APW_RESTORE_DATA222__" hidden="1">#REF!</definedName>
    <definedName name="__APW_RESTORE_DATA223__" hidden="1">#REF!</definedName>
    <definedName name="__APW_RESTORE_DATA224__" hidden="1">#REF!</definedName>
    <definedName name="__APW_RESTORE_DATA225__" hidden="1">#REF!</definedName>
    <definedName name="__APW_RESTORE_DATA226__" hidden="1">#REF!</definedName>
    <definedName name="__APW_RESTORE_DATA227__" hidden="1">#REF!</definedName>
    <definedName name="__APW_RESTORE_DATA228__" hidden="1">#REF!</definedName>
    <definedName name="__APW_RESTORE_DATA229__" hidden="1">#REF!</definedName>
    <definedName name="__APW_RESTORE_DATA23__" hidden="1">#REF!</definedName>
    <definedName name="__APW_RESTORE_DATA230__" hidden="1">#REF!</definedName>
    <definedName name="__APW_RESTORE_DATA231__" hidden="1">#REF!</definedName>
    <definedName name="__APW_RESTORE_DATA232__" hidden="1">#REF!</definedName>
    <definedName name="__APW_RESTORE_DATA233__" hidden="1">#REF!</definedName>
    <definedName name="__APW_RESTORE_DATA234__" hidden="1">#REF!</definedName>
    <definedName name="__APW_RESTORE_DATA235__" hidden="1">#REF!</definedName>
    <definedName name="__APW_RESTORE_DATA236__" hidden="1">#REF!</definedName>
    <definedName name="__APW_RESTORE_DATA237__" hidden="1">#REF!</definedName>
    <definedName name="__APW_RESTORE_DATA238__" hidden="1">#REF!</definedName>
    <definedName name="__APW_RESTORE_DATA239__" hidden="1">#REF!</definedName>
    <definedName name="__APW_RESTORE_DATA24__" hidden="1">#REF!</definedName>
    <definedName name="__APW_RESTORE_DATA240__" hidden="1">#REF!</definedName>
    <definedName name="__APW_RESTORE_DATA241__" hidden="1">#REF!</definedName>
    <definedName name="__APW_RESTORE_DATA242__" hidden="1">#REF!</definedName>
    <definedName name="__APW_RESTORE_DATA243__" hidden="1">#REF!</definedName>
    <definedName name="__APW_RESTORE_DATA244__" hidden="1">#REF!</definedName>
    <definedName name="__APW_RESTORE_DATA245__" hidden="1">#REF!</definedName>
    <definedName name="__APW_RESTORE_DATA246__" hidden="1">#REF!</definedName>
    <definedName name="__APW_RESTORE_DATA247__" hidden="1">#REF!</definedName>
    <definedName name="__APW_RESTORE_DATA248__" hidden="1">#REF!</definedName>
    <definedName name="__APW_RESTORE_DATA249__" hidden="1">#REF!</definedName>
    <definedName name="__APW_RESTORE_DATA25__" hidden="1">#REF!</definedName>
    <definedName name="__APW_RESTORE_DATA250__" hidden="1">#REF!</definedName>
    <definedName name="__APW_RESTORE_DATA251__" hidden="1">#REF!</definedName>
    <definedName name="__APW_RESTORE_DATA252__" hidden="1">#REF!</definedName>
    <definedName name="__APW_RESTORE_DATA253__" hidden="1">#REF!</definedName>
    <definedName name="__APW_RESTORE_DATA254__" hidden="1">#REF!</definedName>
    <definedName name="__APW_RESTORE_DATA255__" hidden="1">#REF!</definedName>
    <definedName name="__APW_RESTORE_DATA256__" hidden="1">#REF!</definedName>
    <definedName name="__APW_RESTORE_DATA257__" hidden="1">#REF!</definedName>
    <definedName name="__APW_RESTORE_DATA258__" hidden="1">#REF!</definedName>
    <definedName name="__APW_RESTORE_DATA259__" hidden="1">#REF!</definedName>
    <definedName name="__APW_RESTORE_DATA26__" hidden="1">#REF!</definedName>
    <definedName name="__APW_RESTORE_DATA260__" hidden="1">#REF!</definedName>
    <definedName name="__APW_RESTORE_DATA261__" hidden="1">#REF!</definedName>
    <definedName name="__APW_RESTORE_DATA262__" hidden="1">#REF!</definedName>
    <definedName name="__APW_RESTORE_DATA263__" hidden="1">#REF!</definedName>
    <definedName name="__APW_RESTORE_DATA264__" hidden="1">#REF!</definedName>
    <definedName name="__APW_RESTORE_DATA265__" hidden="1">#REF!</definedName>
    <definedName name="__APW_RESTORE_DATA266__" hidden="1">#REF!</definedName>
    <definedName name="__APW_RESTORE_DATA267__" hidden="1">#REF!</definedName>
    <definedName name="__APW_RESTORE_DATA268__" hidden="1">#REF!</definedName>
    <definedName name="__APW_RESTORE_DATA269__" hidden="1">#REF!</definedName>
    <definedName name="__APW_RESTORE_DATA27__" hidden="1">#REF!</definedName>
    <definedName name="__APW_RESTORE_DATA270__" hidden="1">#REF!</definedName>
    <definedName name="__APW_RESTORE_DATA271__" hidden="1">#REF!</definedName>
    <definedName name="__APW_RESTORE_DATA272__" hidden="1">#REF!</definedName>
    <definedName name="__APW_RESTORE_DATA273__" hidden="1">#REF!</definedName>
    <definedName name="__APW_RESTORE_DATA274__" hidden="1">#REF!</definedName>
    <definedName name="__APW_RESTORE_DATA275__" hidden="1">#REF!</definedName>
    <definedName name="__APW_RESTORE_DATA276__" hidden="1">#REF!</definedName>
    <definedName name="__APW_RESTORE_DATA277__" hidden="1">#REF!</definedName>
    <definedName name="__APW_RESTORE_DATA278__" hidden="1">#REF!</definedName>
    <definedName name="__APW_RESTORE_DATA279__" hidden="1">#REF!</definedName>
    <definedName name="__APW_RESTORE_DATA28__" hidden="1">#REF!</definedName>
    <definedName name="__APW_RESTORE_DATA280__" hidden="1">#REF!</definedName>
    <definedName name="__APW_RESTORE_DATA281__" hidden="1">#REF!</definedName>
    <definedName name="__APW_RESTORE_DATA282__" hidden="1">#REF!</definedName>
    <definedName name="__APW_RESTORE_DATA283__" hidden="1">#REF!</definedName>
    <definedName name="__APW_RESTORE_DATA284__" hidden="1">#REF!</definedName>
    <definedName name="__APW_RESTORE_DATA285__" hidden="1">#REF!</definedName>
    <definedName name="__APW_RESTORE_DATA286__" hidden="1">#REF!</definedName>
    <definedName name="__APW_RESTORE_DATA287__" hidden="1">#REF!</definedName>
    <definedName name="__APW_RESTORE_DATA288__" hidden="1">#REF!</definedName>
    <definedName name="__APW_RESTORE_DATA289__" hidden="1">#REF!</definedName>
    <definedName name="__APW_RESTORE_DATA29__" hidden="1">#REF!</definedName>
    <definedName name="__APW_RESTORE_DATA290__" hidden="1">#REF!</definedName>
    <definedName name="__APW_RESTORE_DATA291__" hidden="1">#REF!</definedName>
    <definedName name="__APW_RESTORE_DATA292__" hidden="1">#REF!</definedName>
    <definedName name="__APW_RESTORE_DATA293__" hidden="1">#REF!</definedName>
    <definedName name="__APW_RESTORE_DATA294__" hidden="1">#REF!</definedName>
    <definedName name="__APW_RESTORE_DATA295__" hidden="1">#REF!</definedName>
    <definedName name="__APW_RESTORE_DATA296__" hidden="1">#REF!</definedName>
    <definedName name="__APW_RESTORE_DATA297__" hidden="1">#REF!</definedName>
    <definedName name="__APW_RESTORE_DATA298__" hidden="1">#REF!</definedName>
    <definedName name="__APW_RESTORE_DATA299__" hidden="1">#REF!</definedName>
    <definedName name="__APW_RESTORE_DATA3__" hidden="1">#REF!</definedName>
    <definedName name="__APW_RESTORE_DATA30__" hidden="1">#REF!</definedName>
    <definedName name="__APW_RESTORE_DATA300__" hidden="1">#REF!</definedName>
    <definedName name="__APW_RESTORE_DATA301__" hidden="1">#REF!</definedName>
    <definedName name="__APW_RESTORE_DATA302__" hidden="1">#REF!</definedName>
    <definedName name="__APW_RESTORE_DATA303__" hidden="1">#REF!</definedName>
    <definedName name="__APW_RESTORE_DATA304__" hidden="1">#REF!</definedName>
    <definedName name="__APW_RESTORE_DATA305__" hidden="1">#REF!</definedName>
    <definedName name="__APW_RESTORE_DATA306__" hidden="1">#REF!</definedName>
    <definedName name="__APW_RESTORE_DATA307__" hidden="1">#REF!</definedName>
    <definedName name="__APW_RESTORE_DATA308__" hidden="1">#REF!</definedName>
    <definedName name="__APW_RESTORE_DATA309__" hidden="1">#REF!</definedName>
    <definedName name="__APW_RESTORE_DATA31__" hidden="1">#REF!</definedName>
    <definedName name="__APW_RESTORE_DATA310__" hidden="1">#REF!</definedName>
    <definedName name="__APW_RESTORE_DATA311__" hidden="1">#REF!</definedName>
    <definedName name="__APW_RESTORE_DATA312__" hidden="1">#REF!</definedName>
    <definedName name="__APW_RESTORE_DATA31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1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6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1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6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5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0__" hidden="1">#REF!</definedName>
    <definedName name="__APW_RESTORE_DATA361__" hidden="1">#REF!</definedName>
    <definedName name="__APW_RESTORE_DATA362__" hidden="1">#REF!</definedName>
    <definedName name="__APW_RESTORE_DATA37__" hidden="1">#REF!</definedName>
    <definedName name="__APW_RESTORE_DATA38__" hidden="1">#REF!</definedName>
    <definedName name="__APW_RESTORE_DATA39__" hidden="1">#REF!</definedName>
    <definedName name="__APW_RESTORE_DATA4__" hidden="1">#REF!</definedName>
    <definedName name="__APW_RESTORE_DATA40__" hidden="1">#REF!</definedName>
    <definedName name="__APW_RESTORE_DATA41__" hidden="1">#REF!</definedName>
    <definedName name="__APW_RESTORE_DATA42__" hidden="1">#REF!</definedName>
    <definedName name="__APW_RESTORE_DATA43__" hidden="1">#REF!</definedName>
    <definedName name="__APW_RESTORE_DATA44__" hidden="1">#REF!</definedName>
    <definedName name="__APW_RESTORE_DATA45__" hidden="1">#REF!</definedName>
    <definedName name="__APW_RESTORE_DATA46__" hidden="1">#REF!</definedName>
    <definedName name="__APW_RESTORE_DATA47__" hidden="1">#REF!</definedName>
    <definedName name="__APW_RESTORE_DATA48__" hidden="1">#REF!</definedName>
    <definedName name="__APW_RESTORE_DATA49__" hidden="1">#REF!</definedName>
    <definedName name="__APW_RESTORE_DATA5__" hidden="1">#REF!</definedName>
    <definedName name="__APW_RESTORE_DATA50__" hidden="1">#REF!</definedName>
    <definedName name="__APW_RESTORE_DATA51__" hidden="1">#REF!</definedName>
    <definedName name="__APW_RESTORE_DATA52__" hidden="1">#REF!</definedName>
    <definedName name="__APW_RESTORE_DATA53__" hidden="1">#REF!</definedName>
    <definedName name="__APW_RESTORE_DATA54__" hidden="1">#REF!</definedName>
    <definedName name="__APW_RESTORE_DATA55__" hidden="1">#REF!</definedName>
    <definedName name="__APW_RESTORE_DATA56__" hidden="1">#REF!</definedName>
    <definedName name="__APW_RESTORE_DATA57__" hidden="1">#REF!</definedName>
    <definedName name="__APW_RESTORE_DATA58__" hidden="1">#REF!</definedName>
    <definedName name="__APW_RESTORE_DATA59__" hidden="1">#REF!</definedName>
    <definedName name="__APW_RESTORE_DATA6__" hidden="1">#REF!</definedName>
    <definedName name="__APW_RESTORE_DATA60__" hidden="1">#REF!</definedName>
    <definedName name="__APW_RESTORE_DATA61__" hidden="1">#REF!</definedName>
    <definedName name="__APW_RESTORE_DATA62__" hidden="1">#REF!</definedName>
    <definedName name="__APW_RESTORE_DATA63__" hidden="1">#REF!</definedName>
    <definedName name="__APW_RESTORE_DATA64__" hidden="1">#REF!</definedName>
    <definedName name="__APW_RESTORE_DATA65__" hidden="1">#REF!</definedName>
    <definedName name="__APW_RESTORE_DATA66__" hidden="1">#REF!</definedName>
    <definedName name="__APW_RESTORE_DATA67__" hidden="1">#REF!</definedName>
    <definedName name="__APW_RESTORE_DATA68__" hidden="1">#REF!</definedName>
    <definedName name="__APW_RESTORE_DATA69__" hidden="1">#REF!</definedName>
    <definedName name="__APW_RESTORE_DATA7__" hidden="1">#REF!</definedName>
    <definedName name="__APW_RESTORE_DATA70__" hidden="1">#REF!</definedName>
    <definedName name="__APW_RESTORE_DATA71__" hidden="1">#REF!</definedName>
    <definedName name="__APW_RESTORE_DATA72__" hidden="1">#REF!</definedName>
    <definedName name="__APW_RESTORE_DATA73__" hidden="1">#REF!</definedName>
    <definedName name="__APW_RESTORE_DATA74__" hidden="1">#REF!</definedName>
    <definedName name="__APW_RESTORE_DATA75__" hidden="1">#REF!</definedName>
    <definedName name="__APW_RESTORE_DATA76__" hidden="1">#REF!</definedName>
    <definedName name="__APW_RESTORE_DATA77__" hidden="1">#REF!</definedName>
    <definedName name="__APW_RESTORE_DATA78__" hidden="1">#REF!</definedName>
    <definedName name="__APW_RESTORE_DATA79__" hidden="1">#REF!</definedName>
    <definedName name="__APW_RESTORE_DATA8__" hidden="1">#REF!</definedName>
    <definedName name="__APW_RESTORE_DATA80__" hidden="1">#REF!</definedName>
    <definedName name="__APW_RESTORE_DATA81__" hidden="1">#REF!</definedName>
    <definedName name="__APW_RESTORE_DATA82__" hidden="1">#REF!</definedName>
    <definedName name="__APW_RESTORE_DATA83__" hidden="1">#REF!</definedName>
    <definedName name="__APW_RESTORE_DATA84__" hidden="1">#REF!</definedName>
    <definedName name="__APW_RESTORE_DATA85__" hidden="1">#REF!</definedName>
    <definedName name="__APW_RESTORE_DATA86__" hidden="1">#REF!</definedName>
    <definedName name="__APW_RESTORE_DATA87__" hidden="1">#REF!</definedName>
    <definedName name="__APW_RESTORE_DATA88__" hidden="1">#REF!</definedName>
    <definedName name="__APW_RESTORE_DATA89__" hidden="1">#REF!</definedName>
    <definedName name="__APW_RESTORE_DATA9__" hidden="1">#REF!</definedName>
    <definedName name="__APW_RESTORE_DATA90__" hidden="1">#REF!</definedName>
    <definedName name="__APW_RESTORE_DATA91__" hidden="1">#REF!</definedName>
    <definedName name="__APW_RESTORE_DATA92__" hidden="1">#REF!</definedName>
    <definedName name="__APW_RESTORE_DATA93__" hidden="1">#REF!</definedName>
    <definedName name="__APW_RESTORE_DATA94__" hidden="1">#REF!</definedName>
    <definedName name="__APW_RESTORE_DATA95__" hidden="1">#REF!</definedName>
    <definedName name="__APW_RESTORE_DATA96__" hidden="1">#REF!</definedName>
    <definedName name="__APW_RESTORE_DATA97__" hidden="1">#REF!</definedName>
    <definedName name="__APW_RESTORE_DATA98__" hidden="1">#REF!</definedName>
    <definedName name="__APW_RESTORE_DATA99__" hidden="1">#REF!</definedName>
    <definedName name="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11" hidden="1">{#N/A,#N/A,FALSE,"Pharm";#N/A,#N/A,FALSE,"WWCM"}</definedName>
    <definedName name="__b2" hidden="1">{#N/A,#N/A,FALSE,"Virgin Flightdeck"}</definedName>
    <definedName name="__B201" hidden="1">{#N/A,#N/A,FALSE,"Ocean";#N/A,#N/A,FALSE,"NewYork";#N/A,#N/A,FALSE,"Gateway";#N/A,#N/A,FALSE,"GVH";#N/A,#N/A,FALSE,"GVM";#N/A,#N/A,FALSE,"GVT"}</definedName>
    <definedName name="__B201_1" hidden="1">{#N/A,#N/A,FALSE,"Ocean";#N/A,#N/A,FALSE,"NewYork";#N/A,#N/A,FALSE,"Gateway";#N/A,#N/A,FALSE,"GVH";#N/A,#N/A,FALSE,"GVM";#N/A,#N/A,FALSE,"GVT"}</definedName>
    <definedName name="__B3" hidden="1">{"'Sheet1'!$D$5:$D$6","'Sheet1'!$D$5:$D$6"}</definedName>
    <definedName name="__b4" hidden="1">{"'Sheet1'!$D$5:$D$6","'Sheet1'!$D$5:$D$6"}</definedName>
    <definedName name="__b6" hidden="1">{"'Sheet1'!$D$5:$D$6","'Sheet1'!$D$5:$D$6"}</definedName>
    <definedName name="__b9" hidden="1">{"'Sheet1'!$D$5:$D$6","'Sheet1'!$D$5:$D$6"}</definedName>
    <definedName name="__bookmark_1">#REF!</definedName>
    <definedName name="__BS5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__BT6" hidden="1">{"'Sheet1'!$L$16"}</definedName>
    <definedName name="__BY329" hidden="1">{#N/A,#N/A,FALSE,"Heading";#N/A,#N/A,FALSE,"Template"}</definedName>
    <definedName name="__c" hidden="1">{"Fiesta Facer Page",#N/A,FALSE,"Q_C_S";"Fiesta Main Page",#N/A,FALSE,"V_L";"Fiesta 95BP Struct",#N/A,FALSE,"StructBP";"Fiesta Post 95BP Struct",#N/A,FALSE,"AdjStructBP"}</definedName>
    <definedName name="__cnm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coa2" hidden="1">{"test4 hide",#N/A,FALSE,"Master"}</definedName>
    <definedName name="__ControlBit__" hidden="1">"ENCODE_TgA="</definedName>
    <definedName name="__ControlBit___1" hidden="1">"ENCODE_"</definedName>
    <definedName name="__Convert__" hidden="1">"ENCODE_TgA="</definedName>
    <definedName name="__Convert___1" hidden="1">"ENCODE_"</definedName>
    <definedName name="__CS1" hidden="1">{"'毛利比较'!$A$4:$P$26"}</definedName>
    <definedName name="__CT4" hidden="1">{"'Sheet1'!$L$16"}</definedName>
    <definedName name="__CTS2">#REF!</definedName>
    <definedName name="__CV1" hidden="1">{"'毛利比较'!$A$4:$P$26"}</definedName>
    <definedName name="__D65656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22">#REF!</definedName>
    <definedName name="__DAT23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ep08">#REF!</definedName>
    <definedName name="__DIV01">#REF!</definedName>
    <definedName name="__DIV02">#REF!</definedName>
    <definedName name="__DIV31">#REF!</definedName>
    <definedName name="__DIV32">#REF!</definedName>
    <definedName name="__DIV34">#REF!</definedName>
    <definedName name="__DIV38">#REF!</definedName>
    <definedName name="__DIV93">#REF!</definedName>
    <definedName name="__dod1" hidden="1">{#N/A,#N/A,TRUE,"CPRD";#N/A,#N/A,TRUE,"BCCPDR";#N/A,#N/A,TRUE,"EWRD";#N/A,#N/A,TRUE,"5100";#N/A,#N/A,TRUE,"5110"}</definedName>
    <definedName name="__dog1" hidden="1">{#N/A,#N/A,TRUE,"CPRD";#N/A,#N/A,TRUE,"BCCPDR";#N/A,#N/A,TRUE,"EWRD";#N/A,#N/A,TRUE,"5100";#N/A,#N/A,TRUE,"5110"}</definedName>
    <definedName name="__DSComments" hidden="1">"First draft of QMS (part of the Bid Manager's Pack)"</definedName>
    <definedName name="__DSCreated" hidden="1">" November 8, 1992"</definedName>
    <definedName name="__DSRevision" hidden="1">1</definedName>
    <definedName name="__DSSubject" hidden="1">"Quotation Management Summary"</definedName>
    <definedName name="__DSTitle" hidden="1">"QMS"</definedName>
    <definedName name="__dwa1" hidden="1">{#N/A,"PURCHM",FALSE,"Business Analysis";#N/A,"SPADD",FALSE,"Business Analysis"}</definedName>
    <definedName name="__E100" hidden="1">{#N/A,#N/A,FALSE,"OffAdvance";#N/A,#N/A,FALSE,"OffExpRprt";#N/A,#N/A,FALSE,"Entertmnt";#N/A,#N/A,FALSE,"Promotion";#N/A,#N/A,FALSE,"Travelling"}</definedName>
    <definedName name="__E100_1" hidden="1">{#N/A,#N/A,FALSE,"OffAdvance";#N/A,#N/A,FALSE,"OffExpRprt";#N/A,#N/A,FALSE,"Entertmnt";#N/A,#N/A,FALSE,"Promotion";#N/A,#N/A,FALSE,"Travelling"}</definedName>
    <definedName name="__E100000">#REF!</definedName>
    <definedName name="__E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dFJsKAA" hidden="1">aide</definedName>
    <definedName name="__eu93" hidden="1">{"Comp_of_Price_Effect",#N/A,FALSE,"QTRDPVAR"}</definedName>
    <definedName name="__EXP2" hidden="1">{#N/A,#N/A,FALSE,"Aging Summary";#N/A,#N/A,FALSE,"Ratio Analysis";#N/A,#N/A,FALSE,"Test 120 Day Accts";#N/A,#N/A,FALSE,"Tickmarks"}</definedName>
    <definedName name="__F1" hidden="1">{"'Sheet1'!$L$16"}</definedName>
    <definedName name="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10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5" hidden="1">{"'Sheet1'!$L$16"}</definedName>
    <definedName name="__FC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S_HYPERLINK_TOGGLE_STATE__" hidden="1">"ON"</definedName>
    <definedName name="__FDS_UNIQUE_RANGE_ID_GENERATOR_COUNTER" hidden="1">1</definedName>
    <definedName name="__FDS_USED_FOR_REUSING_RANGE_IDS_RECYCLE" hidden="1">{757,770,761,782,760,758,756,798,717,755,744,719,747,733,739,724,726,642,623,689,671,556,589,648,699,581,703,604,696,636,594,675,697,674,645,593,663,655,702,603,683,634,644,625,561,592,638,627,550,657,607,686,666,577,583,553,705,580,587,684,562,619,635,568,591,662,710,605,646,598,678,559,629,626,569,692,586,555,664,621,803,763,759,781,762,792,765,797,780,771,778,793,777,766,809,783,786,768,731,597,728,752,712,585,620,601,681,653,632,551,564,647,570,695,682,613,579,685,677,628,606,595,708,694,665,588,673,567,698,552,676,700,614,691,563,769,767,784,775,806,801,773,779,794,776,544,736,715,549,742,491,517,518,504,624,578,690,618,557,630,706,658,571,656,639,704,529,510,531,538,522,487,584,672,649,640,565,637,513,502,528,612,582,590,500,785,788,810,790,791,811,787,774,804,800,796,772,799,808,764,795,802,789,805,807,617,721,670,546,611,661,652,576,750,541,534,497,525,516,488,524,494,485,537,512,506,496,532,490,527,499,558,554,631,622,599,572,679,667,493,503,511,509,688,600,615,609,536,498,507,501,643,654,560,602,530}</definedName>
    <definedName name="__FDS_USED_FOR_REUSING_RANGE_IDS_RECYCLE_1" hidden="1">{1018}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GH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r2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__G100">#N/A</definedName>
    <definedName name="__G300" hidden="1">#REF!</definedName>
    <definedName name="__GD10" hidden="1">{#N/A,#N/A,FALSE,"summary"}</definedName>
    <definedName name="__GFD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gh1">#REF!</definedName>
    <definedName name="__h2" hidden="1">{#N/A,#N/A,FALSE,"Virgin Flightdeck"}</definedName>
    <definedName name="__h3" hidden="1">{#N/A,#N/A,FALSE,"Virgin Flightdeck"}</definedName>
    <definedName name="__HOL12">#REF!</definedName>
    <definedName name="__i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IncludeVoucher__" hidden="1">"ENCODE_WQA="</definedName>
    <definedName name="__IncludeVoucher___1" hidden="1">"ENCODE_"</definedName>
    <definedName name="__IncludeVoucher___2" hidden="1">"ENCODE_TgA="</definedName>
    <definedName name="__InRelation__" hidden="1">"ENCODE_"</definedName>
    <definedName name="__int1">#REF!</definedName>
    <definedName name="__int2">#REF!</definedName>
    <definedName name="__int3">#REF!</definedName>
    <definedName name="__int4">#REF!</definedName>
    <definedName name="__int5">#REF!</definedName>
    <definedName name="__int6">#REF!</definedName>
    <definedName name="__IntlFixup">TRUE</definedName>
    <definedName name="__IntlFixupTable" hidden="1">#REF!</definedName>
    <definedName name="__j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jkj1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K100" hidden="1">{#N/A,#N/A,FALSE,"Co_BalSht";#N/A,#N/A,FALSE,"Co_IncStmt";#N/A,#N/A,FALSE,"Cons_BalSht";#N/A,#N/A,FALSE,"Cons_IncStmt";#N/A,#N/A,FALSE,"Cashflow"}</definedName>
    <definedName name="__K100_1" hidden="1">{#N/A,#N/A,FALSE,"Co_BalSht";#N/A,#N/A,FALSE,"Co_IncStmt";#N/A,#N/A,FALSE,"Cons_BalSht";#N/A,#N/A,FALSE,"Cons_IncStmt";#N/A,#N/A,FALSE,"Cashflow"}</definedName>
    <definedName name="__K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KE3" hidden="1">#REF!</definedName>
    <definedName name="__KE5" hidden="1">#REF!</definedName>
    <definedName name="__KE6" hidden="1">#REF!</definedName>
    <definedName name="__KE8" hidden="1">#REF!</definedName>
    <definedName name="__key11" hidden="1">#REF!</definedName>
    <definedName name="__key12" hidden="1">#REF!</definedName>
    <definedName name="__KEY123" hidden="1">#REF!</definedName>
    <definedName name="__key1521" hidden="1">#REF!</definedName>
    <definedName name="__key2" hidden="1">#REF!</definedName>
    <definedName name="__KEY3" hidden="1">#REF!</definedName>
    <definedName name="__KEY4" hidden="1">#REF!</definedName>
    <definedName name="__KEY5" hidden="1">#REF!</definedName>
    <definedName name="__KEY6" hidden="1">#REF!</definedName>
    <definedName name="__KEY7" hidden="1">#REF!</definedName>
    <definedName name="__key77" hidden="1">#REF!</definedName>
    <definedName name="__key8" hidden="1">#REF!</definedName>
    <definedName name="__KEY90" hidden="1">#REF!</definedName>
    <definedName name="__kj2" hidden="1">{#N/A,#N/A,FALSE,"Comptes consolidés en MF";#N/A,#N/A,FALSE,"Chiffre d'affaires";#N/A,#N/A,FALSE," Résultat d'exploitation";#N/A,#N/A,FALSE,"Investissements";#N/A,#N/A,FALSE,"bilan et net";#N/A,#N/A,FALSE,"DETTE";#N/A,#N/A,FALSE,"dividendes";#N/A,#N/A,FALSE,"Impot"}</definedName>
    <definedName name="__KY1">#REF!</definedName>
    <definedName name="__L3" hidden="1">{"'毛利比较'!$A$4:$P$26"}</definedName>
    <definedName name="__LF12" hidden="1">#REF!</definedName>
    <definedName name="__LockDescription__" hidden="1">"ENCODE_"</definedName>
    <definedName name="__LockDescription___1" hidden="1">"ENCODE_"</definedName>
    <definedName name="__LockFormula__" hidden="1">"ENCODE_"</definedName>
    <definedName name="__LockFormula___1" hidden="1">"ENCODE_"</definedName>
    <definedName name="__Mgt1" hidden="1">{"DENNIS",#N/A,FALSE}</definedName>
    <definedName name="__mno9" hidden="1">{"detail",#N/A,FALSE,"mfg";"summary",#N/A,FALSE,"mfg"}</definedName>
    <definedName name="__new1" hidden="1">{#N/A,#N/A,FALSE,"Pharm";#N/A,#N/A,FALSE,"WWCM"}</definedName>
    <definedName name="__new10" hidden="1">{"'B-2 QSER Jun 98 4-27-98 cor'!$A$1:$F$57"}</definedName>
    <definedName name="__new2" hidden="1">{"'B-2 QSER Jun 98 4-27-98 cor'!$A$1:$F$57"}</definedName>
    <definedName name="__NEW330" hidden="1">{#N/A,#N/A,FALSE,"Heading";#N/A,#N/A,FALSE,"Template"}</definedName>
    <definedName name="__new5" hidden="1">{"'B-2 QSER Jun 98 4-27-98 cor'!$A$1:$F$57"}</definedName>
    <definedName name="__NSO2" hidden="1">{"'Sheet1'!$L$16"}</definedName>
    <definedName name="_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_o9" hidden="1">#REF!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P1" hidden="1">{"M.GOH",#N/A,FALSE}</definedName>
    <definedName name="__P100" hidden="1">{#N/A,#N/A,FALSE,"²Ä1­Ó¤ë"}</definedName>
    <definedName name="__P100_1" hidden="1">{#N/A,#N/A,FALSE,"²Ä1­Ó¤ë"}</definedName>
    <definedName name="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10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200" hidden="1">{#N/A,#N/A,FALSE,"YTCHAN";#N/A,#N/A,FALSE,"TOMMY";#N/A,#N/A,FALSE,"REP.OFFICE";#N/A,#N/A,FALSE,"E&amp;Y_CONSULTANT";#N/A,#N/A,FALSE,"BT &amp; CIT"}</definedName>
    <definedName name="__P200_1" hidden="1">{#N/A,#N/A,FALSE,"YTCHAN";#N/A,#N/A,FALSE,"TOMMY";#N/A,#N/A,FALSE,"REP.OFFICE";#N/A,#N/A,FALSE,"E&amp;Y_CONSULTANT";#N/A,#N/A,FALSE,"BT &amp; CIT"}</definedName>
    <definedName name="__P28" hidden="1">12</definedName>
    <definedName name="__P3" hidden="1">15</definedName>
    <definedName name="__P300" hidden="1">{#N/A,#N/A,FALSE,"资产负债表";#N/A,#N/A,FALSE,"资产负债表"}</definedName>
    <definedName name="__P300_1" hidden="1">{#N/A,#N/A,FALSE,"资产负债表";#N/A,#N/A,FALSE,"资产负债表"}</definedName>
    <definedName name="__P400" hidden="1">{#N/A,#N/A,FALSE,"FREEMAN";#N/A,#N/A,FALSE,"STEPHEN";#N/A,#N/A,FALSE,"VICTOR"}</definedName>
    <definedName name="__P400_1" hidden="1">{#N/A,#N/A,FALSE,"FREEMAN";#N/A,#N/A,FALSE,"STEPHEN";#N/A,#N/A,FALSE,"VICTOR"}</definedName>
    <definedName name="__P510" hidden="1">{#N/A,#N/A,FALSE,"²Ä1­Ó¤ë"}</definedName>
    <definedName name="__p68" hidden="1">"5GS12LCFUEAXMVEWPBX0X0GN4"</definedName>
    <definedName name="__P7" hidden="1">{"'毛利比较'!$A$4:$P$26"}</definedName>
    <definedName name="__p9" hidden="1">{"'毛利比较'!$A$4:$P$26"}</definedName>
    <definedName name="__PRN10">#N/A</definedName>
    <definedName name="__PRN2" hidden="1">{"adj95mult",#N/A,FALSE,"COMPCO";"adj95est",#N/A,FALSE,"COMPCO"}</definedName>
    <definedName name="__PRN3">#N/A</definedName>
    <definedName name="__PRN4">#N/A</definedName>
    <definedName name="__Q1" hidden="1">{"'Sheet1'!$L$16"}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Calc__" hidden="1">"ENCODE_TgA="</definedName>
    <definedName name="__rio3" hidden="1">{#N/A,#N/A,FALSE,"资产负债表";#N/A,#N/A,FALSE,"资产负债表"}</definedName>
    <definedName name="__rio3_1" hidden="1">{#N/A,#N/A,FALSE,"资产负债表";#N/A,#N/A,FALSE,"资产负债表"}</definedName>
    <definedName name="__rob2" hidden="1">{"GLI-Income Statement",#N/A,FALSE,"gli";"GLI - Balance Sheet Wksht",#N/A,FALSE,"gli";"GLI-Cash Flow",#N/A,FALSE,"gli";"GLI Qtrly Stats",#N/A,FALSE,"gli"}</definedName>
    <definedName name="__RoundBit__" hidden="1">"ENCODE_MAA="</definedName>
    <definedName name="__RoundBit___1" hidden="1">"ENCODE_"</definedName>
    <definedName name="__RptBeginDate__" hidden="1">"ENCODE_MgAwADAANgAtADEAMAAtADEAMAA="</definedName>
    <definedName name="__RptBeginDate___1" hidden="1">"ENCODE_"</definedName>
    <definedName name="__RptBeginDate___2" hidden="1">"ENCODE_MgAwADAANwAtADAAMQAtADAAOAA="</definedName>
    <definedName name="__RptBeginDate___3" hidden="1">"ENCODE_MgAwADAANwAtADAAMQAtADEAMQA="</definedName>
    <definedName name="__RptCurrency__" hidden="1">"ENCODE_UgBNAEIA"</definedName>
    <definedName name="__RptCurrency___1" hidden="1">"ENCODE_"</definedName>
    <definedName name="__RptEndDate__" hidden="1">"ENCODE_MgAwADAANgAtADEAMAAtADEAMAA="</definedName>
    <definedName name="__RptEndDate___1" hidden="1">"ENCODE_"</definedName>
    <definedName name="__RptEndDate___2" hidden="1">"ENCODE_MgAwADAANwAtADAAMQAtADAAOAA="</definedName>
    <definedName name="__RptEndDate___3" hidden="1">"ENCODE_MgAwADAANwAtADAAMQAtADEAMQA="</definedName>
    <definedName name="__RptEndPeriod__" hidden="1">"ENCODE_MwA="</definedName>
    <definedName name="__RptEndPeriod___1" hidden="1">"ENCODE_MQAyAA=="</definedName>
    <definedName name="__RptGroupCurrency__" hidden="1">"ENCODE_"</definedName>
    <definedName name="__RptPeriod__" hidden="1">"ENCODE_MwA="</definedName>
    <definedName name="__RptPeriod___1" hidden="1">"ENCODE_MQAyAA=="</definedName>
    <definedName name="__RptYear__" hidden="1">"ENCODE_MgAwADAANgA="</definedName>
    <definedName name="__rrr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34" hidden="1">{"'毛利比较'!$A$4:$P$26"}</definedName>
    <definedName name="__sc13">#REF!</definedName>
    <definedName name="__sd34" hidden="1">{"QTD",#N/A,FALSE,"SUM"}</definedName>
    <definedName name="__Sec163">#REF!</definedName>
    <definedName name="__SelfDsn__" hidden="1">"ENCODE_"</definedName>
    <definedName name="__SH1">#REF!</definedName>
    <definedName name="__Sub1">#REF!</definedName>
    <definedName name="__SY1">#REF!</definedName>
    <definedName name="__T01" hidden="1">#REF!</definedName>
    <definedName name="__t1" hidden="1">{"'Sheet1'!$L$16"}</definedName>
    <definedName name="__T4" hidden="1">{"'Sheet1'!$L$16"}</definedName>
    <definedName name="__t5" hidden="1">{"'Sheet1'!$L$16"}</definedName>
    <definedName name="__TBC95" hidden="1">{#N/A,#N/A,FALSE,"Co_BalSht";#N/A,#N/A,FALSE,"Co_IncStmt";#N/A,#N/A,FALSE,"Cons_BalSht";#N/A,#N/A,FALSE,"Cons_IncStmt";#N/A,#N/A,FALSE,"Cashflow"}</definedName>
    <definedName name="__TBC95_1" hidden="1">{#N/A,#N/A,FALSE,"Co_BalSht";#N/A,#N/A,FALSE,"Co_IncStmt";#N/A,#N/A,FALSE,"Cons_BalSht";#N/A,#N/A,FALSE,"Cons_IncStmt";#N/A,#N/A,FALSE,"Cashflow"}</definedName>
    <definedName name="__tm1" hidden="1">{#N/A,#N/A,FALSE,"Pharm";#N/A,#N/A,FALSE,"WWCM"}</definedName>
    <definedName name="__to020831">#REF!</definedName>
    <definedName name="__u1" hidden="1">{"capacity",#N/A,FALSE,"Hefei";"Volume",#N/A,FALSE,"Hefei"}</definedName>
    <definedName name="__u1001" hidden="1">{"capacity",#N/A,FALSE,"Hefei";"Volume",#N/A,FALSE,"Hefei"}</definedName>
    <definedName name="__U232" hidden="1">{#N/A,#N/A,FALSE,"3410599";#N/A,#N/A,FALSE,"34106";#N/A,#N/A,FALSE,"34903";#N/A,#N/A,FALSE,"4450999";#N/A,#N/A,FALSE,"44901"}</definedName>
    <definedName name="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U300">MATCH(0.01,#REF!,-1)+1</definedName>
    <definedName name="__U400" hidden="1">{#N/A,#N/A,FALSE,"Marketing";#N/A,#N/A,FALSE,"Selling";#N/A,#N/A,FALSE,"Promotional";#N/A,#N/A,FALSE,"Advertising"}</definedName>
    <definedName name="__U400_1" hidden="1">{#N/A,#N/A,FALSE,"Marketing";#N/A,#N/A,FALSE,"Selling";#N/A,#N/A,FALSE,"Promotional";#N/A,#N/A,FALSE,"Advertising"}</definedName>
    <definedName name="__U701" hidden="1">{#N/A,#N/A,FALSE,"资产负债表";#N/A,#N/A,FALSE,"资产负债表"}</definedName>
    <definedName name="__U701_1" hidden="1">{#N/A,#N/A,FALSE,"资产负债表";#N/A,#N/A,FALSE,"资产负债表"}</definedName>
    <definedName name="__UB1" hidden="1">{"'Feb 99'!$A$1:$G$30"}</definedName>
    <definedName name="__UB2" hidden="1">{"'Feb 99'!$A$1:$G$30"}</definedName>
    <definedName name="__var3" hidden="1">{"'777'!$A$1:$H$41"}</definedName>
    <definedName name="__VBA__1" hidden="1">"ENCODE_"</definedName>
    <definedName name="__vbn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w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w6">#REF!</definedName>
    <definedName name="__WR1" hidden="1">{"11X17 Cover",#N/A,FALSE,"Cover";"11X17 P&amp;L 1",#N/A,FALSE,"P&amp;L Stmt";"11X17 P&amp;L 2",#N/A,FALSE,"P&amp;L Stmt";"11X17 Summary",#N/A,FALSE,"Summary";"11X17 LaborMGMT",#N/A,FALSE,"Labor";"11X17 Labor OTHER",#N/A,FALSE,"Labor";"11X17 Assets Owned",#N/A,FALSE,"Asset Information";"11X17 Asset Leased",#N/A,FALSE,"Asset Information";"11X17 Assets Facility",#N/A,FALSE,"Asset Information";"11X17 MOE",#N/A,FALSE,"MOE";"11X17 Insurance",#N/A,FALSE,"Insurance";"11X17 Fuel",#N/A,FALSE,"Fuel Tax";"11X17 System",#N/A,FALSE,"Systems";"11X17 Star-up",#N/A,FALSE,"Startup Cost";"11X17 IRR",#N/A,FALSE,"IRR";"11X17 Risk &amp; Opportunities",#N/A,FALSE,"Risk &amp; Opportunities"}</definedName>
    <definedName name="__WR2" hidden="1">{"LD_Cover",#N/A,FALSE,"Cover";"LD_P&amp;L1",#N/A,FALSE,"P&amp;L Stmt";"LD_Summary",#N/A,FALSE,"Summary";"LD_LaborMGMT",#N/A,FALSE,"Labor";"LD_LaborOTHER",#N/A,FALSE,"Labor";"LD_AssetFacility",#N/A,FALSE,"Asset Information";"LD_AssetOwned",#N/A,FALSE,"Asset Information";"LD_AssetLeased",#N/A,FALSE,"Asset Information";"LD_JDE/PSS II",#N/A,FALSE,"Systems";"LD_Insurance",#N/A,FALSE,"Insurance";"LD_Fuel",#N/A,FALSE,"Fuel Tax";"LD_MOE",#N/A,FALSE,"MOE";"LD_IRR",#N/A,FALSE,"IRR";"LD_StartUp",#N/A,FALSE,"Startup Cost";"LD_R&amp;O",#N/A,FALSE,"Risk &amp; Opportunities"}</definedName>
    <definedName name="__wrn2" hidden="1">{#N/A,#N/A,FALSE,"Aging Summary";#N/A,#N/A,FALSE,"Ratio Analysis";#N/A,#N/A,FALSE,"Test 120 Day Accts";#N/A,#N/A,FALSE,"Tickmarks"}</definedName>
    <definedName name="__wrn21" hidden="1">{"Asset Information",#N/A,FALSE,"Asset Information";"Fixed Lease Cost",#N/A,FALSE,"Asset Information";"Maintenance",#N/A,FALSE,"Asset Information";"Depreciation",#N/A,FALSE,"Asset Information"}</definedName>
    <definedName name="__wrn3" hidden="1">{#N/A,#N/A,FALSE,"Aging Summary";#N/A,#N/A,FALSE,"Ratio Analysis";#N/A,#N/A,FALSE,"Test 120 Day Accts";#N/A,#N/A,FALSE,"Tickmarks"}</definedName>
    <definedName name="__wrn4" hidden="1">{"general",#N/A,FALSE,"Assumptions"}</definedName>
    <definedName name="__wrn41" hidden="1">{"All IRR",#N/A,FALSE,"IRR";"All P&amp;L Stmt",#N/A,FALSE,"P&amp;L Stmt";"All Labor",#N/A,FALSE,"Labor";"All Insurance",#N/A,FALSE,"Insurance";"Asset Information",#N/A,FALSE,"Asset Information";"Maintenance",#N/A,FALSE,"Asset Information";"Depreciation",#N/A,FALSE,"Asset Information";"Fixed Lease Cost",#N/A,FALSE,"Asset Information";"All Fuel Tax",#N/A,FALSE,"Fuel Tax";"All MOE",#N/A,FALSE,"MOE"}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COUNTIFS" hidden="1">#NAME?</definedName>
    <definedName name="__xlfn.SUMIFS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y6" hidden="1">#REF!</definedName>
    <definedName name="__YE1">#REF!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F12" hidden="1">#REF!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">#REF!</definedName>
    <definedName name="_000.01.dbf">#REF!</definedName>
    <definedName name="_000.02.dbf">#REF!</definedName>
    <definedName name="_00000">#REF!</definedName>
    <definedName name="_000管理.dbf">#REF!</definedName>
    <definedName name="_002">#REF!</definedName>
    <definedName name="_00202">#REF!</definedName>
    <definedName name="_002021">#REF!</definedName>
    <definedName name="_002年6月收入及成本报表">#REF!</definedName>
    <definedName name="_002年6月制造及辅助生产表">#REF!</definedName>
    <definedName name="_003">#REF!</definedName>
    <definedName name="_004">#REF!</definedName>
    <definedName name="_004.1.9">#REF!</definedName>
    <definedName name="_00412">#REF!</definedName>
    <definedName name="_004year">#REF!</definedName>
    <definedName name="_004年">#REF!</definedName>
    <definedName name="_00510">#REF!</definedName>
    <definedName name="_005101">#REF!</definedName>
    <definedName name="_009">#REF!</definedName>
    <definedName name="_01.dbf">#REF!</definedName>
    <definedName name="_02.dbf">#REF!</definedName>
    <definedName name="_03.dbf">#REF!</definedName>
    <definedName name="_04.dbf">#REF!</definedName>
    <definedName name="_04全年合计">#REF!</definedName>
    <definedName name="_05.dbf">#REF!</definedName>
    <definedName name="_0501">#REF!</definedName>
    <definedName name="_0502">#REF!</definedName>
    <definedName name="_0503">#REF!</definedName>
    <definedName name="_0504">#REF!</definedName>
    <definedName name="_0505">#REF!</definedName>
    <definedName name="_0506">#REF!</definedName>
    <definedName name="_0507">#REF!</definedName>
    <definedName name="_0508">#REF!</definedName>
    <definedName name="_0509">#REF!</definedName>
    <definedName name="_0510">#REF!</definedName>
    <definedName name="_07">#REF!</definedName>
    <definedName name="_08">#REF!</definedName>
    <definedName name="_08.10">#REF!</definedName>
    <definedName name="_08.11">#REF!</definedName>
    <definedName name="_08.12">#REF!</definedName>
    <definedName name="_08.8">#REF!</definedName>
    <definedName name="_08.9月">#REF!</definedName>
    <definedName name="_09年度">#REF!</definedName>
    <definedName name="_1">#REF!</definedName>
    <definedName name="_1.管理费收入20401.xls">#REF!</definedName>
    <definedName name="_1__123Graph_ACA_CUMULES" hidden="1">#REF!</definedName>
    <definedName name="_1__123Graph_ACHART_1" hidden="1">#REF!</definedName>
    <definedName name="_1__123Graph_ACHART_10" hidden="1">#REF!</definedName>
    <definedName name="_1__FDSAUDITLINK__" hidden="1">{"fdsup://directions/FAT Viewer?action=UPDATE&amp;creator=factset&amp;DYN_ARGS=TRUE&amp;DOC_NAME=FAT:FQL_AUDITING_CLIENT_TEMPLATE.FAT&amp;display_string=Audit&amp;VAR:KEY=PSTOBGTOHY&amp;VAR:QUERY=UkdGX0VOVFJQUl9WQUwoQU5OLDAsLCwsLCxOT0FVRElUKQ==&amp;WINDOW=FIRST_POPUP&amp;HEIGHT=450&amp;WIDTH=","450&amp;START_MAXIMIZED=FALSE&amp;VAR:CALENDAR=FIVEDAY&amp;VAR:SYMBOL=B1SM7Z&amp;VAR:INDEX=0"}</definedName>
    <definedName name="_1_08">#REF!</definedName>
    <definedName name="_1_124303_2">#REF!</definedName>
    <definedName name="_1_2003_2004差异">#REF!</definedName>
    <definedName name="_1_固定资产数据库_筛选打印">#REF!</definedName>
    <definedName name="_1_余额表_一级_.dbf">#REF!</definedName>
    <definedName name="_10">#REF!</definedName>
    <definedName name="_10__123Graph_ACHART_111" hidden="1">#REF!</definedName>
    <definedName name="_10__123Graph_ACHART_2" hidden="1">#REF!</definedName>
    <definedName name="_10__123Graph_ACHART_9" hidden="1">#REF!</definedName>
    <definedName name="_10__123Graph_XCHART_2" hidden="1">#REF!</definedName>
    <definedName name="_10__FDSAUDITLINK__" hidden="1">{"fdsup://IBCentral/FAT Viewer?action=UPDATE&amp;creator=factset&amp;DOC_NAME=fat:reuters_annual_source_window.fat&amp;display_string=Audit&amp;DYN_ARGS=TRUE&amp;VAR:ID1=B1MP4H&amp;VAR:RCODE=EBIT&amp;VAR:SDATE=20080399&amp;VAR:FREQ=Y&amp;VAR:RELITEM=RP&amp;VAR:CURRENCY=&amp;VAR:CURRSOURCE=EXSHARE&amp;VAR",":NATFREQ=ANNUAL&amp;VAR:RFIELD=FINALIZED&amp;VAR:DB_TYPE=MONTHLY&amp;VAR:UNITS=NOAUDIT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B66RGZ&amp;VAR:RCODE=STLD&amp;VAR:SDATE=20071299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100schedule">#REF!</definedName>
    <definedName name="_101__FDSAUDITLINK__" hidden="1">{"fdsup://IBCentral/FAT Viewer?action=UPDATE&amp;creator=factset&amp;DOC_NAME=fat:reuters_qtrly_source_window.fat&amp;display_string=Audit&amp;DYN_ARGS=TRUE&amp;VAR:ID1=B1Z81H&amp;VAR:RCODE=LMIN&amp;VAR:SDATE=20071299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01.dbf">#REF!</definedName>
    <definedName name="_101010101.dbf">#REF!</definedName>
    <definedName name="_10101项目明细帐03.10.dbf">#REF!</definedName>
    <definedName name="_101项目明细帐.dbf">#REF!</definedName>
    <definedName name="_102__FDSAUDITLINK__" hidden="1">{"fdsup://IBCentral/FAT Viewer?action=UPDATE&amp;creator=factset&amp;DOC_NAME=fat:reuters_annual_source_window.fat&amp;display_string=Audit&amp;DYN_ARGS=TRUE&amp;VAR:ID1=B66RGZ&amp;VAR:RCODE=STLD&amp;VAR:SDATE=20101299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103__FDSAUDITLINK__" hidden="1">{"fdsup://IBCentral/FAT Viewer?action=UPDATE&amp;creator=factset&amp;DOC_NAME=fat:reuters_annual_source_window.fat&amp;display_string=Audit&amp;DYN_ARGS=TRUE&amp;VAR:ID1=B66RGZ&amp;VAR:RCODE=QTLE&amp;VAR:SDATE=20081299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1040406.dbf">#REF!</definedName>
    <definedName name="_105">#REF!</definedName>
    <definedName name="_10519.dbf">#REF!</definedName>
    <definedName name="_108__FDSAUDITLINK__" hidden="1">{"fdsup://IBCentral/FAT Viewer?action=UPDATE&amp;creator=factset&amp;DOC_NAME=fat:reuters_annual_source_window.fat&amp;display_string=Audit&amp;DYN_ARGS=TRUE&amp;VAR:ID1=B66RGZ&amp;VAR:RCODE=NIBX&amp;VAR:SDATE=20071299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10预付账款_人民币">#REF!</definedName>
    <definedName name="_11">#REF!</definedName>
    <definedName name="_11__123Graph_ACHART_112" hidden="1">#REF!</definedName>
    <definedName name="_11__123Graph_AChart_2G" hidden="1">#REF!</definedName>
    <definedName name="_11__123Graph_BCHART_10" hidden="1">#REF!</definedName>
    <definedName name="_11__123Graph_XCHART_3" hidden="1">#REF!</definedName>
    <definedName name="_11__FDSAUDITLINK__" hidden="1">{"fdsup://IBCentral/FAT Viewer?action=UPDATE&amp;creator=factset&amp;DOC_NAME=fat:reuters_annual_source_window.fat&amp;display_string=Audit&amp;DYN_ARGS=TRUE&amp;VAR:ID1=655933&amp;VAR:RCODE=EIAU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B1Z81H&amp;VAR:RCODE=FEBITDA&amp;VAR:SDATE=20061299&amp;VAR:FREQ=Y&amp;VAR:RELITEM=RP&amp;VAR:CURRENCY=CNY&amp;VAR:CURRSOURCE=EXSHA","RE&amp;VAR:NATFREQ=ANNUAL&amp;VAR:RFIELD=FINALIZED&amp;VAR:DB_TYPE=NR&amp;VAR:UNITS=M&amp;window=popup&amp;width=450&amp;height=300&amp;START_MAXIMIZED=FALSE"}</definedName>
    <definedName name="_1103">#REF!</definedName>
    <definedName name="_11111.dbf">#REF!</definedName>
    <definedName name="_111消耗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4__FDSAUDITLINK__" hidden="1">{"fdsup://IBCentral/FAT Viewer?action=UPDATE&amp;creator=factset&amp;DOC_NAME=fat:reuters_annual_source_window.fat&amp;display_string=Audit&amp;DYN_ARGS=TRUE&amp;VAR:ID1=B66RGZ&amp;VAR:RCODE=QTLE&amp;VAR:SDATE=20091299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B1Z81H&amp;VAR:RCODE=LMIN&amp;VAR:SDATE=20110999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o9_" hidden="1">#REF!</definedName>
    <definedName name="_11U400_" hidden="1">{#N/A,#N/A,FALSE,"Marketing";#N/A,#N/A,FALSE,"Selling";#N/A,#N/A,FALSE,"Promotional";#N/A,#N/A,FALSE,"Advertising"}</definedName>
    <definedName name="_11wrn.²Ä1­Ó¤ë1_Ü20¤H." hidden="1">{#N/A,#N/A,FALSE,"²Ä1­Ó¤ë"}</definedName>
    <definedName name="_11德巴金6u_N" hidden="1">{#N/A,#N/A,FALSE,"national";#N/A,#N/A,FALSE,"GZ";#N/A,#N/A,FALSE,"BJ";#N/A,#N/A,FALSE,"SH";#N/A,#N/A,FALSE,"ZJ"}</definedName>
    <definedName name="_11消耗">#REF!</definedName>
    <definedName name="_12" hidden="1">#REF!</definedName>
    <definedName name="_12__123Graph_AChart_1A" hidden="1">#REF!</definedName>
    <definedName name="_12__123Graph_ACHART_3" hidden="1">#REF!</definedName>
    <definedName name="_12__123Graph_BCHART_11" hidden="1">#REF!</definedName>
    <definedName name="_12__FDSAUDITLINK__" hidden="1">{"fdsup://IBCentral/FAT Viewer?action=UPDATE&amp;creator=factset&amp;DOC_NAME=fat:reuters_annual_source_window.fat&amp;display_string=Audit&amp;DYN_ARGS=TRUE&amp;VAR:ID1=B1MP4H&amp;VAR:RCODE=EBIT&amp;VAR:SDATE=20080399&amp;VAR:FREQ=Y&amp;VAR:RELITEM=RP&amp;VAR:CURRENCY=&amp;VAR:CURRSOURCE=EXSHARE&amp;VAR",":NATFREQ=ANNUAL&amp;VAR:RFIELD=FINALIZED&amp;VAR:DB_TYPE=MONTHLY&amp;VAR:UNITS=NOAUDIT&amp;window=popup&amp;width=450&amp;height=300&amp;START_MAXIMIZED=FALSE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3">#REF!</definedName>
    <definedName name="_1234" hidden="1">#REF!</definedName>
    <definedName name="_123Graph_M" hidden="1">#REF!</definedName>
    <definedName name="_123Graphx" hidden="1">#REF!</definedName>
    <definedName name="_124303_2">#REF!</definedName>
    <definedName name="_128101">#REF!</definedName>
    <definedName name="_12A100_" hidden="1">{#N/A,#N/A,FALSE,"Ocean";#N/A,#N/A,FALSE,"NewYork";#N/A,#N/A,FALSE,"Gateway";#N/A,#N/A,FALSE,"GVH";#N/A,#N/A,FALSE,"GVM";#N/A,#N/A,FALSE,"GVT"}</definedName>
    <definedName name="_12P28_" hidden="1">12</definedName>
    <definedName name="_12wrn.²Ä1­Ó¤ë1_Ü20¤H." hidden="1">{#N/A,#N/A,FALSE,"²Ä1­Ó¤ë"}</definedName>
    <definedName name="_12备">#REF!</definedName>
    <definedName name="_12消耗">#REF!</definedName>
    <definedName name="_13">#REF!</definedName>
    <definedName name="_13__123Graph_ACHART_26" hidden="1">#REF!</definedName>
    <definedName name="_13__123Graph_ACHART_4" hidden="1">#REF!</definedName>
    <definedName name="_13__123Graph_BCHART_12" hidden="1">#REF!</definedName>
    <definedName name="_13__FDSAUDITLINK__" hidden="1">{"fdsup://IBCentral/FAT Viewer?action=UPDATE&amp;creator=factset&amp;DOC_NAME=fat:reuters_annual_source_window.fat&amp;display_string=Audit&amp;DYN_ARGS=TRUE&amp;VAR:ID1=655933&amp;VAR:RCODE=EIAU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01">#REF!</definedName>
    <definedName name="_13303.dbf">#REF!</definedName>
    <definedName name="_137__FDSAUDITLINK__" hidden="1">{"fdsup://IBCentral/FAT Viewer?action=UPDATE&amp;creator=factset&amp;DOC_NAME=fat:reuters_annual_source_window.fat&amp;display_string=Audit&amp;DYN_ARGS=TRUE&amp;VAR:ID1=B1Z81H&amp;VAR:RCODE=FDSREVSTOTAL&amp;VAR:SDATE=20091299&amp;VAR:FREQ=Y&amp;VAR:RELITEM=RP&amp;VAR:CURRENCY=CNY&amp;VAR:CURRSOURCE=","EXSHARE&amp;VAR:NATFREQ=ANNUAL&amp;VAR:RFIELD=FINALIZED&amp;VAR:DB_TYPE=NR&amp;VAR:UNITS=M&amp;window=popup&amp;width=450&amp;height=300&amp;START_MAXIMIZED=FALSE"}</definedName>
    <definedName name="_13P3_" hidden="1">15</definedName>
    <definedName name="_13wrn.²Ä1­Ó¤ë1_Ü20¤H." hidden="1">{#N/A,#N/A,FALSE,"²Ä1­Ó¤ë"}</definedName>
    <definedName name="_13备件">#REF!</definedName>
    <definedName name="_13德巴金6u_N" hidden="1">{#N/A,#N/A,FALSE,"national";#N/A,#N/A,FALSE,"GZ";#N/A,#N/A,FALSE,"BJ";#N/A,#N/A,FALSE,"SH";#N/A,#N/A,FALSE,"ZJ"}</definedName>
    <definedName name="_13消耗">#REF!</definedName>
    <definedName name="_14">#REF!</definedName>
    <definedName name="_14__123Graph_ACHART_29" hidden="1">#REF!</definedName>
    <definedName name="_14__123Graph_ACHART_5" hidden="1">#REF!</definedName>
    <definedName name="_14__123Graph_BCHART_13" hidden="1">#REF!</definedName>
    <definedName name="_14__FDSAUDITLINK__" hidden="1">{"fdsup://IBCentral/FAT Viewer?action=UPDATE&amp;creator=factset&amp;DOC_NAME=fat:reuters_annual_source_window.fat&amp;display_string=Audit&amp;DYN_ARGS=TRUE&amp;VAR:ID1=B1MP4H&amp;VAR:RCODE=EBIT&amp;VAR:SDATE=20080399&amp;VAR:FREQ=Y&amp;VAR:RELITEM=RP&amp;VAR:CURRENCY=&amp;VAR:CURRSOURCE=EXSHARE&amp;VAR",":NATFREQ=ANNUAL&amp;VAR:RFIELD=FINALIZED&amp;VAR:DB_TYPE=MONTHLY&amp;VAR:UNITS=NOAUDIT&amp;window=popup&amp;width=450&amp;height=300&amp;START_MAXIMIZED=FALSE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P1_" hidden="1">{"M.GOH",#N/A,FALSE}</definedName>
    <definedName name="_14P28_" hidden="1">12</definedName>
    <definedName name="_14U400_" hidden="1">{#N/A,#N/A,FALSE,"Marketing";#N/A,#N/A,FALSE,"Selling";#N/A,#N/A,FALSE,"Promotional";#N/A,#N/A,FALSE,"Advertising"}</definedName>
    <definedName name="_15__123Graph_AChart_2A" hidden="1">#REF!</definedName>
    <definedName name="_15__123Graph_ACHART_6" hidden="1">#REF!</definedName>
    <definedName name="_15__123Graph_BCHART_14" hidden="1">#REF!</definedName>
    <definedName name="_15__FDSAUDITLINK__" hidden="1">{"fdsup://IBCentral/FAT Viewer?action=UPDATE&amp;creator=factset&amp;DOC_NAME=fat:reuters_annual_pshs_src_window.fat&amp;display_string=Audit&amp;DYN_ARGS=TRUE&amp;VAR:ID1=333591&amp;VAR:RCODE=FDSEPS&amp;VAR:SDATE=20080399&amp;VAR:FREQ=Y&amp;VAR:RELITEM=RP&amp;VAR:CURRENCY=&amp;VAR:CURRSOURCE=EXSHARE","&amp;VAR:NATFREQ=ANNUAL&amp;VAR:RFIELD=FINALIZED&amp;VAR:DB_TYPE=&amp;VAR:UNITS=M&amp;window=popup&amp;width=450&amp;height=300&amp;START_MAXIMIZED=FALSE"}</definedName>
    <definedName name="_150schedul">#REF!</definedName>
    <definedName name="_151">#REF!</definedName>
    <definedName name="_151.dbf">#REF!</definedName>
    <definedName name="_153.dbf">#REF!</definedName>
    <definedName name="_15A5100_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15P3_" hidden="1">15</definedName>
    <definedName name="_16__123Graph_ACHART_30" hidden="1">#REF!</definedName>
    <definedName name="_16__123Graph_ACHART_7" hidden="1">#REF!</definedName>
    <definedName name="_16__123Graph_BCHART_15" hidden="1">#REF!</definedName>
    <definedName name="_16__FDSAUDITLINK__" hidden="1">{"fdsup://directions/FAT Viewer?action=UPDATE&amp;creator=factSet&amp;DYN_ARGS=true&amp;DOC_NAME=FAT:RGA_ENTRPR_VAL_MV_SOURCE_WINDOW.FAT&amp;VAR:ID1=CNH&amp;VAR:SDATE=20101115&amp;VAR:FDATE=20091231&amp;VAR:FREQ=DAILY&amp;VAR:RELITEM=RF&amp;VAR:CURRENCY=&amp;VAR:DB_TYPE=&amp;VAR:UNITS=M&amp;VAR:SHS_OUT_T","YPE=&amp;window=popup&amp;width=535&amp;height=425&amp;START_MAXIMIZED=FALSE&amp;Y=120&amp;display_string=audit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wrn.²Ä1­Ó¤ë1_Ü20¤H." hidden="1">{#N/A,#N/A,FALSE,"²Ä1­Ó¤ë"}</definedName>
    <definedName name="_17__123Graph_ACHART_8" hidden="1">#REF!</definedName>
    <definedName name="_17__123Graph_AGROSS_MARGINS" hidden="1">#REF!</definedName>
    <definedName name="_17__123Graph_BCHART_16" hidden="1">#REF!</definedName>
    <definedName name="_17__FDSAUDITLINK__" hidden="1">{"fdsup://directions/FAT Viewer?action=UPDATE&amp;creator=factSet&amp;DYN_ARGS=true&amp;DOC_NAME=FAT:RGA_ENTRPR_VAL_MV_SOURCE_WINDOW.FAT&amp;VAR:ID1=CAT&amp;VAR:SDATE=20101115&amp;VAR:FDATE=20091231&amp;VAR:FREQ=DAILY&amp;VAR:RELITEM=RF&amp;VAR:CURRENCY=USD&amp;VAR:DB_TYPE=&amp;VAR:UNITS=M&amp;VAR:SHS_OU","T_TYPE=&amp;window=popup&amp;width=535&amp;height=425&amp;START_MAXIMIZED=FALSE&amp;Y=120&amp;display_string=audit"}</definedName>
    <definedName name="_175Schedul">#REF!</definedName>
    <definedName name="_17B201_" hidden="1">{#N/A,#N/A,FALSE,"Ocean";#N/A,#N/A,FALSE,"NewYork";#N/A,#N/A,FALSE,"Gateway";#N/A,#N/A,FALSE,"GVH";#N/A,#N/A,FALSE,"GVM";#N/A,#N/A,FALSE,"GVT"}</definedName>
    <definedName name="_17y6_" hidden="1">#REF!</definedName>
    <definedName name="_17到224产量">#REF!</definedName>
    <definedName name="_17德巴金6u_N" hidden="1">{#N/A,#N/A,FALSE,"national";#N/A,#N/A,FALSE,"GZ";#N/A,#N/A,FALSE,"BJ";#N/A,#N/A,FALSE,"SH";#N/A,#N/A,FALSE,"ZJ"}</definedName>
    <definedName name="_18__123Graph_ACHART_9" hidden="1">#REF!</definedName>
    <definedName name="_18__123Graph_AGROWTH_REVS_A" hidden="1">#REF!</definedName>
    <definedName name="_18__123Graph_BCHART_17" hidden="1">#REF!</definedName>
    <definedName name="_18__FDSAUDITLINK__" hidden="1">{"fdsup://directions/FAT Viewer?action=UPDATE&amp;creator=factSet&amp;DYN_ARGS=true&amp;DOC_NAME=FAT:RGA_ENTRPR_VAL_MV_SOURCE_WINDOW.FAT&amp;VAR:ID1=CAT&amp;VAR:SDATE=20101115&amp;VAR:FDATE=20091231&amp;VAR:FREQ=DAILY&amp;VAR:RELITEM=RF&amp;VAR:CURRENCY=&amp;VAR:DB_TYPE=&amp;VAR:UNITS=M&amp;VAR:SHS_OUT_T","YPE=&amp;window=popup&amp;width=535&amp;height=425&amp;START_MAXIMIZED=FALSE&amp;Y=120&amp;display_string=audit"}</definedName>
    <definedName name="_1810102.dbf">#REF!</definedName>
    <definedName name="_18104架子">#REF!</definedName>
    <definedName name="_181qt.dbf">#REF!</definedName>
    <definedName name="_181zbdw.dbf">#REF!</definedName>
    <definedName name="_18E11_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18德巴金6u_N" hidden="1">{#N/A,#N/A,FALSE,"national";#N/A,#N/A,FALSE,"GZ";#N/A,#N/A,FALSE,"BJ";#N/A,#N/A,FALSE,"SH";#N/A,#N/A,FALSE,"ZJ"}</definedName>
    <definedName name="_19">#REF!</definedName>
    <definedName name="_19__123Graph_AGROWTH_REVS_B" hidden="1">#REF!</definedName>
    <definedName name="_19__123Graph_BCHART_18" hidden="1">#REF!</definedName>
    <definedName name="_19__123Graph_LBL_ACHART_5" hidden="1">#REF!</definedName>
    <definedName name="_19__FDSAUDITLINK__" hidden="1">{"fdsup://directions/FAT Viewer?action=UPDATE&amp;creator=factSet&amp;DYN_ARGS=true&amp;DOC_NAME=FAT:RGA_ENTRPR_VAL_MV_SOURCE_WINDOW.FAT&amp;VAR:ID1=BUCY&amp;VAR:SDATE=20101115&amp;VAR:FDATE=20091231&amp;VAR:FREQ=DAILY&amp;VAR:RELITEM=RF&amp;VAR:CURRENCY=USD&amp;VAR:DB_TYPE=&amp;VAR:UNITS=M&amp;VAR:SHS_O","UT_TYPE=&amp;window=popup&amp;width=535&amp;height=425&amp;START_MAXIMIZED=FALSE&amp;Y=120&amp;display_string=audit"}</definedName>
    <definedName name="_1901借">#REF!</definedName>
    <definedName name="_19K3_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19y6_" hidden="1">#REF!</definedName>
    <definedName name="_1o9_" hidden="1">#REF!</definedName>
    <definedName name="_1P1_" hidden="1">{"M.GOH",#N/A,FALSE}</definedName>
    <definedName name="_1到6月份其他应收款余额表">#REF!</definedName>
    <definedName name="_1固定资产数据库_筛选打印">#REF!</definedName>
    <definedName name="_1余额表_一级_.dbf">#REF!</definedName>
    <definedName name="_2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2" hidden="1">#REF!</definedName>
    <definedName name="_2__123Graph_BCA_CUMULES" hidden="1">#REF!</definedName>
    <definedName name="_2__FDSAUDITLINK__" hidden="1">{"fdsup://directions/FAT Viewer?action=UPDATE&amp;creator=factset&amp;DYN_ARGS=TRUE&amp;DOC_NAME=FAT:FQL_AUDITING_CLIENT_TEMPLATE.FAT&amp;display_string=Audit&amp;VAR:KEY=GPARWRONSP&amp;VAR:QUERY=RkZfRUJJVChBTk4sLTEsLCxSUCk=&amp;WINDOW=FIRST_POPUP&amp;HEIGHT=450&amp;WIDTH=450&amp;START_MAXIMIZED=","FALSE&amp;VAR:CALENDAR=US&amp;VAR:SYMBOL=240732&amp;VAR:INDEX=0"}</definedName>
    <definedName name="_2_0_0Cwvu.GREY_A" hidden="1">#REF!</definedName>
    <definedName name="_2_128101">#REF!</definedName>
    <definedName name="_2_200311_200411">#REF!</definedName>
    <definedName name="_2_其他资产_开办费除外_明细表">#REF!</definedName>
    <definedName name="_20__123Graph_BCHART_111" hidden="1">#REF!</definedName>
    <definedName name="_20__123Graph_BCHART_8" hidden="1">#REF!</definedName>
    <definedName name="_20__123Graph_LBL_ACHART_6" hidden="1">#REF!</definedName>
    <definedName name="_20__FDSAUDITLINK__" hidden="1">{"fdsup://directions/FAT Viewer?action=UPDATE&amp;creator=factSet&amp;DYN_ARGS=true&amp;DOC_NAME=FAT:RGA_ENTRPR_VAL_MV_SOURCE_WINDOW.FAT&amp;VAR:ID1=BUCY&amp;VAR:SDATE=20101115&amp;VAR:FDATE=20091231&amp;VAR:FREQ=DAILY&amp;VAR:RELITEM=RF&amp;VAR:CURRENCY=&amp;VAR:DB_TYPE=&amp;VAR:UNITS=M&amp;VAR:SHS_OUT_","TYPE=&amp;window=popup&amp;width=535&amp;height=425&amp;START_MAXIMIZED=FALSE&amp;Y=120&amp;display_string=audit"}</definedName>
    <definedName name="_201">#REF!</definedName>
    <definedName name="_2010102.dbf">#REF!</definedName>
    <definedName name="_20101034.dbf">#REF!</definedName>
    <definedName name="_201302">#REF!</definedName>
    <definedName name="_201304">#REF!</definedName>
    <definedName name="_201306">#REF!</definedName>
    <definedName name="_201307">#REF!</definedName>
    <definedName name="_201308">#REF!</definedName>
    <definedName name="_201309">#REF!</definedName>
    <definedName name="_201310">#REF!</definedName>
    <definedName name="_201312">#REF!</definedName>
    <definedName name="_201401">#REF!</definedName>
    <definedName name="_201402">#REF!</definedName>
    <definedName name="_201403">#REF!</definedName>
    <definedName name="_201404">#REF!</definedName>
    <definedName name="_201405">#REF!</definedName>
    <definedName name="_201406">#REF!</definedName>
    <definedName name="_202">#REF!</definedName>
    <definedName name="_2028">#REF!</definedName>
    <definedName name="_206">#REF!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">#REF!</definedName>
    <definedName name="_208">#REF!</definedName>
    <definedName name="_209">#REF!</definedName>
    <definedName name="_21">#REF!</definedName>
    <definedName name="_21__123Graph_BCHART_112" hidden="1">#REF!</definedName>
    <definedName name="_21__123Graph_BCHART_9" hidden="1">#REF!</definedName>
    <definedName name="_21__123Graph_LBL_ACHART_7" hidden="1">#REF!</definedName>
    <definedName name="_21__FDSAUDITLINK__" hidden="1">{"fdsup://directions/FAT Viewer?action=UPDATE&amp;creator=factSet&amp;DYN_ARGS=true&amp;DOC_NAME=FAT:RGA_ENTRPR_VAL_MV_SOURCE_WINDOW.FAT&amp;VAR:ID1=ASTE&amp;VAR:SDATE=20101115&amp;VAR:FDATE=20091231&amp;VAR:FREQ=DAILY&amp;VAR:RELITEM=RF&amp;VAR:CURRENCY=USD&amp;VAR:DB_TYPE=&amp;VAR:UNITS=M&amp;VAR:SHS_O","UT_TYPE=&amp;window=popup&amp;width=535&amp;height=425&amp;START_MAXIMIZED=FALSE&amp;Y=120&amp;display_string=audit"}</definedName>
    <definedName name="_211">#REF!</definedName>
    <definedName name="_2110104.dbf">#REF!</definedName>
    <definedName name="_2110105.dbf">#REF!</definedName>
    <definedName name="_2151">#REF!</definedName>
    <definedName name="_218101单位">#REF!</definedName>
    <definedName name="_21P100_" hidden="1">{#N/A,#N/A,FALSE,"²Ä1­Ó¤ë"}</definedName>
    <definedName name="_22.dbf">#REF!</definedName>
    <definedName name="_22__123Graph_BCHART_26" hidden="1">#REF!</definedName>
    <definedName name="_22__123Graph_CCHART_10" hidden="1">#REF!</definedName>
    <definedName name="_22__123Graph_XCHART_10" hidden="1">#REF!</definedName>
    <definedName name="_22__FDSAUDITLINK__" hidden="1">{"fdsup://directions/FAT Viewer?action=UPDATE&amp;creator=factSet&amp;DYN_ARGS=true&amp;DOC_NAME=FAT:RGA_ENTRPR_VAL_MV_SOURCE_WINDOW.FAT&amp;VAR:ID1=ASTE&amp;VAR:SDATE=20101115&amp;VAR:FDATE=20091231&amp;VAR:FREQ=DAILY&amp;VAR:RELITEM=RF&amp;VAR:CURRENCY=&amp;VAR:DB_TYPE=&amp;VAR:UNITS=M&amp;VAR:SHS_OUT_","TYPE=&amp;window=popup&amp;width=535&amp;height=425&amp;START_MAXIMIZED=FALSE&amp;Y=120&amp;display_string=audit"}</definedName>
    <definedName name="_228">#REF!</definedName>
    <definedName name="_22P200_" hidden="1">{#N/A,#N/A,FALSE,"YTCHAN";#N/A,#N/A,FALSE,"TOMMY";#N/A,#N/A,FALSE,"REP.OFFICE";#N/A,#N/A,FALSE,"E&amp;Y_CONSULTANT";#N/A,#N/A,FALSE,"BT &amp; CIT"}</definedName>
    <definedName name="_23__123Graph_BCHART_29" hidden="1">#REF!</definedName>
    <definedName name="_23__123Graph_CCHART_11" hidden="1">#REF!</definedName>
    <definedName name="_23__123Graph_XCHART_11" hidden="1">#REF!</definedName>
    <definedName name="_234">#REF!</definedName>
    <definedName name="_2345">#REF!</definedName>
    <definedName name="_23456">#REF!</definedName>
    <definedName name="_23P300_" hidden="1">{#N/A,#N/A,FALSE,"资产负债表";#N/A,#N/A,FALSE,"资产负债表"}</definedName>
    <definedName name="_24__123Graph_BGROSS_MARGINS" hidden="1">#REF!</definedName>
    <definedName name="_24__123Graph_CCHART_12" hidden="1">#REF!</definedName>
    <definedName name="_24__123Graph_XCHART_12" hidden="1">#REF!</definedName>
    <definedName name="_24103">#REF!</definedName>
    <definedName name="_2430101.xls">#REF!</definedName>
    <definedName name="_2430101项目明细表03.10.dbf">#REF!</definedName>
    <definedName name="_2430102.dbf">#REF!</definedName>
    <definedName name="_2430102项目明细表03.10.dbf">#REF!</definedName>
    <definedName name="_24P400_" hidden="1">{#N/A,#N/A,FALSE,"FREEMAN";#N/A,#N/A,FALSE,"STEPHEN";#N/A,#N/A,FALSE,"VICTOR"}</definedName>
    <definedName name="_25__123Graph_BGROWTH_REVS_A" hidden="1">#REF!</definedName>
    <definedName name="_25__123Graph_CCHART_13" hidden="1">#REF!</definedName>
    <definedName name="_25__123Graph_XCHART_13" hidden="1">#REF!</definedName>
    <definedName name="_251.dbf">#REF!</definedName>
    <definedName name="_25schedule">#REF!</definedName>
    <definedName name="_26__123Graph_BGROWTH_REVS_B" hidden="1">#REF!</definedName>
    <definedName name="_26__123Graph_CCHART_14" hidden="1">#REF!</definedName>
    <definedName name="_26__123Graph_XCHART_14" hidden="1">#REF!</definedName>
    <definedName name="_27__123Graph_CCHART_111" hidden="1">#REF!</definedName>
    <definedName name="_27__123Graph_CCHART_15" hidden="1">#REF!</definedName>
    <definedName name="_27__123Graph_XCHART_15" hidden="1">#REF!</definedName>
    <definedName name="_28__123Graph_CCHART_112" hidden="1">#REF!</definedName>
    <definedName name="_28__123Graph_CCHART_16" hidden="1">#REF!</definedName>
    <definedName name="_28__123Graph_XCHART_16" hidden="1">#REF!</definedName>
    <definedName name="_29__123Graph_CCHART_17" hidden="1">#REF!</definedName>
    <definedName name="_29__123Graph_CCHART_26" hidden="1">#REF!</definedName>
    <definedName name="_29__123Graph_XCHART_2" hidden="1">#REF!</definedName>
    <definedName name="_29B201_" hidden="1">{#N/A,#N/A,FALSE,"Ocean";#N/A,#N/A,FALSE,"NewYork";#N/A,#N/A,FALSE,"Gateway";#N/A,#N/A,FALSE,"GVH";#N/A,#N/A,FALSE,"GVM";#N/A,#N/A,FALSE,"GVT"}</definedName>
    <definedName name="_2fd2_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2o9_" hidden="1">#REF!</definedName>
    <definedName name="_2年裙房收入.dbf">#REF!</definedName>
    <definedName name="_2应收">#REF!</definedName>
    <definedName name="_2余额表_一级_.dbf">#REF!</definedName>
    <definedName name="_2月余额表">#REF!</definedName>
    <definedName name="_3">#REF!</definedName>
    <definedName name="_3__123Graph_ACHART_11" hidden="1">#REF!</definedName>
    <definedName name="_3__123Graph_ACHART_12" hidden="1">#REF!</definedName>
    <definedName name="_3__123Graph_ACHART_2" hidden="1">#REF!</definedName>
    <definedName name="_3__123Graph_ACHART_3" hidden="1">#REF!</definedName>
    <definedName name="_3__123Graph_XCA_CUMULES" hidden="1">#REF!</definedName>
    <definedName name="_3__FDSAUDITLINK__" hidden="1">{"fdsup://directions/FAT Viewer?action=UPDATE&amp;creator=factset&amp;DYN_ARGS=TRUE&amp;DOC_NAME=FAT:FQL_AUDITING_CLIENT_TEMPLATE.FAT&amp;display_string=Audit&amp;VAR:KEY=JGDCFAVIHC&amp;VAR:QUERY=UkdGX0VOVFJQUl9WQUwoQU5OLDAsLCwsLCxOT0FVRElUKQ==&amp;WINDOW=FIRST_POPUP&amp;HEIGHT=450&amp;WIDTH=","450&amp;START_MAXIMIZED=FALSE&amp;VAR:CALENDAR=FIVEDAY&amp;VAR:SYMBOL=B01Z8S&amp;VAR:INDEX=0"}</definedName>
    <definedName name="_3_余额表_一级_.dbf">#REF!</definedName>
    <definedName name="_30__123Graph_CCHART_18" hidden="1">#REF!</definedName>
    <definedName name="_30__123Graph_CCHART_30" hidden="1">#REF!</definedName>
    <definedName name="_30__123Graph_XChart_2G" hidden="1">#REF!</definedName>
    <definedName name="_302">#REF!</definedName>
    <definedName name="_303">#REF!</definedName>
    <definedName name="_304">#REF!</definedName>
    <definedName name="_308">#REF!</definedName>
    <definedName name="_309">#REF!</definedName>
    <definedName name="_31__123Graph_CCHART_8" hidden="1">#REF!</definedName>
    <definedName name="_31__123Graph_CGROWTH_REVS_A" hidden="1">#REF!</definedName>
    <definedName name="_31__123Graph_XCHART_3" hidden="1">#REF!</definedName>
    <definedName name="_31190">+#REF!+#REF!+#REF!+#REF!+#REF!+#REF!+#REF!+#REF!+#REF!+#REF!+#REF!+#REF!+#REF!+#REF!+#REF!+#REF!+#REF!+#REF!+#REF!+#REF!+#REF!+#REF!+#REF!+#REF!+#REF!+#REF!+#REF!+#REF!</definedName>
    <definedName name="_32__123Graph_CCHART_9" hidden="1">#REF!</definedName>
    <definedName name="_32__123Graph_CGROWTH_REVS_B" hidden="1">#REF!</definedName>
    <definedName name="_32__123Graph_XCHART_4" hidden="1">#REF!</definedName>
    <definedName name="_33__123Graph_DCHART_112" hidden="1">#REF!</definedName>
    <definedName name="_33__123Graph_LBL_ACHART_10" hidden="1">#REF!</definedName>
    <definedName name="_33__123Graph_XCHART_5" hidden="1">#REF!</definedName>
    <definedName name="_333.dbf">#REF!</definedName>
    <definedName name="_333K" hidden="1">#REF!</definedName>
    <definedName name="_33U701_" hidden="1">{#N/A,#N/A,FALSE,"资产负债表";#N/A,#N/A,FALSE,"资产负债表"}</definedName>
    <definedName name="_34__123Graph_DGROWTH_REVS_A" hidden="1">#REF!</definedName>
    <definedName name="_34__123Graph_LBL_ACHART_11" hidden="1">#REF!</definedName>
    <definedName name="_34__123Graph_XCHART_6" hidden="1">#REF!</definedName>
    <definedName name="_34BS5_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_34wrn.²Ä1­Ó¤ë1_Ü20¤H." hidden="1">{#N/A,#N/A,FALSE,"²Ä1­Ó¤ë"}</definedName>
    <definedName name="_35__123Graph_DGROWTH_REVS_B" hidden="1">#REF!</definedName>
    <definedName name="_35__123Graph_LBL_ACHART_12" hidden="1">#REF!</definedName>
    <definedName name="_35__123Graph_XCHART_7" hidden="1">#REF!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LBL_ACHART_13" hidden="1">#REF!</definedName>
    <definedName name="_36__123Graph_XCHART_112" hidden="1">#REF!</definedName>
    <definedName name="_36__123Graph_XCHART_8" hidden="1">#REF!</definedName>
    <definedName name="_37__123Graph_LBL_ACHART_14" hidden="1">#REF!</definedName>
    <definedName name="_37__123Graph_XChart_1A" hidden="1">#REF!</definedName>
    <definedName name="_37__123Graph_XCHART_9" hidden="1">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8__123Graph_LBL_ACHART_15" hidden="1">#REF!</definedName>
    <definedName name="_38__123Graph_XChart_2A" hidden="1">#REF!</definedName>
    <definedName name="_38wrn.²Ä1­Ó¤ë1_Ü20¤H." hidden="1">{#N/A,#N/A,FALSE,"²Ä1­Ó¤ë"}</definedName>
    <definedName name="_39__123Graph_LBL_ACHART_16" hidden="1">#REF!</definedName>
    <definedName name="_39__123Graph_XCHART_30" hidden="1">#REF!</definedName>
    <definedName name="_3E100_" hidden="1">{#N/A,#N/A,FALSE,"OffAdvance";#N/A,#N/A,FALSE,"OffExpRprt";#N/A,#N/A,FALSE,"Entertmnt";#N/A,#N/A,FALSE,"Promotion";#N/A,#N/A,FALSE,"Travelling"}</definedName>
    <definedName name="_3fd2_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3item">#REF!</definedName>
    <definedName name="_3o9_" hidden="1">#REF!</definedName>
    <definedName name="_3P28_" hidden="1">12</definedName>
    <definedName name="_3wrn.²Ä1­Ó¤ë1_Ü20¤H." hidden="1">{#N/A,#N/A,FALSE,"²Ä1­Ó¤ë"}</definedName>
    <definedName name="_3出库">#REF!</definedName>
    <definedName name="_3其他应付款_单位_.dbf">#REF!</definedName>
    <definedName name="_3月份">#REF!</definedName>
    <definedName name="_4">#REF!</definedName>
    <definedName name="_4__123Graph_ACHART_12" hidden="1">#REF!</definedName>
    <definedName name="_4__123Graph_ACHART_13" hidden="1">#REF!</definedName>
    <definedName name="_4__123Graph_BCHART_1" hidden="1">#REF!</definedName>
    <definedName name="_4__FDSAUDITLINK__" hidden="1">{"fdsup://IBCentral/FAT Viewer?action=UPDATE&amp;creator=factset&amp;DOC_NAME=fat:reuters_annual_source_window.fat&amp;display_string=Audit&amp;DYN_ARGS=TRUE&amp;VAR:ID1=B1MP4H&amp;VAR:RCODE=EBIT&amp;VAR:SDATE=20080399&amp;VAR:FREQ=Y&amp;VAR:RELITEM=RP&amp;VAR:CURRENCY=&amp;VAR:CURRSOURCE=EXSHARE&amp;VAR",":NATFREQ=ANNUAL&amp;VAR:RFIELD=FINALIZED&amp;VAR:DB_TYPE=MONTHLY&amp;VAR:UNITS=NOAUDIT&amp;window=popup&amp;width=450&amp;height=300&amp;START_MAXIMIZED=FALSE"}</definedName>
    <definedName name="_40__123Graph_LBL_ACHART_17" hidden="1">#REF!</definedName>
    <definedName name="_407出库">#REF!</definedName>
    <definedName name="_41__123Graph_LBL_ACHART_18" hidden="1">#REF!</definedName>
    <definedName name="_413">#REF!</definedName>
    <definedName name="_414">#REF!</definedName>
    <definedName name="_415">#REF!</definedName>
    <definedName name="_416">#REF!</definedName>
    <definedName name="_417">#REF!</definedName>
    <definedName name="_418">#REF!</definedName>
    <definedName name="_419">#REF!</definedName>
    <definedName name="_42__123Graph_LBL_ACHART_8" hidden="1">#REF!</definedName>
    <definedName name="_42wrn.²Ä1­Ó¤ë1_Ü20¤H." hidden="1">{#N/A,#N/A,FALSE,"²Ä1­Ó¤ë"}</definedName>
    <definedName name="_43__123Graph_LBL_ACHART_9" hidden="1">#REF!</definedName>
    <definedName name="_44__123Graph_LBL_BCHART_10" hidden="1">#REF!</definedName>
    <definedName name="_45__123Graph_LBL_BCHART_11" hidden="1">#REF!</definedName>
    <definedName name="_4564">#REF!</definedName>
    <definedName name="_46__123Graph_LBL_BCHART_12" hidden="1">#REF!</definedName>
    <definedName name="_46_0_S" hidden="1">#REF!</definedName>
    <definedName name="_47__123Graph_LBL_BCHART_13" hidden="1">#REF!</definedName>
    <definedName name="_47_0_S" hidden="1">#REF!</definedName>
    <definedName name="_47BS5_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_48__123Graph_LBL_BCHART_14" hidden="1">#REF!</definedName>
    <definedName name="_48_0_S" hidden="1">#REF!</definedName>
    <definedName name="_49__123Graph_LBL_BCHART_15" hidden="1">#REF!</definedName>
    <definedName name="_4E100_" hidden="1">{#N/A,#N/A,FALSE,"OffAdvance";#N/A,#N/A,FALSE,"OffExpRprt";#N/A,#N/A,FALSE,"Entertmnt";#N/A,#N/A,FALSE,"Promotion";#N/A,#N/A,FALSE,"Travelling"}</definedName>
    <definedName name="_4fd2_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4P28_" hidden="1">12</definedName>
    <definedName name="_4P3_" hidden="1">15</definedName>
    <definedName name="_4德巴金6u_N" hidden="1">{#N/A,#N/A,FALSE,"national";#N/A,#N/A,FALSE,"GZ";#N/A,#N/A,FALSE,"BJ";#N/A,#N/A,FALSE,"SH";#N/A,#N/A,FALSE,"ZJ"}</definedName>
    <definedName name="_4年12月份入库">#REF!</definedName>
    <definedName name="_4其他应收款_单位_.dbf">#REF!</definedName>
    <definedName name="_4日包装">#REF!</definedName>
    <definedName name="_5">#REF!</definedName>
    <definedName name="_5__123Graph_ACHART_13" hidden="1">#REF!</definedName>
    <definedName name="_5__123Graph_ACHART_14" hidden="1">#REF!</definedName>
    <definedName name="_5__123Graph_BCHART_2" hidden="1">#REF!</definedName>
    <definedName name="_5__123Graph_CCHART_1" hidden="1">#REF!</definedName>
    <definedName name="_5__FDSAUDITLINK__" hidden="1">{"fdsup://IBCentral/FAT Viewer?action=UPDATE&amp;creator=factset&amp;DOC_NAME=fat:reuters_annual_source_window.fat&amp;display_string=Audit&amp;DYN_ARGS=TRUE&amp;VAR:ID1=667262&amp;VAR:RCODE=SCEX&amp;VAR:SDATE=20080699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31返還">#REF!</definedName>
    <definedName name="_50__123Graph_LBL_BCHART_16" hidden="1">#REF!</definedName>
    <definedName name="_50109">#REF!</definedName>
    <definedName name="_50201.dbf">#REF!</definedName>
    <definedName name="_506">#REF!</definedName>
    <definedName name="_50schedule">#REF!</definedName>
    <definedName name="_51__123Graph_LBL_BCHART_17" hidden="1">#REF!</definedName>
    <definedName name="_5104">#REF!</definedName>
    <definedName name="_510402">#REF!</definedName>
    <definedName name="_5104搬场公司">#REF!</definedName>
    <definedName name="_5104日升">#REF!</definedName>
    <definedName name="_5104上港">#REF!</definedName>
    <definedName name="_5104胜捷">#REF!</definedName>
    <definedName name="_51出租信息服务">#REF!</definedName>
    <definedName name="_51古华车队">#REF!</definedName>
    <definedName name="_51广西海博出租">#REF!</definedName>
    <definedName name="_51海博物流投资">#REF!</definedName>
    <definedName name="_51旧机动车">#REF!</definedName>
    <definedName name="_51浚航">#REF!</definedName>
    <definedName name="_51流动修理公司">#REF!</definedName>
    <definedName name="_51南浦公司">#REF!</definedName>
    <definedName name="_51农工商搬场公司">#REF!</definedName>
    <definedName name="_51农垦医院">#REF!</definedName>
    <definedName name="_51汽车俱乐部">#REF!</definedName>
    <definedName name="_51汽销公司">#REF!</definedName>
    <definedName name="_51汽修二厂">#REF!</definedName>
    <definedName name="_51汽修四厂">#REF!</definedName>
    <definedName name="_51汽修一厂">#REF!</definedName>
    <definedName name="_51日升车队">#REF!</definedName>
    <definedName name="_51太仓">#REF!</definedName>
    <definedName name="_51外贸三联">#REF!</definedName>
    <definedName name="_51希望公司">#REF!</definedName>
    <definedName name="_51新博汽修厂">#REF!</definedName>
    <definedName name="_51众望公司">#REF!</definedName>
    <definedName name="_52">#REF!</definedName>
    <definedName name="_52__123Graph_LBL_BCHART_18" hidden="1">#REF!</definedName>
    <definedName name="_53__123Graph_LBL_BCHART_8" hidden="1">#REF!</definedName>
    <definedName name="_54__123Graph_LBL_BCHART_9" hidden="1">#REF!</definedName>
    <definedName name="_55">#REF!</definedName>
    <definedName name="_55__123Graph_LBL_CCHART_10" hidden="1">#REF!</definedName>
    <definedName name="_55_0_Table2_" hidden="1">#REF!</definedName>
    <definedName name="_55154">#REF!</definedName>
    <definedName name="_56">#REF!</definedName>
    <definedName name="_56__123Graph_LBL_CCHART_11" hidden="1">#REF!</definedName>
    <definedName name="_56_0_Table2_" hidden="1">#REF!</definedName>
    <definedName name="_56月">#REF!</definedName>
    <definedName name="_57__123Graph_LBL_CCHART_12" hidden="1">#REF!</definedName>
    <definedName name="_57_0_Table2_" hidden="1">#REF!</definedName>
    <definedName name="_57wrn.²Ä1­Ó¤ë1_Ü20¤H." hidden="1">{#N/A,#N/A,FALSE,"²Ä1­Ó¤ë"}</definedName>
    <definedName name="_58__123Graph_LBL_CCHART_13" hidden="1">#REF!</definedName>
    <definedName name="_59">#REF!</definedName>
    <definedName name="_59__123Graph_LBL_CCHART_14" hidden="1">#REF!</definedName>
    <definedName name="_5IS04_" hidden="1">{"M1Print",#N/A,FALSE,"M1"}</definedName>
    <definedName name="_5item">#REF!</definedName>
    <definedName name="_5P3_" hidden="1">15</definedName>
    <definedName name="_5y6_" hidden="1">#REF!</definedName>
    <definedName name="_5年10月到12月收发存">#REF!</definedName>
    <definedName name="_5其他应收款_个人">#REF!</definedName>
    <definedName name="_6">#REF!</definedName>
    <definedName name="_6__123Graph_ACHART_14" hidden="1">#REF!</definedName>
    <definedName name="_6__123Graph_ACHART_15" hidden="1">#REF!</definedName>
    <definedName name="_6__123Graph_DCHART_1" hidden="1">#REF!</definedName>
    <definedName name="_6__123Graph_XCHART_1" hidden="1">#REF!</definedName>
    <definedName name="_6__FDSAUDITLINK__" hidden="1">{"fdsup://IBCentral/FAT Viewer?action=UPDATE&amp;creator=factset&amp;DOC_NAME=fat:reuters_annual_source_window.fat&amp;display_string=Audit&amp;DYN_ARGS=TRUE&amp;VAR:ID1=B12LR5&amp;VAR:RCODE=SALES&amp;VAR:SDATE=20081299&amp;VAR:FREQ=Y&amp;VAR:RELITEM=RP&amp;VAR:CURRENCY=MONTHLY&amp;VAR:CURRSOURCE=EXS","HARE&amp;VAR:NATFREQ=ANNUAL&amp;VAR:RFIELD=FINALIZED&amp;VAR:DB_TYPE=&amp;VAR:UNITS=M&amp;window=popup&amp;width=450&amp;height=300&amp;START_MAXIMIZED=FALSE"}</definedName>
    <definedName name="_60__123Graph_LBL_CCHART_15" hidden="1">#REF!</definedName>
    <definedName name="_600T余额表">#REF!</definedName>
    <definedName name="_600吨现存量">#REF!</definedName>
    <definedName name="_60301.dbf">#REF!</definedName>
    <definedName name="_60303.dbf">#REF!</definedName>
    <definedName name="_60T余额表">#REF!</definedName>
    <definedName name="_61__123Graph_LBL_CCHART_16" hidden="1">#REF!</definedName>
    <definedName name="_62__123Graph_LBL_CCHART_17" hidden="1">#REF!</definedName>
    <definedName name="_63__123Graph_LBL_CCHART_18" hidden="1">#REF!</definedName>
    <definedName name="_64__123Graph_LBL_CCHART_8" hidden="1">#REF!</definedName>
    <definedName name="_64_0_Table2_" hidden="1">#REF!</definedName>
    <definedName name="_65__123Graph_LBL_CCHART_9" hidden="1">#REF!</definedName>
    <definedName name="_65_0_Table2_" hidden="1">#REF!</definedName>
    <definedName name="_66_0_Table2_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Q1_" hidden="1">{"'Sheet1'!$L$16"}</definedName>
    <definedName name="_6y6_" hidden="1">#REF!</definedName>
    <definedName name="_6其他应收款_人民币">#REF!</definedName>
    <definedName name="_7__123Graph_ACHART_15" hidden="1">#REF!</definedName>
    <definedName name="_7__123Graph_ACHART_16" hidden="1">#REF!</definedName>
    <definedName name="_7__123Graph_ECHART_1" hidden="1">#REF!</definedName>
    <definedName name="_7__FDSAUDITLINK__" hidden="1">{"fdsup://IBCentral/FAT Viewer?action=UPDATE&amp;creator=factset&amp;DOC_NAME=fat:reuters_annual_source_window.fat&amp;display_string=Audit&amp;DYN_ARGS=TRUE&amp;VAR:ID1=655933&amp;VAR:RCODE=EIAU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7_0_Table2_" hidden="1">#REF!</definedName>
    <definedName name="_75schedul">#REF!</definedName>
    <definedName name="_7o9_" hidden="1">#REF!</definedName>
    <definedName name="_7其他应收款_外币">#REF!</definedName>
    <definedName name="_7日产成品入库">#REF!</definedName>
    <definedName name="_8">#REF!</definedName>
    <definedName name="_8__123Graph_ACHART_16" hidden="1">#REF!</definedName>
    <definedName name="_8__123Graph_ACHART_17" hidden="1">#REF!</definedName>
    <definedName name="_8__123Graph_FCHART_1" hidden="1">#REF!</definedName>
    <definedName name="_8__FDSAUDITLINK__" hidden="1">{"fdsup://IBCentral/FAT Viewer?action=UPDATE&amp;creator=factset&amp;DOC_NAME=fat:reuters_annual_source_window.fat&amp;display_string=Audit&amp;DYN_ARGS=TRUE&amp;VAR:ID1=B1MP4H&amp;VAR:RCODE=EBIT&amp;VAR:SDATE=20080399&amp;VAR:FREQ=Y&amp;VAR:RELITEM=RP&amp;VAR:CURRENCY=&amp;VAR:CURRSOURCE=EXSHARE&amp;VAR",":NATFREQ=ANNUAL&amp;VAR:RFIELD=FINALIZED&amp;VAR:DB_TYPE=MONTHLY&amp;VAR:UNITS=NOAUDIT&amp;window=popup&amp;width=450&amp;height=300&amp;START_MAXIMIZED=FALSE"}</definedName>
    <definedName name="_8_0_Table2_" hidden="1">#REF!</definedName>
    <definedName name="_80__FDSAUDITLINK__" hidden="1">{"fdsup://IBCentral/FAT Viewer?action=UPDATE&amp;creator=factset&amp;DOC_NAME=fat:reuters_annual_source_window.fat&amp;display_string=Audit&amp;DYN_ARGS=TRUE&amp;VAR:ID1=B1Z81H&amp;VAR:RCODE=FDSREVSTOTAL&amp;VAR:SDATE=20081299&amp;VAR:FREQ=Y&amp;VAR:RELITEM=RP&amp;VAR:CURRENCY=CNY&amp;VAR:CURRSOURCE=","EXSHARE&amp;VAR:NATFREQ=ANNUAL&amp;VAR:RFIELD=FINALIZED&amp;VAR:DB_TYPE=NR&amp;VAR:UNITS=M&amp;window=popup&amp;width=450&amp;height=300&amp;START_MAXIMIZED=FALSE"}</definedName>
    <definedName name="_80100">#REF!</definedName>
    <definedName name="_806">#REF!</definedName>
    <definedName name="_83__FDSAUDITLINK__" hidden="1">{"fdsup://IBCentral/FAT Viewer?action=UPDATE&amp;creator=factset&amp;DOC_NAME=fat:reuters_annual_source_window.fat&amp;display_string=Audit&amp;DYN_ARGS=TRUE&amp;VAR:ID1=B1Z81H&amp;VAR:RCODE=FEBITDA&amp;VAR:SDATE=20101299&amp;VAR:FREQ=Y&amp;VAR:RELITEM=RP&amp;VAR:CURRENCY=CNY&amp;VAR:CURRSOURCE=EXSHA","RE&amp;VAR:NATFREQ=ANNUAL&amp;VAR:RFIELD=FINALIZED&amp;VAR:DB_TYPE=NR&amp;VAR:UNITS=M&amp;window=popup&amp;width=450&amp;height=300&amp;START_MAXIMIZED=FALSE"}</definedName>
    <definedName name="_84__FDSAUDITLINK__" hidden="1">{"fdsup://IBCentral/FAT Viewer?action=UPDATE&amp;creator=factset&amp;DOC_NAME=fat:reuters_annual_source_window.fat&amp;display_string=Audit&amp;DYN_ARGS=TRUE&amp;VAR:ID1=B1Z81H&amp;VAR:RCODE=NIBX&amp;VAR:SDATE=20091299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B1Z81H&amp;VAR:RCODE=NIBX&amp;VAR:SDATE=20081299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88888">#REF!</definedName>
    <definedName name="_8P1_" hidden="1">{"M.GOH",#N/A,FALSE}</definedName>
    <definedName name="_8y6_" hidden="1">#REF!</definedName>
    <definedName name="_8余额表_一级_.dbf">#REF!</definedName>
    <definedName name="_8月">#REF!</definedName>
    <definedName name="_9">#REF!</definedName>
    <definedName name="_9__123Graph_ACHART_18" hidden="1">#REF!</definedName>
    <definedName name="_9__123Graph_AChart_1G" hidden="1">#REF!</definedName>
    <definedName name="_9__123Graph_XCHART_1" hidden="1">#REF!</definedName>
    <definedName name="_9__FDSAUDITLINK__" hidden="1">{"fdsup://IBCentral/FAT Viewer?action=UPDATE&amp;creator=factset&amp;DOC_NAME=fat:reuters_annual_source_window.fat&amp;display_string=Audit&amp;DYN_ARGS=TRUE&amp;VAR:ID1=655933&amp;VAR:RCODE=EIAU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9_0_Table2_" hidden="1">#REF!</definedName>
    <definedName name="_92__FDSAUDITLINK__" hidden="1">{"fdsup://IBCentral/FAT Viewer?action=UPDATE&amp;creator=factset&amp;DOC_NAME=fat:reuters_annual_source_window.fat&amp;display_string=Audit&amp;DYN_ARGS=TRUE&amp;VAR:ID1=B66RGZ&amp;VAR:RCODE=NIBX&amp;VAR:SDATE=20101299&amp;VAR:FREQ=Y&amp;VAR:RELITEM=RP&amp;VAR:CURRENCY=CNY&amp;VAR:CURRSOURCE=EXSHARE&amp;","VAR:NATFREQ=ANNUAL&amp;VAR:RFIELD=FINALIZED&amp;VAR:DB_TYPE=NR&amp;VAR:UNITS=M&amp;window=popup&amp;width=450&amp;height=300&amp;START_MAXIMIZED=FALSE"}</definedName>
    <definedName name="_933">#REF!</definedName>
    <definedName name="_999">#REF!</definedName>
    <definedName name="_9o9_" hidden="1">#REF!</definedName>
    <definedName name="_9Q1_" hidden="1">{"'Sheet1'!$L$16"}</definedName>
    <definedName name="_9wrn.²Ä1­Ó¤ë1_Ü20¤H." hidden="1">{#N/A,#N/A,FALSE,"²Ä1­Ó¤ë"}</definedName>
    <definedName name="_9日包装出库">#REF!</definedName>
    <definedName name="_9日原材料">#REF!</definedName>
    <definedName name="_9预付账款_美元">#REF!</definedName>
    <definedName name="_a">#REF!</definedName>
    <definedName name="_a0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" hidden="1">{#N/A,#N/A,FALSE,"Pharm";#N/A,#N/A,FALSE,"WWCM"}</definedName>
    <definedName name="_a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0" hidden="1">{#N/A,#N/A,FALSE,"Ocean";#N/A,#N/A,FALSE,"NewYork";#N/A,#N/A,FALSE,"Gateway";#N/A,#N/A,FALSE,"GVH";#N/A,#N/A,FALSE,"GVM";#N/A,#N/A,FALSE,"GVT"}</definedName>
    <definedName name="_A100_1" hidden="1">{#N/A,#N/A,FALSE,"Ocean";#N/A,#N/A,FALSE,"NewYork";#N/A,#N/A,FALSE,"Gateway";#N/A,#N/A,FALSE,"GVH";#N/A,#N/A,FALSE,"GVM";#N/A,#N/A,FALSE,"GVT"}</definedName>
    <definedName name="_A1000" hidden="1">{#N/A,#N/A,FALSE,"Ocean";#N/A,#N/A,FALSE,"NewYork";#N/A,#N/A,FALSE,"Gateway";#N/A,#N/A,FALSE,"GVH";#N/A,#N/A,FALSE,"GVM";#N/A,#N/A,FALSE,"GVT"}</definedName>
    <definedName name="_A1000_1" hidden="1">{#N/A,#N/A,FALSE,"Ocean";#N/A,#N/A,FALSE,"NewYork";#N/A,#N/A,FALSE,"Gateway";#N/A,#N/A,FALSE,"GVH";#N/A,#N/A,FALSE,"GVM";#N/A,#N/A,FALSE,"GVT"}</definedName>
    <definedName name="_A100000">#REF!</definedName>
    <definedName name="_a10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0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" hidden="1">{#N/A,#N/A,FALSE,"Umsatz 99";#N/A,#N/A,FALSE,"ER 99 "}</definedName>
    <definedName name="_a1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8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1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7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2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8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39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140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1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2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3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4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5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6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a147" hidden="1">{"Abbreviated",#N/A,FALSE,"Cover";"Abbreviated",#N/A,FALSE,"Pres";"Output I",#N/A,FALSE,"Outputs";"Output II",#N/A,FALSE,"Outputs";"Output III",#N/A,FALSE,"Outputs";"Output IV",#N/A,FALSE,"Outputs";"Abbreviated",#N/A,FALSE,"Deal Inputs (In)";"Abbreviated",#N/A,FALSE,"Bidder (In)";"Abbreviated",#N/A,FALSE,"Target (In)"}</definedName>
    <definedName name="_xlnm._FilterDatabase" localSheetId="22" hidden="1">贷款明细!$A$2:$XFA$138</definedName>
    <definedName name="_xlcn.LinkedTable_Data1">#REF!</definedName>
    <definedName name="_xlcn.LinkedTable_Table1">#REF!</definedName>
    <definedName name="_xlcn.LinkedTable_Table11">#REF!</definedName>
    <definedName name="_xlcn.LinkedTable_Table2">#REF!</definedName>
    <definedName name="_xlcn.LinkedTable_Table3">#REF!</definedName>
    <definedName name="_xlcn.LinkedTable_Table4">#REF!</definedName>
    <definedName name="_xlcn.LinkedTable_Table5">#REF!</definedName>
    <definedName name="_xlcn.LinkedTable_Table6">#REF!</definedName>
    <definedName name="_xlcn.LinkedTable_Table7">#REF!</definedName>
    <definedName name="_xlcn.LinkedTable_Table8">#REF!</definedName>
    <definedName name="_xlcn.LinkedTable_Table9">#REF!</definedName>
    <definedName name="_xlcn.WorksheetConnection_AttainVATODBC2013.11.xlsmBANK">#REF!</definedName>
    <definedName name="_xlcn.WorksheetConnection_AttainVATODBC2013.11.xlsmCURRENCY">#REF!</definedName>
    <definedName name="_xlcn.WorksheetConnection_RB.xlsxAccounts1">#REF!</definedName>
    <definedName name="_xlcn.WorksheetConnection_SageDataModelExcel20132.xlsxAUDIT_SPLIT">#REF!</definedName>
    <definedName name="_xlcn.WorksheetConnection_SageDataModelExcel20132.xlsxCAT_TITLE">#REF!</definedName>
    <definedName name="_xlcn.WorksheetConnection_SageDataModelExcel20132.xlsxCATEGORY">#REF!</definedName>
    <definedName name="_xlcn.WorksheetConnection_SageDataModelExcel20132.xlsxCOUNTRY">#REF!</definedName>
    <definedName name="_xlcn.WorksheetConnection_SageDataModelExcel20132.xlsxNOMINAL_LEDGER">#REF!</definedName>
    <definedName name="_xlcn.WorksheetConnection_SageDataModelExcel20132.xlsxPROJECT">#REF!</definedName>
    <definedName name="_xlcn.WorksheetConnection_SageDataModelExcel20132.xlsxPROJECT_COST_CODE">#REF!</definedName>
    <definedName name="_xlcn.WorksheetConnection_SageDataModelExcel20132.xlsxPROJECT_COST_TYPE">#REF!</definedName>
    <definedName name="_xlcn.WorksheetConnection_SageDataModelExcel20132.xlsxPROJECT_STATUS">#REF!</definedName>
    <definedName name="_xlcn.WorksheetConnection_SageDataModelExcel20132.xlsxPROJECT_TRAN">#REF!</definedName>
    <definedName name="_xlcn.WorksheetConnection_SageDataModelExcel20132.xlsxPURCHASE_LEDGER">#REF!</definedName>
    <definedName name="_xlcn.WorksheetConnection_SageDataModelExcel20132.xlsxSALES_LEDGER">#REF!</definedName>
    <definedName name="_xlcn.WorksheetConnection_经销商列表AO14AX674">#REF!</definedName>
    <definedName name="AS2DocOpenMode" hidden="1">"AS2DocumentEdit"</definedName>
    <definedName name="case" localSheetId="0">'回报测算-EVEBITDA（核心假设）'!$F$11</definedName>
    <definedName name="case">'回报测算-EVEBITDA（核心假设）'!$F$11</definedName>
    <definedName name="cc">#REF!</definedName>
    <definedName name="cc_">#REF!</definedName>
    <definedName name="cc_weweagt">#REF!</definedName>
    <definedName name="CIM_Summary">CIM #REF!</definedName>
    <definedName name="curr">#REF!</definedName>
    <definedName name="dividend">'回报测算-EVEBITDA（核心假设）'!$G$83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9" hidden="1">45783.2512384259</definedName>
    <definedName name="IQ_NAMES_REVISION_DATE_" hidden="1">"02/25/2025 02:20:28"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9">产能及CAPEX!$A$1:$U$319</definedName>
    <definedName name="_xlnm.Print_Area" localSheetId="22">贷款明细!$D$2:$K$77</definedName>
    <definedName name="_xlnm.Print_Area" localSheetId="1">'回报测算-PE（仅供参考）'!$A$1:$R$84</definedName>
    <definedName name="_xlnm.Print_Area">#REF!</definedName>
    <definedName name="_xlnm.Print_Titles" localSheetId="19">产能及CAPEX!$3:$11</definedName>
    <definedName name="_xlnm.Print_Titles" hidden="1">#N/A</definedName>
    <definedName name="rounding">#REF!</definedName>
    <definedName name="Sheet11_AccInfo">無活絡市場之債券投資-#REF!</definedName>
    <definedName name="UFPrn20140813074522" localSheetId="22">#REF!</definedName>
    <definedName name="UFPrn20140813074522">#REF!</definedName>
    <definedName name="UFPrn20141010092754" localSheetId="22">#REF!</definedName>
    <definedName name="UFPrn20141010092754">#REF!</definedName>
    <definedName name="UFPrn20150215131955" localSheetId="22">#REF!</definedName>
    <definedName name="UFPrn20150215131955">#REF!</definedName>
    <definedName name="UFPrn20150215132015" localSheetId="22">#REF!</definedName>
    <definedName name="UFPrn20150215132015">#REF!</definedName>
    <definedName name="UFPrn20150312074401" localSheetId="22">#REF!</definedName>
    <definedName name="UFPrn20150312074401">#REF!</definedName>
    <definedName name="UFPrn20150601153431" localSheetId="22">#REF!</definedName>
    <definedName name="UFPrn20150601153431">#REF!</definedName>
    <definedName name="UFPrn20150813145941" localSheetId="22">#REF!</definedName>
    <definedName name="UFPrn20150813145941">#REF!</definedName>
    <definedName name="UFPrn20160106093100" localSheetId="22">'[1]12月底稿'!#REF!</definedName>
    <definedName name="UFPrn20160106093100">#REF!</definedName>
    <definedName name="UFPrn20181128164137" localSheetId="22">#REF!</definedName>
    <definedName name="UFPrn20181128164137">#REF!</definedName>
    <definedName name="wrn1.IMP03" hidden="1">{"IMP03",#N/A,FALSE,"PREVISÃO DE VENDAS"}</definedName>
    <definedName name="xRng_0b7966b1c1ed4a91b37ae18233c142d5">#REF!</definedName>
    <definedName name="xRng_15355eac37ed49d993efe231ebc30ab7">#REF!</definedName>
    <definedName name="xRng_261f434a23ca48a2b82240691ae81e41">#REF!</definedName>
    <definedName name="xRng_5b460570c45d4520959330462b2ab53c">#REF!</definedName>
    <definedName name="xRng_9850ce656d924f3da724760b857e85a9">#REF!</definedName>
    <definedName name="xRng_9d4f0d4ae47442cabda5a715aa2d5cdb">#REF!</definedName>
    <definedName name="xRng_a18924c88ba04646ba2860c379448e9d">#REF!</definedName>
    <definedName name="xRng_c8d8c547ba7a42dc93faa2f4fc5f2600">#REF!</definedName>
    <definedName name="xRng_e745b44e87ce45898231d5be6eb318aa">#REF!</definedName>
    <definedName name="xRng_f6190ddb9de743d59c83043ea6be0c54">#REF!</definedName>
    <definedName name="个人" localSheetId="22">#REF!</definedName>
    <definedName name="个人">#REF!</definedName>
    <definedName name="货币资金" localSheetId="22">#REF!</definedName>
    <definedName name="货币资金">#REF!</definedName>
    <definedName name="金租公司明细2024.7" localSheetId="22">#REF!</definedName>
    <definedName name="金租公司明细2024.7">#REF!</definedName>
    <definedName name="其他应收款" localSheetId="22">#REF!</definedName>
    <definedName name="其他应收款">#REF!</definedName>
    <definedName name="其他应收款2" localSheetId="22">#REF!</definedName>
    <definedName name="其他应收款2">#REF!</definedName>
    <definedName name="应收票据" localSheetId="22">#REF!</definedName>
    <definedName name="应收票据">#REF!</definedName>
    <definedName name="预付工程" localSheetId="22">#REF!</definedName>
    <definedName name="预付工程">#REF!</definedName>
  </definedNames>
  <calcPr calcId="162913" calcMode="autoNoTable" iterate="1" iterateCount="2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28" l="1"/>
  <c r="G21" i="33"/>
  <c r="N955" i="36" l="1"/>
  <c r="O955" i="36"/>
  <c r="P955" i="36"/>
  <c r="Q955" i="36"/>
  <c r="R955" i="36"/>
  <c r="S955" i="36"/>
  <c r="J181" i="37" l="1"/>
  <c r="J175" i="37"/>
  <c r="J174" i="37"/>
  <c r="AD629" i="2" l="1"/>
  <c r="AE629" i="2" s="1"/>
  <c r="AF629" i="2" s="1"/>
  <c r="AG629" i="2" s="1"/>
  <c r="AH629" i="2" s="1"/>
  <c r="AD657" i="2"/>
  <c r="AE657" i="2" s="1"/>
  <c r="AF657" i="2" s="1"/>
  <c r="AG657" i="2" s="1"/>
  <c r="AH657" i="2" s="1"/>
  <c r="AD651" i="2"/>
  <c r="AE651" i="2" s="1"/>
  <c r="AF651" i="2" s="1"/>
  <c r="AG651" i="2" s="1"/>
  <c r="AH651" i="2" s="1"/>
  <c r="AD649" i="2"/>
  <c r="AE649" i="2" s="1"/>
  <c r="AF649" i="2" s="1"/>
  <c r="AG649" i="2" s="1"/>
  <c r="AH649" i="2" s="1"/>
  <c r="R52" i="25"/>
  <c r="S52" i="25"/>
  <c r="T52" i="25"/>
  <c r="U52" i="25"/>
  <c r="Q52" i="25"/>
  <c r="Q85" i="25"/>
  <c r="M100" i="33" l="1"/>
  <c r="N100" i="33"/>
  <c r="O100" i="33"/>
  <c r="P100" i="33"/>
  <c r="Q100" i="33"/>
  <c r="G59" i="33" l="1"/>
  <c r="P68" i="25" l="1"/>
  <c r="Q68" i="25" s="1"/>
  <c r="R68" i="25" s="1"/>
  <c r="S68" i="25" s="1"/>
  <c r="T68" i="25" s="1"/>
  <c r="U68" i="25" s="1"/>
  <c r="N66" i="25"/>
  <c r="P66" i="25" l="1"/>
  <c r="O14" i="40"/>
  <c r="P14" i="40"/>
  <c r="K14" i="40"/>
  <c r="O1127" i="36"/>
  <c r="P1127" i="36" s="1"/>
  <c r="Q1127" i="36" s="1"/>
  <c r="R1127" i="36" s="1"/>
  <c r="O1121" i="36"/>
  <c r="P1121" i="36" s="1"/>
  <c r="Q1121" i="36" s="1"/>
  <c r="R1121" i="36" s="1"/>
  <c r="O1155" i="36"/>
  <c r="P1155" i="36" s="1"/>
  <c r="Q1155" i="36" s="1"/>
  <c r="R1155" i="36" s="1"/>
  <c r="S1155" i="36" s="1"/>
  <c r="O152" i="3"/>
  <c r="P152" i="3" s="1"/>
  <c r="Q152" i="3" s="1"/>
  <c r="R152" i="3" s="1"/>
  <c r="S152" i="3" s="1"/>
  <c r="O159" i="4"/>
  <c r="P159" i="4" s="1"/>
  <c r="Q159" i="4" s="1"/>
  <c r="R159" i="4" s="1"/>
  <c r="S159" i="4" s="1"/>
  <c r="O156" i="4"/>
  <c r="O751" i="2"/>
  <c r="P751" i="2" s="1"/>
  <c r="Q751" i="2" s="1"/>
  <c r="R751" i="2" s="1"/>
  <c r="S751" i="2" s="1"/>
  <c r="F51" i="34"/>
  <c r="G51" i="34"/>
  <c r="H51" i="34"/>
  <c r="I51" i="34"/>
  <c r="J51" i="34"/>
  <c r="E51" i="34"/>
  <c r="E49" i="34"/>
  <c r="I44" i="34"/>
  <c r="J44" i="34"/>
  <c r="F45" i="34"/>
  <c r="G45" i="34"/>
  <c r="H45" i="34"/>
  <c r="I45" i="34"/>
  <c r="J45" i="34"/>
  <c r="E45" i="34"/>
  <c r="I36" i="34"/>
  <c r="J36" i="34"/>
  <c r="F37" i="34"/>
  <c r="G37" i="34"/>
  <c r="H37" i="34"/>
  <c r="I37" i="34"/>
  <c r="J37" i="34"/>
  <c r="E37" i="34"/>
  <c r="H816" i="36"/>
  <c r="I816" i="36"/>
  <c r="J816" i="36"/>
  <c r="K816" i="36"/>
  <c r="L816" i="36"/>
  <c r="M816" i="36"/>
  <c r="H810" i="36"/>
  <c r="I810" i="36"/>
  <c r="J810" i="36"/>
  <c r="K810" i="36"/>
  <c r="H811" i="36"/>
  <c r="I811" i="36"/>
  <c r="J811" i="36"/>
  <c r="K811" i="36"/>
  <c r="H812" i="36"/>
  <c r="I812" i="36"/>
  <c r="J812" i="36"/>
  <c r="K812" i="36"/>
  <c r="H813" i="36"/>
  <c r="I813" i="36"/>
  <c r="J813" i="36"/>
  <c r="K813" i="36"/>
  <c r="H814" i="36"/>
  <c r="I814" i="36"/>
  <c r="J814" i="36"/>
  <c r="K814" i="36"/>
  <c r="H786" i="36"/>
  <c r="I786" i="36"/>
  <c r="J786" i="36"/>
  <c r="K786" i="36"/>
  <c r="L786" i="36"/>
  <c r="M786" i="36"/>
  <c r="H787" i="36"/>
  <c r="I787" i="36"/>
  <c r="J787" i="36"/>
  <c r="K787" i="36"/>
  <c r="L787" i="36"/>
  <c r="M787" i="36"/>
  <c r="H788" i="36"/>
  <c r="I788" i="36"/>
  <c r="J788" i="36"/>
  <c r="K788" i="36"/>
  <c r="L788" i="36"/>
  <c r="M788" i="36"/>
  <c r="H789" i="36"/>
  <c r="I789" i="36"/>
  <c r="J789" i="36"/>
  <c r="K789" i="36"/>
  <c r="L789" i="36"/>
  <c r="M789" i="36"/>
  <c r="H790" i="36"/>
  <c r="I790" i="36"/>
  <c r="J790" i="36"/>
  <c r="K790" i="36"/>
  <c r="R871" i="36"/>
  <c r="Q873" i="36"/>
  <c r="R873" i="36"/>
  <c r="S874" i="36"/>
  <c r="P874" i="36"/>
  <c r="P870" i="36"/>
  <c r="AK898" i="36"/>
  <c r="AL898" i="36" s="1"/>
  <c r="AM898" i="36" s="1"/>
  <c r="AN898" i="36" s="1"/>
  <c r="AO898" i="36" s="1"/>
  <c r="AP898" i="36" s="1"/>
  <c r="U898" i="36"/>
  <c r="V898" i="36" s="1"/>
  <c r="W898" i="36" s="1"/>
  <c r="X898" i="36" s="1"/>
  <c r="Y898" i="36" s="1"/>
  <c r="Z898" i="36" s="1"/>
  <c r="R874" i="36"/>
  <c r="Q874" i="36"/>
  <c r="S873" i="36"/>
  <c r="P873" i="36"/>
  <c r="S872" i="36"/>
  <c r="R872" i="36"/>
  <c r="Q872" i="36"/>
  <c r="P872" i="36"/>
  <c r="S871" i="36"/>
  <c r="Q871" i="36"/>
  <c r="P871" i="36"/>
  <c r="S870" i="36"/>
  <c r="R870" i="36"/>
  <c r="Q870" i="36"/>
  <c r="AK859" i="36"/>
  <c r="AL859" i="36" s="1"/>
  <c r="AM859" i="36" s="1"/>
  <c r="AN859" i="36" s="1"/>
  <c r="AO859" i="36" s="1"/>
  <c r="AP859" i="36" s="1"/>
  <c r="U859" i="36"/>
  <c r="V859" i="36" s="1"/>
  <c r="W859" i="36" s="1"/>
  <c r="X859" i="36" s="1"/>
  <c r="Y859" i="36" s="1"/>
  <c r="Z859" i="36" s="1"/>
  <c r="M858" i="36"/>
  <c r="M859" i="36" s="1"/>
  <c r="L858" i="36"/>
  <c r="L859" i="36" s="1"/>
  <c r="K848" i="36"/>
  <c r="K858" i="36" s="1"/>
  <c r="K859" i="36" s="1"/>
  <c r="J848" i="36"/>
  <c r="J858" i="36" s="1"/>
  <c r="J859" i="36" s="1"/>
  <c r="I848" i="36"/>
  <c r="I858" i="36" s="1"/>
  <c r="I859" i="36" s="1"/>
  <c r="H848" i="36"/>
  <c r="H858" i="36" s="1"/>
  <c r="H859" i="36" s="1"/>
  <c r="K847" i="36"/>
  <c r="L847" i="36" s="1"/>
  <c r="M847" i="36" s="1"/>
  <c r="AC847" i="36" s="1"/>
  <c r="J847" i="36"/>
  <c r="I847" i="36"/>
  <c r="H847" i="36"/>
  <c r="K846" i="36"/>
  <c r="J846" i="36"/>
  <c r="I846" i="36"/>
  <c r="H846" i="36"/>
  <c r="K845" i="36"/>
  <c r="J845" i="36"/>
  <c r="I845" i="36"/>
  <c r="H845" i="36"/>
  <c r="K844" i="36"/>
  <c r="J844" i="36"/>
  <c r="I844" i="36"/>
  <c r="H844" i="36"/>
  <c r="K843" i="36"/>
  <c r="J843" i="36"/>
  <c r="I843" i="36"/>
  <c r="H843" i="36"/>
  <c r="S835" i="36"/>
  <c r="R835" i="36"/>
  <c r="Q835" i="36"/>
  <c r="P835" i="36"/>
  <c r="O835" i="36"/>
  <c r="N835" i="36"/>
  <c r="J835" i="36"/>
  <c r="I835" i="36"/>
  <c r="S834" i="36"/>
  <c r="R834" i="36"/>
  <c r="Q834" i="36"/>
  <c r="P834" i="36"/>
  <c r="O834" i="36"/>
  <c r="N834" i="36"/>
  <c r="N828" i="36" s="1"/>
  <c r="N789" i="36" s="1"/>
  <c r="L834" i="36"/>
  <c r="J834" i="36"/>
  <c r="I834" i="36"/>
  <c r="S833" i="36"/>
  <c r="R833" i="36"/>
  <c r="Q833" i="36"/>
  <c r="P833" i="36"/>
  <c r="O833" i="36"/>
  <c r="N833" i="36"/>
  <c r="N827" i="36" s="1"/>
  <c r="L833" i="36"/>
  <c r="J833" i="36"/>
  <c r="I833" i="36"/>
  <c r="S832" i="36"/>
  <c r="R832" i="36"/>
  <c r="Q832" i="36"/>
  <c r="P832" i="36"/>
  <c r="O832" i="36"/>
  <c r="N832" i="36"/>
  <c r="N826" i="36" s="1"/>
  <c r="N787" i="36" s="1"/>
  <c r="L832" i="36"/>
  <c r="J832" i="36"/>
  <c r="I832" i="36"/>
  <c r="S831" i="36"/>
  <c r="R831" i="36"/>
  <c r="Q831" i="36"/>
  <c r="P831" i="36"/>
  <c r="O831" i="36"/>
  <c r="N831" i="36"/>
  <c r="N825" i="36" s="1"/>
  <c r="N786" i="36" s="1"/>
  <c r="N792" i="36" s="1"/>
  <c r="L831" i="36"/>
  <c r="J831" i="36"/>
  <c r="I831" i="36"/>
  <c r="K824" i="36"/>
  <c r="K841" i="36" s="1"/>
  <c r="J824" i="36"/>
  <c r="J841" i="36" s="1"/>
  <c r="I824" i="36"/>
  <c r="I856" i="36" s="1"/>
  <c r="H824" i="36"/>
  <c r="H839" i="36" s="1"/>
  <c r="H530" i="36"/>
  <c r="I530" i="36"/>
  <c r="J530" i="36"/>
  <c r="K530" i="36"/>
  <c r="L530" i="36"/>
  <c r="M530" i="36"/>
  <c r="H524" i="36"/>
  <c r="I524" i="36"/>
  <c r="J524" i="36"/>
  <c r="K524" i="36"/>
  <c r="H525" i="36"/>
  <c r="I525" i="36"/>
  <c r="J525" i="36"/>
  <c r="K525" i="36"/>
  <c r="H526" i="36"/>
  <c r="I526" i="36"/>
  <c r="J526" i="36"/>
  <c r="K526" i="36"/>
  <c r="H527" i="36"/>
  <c r="I527" i="36"/>
  <c r="J527" i="36"/>
  <c r="K527" i="36"/>
  <c r="H528" i="36"/>
  <c r="I528" i="36"/>
  <c r="J528" i="36"/>
  <c r="K528" i="36"/>
  <c r="H500" i="36"/>
  <c r="I500" i="36"/>
  <c r="J500" i="36"/>
  <c r="K500" i="36"/>
  <c r="L500" i="36"/>
  <c r="M500" i="36"/>
  <c r="H501" i="36"/>
  <c r="I501" i="36"/>
  <c r="J501" i="36"/>
  <c r="K501" i="36"/>
  <c r="L501" i="36"/>
  <c r="M501" i="36"/>
  <c r="H502" i="36"/>
  <c r="I502" i="36"/>
  <c r="J502" i="36"/>
  <c r="K502" i="36"/>
  <c r="L502" i="36"/>
  <c r="M502" i="36"/>
  <c r="H503" i="36"/>
  <c r="I503" i="36"/>
  <c r="J503" i="36"/>
  <c r="K503" i="36"/>
  <c r="L503" i="36"/>
  <c r="M503" i="36"/>
  <c r="H504" i="36"/>
  <c r="I504" i="36"/>
  <c r="J504" i="36"/>
  <c r="K504" i="36"/>
  <c r="I558" i="36"/>
  <c r="H559" i="36"/>
  <c r="I559" i="36"/>
  <c r="K561" i="36"/>
  <c r="L561" i="36" s="1"/>
  <c r="M561" i="36" s="1"/>
  <c r="AC561" i="36" s="1"/>
  <c r="R584" i="36"/>
  <c r="AK612" i="36"/>
  <c r="AL612" i="36" s="1"/>
  <c r="AM612" i="36" s="1"/>
  <c r="AN612" i="36" s="1"/>
  <c r="AO612" i="36" s="1"/>
  <c r="AP612" i="36" s="1"/>
  <c r="U612" i="36"/>
  <c r="V612" i="36" s="1"/>
  <c r="W612" i="36" s="1"/>
  <c r="X612" i="36" s="1"/>
  <c r="Y612" i="36" s="1"/>
  <c r="Z612" i="36" s="1"/>
  <c r="S588" i="36"/>
  <c r="R588" i="36"/>
  <c r="Q588" i="36"/>
  <c r="P588" i="36"/>
  <c r="S587" i="36"/>
  <c r="R587" i="36"/>
  <c r="Q587" i="36"/>
  <c r="P587" i="36"/>
  <c r="S586" i="36"/>
  <c r="R586" i="36"/>
  <c r="Q586" i="36"/>
  <c r="P586" i="36"/>
  <c r="S585" i="36"/>
  <c r="R585" i="36"/>
  <c r="Q585" i="36"/>
  <c r="P585" i="36"/>
  <c r="S584" i="36"/>
  <c r="Q584" i="36"/>
  <c r="P584" i="36"/>
  <c r="AK573" i="36"/>
  <c r="AL573" i="36" s="1"/>
  <c r="AM573" i="36" s="1"/>
  <c r="AN573" i="36" s="1"/>
  <c r="AO573" i="36" s="1"/>
  <c r="AP573" i="36" s="1"/>
  <c r="U573" i="36"/>
  <c r="V573" i="36" s="1"/>
  <c r="W573" i="36" s="1"/>
  <c r="X573" i="36" s="1"/>
  <c r="Y573" i="36" s="1"/>
  <c r="Z573" i="36" s="1"/>
  <c r="M572" i="36"/>
  <c r="M573" i="36" s="1"/>
  <c r="L572" i="36"/>
  <c r="L573" i="36" s="1"/>
  <c r="K562" i="36"/>
  <c r="K572" i="36" s="1"/>
  <c r="K573" i="36" s="1"/>
  <c r="J562" i="36"/>
  <c r="J572" i="36" s="1"/>
  <c r="J573" i="36" s="1"/>
  <c r="I562" i="36"/>
  <c r="I572" i="36" s="1"/>
  <c r="I573" i="36" s="1"/>
  <c r="H562" i="36"/>
  <c r="H572" i="36" s="1"/>
  <c r="H573" i="36" s="1"/>
  <c r="I561" i="36"/>
  <c r="H561" i="36"/>
  <c r="K560" i="36"/>
  <c r="I560" i="36"/>
  <c r="H560" i="36"/>
  <c r="H558" i="36"/>
  <c r="K557" i="36"/>
  <c r="I557" i="36"/>
  <c r="S549" i="36"/>
  <c r="R549" i="36"/>
  <c r="Q549" i="36"/>
  <c r="P549" i="36"/>
  <c r="O549" i="36"/>
  <c r="N549" i="36"/>
  <c r="S548" i="36"/>
  <c r="R548" i="36"/>
  <c r="Q548" i="36"/>
  <c r="P548" i="36"/>
  <c r="O548" i="36"/>
  <c r="N548" i="36"/>
  <c r="S547" i="36"/>
  <c r="R547" i="36"/>
  <c r="Q547" i="36"/>
  <c r="P547" i="36"/>
  <c r="O547" i="36"/>
  <c r="N547" i="36"/>
  <c r="S546" i="36"/>
  <c r="R546" i="36"/>
  <c r="Q546" i="36"/>
  <c r="P546" i="36"/>
  <c r="O546" i="36"/>
  <c r="N546" i="36"/>
  <c r="S545" i="36"/>
  <c r="R545" i="36"/>
  <c r="Q545" i="36"/>
  <c r="P545" i="36"/>
  <c r="O545" i="36"/>
  <c r="N545" i="36"/>
  <c r="I42" i="34"/>
  <c r="J42" i="34"/>
  <c r="E41" i="34"/>
  <c r="E40" i="34"/>
  <c r="E39" i="34"/>
  <c r="AG74" i="38"/>
  <c r="N793" i="36" l="1"/>
  <c r="I805" i="36"/>
  <c r="K806" i="36"/>
  <c r="I841" i="36"/>
  <c r="K838" i="36"/>
  <c r="I806" i="36"/>
  <c r="I838" i="36"/>
  <c r="J806" i="36"/>
  <c r="H836" i="36"/>
  <c r="J518" i="36"/>
  <c r="Q51" i="34"/>
  <c r="H518" i="36"/>
  <c r="G36" i="34"/>
  <c r="J805" i="36"/>
  <c r="I840" i="36"/>
  <c r="S1127" i="36"/>
  <c r="S1121" i="36"/>
  <c r="I807" i="36"/>
  <c r="E36" i="34"/>
  <c r="Q36" i="34" s="1"/>
  <c r="N795" i="36"/>
  <c r="I518" i="36"/>
  <c r="K807" i="36"/>
  <c r="J838" i="36"/>
  <c r="F36" i="34"/>
  <c r="E44" i="34"/>
  <c r="Q44" i="34" s="1"/>
  <c r="H856" i="36"/>
  <c r="I857" i="36" s="1"/>
  <c r="H785" i="36"/>
  <c r="H797" i="36" s="1"/>
  <c r="Q37" i="34"/>
  <c r="H809" i="36"/>
  <c r="I804" i="36"/>
  <c r="K805" i="36"/>
  <c r="K836" i="36"/>
  <c r="J809" i="36"/>
  <c r="K840" i="36"/>
  <c r="H44" i="34"/>
  <c r="Q45" i="34"/>
  <c r="H519" i="36"/>
  <c r="L537" i="36"/>
  <c r="L563" i="36" s="1"/>
  <c r="K521" i="36"/>
  <c r="I520" i="36"/>
  <c r="M537" i="36"/>
  <c r="H520" i="36"/>
  <c r="K809" i="36"/>
  <c r="H840" i="36"/>
  <c r="N788" i="36"/>
  <c r="N794" i="36" s="1"/>
  <c r="J807" i="36"/>
  <c r="I809" i="36"/>
  <c r="H841" i="36"/>
  <c r="H36" i="34"/>
  <c r="J840" i="36"/>
  <c r="H838" i="36"/>
  <c r="K804" i="36"/>
  <c r="J836" i="36"/>
  <c r="G44" i="34"/>
  <c r="J519" i="36"/>
  <c r="I519" i="36"/>
  <c r="I836" i="36"/>
  <c r="K837" i="36"/>
  <c r="F44" i="34"/>
  <c r="J837" i="36"/>
  <c r="K808" i="36"/>
  <c r="K522" i="36"/>
  <c r="K518" i="36"/>
  <c r="J808" i="36"/>
  <c r="J804" i="36"/>
  <c r="K839" i="36"/>
  <c r="I837" i="36"/>
  <c r="J522" i="36"/>
  <c r="I808" i="36"/>
  <c r="J839" i="36"/>
  <c r="H837" i="36"/>
  <c r="K519" i="36"/>
  <c r="I839" i="36"/>
  <c r="H523" i="36"/>
  <c r="O826" i="36"/>
  <c r="O827" i="36"/>
  <c r="J520" i="36"/>
  <c r="K842" i="36"/>
  <c r="H842" i="36"/>
  <c r="J521" i="36"/>
  <c r="M823" i="36"/>
  <c r="L823" i="36"/>
  <c r="I523" i="36"/>
  <c r="I522" i="36"/>
  <c r="I521" i="36"/>
  <c r="H522" i="36"/>
  <c r="H521" i="36"/>
  <c r="K520" i="36"/>
  <c r="J830" i="36"/>
  <c r="O828" i="36"/>
  <c r="AD847" i="36"/>
  <c r="AD886" i="36" s="1"/>
  <c r="N847" i="36"/>
  <c r="O825" i="36"/>
  <c r="O786" i="36" s="1"/>
  <c r="O792" i="36" s="1"/>
  <c r="K856" i="36"/>
  <c r="K523" i="36"/>
  <c r="I842" i="36"/>
  <c r="J523" i="36"/>
  <c r="I830" i="36"/>
  <c r="J842" i="36"/>
  <c r="J856" i="36"/>
  <c r="J857" i="36" s="1"/>
  <c r="H557" i="36"/>
  <c r="H538" i="36"/>
  <c r="I538" i="36"/>
  <c r="P581" i="36"/>
  <c r="AD561" i="36"/>
  <c r="AD600" i="36" s="1"/>
  <c r="N561" i="36"/>
  <c r="L564" i="36" l="1"/>
  <c r="I553" i="36"/>
  <c r="I552" i="36"/>
  <c r="I551" i="36"/>
  <c r="I555" i="36"/>
  <c r="I554" i="36"/>
  <c r="I550" i="36"/>
  <c r="H552" i="36"/>
  <c r="H550" i="36"/>
  <c r="H553" i="36"/>
  <c r="H551" i="36"/>
  <c r="H555" i="36"/>
  <c r="H554" i="36"/>
  <c r="L566" i="36"/>
  <c r="M565" i="36"/>
  <c r="M567" i="36"/>
  <c r="M566" i="36"/>
  <c r="M563" i="36"/>
  <c r="M564" i="36"/>
  <c r="L565" i="36"/>
  <c r="L567" i="36"/>
  <c r="M851" i="36"/>
  <c r="M852" i="36"/>
  <c r="M853" i="36"/>
  <c r="M849" i="36"/>
  <c r="M850" i="36"/>
  <c r="L851" i="36"/>
  <c r="L850" i="36"/>
  <c r="L852" i="36"/>
  <c r="L853" i="36"/>
  <c r="L849" i="36"/>
  <c r="H556" i="36"/>
  <c r="O788" i="36"/>
  <c r="O794" i="36" s="1"/>
  <c r="O789" i="36"/>
  <c r="O795" i="36" s="1"/>
  <c r="O787" i="36"/>
  <c r="O793" i="36" s="1"/>
  <c r="P826" i="36"/>
  <c r="P827" i="36"/>
  <c r="Q827" i="36" s="1"/>
  <c r="P865" i="36"/>
  <c r="P867" i="36"/>
  <c r="O886" i="36"/>
  <c r="AE886" i="36"/>
  <c r="P864" i="36"/>
  <c r="P866" i="36"/>
  <c r="O847" i="36"/>
  <c r="AE847" i="36"/>
  <c r="P825" i="36"/>
  <c r="P828" i="36"/>
  <c r="I556" i="36"/>
  <c r="I570" i="36"/>
  <c r="K538" i="36"/>
  <c r="K558" i="36"/>
  <c r="K559" i="36"/>
  <c r="P578" i="36"/>
  <c r="P580" i="36"/>
  <c r="Q581" i="36"/>
  <c r="P579" i="36"/>
  <c r="O600" i="36"/>
  <c r="AE561" i="36"/>
  <c r="AE600" i="36" s="1"/>
  <c r="O561" i="36"/>
  <c r="M87" i="19"/>
  <c r="L87" i="19"/>
  <c r="L90" i="19" s="1"/>
  <c r="H87" i="19"/>
  <c r="P80" i="19"/>
  <c r="P15" i="19"/>
  <c r="H23" i="19"/>
  <c r="H39" i="19"/>
  <c r="H58" i="19"/>
  <c r="M53" i="19"/>
  <c r="N53" i="19" s="1"/>
  <c r="L53" i="19"/>
  <c r="L54" i="19" s="1"/>
  <c r="M19" i="19"/>
  <c r="N19" i="19" s="1"/>
  <c r="L19" i="19"/>
  <c r="L20" i="19" s="1"/>
  <c r="M20" i="19"/>
  <c r="N20" i="19" s="1"/>
  <c r="P20" i="19" s="1"/>
  <c r="Q20" i="19" s="1"/>
  <c r="R20" i="19" s="1"/>
  <c r="S20" i="19" s="1"/>
  <c r="T20" i="19" s="1"/>
  <c r="U20" i="19" s="1"/>
  <c r="J53" i="19"/>
  <c r="J54" i="19" s="1"/>
  <c r="I53" i="19"/>
  <c r="I54" i="19" s="1"/>
  <c r="H53" i="19"/>
  <c r="H54" i="19" s="1"/>
  <c r="J19" i="19"/>
  <c r="J20" i="19" s="1"/>
  <c r="I19" i="19"/>
  <c r="I20" i="19" s="1"/>
  <c r="H19" i="19"/>
  <c r="H20" i="19" s="1"/>
  <c r="I23" i="19"/>
  <c r="J23" i="19"/>
  <c r="L23" i="19"/>
  <c r="M23" i="19"/>
  <c r="I58" i="19"/>
  <c r="J58" i="19"/>
  <c r="L58" i="19"/>
  <c r="M58" i="19"/>
  <c r="H79" i="19"/>
  <c r="H69" i="19"/>
  <c r="K556" i="36" l="1"/>
  <c r="K555" i="36"/>
  <c r="K554" i="36"/>
  <c r="K553" i="36"/>
  <c r="K550" i="36"/>
  <c r="K551" i="36"/>
  <c r="K552" i="36"/>
  <c r="P786" i="36"/>
  <c r="P792" i="36" s="1"/>
  <c r="P788" i="36"/>
  <c r="P794" i="36" s="1"/>
  <c r="P787" i="36"/>
  <c r="P793" i="36" s="1"/>
  <c r="P789" i="36"/>
  <c r="P795" i="36" s="1"/>
  <c r="Q826" i="36"/>
  <c r="P886" i="36"/>
  <c r="AF886" i="36"/>
  <c r="Q866" i="36"/>
  <c r="Q788" i="36" s="1"/>
  <c r="Q867" i="36"/>
  <c r="Q865" i="36"/>
  <c r="Q864" i="36"/>
  <c r="Q825" i="36"/>
  <c r="Q786" i="36" s="1"/>
  <c r="Q828" i="36"/>
  <c r="R827" i="36"/>
  <c r="P847" i="36"/>
  <c r="AF847" i="36"/>
  <c r="Q578" i="36"/>
  <c r="P600" i="36"/>
  <c r="Q579" i="36"/>
  <c r="R581" i="36"/>
  <c r="Q580" i="36"/>
  <c r="P561" i="36"/>
  <c r="AF561" i="36"/>
  <c r="AF600" i="36" s="1"/>
  <c r="O19" i="19"/>
  <c r="O18" i="19" s="1"/>
  <c r="O53" i="19"/>
  <c r="L91" i="19"/>
  <c r="M91" i="19"/>
  <c r="M54" i="19"/>
  <c r="N54" i="19" s="1"/>
  <c r="P54" i="19" s="1"/>
  <c r="Q54" i="19" s="1"/>
  <c r="R54" i="19" s="1"/>
  <c r="S54" i="19" s="1"/>
  <c r="T54" i="19" s="1"/>
  <c r="U54" i="19" s="1"/>
  <c r="H70" i="19"/>
  <c r="F98" i="34"/>
  <c r="H98" i="34"/>
  <c r="AD1015" i="36"/>
  <c r="AE1015" i="36" s="1"/>
  <c r="AF1015" i="36" s="1"/>
  <c r="AG1015" i="36" s="1"/>
  <c r="AH1015" i="36" s="1"/>
  <c r="AD1013" i="36"/>
  <c r="AE1013" i="36" s="1"/>
  <c r="AF1013" i="36" s="1"/>
  <c r="AG1013" i="36" s="1"/>
  <c r="AH1013" i="36" s="1"/>
  <c r="C49" i="42"/>
  <c r="C50" i="42"/>
  <c r="C51" i="42"/>
  <c r="F21" i="42"/>
  <c r="C21" i="42"/>
  <c r="C48" i="42" s="1"/>
  <c r="C20" i="42"/>
  <c r="C47" i="42" s="1"/>
  <c r="C70" i="42" s="1"/>
  <c r="F19" i="42"/>
  <c r="C19" i="42"/>
  <c r="C46" i="42" s="1"/>
  <c r="C18" i="42"/>
  <c r="C45" i="42" s="1"/>
  <c r="C68" i="42" s="1"/>
  <c r="H15" i="42"/>
  <c r="C17" i="42"/>
  <c r="C44" i="42" s="1"/>
  <c r="C67" i="42" s="1"/>
  <c r="F43" i="42"/>
  <c r="F16" i="42"/>
  <c r="C16" i="42"/>
  <c r="C43" i="42" s="1"/>
  <c r="C66" i="42" s="1"/>
  <c r="J11" i="42"/>
  <c r="K11" i="42"/>
  <c r="G13" i="42"/>
  <c r="H13" i="42"/>
  <c r="C15" i="42"/>
  <c r="C42" i="42" s="1"/>
  <c r="C65" i="42" s="1"/>
  <c r="C14" i="42"/>
  <c r="C41" i="42" s="1"/>
  <c r="C64" i="42" s="1"/>
  <c r="F13" i="42"/>
  <c r="C13" i="42"/>
  <c r="C40" i="42" s="1"/>
  <c r="C63" i="42" s="1"/>
  <c r="C12" i="42"/>
  <c r="C39" i="42" s="1"/>
  <c r="C62" i="42" s="1"/>
  <c r="C11" i="42"/>
  <c r="C38" i="42" s="1"/>
  <c r="C61" i="42" s="1"/>
  <c r="J9" i="42"/>
  <c r="K9" i="42"/>
  <c r="J10" i="42"/>
  <c r="K10" i="42"/>
  <c r="C10" i="42"/>
  <c r="C37" i="42" s="1"/>
  <c r="C60" i="42" s="1"/>
  <c r="C9" i="42"/>
  <c r="C36" i="42" s="1"/>
  <c r="C59" i="42" s="1"/>
  <c r="F35" i="42"/>
  <c r="F8" i="42"/>
  <c r="C8" i="42"/>
  <c r="C35" i="42" s="1"/>
  <c r="C58" i="42" s="1"/>
  <c r="C7" i="42"/>
  <c r="C34" i="42" s="1"/>
  <c r="C57" i="42" s="1"/>
  <c r="C6" i="42"/>
  <c r="C33" i="42" s="1"/>
  <c r="C56" i="42" s="1"/>
  <c r="C5" i="42"/>
  <c r="C32" i="42" s="1"/>
  <c r="C55" i="42" s="1"/>
  <c r="C4" i="42"/>
  <c r="C31" i="42" s="1"/>
  <c r="C54" i="42" s="1"/>
  <c r="U19" i="25"/>
  <c r="T19" i="25"/>
  <c r="S19" i="25"/>
  <c r="R19" i="25"/>
  <c r="M62" i="25"/>
  <c r="N62" i="25"/>
  <c r="M33" i="22"/>
  <c r="L33" i="22"/>
  <c r="I30" i="24"/>
  <c r="J30" i="24"/>
  <c r="L30" i="24"/>
  <c r="M30" i="24"/>
  <c r="H30" i="24"/>
  <c r="I15" i="24"/>
  <c r="J15" i="24"/>
  <c r="L15" i="24"/>
  <c r="M15" i="24"/>
  <c r="H15" i="24"/>
  <c r="P53" i="19" l="1"/>
  <c r="Q53" i="19" s="1"/>
  <c r="O17" i="22"/>
  <c r="Q792" i="36"/>
  <c r="Q787" i="36"/>
  <c r="Q793" i="36" s="1"/>
  <c r="R826" i="36"/>
  <c r="Q789" i="36"/>
  <c r="Q795" i="36" s="1"/>
  <c r="Q794" i="36"/>
  <c r="R867" i="36"/>
  <c r="R864" i="36"/>
  <c r="R865" i="36"/>
  <c r="R866" i="36"/>
  <c r="R788" i="36" s="1"/>
  <c r="R794" i="36" s="1"/>
  <c r="AG886" i="36"/>
  <c r="Q886" i="36"/>
  <c r="AG847" i="36"/>
  <c r="Q847" i="36"/>
  <c r="S827" i="36"/>
  <c r="R828" i="36"/>
  <c r="R825" i="36"/>
  <c r="S581" i="36"/>
  <c r="Q600" i="36"/>
  <c r="R579" i="36"/>
  <c r="R580" i="36"/>
  <c r="R578" i="36"/>
  <c r="Q561" i="36"/>
  <c r="AG561" i="36"/>
  <c r="AG600" i="36" s="1"/>
  <c r="P19" i="19"/>
  <c r="Q19" i="19" s="1"/>
  <c r="R19" i="19" s="1"/>
  <c r="S19" i="19" s="1"/>
  <c r="T19" i="19" s="1"/>
  <c r="U19" i="19" s="1"/>
  <c r="R53" i="19"/>
  <c r="Q52" i="19"/>
  <c r="O52" i="19"/>
  <c r="N52" i="19"/>
  <c r="P52" i="19" s="1"/>
  <c r="C69" i="42"/>
  <c r="F58" i="42"/>
  <c r="P62" i="25"/>
  <c r="R786" i="36" l="1"/>
  <c r="R792" i="36" s="1"/>
  <c r="R789" i="36"/>
  <c r="R795" i="36" s="1"/>
  <c r="R787" i="36"/>
  <c r="R793" i="36" s="1"/>
  <c r="S826" i="36"/>
  <c r="AH886" i="36"/>
  <c r="S886" i="36" s="1"/>
  <c r="R886" i="36"/>
  <c r="S866" i="36"/>
  <c r="S788" i="36" s="1"/>
  <c r="S794" i="36" s="1"/>
  <c r="S865" i="36"/>
  <c r="S864" i="36"/>
  <c r="S867" i="36"/>
  <c r="S825" i="36"/>
  <c r="S828" i="36"/>
  <c r="AH847" i="36"/>
  <c r="S847" i="36" s="1"/>
  <c r="R847" i="36"/>
  <c r="S578" i="36"/>
  <c r="S580" i="36"/>
  <c r="S579" i="36"/>
  <c r="R600" i="36"/>
  <c r="AH561" i="36"/>
  <c r="R561" i="36"/>
  <c r="S53" i="19"/>
  <c r="R52" i="19"/>
  <c r="Q62" i="25"/>
  <c r="S786" i="36" l="1"/>
  <c r="S792" i="36" s="1"/>
  <c r="S789" i="36"/>
  <c r="S795" i="36" s="1"/>
  <c r="S787" i="36"/>
  <c r="S793" i="36" s="1"/>
  <c r="S561" i="36"/>
  <c r="AH600" i="36"/>
  <c r="S600" i="36" s="1"/>
  <c r="T53" i="19"/>
  <c r="S52" i="19"/>
  <c r="R62" i="25"/>
  <c r="U53" i="19" l="1"/>
  <c r="U52" i="19" s="1"/>
  <c r="T52" i="19"/>
  <c r="S62" i="25"/>
  <c r="T62" i="25" l="1"/>
  <c r="U62" i="25" l="1"/>
  <c r="N7" i="19" l="1"/>
  <c r="K7" i="19"/>
  <c r="I670" i="2" l="1"/>
  <c r="J670" i="2"/>
  <c r="K670" i="2"/>
  <c r="L670" i="2"/>
  <c r="M670" i="2"/>
  <c r="H670" i="2"/>
  <c r="O110" i="3"/>
  <c r="P110" i="3" s="1"/>
  <c r="Q110" i="3" s="1"/>
  <c r="R110" i="3" s="1"/>
  <c r="S110" i="3" s="1"/>
  <c r="O691" i="2"/>
  <c r="P691" i="2" s="1"/>
  <c r="Q691" i="2" s="1"/>
  <c r="R691" i="2" s="1"/>
  <c r="S691" i="2" s="1"/>
  <c r="M28" i="25"/>
  <c r="N54" i="25" l="1"/>
  <c r="P54" i="25" s="1"/>
  <c r="Q54" i="25" s="1"/>
  <c r="R54" i="25" s="1"/>
  <c r="S54" i="25" s="1"/>
  <c r="T54" i="25" s="1"/>
  <c r="U54" i="25" s="1"/>
  <c r="N46" i="25"/>
  <c r="P46" i="25" s="1"/>
  <c r="Q46" i="25" s="1"/>
  <c r="R46" i="25" s="1"/>
  <c r="S46" i="25" s="1"/>
  <c r="T46" i="25" s="1"/>
  <c r="U46" i="25" s="1"/>
  <c r="N37" i="25"/>
  <c r="P37" i="25" s="1"/>
  <c r="Q37" i="25" s="1"/>
  <c r="R37" i="25" s="1"/>
  <c r="S37" i="25" s="1"/>
  <c r="T37" i="25" s="1"/>
  <c r="U37" i="25" s="1"/>
  <c r="N29" i="25"/>
  <c r="P29" i="25" s="1"/>
  <c r="Q29" i="25" s="1"/>
  <c r="R29" i="25" s="1"/>
  <c r="S29" i="25" s="1"/>
  <c r="T29" i="25" s="1"/>
  <c r="U29" i="25" s="1"/>
  <c r="L15" i="40"/>
  <c r="M15" i="40"/>
  <c r="N15" i="40"/>
  <c r="O15" i="40"/>
  <c r="P15" i="40"/>
  <c r="L16" i="40"/>
  <c r="M16" i="40"/>
  <c r="N16" i="40"/>
  <c r="O16" i="40"/>
  <c r="P16" i="40"/>
  <c r="K16" i="40"/>
  <c r="K15" i="40"/>
  <c r="I130" i="37"/>
  <c r="I131" i="37" s="1"/>
  <c r="H130" i="37"/>
  <c r="H131" i="37" s="1"/>
  <c r="G130" i="37"/>
  <c r="G131" i="37" s="1"/>
  <c r="I123" i="37"/>
  <c r="I124" i="37" s="1"/>
  <c r="H123" i="37"/>
  <c r="H124" i="37" s="1"/>
  <c r="G123" i="37"/>
  <c r="G124" i="37" s="1"/>
  <c r="I116" i="37"/>
  <c r="I117" i="37" s="1"/>
  <c r="H116" i="37"/>
  <c r="H117" i="37" s="1"/>
  <c r="G116" i="37"/>
  <c r="G117" i="37" s="1"/>
  <c r="H109" i="37"/>
  <c r="I109" i="37"/>
  <c r="G109" i="37"/>
  <c r="M61" i="25" l="1"/>
  <c r="L61" i="25"/>
  <c r="M58" i="25" l="1"/>
  <c r="N58" i="25" s="1"/>
  <c r="P58" i="25" s="1"/>
  <c r="N61" i="25"/>
  <c r="N56" i="19" s="1"/>
  <c r="P56" i="19" s="1"/>
  <c r="N57" i="19"/>
  <c r="P57" i="19" s="1"/>
  <c r="O88" i="38"/>
  <c r="P87" i="38"/>
  <c r="N63" i="25" l="1"/>
  <c r="M59" i="25"/>
  <c r="N59" i="25" s="1"/>
  <c r="P59" i="25" s="1"/>
  <c r="Q57" i="19"/>
  <c r="R57" i="19" s="1"/>
  <c r="S57" i="19" s="1"/>
  <c r="T57" i="19" s="1"/>
  <c r="U57" i="19" s="1"/>
  <c r="N55" i="19"/>
  <c r="P55" i="19" s="1"/>
  <c r="M60" i="25" l="1"/>
  <c r="N60" i="25" s="1"/>
  <c r="P60" i="25" s="1"/>
  <c r="P61" i="25" s="1"/>
  <c r="P63" i="25" s="1"/>
  <c r="M18" i="25"/>
  <c r="H160" i="37"/>
  <c r="G161" i="37"/>
  <c r="H154" i="37"/>
  <c r="G153" i="37"/>
  <c r="I147" i="37"/>
  <c r="I139" i="37"/>
  <c r="G110" i="37"/>
  <c r="G140" i="37" s="1"/>
  <c r="H147" i="37"/>
  <c r="G147" i="37"/>
  <c r="H110" i="37"/>
  <c r="H140" i="37" s="1"/>
  <c r="I110" i="37"/>
  <c r="I140" i="37" s="1"/>
  <c r="H139" i="37"/>
  <c r="I265" i="5"/>
  <c r="J265" i="5"/>
  <c r="L265" i="5"/>
  <c r="M265" i="5"/>
  <c r="N265" i="5" s="1"/>
  <c r="O265" i="5" s="1"/>
  <c r="P265" i="5" s="1"/>
  <c r="Q265" i="5" s="1"/>
  <c r="R265" i="5" s="1"/>
  <c r="S265" i="5" s="1"/>
  <c r="H265" i="5"/>
  <c r="H320" i="5"/>
  <c r="M320" i="5"/>
  <c r="N320" i="5" s="1"/>
  <c r="O320" i="5" s="1"/>
  <c r="P320" i="5" s="1"/>
  <c r="Q320" i="5" s="1"/>
  <c r="R320" i="5" s="1"/>
  <c r="S320" i="5" s="1"/>
  <c r="I320" i="5"/>
  <c r="J320" i="5"/>
  <c r="L320" i="5"/>
  <c r="N32" i="19"/>
  <c r="AD1003" i="36"/>
  <c r="AE1003" i="36" s="1"/>
  <c r="AF1003" i="36" s="1"/>
  <c r="AG1003" i="36" s="1"/>
  <c r="AH1003" i="36" s="1"/>
  <c r="AD999" i="36"/>
  <c r="AE999" i="36" s="1"/>
  <c r="AF999" i="36" s="1"/>
  <c r="AG999" i="36" s="1"/>
  <c r="AH999" i="36" s="1"/>
  <c r="AH69" i="3"/>
  <c r="O12" i="40"/>
  <c r="P12" i="40"/>
  <c r="K12" i="40"/>
  <c r="G145" i="37"/>
  <c r="G135" i="37"/>
  <c r="G136" i="37"/>
  <c r="G137" i="37"/>
  <c r="G138" i="37"/>
  <c r="G141" i="37"/>
  <c r="G142" i="37"/>
  <c r="G143" i="37"/>
  <c r="G144" i="37"/>
  <c r="G148" i="37"/>
  <c r="G149" i="37"/>
  <c r="G150" i="37"/>
  <c r="G151" i="37"/>
  <c r="G152" i="37"/>
  <c r="G155" i="37"/>
  <c r="G156" i="37"/>
  <c r="G157" i="37"/>
  <c r="G158" i="37"/>
  <c r="G159" i="37"/>
  <c r="G162" i="37"/>
  <c r="G160" i="37"/>
  <c r="I153" i="37"/>
  <c r="H153" i="37"/>
  <c r="H146" i="37"/>
  <c r="G146" i="37"/>
  <c r="AE69" i="3"/>
  <c r="AF69" i="3" s="1"/>
  <c r="AG69" i="3" s="1"/>
  <c r="AK69" i="3"/>
  <c r="AL69" i="3" s="1"/>
  <c r="AM69" i="3" s="1"/>
  <c r="AN69" i="3" s="1"/>
  <c r="AO69" i="3" s="1"/>
  <c r="AP69" i="3" s="1"/>
  <c r="U69" i="3"/>
  <c r="V69" i="3" s="1"/>
  <c r="W69" i="3" s="1"/>
  <c r="X69" i="3" s="1"/>
  <c r="Y69" i="3" s="1"/>
  <c r="Z69" i="3" s="1"/>
  <c r="N69" i="3"/>
  <c r="N99" i="3"/>
  <c r="N99" i="4"/>
  <c r="N669" i="2"/>
  <c r="N1033" i="36"/>
  <c r="Q58" i="25" l="1"/>
  <c r="Q61" i="25" s="1"/>
  <c r="Q63" i="25" s="1"/>
  <c r="I146" i="37"/>
  <c r="H161" i="37"/>
  <c r="G154" i="37"/>
  <c r="G139" i="37"/>
  <c r="I161" i="37"/>
  <c r="J131" i="37"/>
  <c r="I160" i="37"/>
  <c r="J124" i="37"/>
  <c r="J184" i="37" s="1"/>
  <c r="I154" i="37"/>
  <c r="I184" i="37"/>
  <c r="I190" i="37"/>
  <c r="I191" i="37"/>
  <c r="J117" i="37"/>
  <c r="J177" i="37" s="1"/>
  <c r="I177" i="37"/>
  <c r="I183" i="37"/>
  <c r="J110" i="37"/>
  <c r="J170" i="37" s="1"/>
  <c r="I169" i="37"/>
  <c r="I176" i="37"/>
  <c r="I170" i="37"/>
  <c r="U73" i="3"/>
  <c r="AD73" i="3"/>
  <c r="AK73" i="3"/>
  <c r="N73" i="3"/>
  <c r="N72" i="3" s="1"/>
  <c r="N71" i="3" s="1"/>
  <c r="O69" i="3"/>
  <c r="O127" i="38"/>
  <c r="O126" i="38" s="1"/>
  <c r="K13" i="40"/>
  <c r="N82" i="25"/>
  <c r="J183" i="37" l="1"/>
  <c r="J123" i="37" s="1"/>
  <c r="J190" i="37"/>
  <c r="J130" i="37" s="1"/>
  <c r="J176" i="37"/>
  <c r="J116" i="37" s="1"/>
  <c r="J169" i="37"/>
  <c r="J109" i="37" s="1"/>
  <c r="Q56" i="19"/>
  <c r="Q55" i="19" s="1"/>
  <c r="R58" i="25"/>
  <c r="R61" i="25" s="1"/>
  <c r="R63" i="25" s="1"/>
  <c r="J191" i="37"/>
  <c r="O73" i="3"/>
  <c r="O72" i="3" s="1"/>
  <c r="O71" i="3" s="1"/>
  <c r="AL73" i="3"/>
  <c r="V73" i="3"/>
  <c r="AE73" i="3"/>
  <c r="AF73" i="3" s="1"/>
  <c r="AG73" i="3" s="1"/>
  <c r="AH73" i="3" s="1"/>
  <c r="P69" i="3"/>
  <c r="K109" i="37" l="1"/>
  <c r="L109" i="37" s="1"/>
  <c r="M109" i="37" s="1"/>
  <c r="J108" i="37"/>
  <c r="J115" i="37"/>
  <c r="K116" i="37"/>
  <c r="L116" i="37" s="1"/>
  <c r="M116" i="37" s="1"/>
  <c r="K130" i="37"/>
  <c r="L130" i="37" s="1"/>
  <c r="M130" i="37" s="1"/>
  <c r="N130" i="37" s="1"/>
  <c r="J129" i="37"/>
  <c r="K123" i="37"/>
  <c r="L123" i="37" s="1"/>
  <c r="M123" i="37" s="1"/>
  <c r="J122" i="37"/>
  <c r="R56" i="19"/>
  <c r="R55" i="19" s="1"/>
  <c r="S58" i="25"/>
  <c r="S61" i="25" s="1"/>
  <c r="S63" i="25" s="1"/>
  <c r="N123" i="37"/>
  <c r="N116" i="37"/>
  <c r="Q69" i="3"/>
  <c r="W73" i="3"/>
  <c r="AM73" i="3"/>
  <c r="P73" i="3"/>
  <c r="P72" i="3" s="1"/>
  <c r="P71" i="3" s="1"/>
  <c r="P70" i="3"/>
  <c r="O629" i="2"/>
  <c r="N629" i="2"/>
  <c r="O618" i="2"/>
  <c r="N618" i="2"/>
  <c r="AE618" i="2"/>
  <c r="P618" i="2" s="1"/>
  <c r="S56" i="19" l="1"/>
  <c r="S55" i="19" s="1"/>
  <c r="T58" i="25"/>
  <c r="T61" i="25" s="1"/>
  <c r="T63" i="25" s="1"/>
  <c r="O130" i="37"/>
  <c r="O123" i="37"/>
  <c r="O116" i="37"/>
  <c r="N109" i="37"/>
  <c r="AN73" i="3"/>
  <c r="Q73" i="3"/>
  <c r="Q72" i="3" s="1"/>
  <c r="Q71" i="3" s="1"/>
  <c r="X73" i="3"/>
  <c r="Q70" i="3"/>
  <c r="S69" i="3"/>
  <c r="R69" i="3"/>
  <c r="AF618" i="2"/>
  <c r="AG618" i="2" s="1"/>
  <c r="Q629" i="2"/>
  <c r="G153" i="33"/>
  <c r="G154" i="33" s="1"/>
  <c r="G151" i="33"/>
  <c r="G150" i="33" s="1"/>
  <c r="G136" i="33"/>
  <c r="G135" i="33" s="1"/>
  <c r="G134" i="33" s="1"/>
  <c r="G133" i="33" s="1"/>
  <c r="G138" i="33"/>
  <c r="G139" i="33" s="1"/>
  <c r="G140" i="33" s="1"/>
  <c r="G141" i="33" s="1"/>
  <c r="M147" i="33"/>
  <c r="N147" i="33" s="1"/>
  <c r="O147" i="33" s="1"/>
  <c r="P147" i="33" s="1"/>
  <c r="K147" i="33"/>
  <c r="J147" i="33" s="1"/>
  <c r="I147" i="33" s="1"/>
  <c r="H147" i="33" s="1"/>
  <c r="M132" i="33"/>
  <c r="N132" i="33" s="1"/>
  <c r="O132" i="33" s="1"/>
  <c r="P132" i="33" s="1"/>
  <c r="K132" i="33"/>
  <c r="J132" i="33" s="1"/>
  <c r="I132" i="33" s="1"/>
  <c r="H132" i="33" s="1"/>
  <c r="J41" i="3"/>
  <c r="T56" i="19" l="1"/>
  <c r="T55" i="19" s="1"/>
  <c r="U58" i="25"/>
  <c r="U61" i="25" s="1"/>
  <c r="U56" i="19" s="1"/>
  <c r="U55" i="19" s="1"/>
  <c r="O109" i="37"/>
  <c r="R70" i="3"/>
  <c r="S70" i="3"/>
  <c r="AO73" i="3"/>
  <c r="R73" i="3"/>
  <c r="R72" i="3" s="1"/>
  <c r="R71" i="3" s="1"/>
  <c r="Y73" i="3"/>
  <c r="Q618" i="2"/>
  <c r="P629" i="2"/>
  <c r="S629" i="2"/>
  <c r="R629" i="2"/>
  <c r="G155" i="33"/>
  <c r="G149" i="33"/>
  <c r="M228" i="5"/>
  <c r="L228" i="5"/>
  <c r="J228" i="5"/>
  <c r="I228" i="5"/>
  <c r="H228" i="5"/>
  <c r="H23" i="5"/>
  <c r="I23" i="5"/>
  <c r="J23" i="5"/>
  <c r="L23" i="5"/>
  <c r="M23" i="5"/>
  <c r="N34" i="25"/>
  <c r="N43" i="25"/>
  <c r="U63" i="25" l="1"/>
  <c r="S73" i="3"/>
  <c r="S72" i="3" s="1"/>
  <c r="S71" i="3" s="1"/>
  <c r="AP73" i="3"/>
  <c r="Z73" i="3"/>
  <c r="S618" i="2"/>
  <c r="R618" i="2"/>
  <c r="G148" i="33"/>
  <c r="G156" i="33"/>
  <c r="M11" i="25"/>
  <c r="N11" i="25" s="1"/>
  <c r="K82" i="41"/>
  <c r="J82" i="41"/>
  <c r="H82" i="41"/>
  <c r="K73" i="41"/>
  <c r="J73" i="41"/>
  <c r="H73" i="41"/>
  <c r="K64" i="41"/>
  <c r="J64" i="41"/>
  <c r="H64" i="41"/>
  <c r="K55" i="41"/>
  <c r="J55" i="41"/>
  <c r="H55" i="41"/>
  <c r="G45" i="41" l="1"/>
  <c r="H45" i="41"/>
  <c r="J45" i="41"/>
  <c r="K45" i="41"/>
  <c r="F45" i="41"/>
  <c r="H968" i="36"/>
  <c r="AC952" i="36"/>
  <c r="AC953" i="36"/>
  <c r="G42" i="41"/>
  <c r="H42" i="41"/>
  <c r="I42" i="41"/>
  <c r="J42" i="41"/>
  <c r="K42" i="41"/>
  <c r="K46" i="41" s="1"/>
  <c r="K47" i="41" s="1"/>
  <c r="G43" i="41"/>
  <c r="H43" i="41"/>
  <c r="I43" i="41"/>
  <c r="F43" i="41"/>
  <c r="F42" i="41"/>
  <c r="K37" i="41"/>
  <c r="G37" i="41"/>
  <c r="H37" i="41"/>
  <c r="J37" i="41"/>
  <c r="F37" i="41"/>
  <c r="K28" i="41"/>
  <c r="J28" i="41"/>
  <c r="G28" i="41"/>
  <c r="H28" i="41"/>
  <c r="F28" i="41"/>
  <c r="K218" i="36"/>
  <c r="K219" i="36"/>
  <c r="K220" i="36"/>
  <c r="K221" i="36"/>
  <c r="K222" i="36"/>
  <c r="L222" i="36" s="1"/>
  <c r="M222" i="36" s="1"/>
  <c r="F19" i="41"/>
  <c r="K19" i="41"/>
  <c r="J19" i="41"/>
  <c r="G19" i="41"/>
  <c r="H19" i="41"/>
  <c r="I319" i="36"/>
  <c r="K10" i="41"/>
  <c r="J10" i="41"/>
  <c r="G10" i="41"/>
  <c r="H10" i="41"/>
  <c r="F10" i="41"/>
  <c r="F46" i="41" l="1"/>
  <c r="F47" i="41" s="1"/>
  <c r="J46" i="41"/>
  <c r="J47" i="41" s="1"/>
  <c r="F44" i="41"/>
  <c r="I44" i="41"/>
  <c r="G44" i="41"/>
  <c r="G46" i="41"/>
  <c r="G47" i="41" s="1"/>
  <c r="H44" i="41"/>
  <c r="H46" i="41"/>
  <c r="H47" i="41" s="1"/>
  <c r="I90" i="37" l="1"/>
  <c r="I88" i="37"/>
  <c r="I87" i="37"/>
  <c r="I195" i="37"/>
  <c r="I196" i="37"/>
  <c r="I197" i="37"/>
  <c r="I198" i="37"/>
  <c r="H198" i="37"/>
  <c r="H197" i="37"/>
  <c r="H196" i="37"/>
  <c r="H195" i="37"/>
  <c r="AD254" i="2"/>
  <c r="J99" i="37"/>
  <c r="I207" i="37"/>
  <c r="J121" i="37"/>
  <c r="K121" i="37" s="1"/>
  <c r="L121" i="37" s="1"/>
  <c r="M121" i="37" s="1"/>
  <c r="N121" i="37" s="1"/>
  <c r="O121" i="37" s="1"/>
  <c r="H157" i="37"/>
  <c r="I157" i="37"/>
  <c r="H158" i="37"/>
  <c r="I158" i="37"/>
  <c r="H159" i="37"/>
  <c r="I159" i="37"/>
  <c r="H162" i="37"/>
  <c r="I162" i="37"/>
  <c r="I156" i="37"/>
  <c r="H150" i="37"/>
  <c r="I150" i="37"/>
  <c r="H151" i="37"/>
  <c r="I151" i="37"/>
  <c r="H152" i="37"/>
  <c r="I152" i="37"/>
  <c r="H155" i="37"/>
  <c r="I155" i="37"/>
  <c r="I149" i="37"/>
  <c r="H143" i="37"/>
  <c r="I143" i="37"/>
  <c r="H144" i="37"/>
  <c r="I144" i="37"/>
  <c r="H145" i="37"/>
  <c r="I145" i="37"/>
  <c r="H148" i="37"/>
  <c r="I148" i="37"/>
  <c r="I142" i="37"/>
  <c r="H136" i="37"/>
  <c r="I136" i="37"/>
  <c r="H137" i="37"/>
  <c r="I137" i="37"/>
  <c r="H138" i="37"/>
  <c r="I138" i="37"/>
  <c r="H141" i="37"/>
  <c r="I141" i="37"/>
  <c r="I135" i="37"/>
  <c r="H156" i="37"/>
  <c r="H149" i="37"/>
  <c r="H142" i="37"/>
  <c r="H135" i="37"/>
  <c r="I1" i="37"/>
  <c r="H1" i="37"/>
  <c r="F1" i="37"/>
  <c r="G1" i="37"/>
  <c r="E1" i="37"/>
  <c r="I192" i="37"/>
  <c r="J192" i="37" s="1"/>
  <c r="J132" i="37" s="1"/>
  <c r="K132" i="37" s="1"/>
  <c r="L132" i="37" s="1"/>
  <c r="M132" i="37" s="1"/>
  <c r="N132" i="37" s="1"/>
  <c r="O132" i="37" s="1"/>
  <c r="I189" i="37"/>
  <c r="J189" i="37" s="1"/>
  <c r="I188" i="37"/>
  <c r="I187" i="37"/>
  <c r="I186" i="37"/>
  <c r="I185" i="37"/>
  <c r="J185" i="37" s="1"/>
  <c r="I182" i="37"/>
  <c r="J182" i="37" s="1"/>
  <c r="I180" i="37"/>
  <c r="I179" i="37"/>
  <c r="I178" i="37"/>
  <c r="J178" i="37" s="1"/>
  <c r="J114" i="37"/>
  <c r="K114" i="37" s="1"/>
  <c r="L114" i="37" s="1"/>
  <c r="M114" i="37" s="1"/>
  <c r="N114" i="37" s="1"/>
  <c r="O114" i="37" s="1"/>
  <c r="I173" i="37"/>
  <c r="I172" i="37"/>
  <c r="I167" i="37"/>
  <c r="F48" i="34"/>
  <c r="G48" i="34"/>
  <c r="H48" i="34"/>
  <c r="I48" i="34"/>
  <c r="Q48" i="34" s="1"/>
  <c r="J48" i="34"/>
  <c r="F49" i="34"/>
  <c r="G49" i="34"/>
  <c r="H49" i="34"/>
  <c r="I49" i="34"/>
  <c r="J49" i="34"/>
  <c r="E48" i="34"/>
  <c r="I27" i="34"/>
  <c r="J27" i="34"/>
  <c r="I28" i="34"/>
  <c r="J28" i="34"/>
  <c r="E26" i="34"/>
  <c r="F107" i="34"/>
  <c r="G107" i="34"/>
  <c r="H107" i="34"/>
  <c r="I107" i="34"/>
  <c r="J107" i="34"/>
  <c r="F108" i="34"/>
  <c r="G108" i="34"/>
  <c r="I108" i="34"/>
  <c r="J108" i="34"/>
  <c r="F109" i="34"/>
  <c r="G109" i="34"/>
  <c r="I109" i="34"/>
  <c r="J109" i="34"/>
  <c r="F110" i="34"/>
  <c r="G110" i="34"/>
  <c r="I110" i="34"/>
  <c r="J110" i="34"/>
  <c r="E110" i="34"/>
  <c r="E109" i="34"/>
  <c r="E108" i="34"/>
  <c r="E107" i="34"/>
  <c r="I119" i="38"/>
  <c r="J117" i="38" s="1"/>
  <c r="J188" i="37" l="1"/>
  <c r="J128" i="37" s="1"/>
  <c r="K128" i="37" s="1"/>
  <c r="L128" i="37" s="1"/>
  <c r="M128" i="37" s="1"/>
  <c r="N128" i="37" s="1"/>
  <c r="O128" i="37" s="1"/>
  <c r="J173" i="37"/>
  <c r="J113" i="37" s="1"/>
  <c r="K113" i="37" s="1"/>
  <c r="L113" i="37" s="1"/>
  <c r="M113" i="37" s="1"/>
  <c r="N113" i="37" s="1"/>
  <c r="O113" i="37" s="1"/>
  <c r="J187" i="37"/>
  <c r="J127" i="37" s="1"/>
  <c r="J167" i="37"/>
  <c r="J107" i="37" s="1"/>
  <c r="K107" i="37" s="1"/>
  <c r="J180" i="37"/>
  <c r="J120" i="37" s="1"/>
  <c r="K120" i="37" s="1"/>
  <c r="L120" i="37" s="1"/>
  <c r="M120" i="37" s="1"/>
  <c r="N120" i="37" s="1"/>
  <c r="O120" i="37" s="1"/>
  <c r="J125" i="37"/>
  <c r="K125" i="37" s="1"/>
  <c r="L125" i="37" s="1"/>
  <c r="M125" i="37" s="1"/>
  <c r="N125" i="37" s="1"/>
  <c r="O125" i="37" s="1"/>
  <c r="J118" i="37"/>
  <c r="K118" i="37" s="1"/>
  <c r="L118" i="37" s="1"/>
  <c r="M118" i="37" s="1"/>
  <c r="N118" i="37" s="1"/>
  <c r="O118" i="37" s="1"/>
  <c r="Q49" i="34"/>
  <c r="I203" i="37"/>
  <c r="I206" i="37"/>
  <c r="I208" i="37"/>
  <c r="I168" i="37"/>
  <c r="J168" i="37" s="1"/>
  <c r="I166" i="37"/>
  <c r="I171" i="37"/>
  <c r="J171" i="37" s="1"/>
  <c r="J111" i="37" s="1"/>
  <c r="I165" i="37"/>
  <c r="F83" i="40"/>
  <c r="G83" i="40"/>
  <c r="H83" i="40"/>
  <c r="I83" i="40"/>
  <c r="F84" i="40"/>
  <c r="G84" i="40"/>
  <c r="H84" i="40"/>
  <c r="I84" i="40"/>
  <c r="J84" i="40"/>
  <c r="K84" i="40"/>
  <c r="L84" i="40"/>
  <c r="M84" i="40"/>
  <c r="N84" i="40"/>
  <c r="O84" i="40"/>
  <c r="P84" i="40"/>
  <c r="E84" i="40"/>
  <c r="E83" i="40"/>
  <c r="F74" i="40"/>
  <c r="G74" i="40"/>
  <c r="H74" i="40"/>
  <c r="I74" i="40"/>
  <c r="F75" i="40"/>
  <c r="G75" i="40"/>
  <c r="H75" i="40"/>
  <c r="I75" i="40"/>
  <c r="J75" i="40"/>
  <c r="K75" i="40"/>
  <c r="L75" i="40"/>
  <c r="M75" i="40"/>
  <c r="N75" i="40"/>
  <c r="O75" i="40"/>
  <c r="P75" i="40"/>
  <c r="E75" i="40"/>
  <c r="E74" i="40"/>
  <c r="E66" i="40"/>
  <c r="F66" i="40"/>
  <c r="G66" i="40"/>
  <c r="H66" i="40"/>
  <c r="I66" i="40"/>
  <c r="J66" i="40"/>
  <c r="K66" i="40"/>
  <c r="L66" i="40"/>
  <c r="M66" i="40"/>
  <c r="N66" i="40"/>
  <c r="O66" i="40"/>
  <c r="P66" i="40"/>
  <c r="E67" i="40"/>
  <c r="F67" i="40"/>
  <c r="G67" i="40"/>
  <c r="H67" i="40"/>
  <c r="I67" i="40"/>
  <c r="J67" i="40"/>
  <c r="F65" i="40"/>
  <c r="G65" i="40"/>
  <c r="H65" i="40"/>
  <c r="I65" i="40"/>
  <c r="J65" i="40"/>
  <c r="E65" i="40"/>
  <c r="F57" i="40"/>
  <c r="G57" i="40"/>
  <c r="H57" i="40"/>
  <c r="I57" i="40"/>
  <c r="J57" i="40"/>
  <c r="K57" i="40"/>
  <c r="L57" i="40"/>
  <c r="M57" i="40"/>
  <c r="N57" i="40"/>
  <c r="O57" i="40"/>
  <c r="P57" i="40"/>
  <c r="E57" i="40"/>
  <c r="E56" i="40"/>
  <c r="F48" i="40"/>
  <c r="G48" i="40"/>
  <c r="F49" i="40"/>
  <c r="G49" i="40"/>
  <c r="H49" i="40"/>
  <c r="I49" i="40"/>
  <c r="J49" i="40"/>
  <c r="K49" i="40"/>
  <c r="L49" i="40"/>
  <c r="M49" i="40"/>
  <c r="N49" i="40"/>
  <c r="O49" i="40"/>
  <c r="P49" i="40"/>
  <c r="E49" i="40"/>
  <c r="E50" i="40"/>
  <c r="E48" i="40"/>
  <c r="F42" i="40"/>
  <c r="G42" i="40"/>
  <c r="H42" i="40"/>
  <c r="I42" i="40"/>
  <c r="J42" i="40"/>
  <c r="K42" i="40"/>
  <c r="L42" i="40"/>
  <c r="M42" i="40"/>
  <c r="N42" i="40"/>
  <c r="O42" i="40"/>
  <c r="P42" i="40"/>
  <c r="E42" i="40"/>
  <c r="F35" i="40"/>
  <c r="G35" i="40"/>
  <c r="H35" i="40"/>
  <c r="I35" i="40"/>
  <c r="J35" i="40"/>
  <c r="K35" i="40"/>
  <c r="L35" i="40"/>
  <c r="M35" i="40"/>
  <c r="N35" i="40"/>
  <c r="O35" i="40"/>
  <c r="P35" i="40"/>
  <c r="E35" i="40"/>
  <c r="E34" i="40"/>
  <c r="F28" i="40"/>
  <c r="G28" i="40"/>
  <c r="H28" i="40"/>
  <c r="I28" i="40"/>
  <c r="J28" i="40"/>
  <c r="K28" i="40"/>
  <c r="L28" i="40"/>
  <c r="M28" i="40"/>
  <c r="N28" i="40"/>
  <c r="O28" i="40"/>
  <c r="P28" i="40"/>
  <c r="E28" i="40"/>
  <c r="E27" i="40"/>
  <c r="K21" i="40"/>
  <c r="L21" i="40"/>
  <c r="M21" i="40"/>
  <c r="N21" i="40"/>
  <c r="O21" i="40"/>
  <c r="P21" i="40"/>
  <c r="J4" i="34"/>
  <c r="J7" i="34"/>
  <c r="J8" i="34"/>
  <c r="J9" i="34"/>
  <c r="J10" i="34"/>
  <c r="J11" i="34"/>
  <c r="J12" i="34"/>
  <c r="J14" i="34"/>
  <c r="J15" i="34"/>
  <c r="J16" i="34"/>
  <c r="J17" i="34"/>
  <c r="J18" i="34"/>
  <c r="J19" i="34"/>
  <c r="J20" i="34"/>
  <c r="N48" i="19"/>
  <c r="J126" i="37" l="1"/>
  <c r="K127" i="37"/>
  <c r="L127" i="37" s="1"/>
  <c r="M127" i="37" s="1"/>
  <c r="N127" i="37" s="1"/>
  <c r="O127" i="37" s="1"/>
  <c r="J166" i="37"/>
  <c r="J106" i="37" s="1"/>
  <c r="J119" i="37"/>
  <c r="J150" i="37" s="1"/>
  <c r="J112" i="37"/>
  <c r="J147" i="37" s="1"/>
  <c r="K111" i="37"/>
  <c r="J207" i="37"/>
  <c r="J208" i="37"/>
  <c r="L107" i="37"/>
  <c r="I171" i="38"/>
  <c r="E60" i="40" s="1"/>
  <c r="N24" i="24"/>
  <c r="N23" i="24"/>
  <c r="N123" i="24"/>
  <c r="N126" i="24"/>
  <c r="N73" i="24"/>
  <c r="N65" i="19"/>
  <c r="N66" i="19"/>
  <c r="N62" i="19"/>
  <c r="N63" i="19"/>
  <c r="N64" i="19"/>
  <c r="N67" i="19"/>
  <c r="N68" i="19"/>
  <c r="N77" i="19"/>
  <c r="P77" i="19" s="1"/>
  <c r="N12" i="19"/>
  <c r="M23" i="22"/>
  <c r="L23" i="22"/>
  <c r="M17" i="22"/>
  <c r="K33" i="22"/>
  <c r="M12" i="25"/>
  <c r="N12" i="25" s="1"/>
  <c r="P12" i="25" s="1"/>
  <c r="K12" i="25"/>
  <c r="J12" i="25"/>
  <c r="I12" i="25"/>
  <c r="N73" i="19"/>
  <c r="N76" i="19"/>
  <c r="J105" i="37" l="1"/>
  <c r="L55" i="41" s="1"/>
  <c r="K106" i="37"/>
  <c r="L106" i="37" s="1"/>
  <c r="J142" i="37"/>
  <c r="J196" i="37"/>
  <c r="J204" i="37" s="1"/>
  <c r="P76" i="19"/>
  <c r="Q76" i="19" s="1"/>
  <c r="R76" i="19" s="1"/>
  <c r="S76" i="19" s="1"/>
  <c r="T76" i="19" s="1"/>
  <c r="U76" i="19" s="1"/>
  <c r="J149" i="37"/>
  <c r="J151" i="37"/>
  <c r="J155" i="37"/>
  <c r="J152" i="37"/>
  <c r="L73" i="41"/>
  <c r="J197" i="37"/>
  <c r="J205" i="37" s="1"/>
  <c r="J153" i="37"/>
  <c r="J179" i="37"/>
  <c r="J154" i="37"/>
  <c r="J141" i="37"/>
  <c r="J137" i="37"/>
  <c r="J139" i="37"/>
  <c r="J165" i="37"/>
  <c r="J138" i="37"/>
  <c r="J135" i="37"/>
  <c r="J140" i="37"/>
  <c r="J195" i="37"/>
  <c r="J203" i="37" s="1"/>
  <c r="L64" i="41"/>
  <c r="J144" i="37"/>
  <c r="J172" i="37"/>
  <c r="J136" i="37"/>
  <c r="J145" i="37"/>
  <c r="J143" i="37"/>
  <c r="J148" i="37"/>
  <c r="J146" i="37"/>
  <c r="M107" i="37"/>
  <c r="L111" i="37"/>
  <c r="K207" i="37"/>
  <c r="K208" i="37"/>
  <c r="O21" i="22"/>
  <c r="N74" i="19"/>
  <c r="N62" i="24"/>
  <c r="O62" i="24"/>
  <c r="P62" i="24"/>
  <c r="Q62" i="24"/>
  <c r="R62" i="24"/>
  <c r="S62" i="24"/>
  <c r="E63" i="24"/>
  <c r="E64" i="24" a="1"/>
  <c r="E64" i="24" s="1"/>
  <c r="N65" i="24"/>
  <c r="N66" i="24"/>
  <c r="O66" i="24"/>
  <c r="N67" i="24"/>
  <c r="O67" i="24"/>
  <c r="P67" i="24"/>
  <c r="N68" i="24"/>
  <c r="O68" i="24"/>
  <c r="P68" i="24"/>
  <c r="Q68" i="24"/>
  <c r="N69" i="24"/>
  <c r="O69" i="24"/>
  <c r="P69" i="24"/>
  <c r="Q69" i="24"/>
  <c r="R69" i="24"/>
  <c r="P12" i="19"/>
  <c r="Q12" i="19" s="1"/>
  <c r="Q15" i="19"/>
  <c r="R15" i="19" s="1"/>
  <c r="S15" i="19" s="1"/>
  <c r="T15" i="19" s="1"/>
  <c r="U15" i="19" s="1"/>
  <c r="Q80" i="19"/>
  <c r="Q77" i="19"/>
  <c r="R77" i="19" s="1"/>
  <c r="S77" i="19" s="1"/>
  <c r="T77" i="19" s="1"/>
  <c r="U77" i="19" s="1"/>
  <c r="O73" i="19"/>
  <c r="O79" i="19" s="1"/>
  <c r="O81" i="19" s="1"/>
  <c r="P43" i="25"/>
  <c r="P34" i="25"/>
  <c r="P51" i="25"/>
  <c r="P74" i="19" l="1"/>
  <c r="Q74" i="19" s="1"/>
  <c r="R74" i="19" s="1"/>
  <c r="S74" i="19" s="1"/>
  <c r="T74" i="19" s="1"/>
  <c r="U74" i="19" s="1"/>
  <c r="P73" i="19"/>
  <c r="Q73" i="19" s="1"/>
  <c r="R73" i="19" s="1"/>
  <c r="S73" i="19" s="1"/>
  <c r="T73" i="19" s="1"/>
  <c r="U73" i="19" s="1"/>
  <c r="R12" i="19"/>
  <c r="P63" i="24"/>
  <c r="O63" i="24"/>
  <c r="N63" i="24"/>
  <c r="Q63" i="24"/>
  <c r="M106" i="37"/>
  <c r="M111" i="37"/>
  <c r="L207" i="37"/>
  <c r="N107" i="37"/>
  <c r="S66" i="24"/>
  <c r="R66" i="24"/>
  <c r="Q66" i="24"/>
  <c r="P66" i="24"/>
  <c r="R65" i="24"/>
  <c r="O65" i="24"/>
  <c r="Q65" i="24"/>
  <c r="S68" i="24"/>
  <c r="R68" i="24"/>
  <c r="S65" i="24"/>
  <c r="P65" i="24"/>
  <c r="R67" i="24"/>
  <c r="Q67" i="24"/>
  <c r="S63" i="24"/>
  <c r="R63" i="24"/>
  <c r="S67" i="24"/>
  <c r="O64" i="24"/>
  <c r="P64" i="24"/>
  <c r="N64" i="24"/>
  <c r="Q64" i="24"/>
  <c r="S64" i="24"/>
  <c r="R64" i="24"/>
  <c r="S69" i="24"/>
  <c r="R80" i="19"/>
  <c r="S80" i="19" s="1"/>
  <c r="T80" i="19" s="1"/>
  <c r="U80" i="19" s="1"/>
  <c r="S12" i="19" l="1"/>
  <c r="O107" i="37"/>
  <c r="N111" i="37"/>
  <c r="M207" i="37"/>
  <c r="M208" i="37"/>
  <c r="N106" i="37"/>
  <c r="I7" i="25"/>
  <c r="J7" i="25"/>
  <c r="K7" i="25"/>
  <c r="L7" i="25"/>
  <c r="M7" i="25"/>
  <c r="H7" i="25"/>
  <c r="I97" i="19"/>
  <c r="H97" i="19"/>
  <c r="N25" i="24"/>
  <c r="L26" i="24"/>
  <c r="L25" i="24"/>
  <c r="L24" i="24"/>
  <c r="L23" i="24"/>
  <c r="I23" i="24"/>
  <c r="I24" i="24"/>
  <c r="I25" i="24"/>
  <c r="I26" i="24"/>
  <c r="J26" i="24"/>
  <c r="J25" i="24"/>
  <c r="J24" i="24"/>
  <c r="J23" i="24"/>
  <c r="H26" i="24"/>
  <c r="H25" i="24"/>
  <c r="H24" i="24"/>
  <c r="H23" i="24"/>
  <c r="K15" i="22"/>
  <c r="K17" i="22" s="1"/>
  <c r="O97" i="19"/>
  <c r="J97" i="19"/>
  <c r="L97" i="19"/>
  <c r="M97" i="19"/>
  <c r="I87" i="19"/>
  <c r="J87" i="19"/>
  <c r="L12" i="25"/>
  <c r="P63" i="19"/>
  <c r="Q63" i="19" s="1"/>
  <c r="R63" i="19" s="1"/>
  <c r="S63" i="19" s="1"/>
  <c r="T63" i="19" s="1"/>
  <c r="U63" i="19" s="1"/>
  <c r="P64" i="19"/>
  <c r="Q64" i="19" s="1"/>
  <c r="R64" i="19" s="1"/>
  <c r="S64" i="19" s="1"/>
  <c r="T64" i="19" s="1"/>
  <c r="U64" i="19" s="1"/>
  <c r="P65" i="19"/>
  <c r="Q65" i="19" s="1"/>
  <c r="R65" i="19" s="1"/>
  <c r="S65" i="19" s="1"/>
  <c r="T65" i="19" s="1"/>
  <c r="U65" i="19" s="1"/>
  <c r="P66" i="19"/>
  <c r="Q66" i="19" s="1"/>
  <c r="R66" i="19" s="1"/>
  <c r="S66" i="19" s="1"/>
  <c r="T66" i="19" s="1"/>
  <c r="U66" i="19" s="1"/>
  <c r="P67" i="19"/>
  <c r="Q67" i="19" s="1"/>
  <c r="R67" i="19" s="1"/>
  <c r="S67" i="19" s="1"/>
  <c r="T67" i="19" s="1"/>
  <c r="U67" i="19" s="1"/>
  <c r="P68" i="19"/>
  <c r="Q68" i="19" s="1"/>
  <c r="R68" i="19" s="1"/>
  <c r="S68" i="19" s="1"/>
  <c r="T68" i="19" s="1"/>
  <c r="U68" i="19" s="1"/>
  <c r="P62" i="19"/>
  <c r="Q62" i="19" s="1"/>
  <c r="R62" i="19" s="1"/>
  <c r="S62" i="19" s="1"/>
  <c r="T62" i="19" s="1"/>
  <c r="U62" i="19" s="1"/>
  <c r="N75" i="19"/>
  <c r="N49" i="19"/>
  <c r="P49" i="19" s="1"/>
  <c r="Q49" i="19" s="1"/>
  <c r="R49" i="19" s="1"/>
  <c r="S49" i="19" s="1"/>
  <c r="T49" i="19" s="1"/>
  <c r="U49" i="19" s="1"/>
  <c r="N50" i="19"/>
  <c r="P50" i="19" s="1"/>
  <c r="Q50" i="19" s="1"/>
  <c r="R50" i="19" s="1"/>
  <c r="S50" i="19" s="1"/>
  <c r="T50" i="19" s="1"/>
  <c r="U50" i="19" s="1"/>
  <c r="N51" i="19"/>
  <c r="P48" i="19"/>
  <c r="N22" i="19"/>
  <c r="N18" i="19"/>
  <c r="N17" i="19"/>
  <c r="P17" i="19" s="1"/>
  <c r="N38" i="19"/>
  <c r="P38" i="19" s="1"/>
  <c r="Q38" i="19" s="1"/>
  <c r="R38" i="19" s="1"/>
  <c r="S38" i="19" s="1"/>
  <c r="T38" i="19" s="1"/>
  <c r="U38" i="19" s="1"/>
  <c r="N37" i="19"/>
  <c r="P37" i="19" s="1"/>
  <c r="Q37" i="19" s="1"/>
  <c r="R37" i="19" s="1"/>
  <c r="S37" i="19" s="1"/>
  <c r="T37" i="19" s="1"/>
  <c r="U37" i="19" s="1"/>
  <c r="N36" i="19"/>
  <c r="P36" i="19" s="1"/>
  <c r="Q36" i="19" s="1"/>
  <c r="R36" i="19" s="1"/>
  <c r="S36" i="19" s="1"/>
  <c r="T36" i="19" s="1"/>
  <c r="U36" i="19" s="1"/>
  <c r="N35" i="19"/>
  <c r="P35" i="19" s="1"/>
  <c r="Q35" i="19" s="1"/>
  <c r="R35" i="19" s="1"/>
  <c r="S35" i="19" s="1"/>
  <c r="T35" i="19" s="1"/>
  <c r="U35" i="19" s="1"/>
  <c r="N34" i="19"/>
  <c r="P34" i="19" s="1"/>
  <c r="Q34" i="19" s="1"/>
  <c r="R34" i="19" s="1"/>
  <c r="S34" i="19" s="1"/>
  <c r="T34" i="19" s="1"/>
  <c r="U34" i="19" s="1"/>
  <c r="P32" i="19"/>
  <c r="Q32" i="19" s="1"/>
  <c r="P18" i="19" l="1"/>
  <c r="Q18" i="19" s="1"/>
  <c r="R18" i="19" s="1"/>
  <c r="S18" i="19" s="1"/>
  <c r="T18" i="19" s="1"/>
  <c r="U18" i="19" s="1"/>
  <c r="P22" i="19"/>
  <c r="Q22" i="19" s="1"/>
  <c r="R22" i="19" s="1"/>
  <c r="S22" i="19" s="1"/>
  <c r="T22" i="19" s="1"/>
  <c r="U22" i="19" s="1"/>
  <c r="P51" i="19"/>
  <c r="Q51" i="19" s="1"/>
  <c r="R51" i="19" s="1"/>
  <c r="S51" i="19" s="1"/>
  <c r="T51" i="19" s="1"/>
  <c r="U51" i="19" s="1"/>
  <c r="L27" i="24"/>
  <c r="N23" i="22"/>
  <c r="P75" i="19"/>
  <c r="Q75" i="19" s="1"/>
  <c r="P23" i="22" s="1"/>
  <c r="R75" i="19"/>
  <c r="T12" i="19"/>
  <c r="M90" i="19"/>
  <c r="J162" i="37"/>
  <c r="J186" i="37"/>
  <c r="J158" i="37"/>
  <c r="J157" i="37"/>
  <c r="J161" i="37"/>
  <c r="J156" i="37"/>
  <c r="J198" i="37"/>
  <c r="J206" i="37" s="1"/>
  <c r="L82" i="41"/>
  <c r="J160" i="37"/>
  <c r="J159" i="37"/>
  <c r="M98" i="19"/>
  <c r="M11" i="22" s="1"/>
  <c r="I27" i="24"/>
  <c r="O106" i="37"/>
  <c r="O111" i="37"/>
  <c r="N207" i="37"/>
  <c r="N17" i="22"/>
  <c r="L98" i="19"/>
  <c r="L11" i="22" s="1"/>
  <c r="I98" i="19"/>
  <c r="I11" i="22" s="1"/>
  <c r="Q48" i="19"/>
  <c r="R48" i="19" s="1"/>
  <c r="S48" i="19" s="1"/>
  <c r="T48" i="19" s="1"/>
  <c r="U48" i="19" s="1"/>
  <c r="P17" i="22"/>
  <c r="R32" i="19"/>
  <c r="Q17" i="19"/>
  <c r="N7" i="25"/>
  <c r="O7" i="25" s="1"/>
  <c r="P7" i="25" s="1"/>
  <c r="Q7" i="25" s="1"/>
  <c r="R7" i="25" s="1"/>
  <c r="S7" i="25" s="1"/>
  <c r="T7" i="25" s="1"/>
  <c r="U7" i="25" s="1"/>
  <c r="L28" i="25"/>
  <c r="L45" i="25"/>
  <c r="J27" i="24"/>
  <c r="H27" i="24"/>
  <c r="S75" i="19" l="1"/>
  <c r="Q23" i="22"/>
  <c r="N25" i="25"/>
  <c r="M25" i="25"/>
  <c r="U12" i="19"/>
  <c r="M94" i="19"/>
  <c r="M92" i="19"/>
  <c r="M95" i="19" s="1"/>
  <c r="G22" i="33" s="1"/>
  <c r="L94" i="19"/>
  <c r="L92" i="19"/>
  <c r="L95" i="19" s="1"/>
  <c r="O207" i="37"/>
  <c r="S32" i="19"/>
  <c r="Q17" i="22"/>
  <c r="R17" i="19"/>
  <c r="P25" i="25"/>
  <c r="L36" i="25"/>
  <c r="L20" i="25" s="1"/>
  <c r="M53" i="25"/>
  <c r="M20" i="25" s="1"/>
  <c r="N42" i="25"/>
  <c r="P42" i="25" s="1"/>
  <c r="M42" i="25"/>
  <c r="M44" i="25" s="1"/>
  <c r="N44" i="25" s="1"/>
  <c r="P44" i="25" s="1"/>
  <c r="L53" i="25"/>
  <c r="Q113" i="33" l="1"/>
  <c r="T75" i="19"/>
  <c r="R23" i="22"/>
  <c r="M27" i="25"/>
  <c r="S17" i="19"/>
  <c r="T32" i="19"/>
  <c r="R17" i="22"/>
  <c r="M50" i="25"/>
  <c r="M52" i="25" s="1"/>
  <c r="N52" i="25" s="1"/>
  <c r="N50" i="25"/>
  <c r="P50" i="25" s="1"/>
  <c r="P45" i="25"/>
  <c r="N45" i="25"/>
  <c r="N47" i="25" s="1"/>
  <c r="N33" i="25"/>
  <c r="M33" i="25"/>
  <c r="M17" i="25" l="1"/>
  <c r="N17" i="25"/>
  <c r="U75" i="19"/>
  <c r="T23" i="22" s="1"/>
  <c r="S23" i="22"/>
  <c r="N27" i="25"/>
  <c r="P47" i="25"/>
  <c r="M35" i="25"/>
  <c r="N35" i="25" s="1"/>
  <c r="U32" i="19"/>
  <c r="T17" i="22" s="1"/>
  <c r="S17" i="22"/>
  <c r="T17" i="19"/>
  <c r="P33" i="25"/>
  <c r="P17" i="25" s="1"/>
  <c r="Q42" i="25"/>
  <c r="Q45" i="25" s="1"/>
  <c r="N53" i="25"/>
  <c r="N19" i="25" l="1"/>
  <c r="M19" i="25"/>
  <c r="N61" i="19"/>
  <c r="N69" i="19" s="1"/>
  <c r="N55" i="25"/>
  <c r="Q47" i="25"/>
  <c r="N36" i="25"/>
  <c r="N38" i="25" s="1"/>
  <c r="U17" i="19"/>
  <c r="R42" i="25"/>
  <c r="R45" i="25" s="1"/>
  <c r="R47" i="25" s="1"/>
  <c r="S42" i="25" l="1"/>
  <c r="S45" i="25" s="1"/>
  <c r="S47" i="25" l="1"/>
  <c r="T42" i="25"/>
  <c r="T45" i="25" s="1"/>
  <c r="T47" i="25" s="1"/>
  <c r="U42" i="25" l="1"/>
  <c r="U45" i="25" s="1"/>
  <c r="U47" i="25" s="1"/>
  <c r="N29" i="19" l="1"/>
  <c r="P29" i="19" s="1"/>
  <c r="Q29" i="19" s="1"/>
  <c r="R29" i="19" s="1"/>
  <c r="S29" i="19" s="1"/>
  <c r="T29" i="19" s="1"/>
  <c r="U29" i="19" s="1"/>
  <c r="N30" i="19"/>
  <c r="P30" i="19" s="1"/>
  <c r="Q30" i="19" s="1"/>
  <c r="R30" i="19" s="1"/>
  <c r="S30" i="19" s="1"/>
  <c r="T30" i="19" s="1"/>
  <c r="U30" i="19" s="1"/>
  <c r="N27" i="19"/>
  <c r="P27" i="19" s="1"/>
  <c r="Q27" i="19" s="1"/>
  <c r="R27" i="19" s="1"/>
  <c r="S27" i="19" s="1"/>
  <c r="T27" i="19" s="1"/>
  <c r="U27" i="19" s="1"/>
  <c r="N26" i="19"/>
  <c r="N28" i="19"/>
  <c r="P28" i="19" s="1"/>
  <c r="Q28" i="19" s="1"/>
  <c r="R28" i="19" s="1"/>
  <c r="S28" i="19" s="1"/>
  <c r="T28" i="19" s="1"/>
  <c r="U28" i="19" s="1"/>
  <c r="L330" i="5"/>
  <c r="M330" i="5"/>
  <c r="I330" i="5"/>
  <c r="J330" i="5"/>
  <c r="H330" i="5"/>
  <c r="I323" i="5"/>
  <c r="J323" i="5"/>
  <c r="L323" i="5"/>
  <c r="M323" i="5"/>
  <c r="I324" i="5"/>
  <c r="J324" i="5"/>
  <c r="L324" i="5"/>
  <c r="M324" i="5"/>
  <c r="I325" i="5"/>
  <c r="J325" i="5"/>
  <c r="L325" i="5"/>
  <c r="M325" i="5"/>
  <c r="I326" i="5"/>
  <c r="J326" i="5"/>
  <c r="L326" i="5"/>
  <c r="M326" i="5"/>
  <c r="H326" i="5"/>
  <c r="H325" i="5"/>
  <c r="H324" i="5"/>
  <c r="H323" i="5"/>
  <c r="I318" i="5"/>
  <c r="J318" i="5"/>
  <c r="L318" i="5"/>
  <c r="M318" i="5"/>
  <c r="H318" i="5"/>
  <c r="I311" i="5"/>
  <c r="J311" i="5"/>
  <c r="L311" i="5"/>
  <c r="M311" i="5"/>
  <c r="I312" i="5"/>
  <c r="J312" i="5"/>
  <c r="L312" i="5"/>
  <c r="M312" i="5"/>
  <c r="I313" i="5"/>
  <c r="J313" i="5"/>
  <c r="L313" i="5"/>
  <c r="M313" i="5"/>
  <c r="I314" i="5"/>
  <c r="J314" i="5"/>
  <c r="L314" i="5"/>
  <c r="M314" i="5"/>
  <c r="H314" i="5"/>
  <c r="H313" i="5"/>
  <c r="H312" i="5"/>
  <c r="H311" i="5"/>
  <c r="I307" i="5"/>
  <c r="J307" i="5"/>
  <c r="L307" i="5"/>
  <c r="M307" i="5"/>
  <c r="H307" i="5"/>
  <c r="I301" i="5"/>
  <c r="J301" i="5"/>
  <c r="L301" i="5"/>
  <c r="M301" i="5"/>
  <c r="H301" i="5"/>
  <c r="M296" i="5"/>
  <c r="L296" i="5"/>
  <c r="I296" i="5"/>
  <c r="J296" i="5"/>
  <c r="H296" i="5"/>
  <c r="I290" i="5"/>
  <c r="J290" i="5"/>
  <c r="K290" i="5"/>
  <c r="L290" i="5"/>
  <c r="M290" i="5"/>
  <c r="I291" i="5"/>
  <c r="J291" i="5"/>
  <c r="K291" i="5"/>
  <c r="L291" i="5"/>
  <c r="M291" i="5"/>
  <c r="I292" i="5"/>
  <c r="J292" i="5"/>
  <c r="K292" i="5"/>
  <c r="L292" i="5"/>
  <c r="M292" i="5"/>
  <c r="I293" i="5"/>
  <c r="J293" i="5"/>
  <c r="K293" i="5"/>
  <c r="L293" i="5"/>
  <c r="M293" i="5"/>
  <c r="I275" i="5"/>
  <c r="J275" i="5"/>
  <c r="L275" i="5"/>
  <c r="M275" i="5"/>
  <c r="H275" i="5"/>
  <c r="H259" i="5"/>
  <c r="H258" i="5"/>
  <c r="I269" i="5"/>
  <c r="J269" i="5"/>
  <c r="L269" i="5"/>
  <c r="M269" i="5"/>
  <c r="I271" i="5"/>
  <c r="J271" i="5"/>
  <c r="L271" i="5"/>
  <c r="M271" i="5"/>
  <c r="H271" i="5"/>
  <c r="H269" i="5"/>
  <c r="I263" i="5"/>
  <c r="J263" i="5"/>
  <c r="L263" i="5"/>
  <c r="M263" i="5"/>
  <c r="H263" i="5"/>
  <c r="I256" i="5"/>
  <c r="J256" i="5"/>
  <c r="L256" i="5"/>
  <c r="M256" i="5"/>
  <c r="I257" i="5"/>
  <c r="J257" i="5"/>
  <c r="L257" i="5"/>
  <c r="M257" i="5"/>
  <c r="I258" i="5"/>
  <c r="J258" i="5"/>
  <c r="L258" i="5"/>
  <c r="M258" i="5"/>
  <c r="I259" i="5"/>
  <c r="J259" i="5"/>
  <c r="L259" i="5"/>
  <c r="M259" i="5"/>
  <c r="H257" i="5"/>
  <c r="H256" i="5"/>
  <c r="M252" i="5"/>
  <c r="L252" i="5"/>
  <c r="I252" i="5"/>
  <c r="J252" i="5"/>
  <c r="H252" i="5"/>
  <c r="I246" i="5"/>
  <c r="J246" i="5"/>
  <c r="L246" i="5"/>
  <c r="M246" i="5"/>
  <c r="H246" i="5"/>
  <c r="O39" i="19"/>
  <c r="M26" i="22"/>
  <c r="I7" i="22"/>
  <c r="J7" i="22"/>
  <c r="K7" i="22"/>
  <c r="L7" i="22"/>
  <c r="M7" i="22"/>
  <c r="I33" i="22"/>
  <c r="J33" i="22"/>
  <c r="H33" i="22"/>
  <c r="I79" i="19"/>
  <c r="I81" i="19" s="1"/>
  <c r="J79" i="19"/>
  <c r="J81" i="19" s="1"/>
  <c r="L79" i="19"/>
  <c r="L81" i="19" s="1"/>
  <c r="M79" i="19"/>
  <c r="M81" i="19" s="1"/>
  <c r="H81" i="19"/>
  <c r="I69" i="19"/>
  <c r="J69" i="19"/>
  <c r="L69" i="19"/>
  <c r="M69" i="19"/>
  <c r="I39" i="19"/>
  <c r="I40" i="19" s="1"/>
  <c r="F117" i="34" s="1"/>
  <c r="J39" i="19"/>
  <c r="L39" i="19"/>
  <c r="M39" i="19"/>
  <c r="N226" i="5"/>
  <c r="M44" i="17"/>
  <c r="J96" i="34" s="1"/>
  <c r="H9" i="24"/>
  <c r="H346" i="5" s="1"/>
  <c r="I9" i="24"/>
  <c r="I346" i="5" s="1"/>
  <c r="J9" i="24"/>
  <c r="J346" i="5" s="1"/>
  <c r="K9" i="24"/>
  <c r="K346" i="5" s="1"/>
  <c r="L9" i="24"/>
  <c r="L346" i="5" s="1"/>
  <c r="H10" i="24"/>
  <c r="H347" i="5" s="1"/>
  <c r="I10" i="24"/>
  <c r="I347" i="5" s="1"/>
  <c r="J10" i="24"/>
  <c r="J347" i="5" s="1"/>
  <c r="K10" i="24"/>
  <c r="K347" i="5" s="1"/>
  <c r="L10" i="24"/>
  <c r="L347" i="5" s="1"/>
  <c r="H11" i="24"/>
  <c r="H348" i="5" s="1"/>
  <c r="I11" i="24"/>
  <c r="I348" i="5" s="1"/>
  <c r="J11" i="24"/>
  <c r="J348" i="5" s="1"/>
  <c r="K11" i="24"/>
  <c r="K348" i="5" s="1"/>
  <c r="L11" i="24"/>
  <c r="L348" i="5" s="1"/>
  <c r="H12" i="24"/>
  <c r="H349" i="5" s="1"/>
  <c r="I12" i="24"/>
  <c r="I349" i="5" s="1"/>
  <c r="J12" i="24"/>
  <c r="J349" i="5" s="1"/>
  <c r="K12" i="24"/>
  <c r="K349" i="5" s="1"/>
  <c r="L12" i="24"/>
  <c r="L349" i="5" s="1"/>
  <c r="M12" i="24"/>
  <c r="M349" i="5" s="1"/>
  <c r="M11" i="24"/>
  <c r="M348" i="5" s="1"/>
  <c r="M10" i="24"/>
  <c r="M347" i="5" s="1"/>
  <c r="M9" i="24"/>
  <c r="M346" i="5" s="1"/>
  <c r="K226" i="5"/>
  <c r="I222" i="5"/>
  <c r="K222" i="5"/>
  <c r="K229" i="5"/>
  <c r="L229" i="5"/>
  <c r="M229" i="5"/>
  <c r="L20" i="17"/>
  <c r="M20" i="17"/>
  <c r="M37" i="17"/>
  <c r="M33" i="17"/>
  <c r="M24" i="17"/>
  <c r="M25" i="17"/>
  <c r="M26" i="17"/>
  <c r="M27" i="17"/>
  <c r="M28" i="17"/>
  <c r="M29" i="17"/>
  <c r="M8" i="17"/>
  <c r="M10" i="25" s="1"/>
  <c r="M10" i="17"/>
  <c r="M13" i="17"/>
  <c r="M15" i="17"/>
  <c r="M17" i="17"/>
  <c r="I25" i="17"/>
  <c r="J25" i="17"/>
  <c r="K25" i="17"/>
  <c r="L25" i="17"/>
  <c r="H25" i="17"/>
  <c r="I24" i="17"/>
  <c r="J24" i="17"/>
  <c r="K24" i="17"/>
  <c r="L24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H29" i="17"/>
  <c r="H28" i="17"/>
  <c r="H27" i="17"/>
  <c r="H26" i="17"/>
  <c r="H24" i="17"/>
  <c r="I20" i="17"/>
  <c r="J20" i="17"/>
  <c r="K20" i="17"/>
  <c r="H20" i="17"/>
  <c r="J40" i="19" l="1"/>
  <c r="G117" i="34" s="1"/>
  <c r="N12" i="22"/>
  <c r="H262" i="5"/>
  <c r="L40" i="19"/>
  <c r="I117" i="34" s="1"/>
  <c r="M317" i="5"/>
  <c r="H40" i="19"/>
  <c r="E117" i="34" s="1"/>
  <c r="J70" i="19"/>
  <c r="M40" i="19"/>
  <c r="J117" i="34" s="1"/>
  <c r="I70" i="19"/>
  <c r="L70" i="19"/>
  <c r="K295" i="5"/>
  <c r="M251" i="5"/>
  <c r="L262" i="5"/>
  <c r="P26" i="19"/>
  <c r="Q26" i="19" s="1"/>
  <c r="P12" i="22" s="1"/>
  <c r="L317" i="5"/>
  <c r="M70" i="19"/>
  <c r="I262" i="5"/>
  <c r="J262" i="5"/>
  <c r="I251" i="5"/>
  <c r="L295" i="5"/>
  <c r="M14" i="17"/>
  <c r="J90" i="34" s="1"/>
  <c r="M11" i="17"/>
  <c r="M295" i="5"/>
  <c r="H251" i="5"/>
  <c r="J251" i="5"/>
  <c r="J295" i="5"/>
  <c r="I295" i="5"/>
  <c r="M21" i="17"/>
  <c r="J93" i="34" s="1"/>
  <c r="L251" i="5"/>
  <c r="M18" i="17"/>
  <c r="J92" i="34" s="1"/>
  <c r="M16" i="17"/>
  <c r="J91" i="34" s="1"/>
  <c r="M13" i="24"/>
  <c r="M350" i="5" s="1"/>
  <c r="M351" i="5" s="1"/>
  <c r="M48" i="17" s="1"/>
  <c r="M10" i="22" s="1"/>
  <c r="M23" i="17"/>
  <c r="M31" i="17" s="1"/>
  <c r="M32" i="17" s="1"/>
  <c r="M45" i="17"/>
  <c r="J101" i="34" s="1"/>
  <c r="L13" i="24"/>
  <c r="N13" i="24" s="1"/>
  <c r="N350" i="5" s="1"/>
  <c r="K13" i="24"/>
  <c r="H23" i="17"/>
  <c r="J13" i="24"/>
  <c r="I13" i="24"/>
  <c r="L23" i="17"/>
  <c r="K23" i="17"/>
  <c r="J23" i="17"/>
  <c r="I23" i="17"/>
  <c r="M9" i="17"/>
  <c r="I116" i="34" l="1"/>
  <c r="G116" i="34"/>
  <c r="L83" i="19"/>
  <c r="L85" i="19" s="1"/>
  <c r="I83" i="19"/>
  <c r="I85" i="19" s="1"/>
  <c r="F116" i="34"/>
  <c r="J83" i="19"/>
  <c r="J85" i="19" s="1"/>
  <c r="M83" i="19"/>
  <c r="M85" i="19" s="1"/>
  <c r="J116" i="34"/>
  <c r="R26" i="19"/>
  <c r="Q12" i="22" s="1"/>
  <c r="M35" i="17"/>
  <c r="M36" i="17" s="1"/>
  <c r="S26" i="19" l="1"/>
  <c r="R12" i="22" s="1"/>
  <c r="M38" i="17"/>
  <c r="M40" i="17"/>
  <c r="J94" i="34" l="1"/>
  <c r="M83" i="25"/>
  <c r="T26" i="19"/>
  <c r="S12" i="22" s="1"/>
  <c r="M41" i="17"/>
  <c r="J95" i="34" s="1"/>
  <c r="M9" i="22"/>
  <c r="M12" i="22" s="1"/>
  <c r="S217" i="5"/>
  <c r="L215" i="5"/>
  <c r="M215" i="5"/>
  <c r="I201" i="5"/>
  <c r="J201" i="5"/>
  <c r="K201" i="5"/>
  <c r="L201" i="5"/>
  <c r="M201" i="5"/>
  <c r="I202" i="5"/>
  <c r="J202" i="5"/>
  <c r="K202" i="5"/>
  <c r="L202" i="5"/>
  <c r="M202" i="5"/>
  <c r="I203" i="5"/>
  <c r="J203" i="5"/>
  <c r="K203" i="5"/>
  <c r="L203" i="5"/>
  <c r="M203" i="5"/>
  <c r="I204" i="5"/>
  <c r="J204" i="5"/>
  <c r="K204" i="5"/>
  <c r="L204" i="5"/>
  <c r="M204" i="5"/>
  <c r="I191" i="5"/>
  <c r="J191" i="5"/>
  <c r="K191" i="5"/>
  <c r="L191" i="5"/>
  <c r="M191" i="5"/>
  <c r="I192" i="5"/>
  <c r="J192" i="5"/>
  <c r="K192" i="5"/>
  <c r="L192" i="5"/>
  <c r="M192" i="5"/>
  <c r="I193" i="5"/>
  <c r="J193" i="5"/>
  <c r="K193" i="5"/>
  <c r="L193" i="5"/>
  <c r="M193" i="5"/>
  <c r="I194" i="5"/>
  <c r="J194" i="5"/>
  <c r="K194" i="5"/>
  <c r="L194" i="5"/>
  <c r="M194" i="5"/>
  <c r="I180" i="5"/>
  <c r="J180" i="5"/>
  <c r="K180" i="5"/>
  <c r="L180" i="5"/>
  <c r="M180" i="5"/>
  <c r="I181" i="5"/>
  <c r="J181" i="5"/>
  <c r="K181" i="5"/>
  <c r="L181" i="5"/>
  <c r="M181" i="5"/>
  <c r="H181" i="5"/>
  <c r="H180" i="5"/>
  <c r="I671" i="2"/>
  <c r="J671" i="2"/>
  <c r="K671" i="2"/>
  <c r="L671" i="2"/>
  <c r="M671" i="2"/>
  <c r="H671" i="2"/>
  <c r="I170" i="5"/>
  <c r="J170" i="5"/>
  <c r="K170" i="5"/>
  <c r="L170" i="5"/>
  <c r="M170" i="5"/>
  <c r="I172" i="5"/>
  <c r="J172" i="5"/>
  <c r="K172" i="5"/>
  <c r="L172" i="5"/>
  <c r="M172" i="5"/>
  <c r="N172" i="5"/>
  <c r="O172" i="5"/>
  <c r="P172" i="5"/>
  <c r="Q172" i="5"/>
  <c r="R172" i="5"/>
  <c r="S172" i="5"/>
  <c r="H170" i="5"/>
  <c r="N173" i="5"/>
  <c r="O173" i="5" s="1"/>
  <c r="P173" i="5" s="1"/>
  <c r="Q173" i="5" s="1"/>
  <c r="R173" i="5" s="1"/>
  <c r="S173" i="5" s="1"/>
  <c r="H172" i="5"/>
  <c r="I158" i="5"/>
  <c r="J158" i="5"/>
  <c r="K158" i="5"/>
  <c r="L158" i="5"/>
  <c r="M158" i="5"/>
  <c r="I160" i="5"/>
  <c r="J160" i="5"/>
  <c r="K160" i="5"/>
  <c r="L160" i="5"/>
  <c r="M160" i="5"/>
  <c r="I161" i="5"/>
  <c r="J161" i="5"/>
  <c r="K161" i="5"/>
  <c r="L161" i="5"/>
  <c r="M161" i="5"/>
  <c r="N161" i="5"/>
  <c r="O161" i="5"/>
  <c r="P161" i="5"/>
  <c r="Q161" i="5"/>
  <c r="R161" i="5"/>
  <c r="S161" i="5"/>
  <c r="H160" i="5"/>
  <c r="H158" i="5"/>
  <c r="N162" i="5"/>
  <c r="O162" i="5" s="1"/>
  <c r="P162" i="5" s="1"/>
  <c r="Q162" i="5" s="1"/>
  <c r="R162" i="5" s="1"/>
  <c r="S162" i="5" s="1"/>
  <c r="H161" i="5"/>
  <c r="I114" i="5"/>
  <c r="J114" i="5"/>
  <c r="K114" i="5"/>
  <c r="L114" i="5"/>
  <c r="M114" i="5"/>
  <c r="I115" i="5"/>
  <c r="J115" i="5"/>
  <c r="K115" i="5"/>
  <c r="L115" i="5"/>
  <c r="M115" i="5"/>
  <c r="I116" i="5"/>
  <c r="J116" i="5"/>
  <c r="K116" i="5"/>
  <c r="L116" i="5"/>
  <c r="M116" i="5"/>
  <c r="I117" i="5"/>
  <c r="J117" i="5"/>
  <c r="K117" i="5"/>
  <c r="L117" i="5"/>
  <c r="M117" i="5"/>
  <c r="H117" i="5"/>
  <c r="H116" i="5"/>
  <c r="H115" i="5"/>
  <c r="H114" i="5"/>
  <c r="N118" i="5"/>
  <c r="O118" i="5" s="1"/>
  <c r="P118" i="5" s="1"/>
  <c r="Q118" i="5" s="1"/>
  <c r="R118" i="5" s="1"/>
  <c r="S118" i="5" s="1"/>
  <c r="N141" i="5"/>
  <c r="O141" i="5" s="1"/>
  <c r="P141" i="5" s="1"/>
  <c r="Q141" i="5" s="1"/>
  <c r="R141" i="5" s="1"/>
  <c r="S141" i="5" s="1"/>
  <c r="N140" i="5"/>
  <c r="O140" i="5" s="1"/>
  <c r="P140" i="5" s="1"/>
  <c r="Q140" i="5" s="1"/>
  <c r="R140" i="5" s="1"/>
  <c r="S140" i="5" s="1"/>
  <c r="I136" i="5"/>
  <c r="I142" i="5" s="1"/>
  <c r="J136" i="5"/>
  <c r="J142" i="5" s="1"/>
  <c r="K136" i="5"/>
  <c r="K142" i="5" s="1"/>
  <c r="L136" i="5"/>
  <c r="L142" i="5" s="1"/>
  <c r="M136" i="5"/>
  <c r="M142" i="5" s="1"/>
  <c r="N142" i="5" s="1"/>
  <c r="O142" i="5" s="1"/>
  <c r="P142" i="5" s="1"/>
  <c r="Q142" i="5" s="1"/>
  <c r="R142" i="5" s="1"/>
  <c r="S142" i="5" s="1"/>
  <c r="H136" i="5"/>
  <c r="H142" i="5" s="1"/>
  <c r="I147" i="5"/>
  <c r="J147" i="5"/>
  <c r="K147" i="5"/>
  <c r="L147" i="5"/>
  <c r="M147" i="5"/>
  <c r="I148" i="5"/>
  <c r="J148" i="5"/>
  <c r="K148" i="5"/>
  <c r="L148" i="5"/>
  <c r="M148" i="5"/>
  <c r="I149" i="5"/>
  <c r="J149" i="5"/>
  <c r="K149" i="5"/>
  <c r="L149" i="5"/>
  <c r="M149" i="5"/>
  <c r="N149" i="5"/>
  <c r="O149" i="5"/>
  <c r="P149" i="5"/>
  <c r="Q149" i="5"/>
  <c r="R149" i="5"/>
  <c r="S149" i="5"/>
  <c r="I150" i="5"/>
  <c r="J150" i="5"/>
  <c r="K150" i="5"/>
  <c r="L150" i="5"/>
  <c r="M150" i="5"/>
  <c r="N150" i="5"/>
  <c r="O150" i="5"/>
  <c r="P150" i="5"/>
  <c r="Q150" i="5"/>
  <c r="R150" i="5"/>
  <c r="S150" i="5"/>
  <c r="H149" i="5"/>
  <c r="H148" i="5"/>
  <c r="H147" i="5"/>
  <c r="N151" i="5"/>
  <c r="O151" i="5" s="1"/>
  <c r="P151" i="5" s="1"/>
  <c r="Q151" i="5" s="1"/>
  <c r="R151" i="5" s="1"/>
  <c r="S151" i="5" s="1"/>
  <c r="H150" i="5"/>
  <c r="N128" i="5"/>
  <c r="O128" i="5"/>
  <c r="P128" i="5"/>
  <c r="Q128" i="5"/>
  <c r="R128" i="5"/>
  <c r="S128" i="5"/>
  <c r="I125" i="5"/>
  <c r="J125" i="5"/>
  <c r="K125" i="5"/>
  <c r="L125" i="5"/>
  <c r="M125" i="5"/>
  <c r="I126" i="5"/>
  <c r="J126" i="5"/>
  <c r="K126" i="5"/>
  <c r="L126" i="5"/>
  <c r="M126" i="5"/>
  <c r="I127" i="5"/>
  <c r="J127" i="5"/>
  <c r="K127" i="5"/>
  <c r="L127" i="5"/>
  <c r="M127" i="5"/>
  <c r="I128" i="5"/>
  <c r="J128" i="5"/>
  <c r="K128" i="5"/>
  <c r="L128" i="5"/>
  <c r="M128" i="5"/>
  <c r="H127" i="5"/>
  <c r="H126" i="5"/>
  <c r="H125" i="5"/>
  <c r="N129" i="5"/>
  <c r="O129" i="5" s="1"/>
  <c r="P129" i="5" s="1"/>
  <c r="Q129" i="5" s="1"/>
  <c r="R129" i="5" s="1"/>
  <c r="S129" i="5" s="1"/>
  <c r="H128" i="5"/>
  <c r="L103" i="5"/>
  <c r="M103" i="5"/>
  <c r="L104" i="5"/>
  <c r="M104" i="5"/>
  <c r="L105" i="5"/>
  <c r="M105" i="5"/>
  <c r="L106" i="5"/>
  <c r="M106" i="5"/>
  <c r="L92" i="5"/>
  <c r="M92" i="5"/>
  <c r="L93" i="5"/>
  <c r="M93" i="5"/>
  <c r="L94" i="5"/>
  <c r="M94" i="5"/>
  <c r="L95" i="5"/>
  <c r="M95" i="5"/>
  <c r="L81" i="5"/>
  <c r="M81" i="5"/>
  <c r="L82" i="5"/>
  <c r="M82" i="5"/>
  <c r="L83" i="5"/>
  <c r="M83" i="5"/>
  <c r="L84" i="5"/>
  <c r="M84" i="5"/>
  <c r="I68" i="5"/>
  <c r="J68" i="5"/>
  <c r="K68" i="5"/>
  <c r="L68" i="5"/>
  <c r="M68" i="5"/>
  <c r="J57" i="34" s="1"/>
  <c r="M49" i="5"/>
  <c r="M50" i="5"/>
  <c r="M51" i="5"/>
  <c r="M28" i="5"/>
  <c r="H735" i="36"/>
  <c r="H774" i="36"/>
  <c r="H671" i="36"/>
  <c r="J450" i="36"/>
  <c r="I371" i="36"/>
  <c r="J371" i="36"/>
  <c r="H371" i="36"/>
  <c r="I175" i="5" l="1"/>
  <c r="J196" i="5"/>
  <c r="U26" i="19"/>
  <c r="T12" i="22" s="1"/>
  <c r="M186" i="5"/>
  <c r="L196" i="5"/>
  <c r="L186" i="5"/>
  <c r="J206" i="5"/>
  <c r="I206" i="5"/>
  <c r="I196" i="5"/>
  <c r="M196" i="5"/>
  <c r="M206" i="5"/>
  <c r="N206" i="5" s="1"/>
  <c r="K206" i="5"/>
  <c r="M175" i="5"/>
  <c r="K196" i="5"/>
  <c r="L175" i="5"/>
  <c r="N175" i="5" s="1"/>
  <c r="O175" i="5" s="1"/>
  <c r="P175" i="5" s="1"/>
  <c r="Q175" i="5" s="1"/>
  <c r="R175" i="5" s="1"/>
  <c r="S175" i="5" s="1"/>
  <c r="K175" i="5"/>
  <c r="H175" i="5"/>
  <c r="J175" i="5"/>
  <c r="H131" i="5"/>
  <c r="L87" i="5"/>
  <c r="M131" i="5"/>
  <c r="L131" i="5"/>
  <c r="J131" i="5"/>
  <c r="I131" i="5"/>
  <c r="K131" i="5"/>
  <c r="L109" i="5"/>
  <c r="M87" i="5"/>
  <c r="M109" i="5"/>
  <c r="M98" i="5"/>
  <c r="L98" i="5"/>
  <c r="I7" i="3" l="1"/>
  <c r="J7" i="3"/>
  <c r="K7" i="3"/>
  <c r="L7" i="3"/>
  <c r="M7" i="3"/>
  <c r="H7" i="3"/>
  <c r="N10" i="5"/>
  <c r="N7" i="3" s="1"/>
  <c r="I7" i="4"/>
  <c r="J7" i="4"/>
  <c r="K7" i="4"/>
  <c r="L7" i="4"/>
  <c r="M7" i="4"/>
  <c r="H7" i="4"/>
  <c r="L17" i="5"/>
  <c r="M17" i="5"/>
  <c r="L19" i="5"/>
  <c r="M19" i="5"/>
  <c r="J165" i="38"/>
  <c r="F56" i="40" s="1"/>
  <c r="J5" i="34" l="1"/>
  <c r="K165" i="38"/>
  <c r="J55" i="34"/>
  <c r="M262" i="5"/>
  <c r="N262" i="5" s="1"/>
  <c r="O262" i="5" s="1"/>
  <c r="P262" i="5" s="1"/>
  <c r="Q262" i="5" s="1"/>
  <c r="R262" i="5" s="1"/>
  <c r="S262" i="5" s="1"/>
  <c r="O10" i="5"/>
  <c r="M46" i="5"/>
  <c r="M30" i="5"/>
  <c r="I174" i="3"/>
  <c r="J174" i="3"/>
  <c r="K174" i="3"/>
  <c r="L174" i="3"/>
  <c r="M174" i="3"/>
  <c r="K171" i="3"/>
  <c r="M169" i="3"/>
  <c r="K169" i="3"/>
  <c r="L157" i="3"/>
  <c r="M157" i="3"/>
  <c r="K155" i="3"/>
  <c r="L148" i="3"/>
  <c r="M148" i="3"/>
  <c r="M145" i="3"/>
  <c r="M155" i="3" s="1"/>
  <c r="N155" i="3" s="1"/>
  <c r="O155" i="3" s="1"/>
  <c r="P155" i="3" s="1"/>
  <c r="Q155" i="3" s="1"/>
  <c r="R155" i="3" s="1"/>
  <c r="S155" i="3" s="1"/>
  <c r="M93" i="3"/>
  <c r="M146" i="3" s="1"/>
  <c r="M173" i="3" s="1"/>
  <c r="H93" i="3"/>
  <c r="I93" i="3"/>
  <c r="J93" i="3"/>
  <c r="K93" i="3"/>
  <c r="L93" i="3"/>
  <c r="M55" i="3"/>
  <c r="M56" i="3" s="1"/>
  <c r="M57" i="3" s="1"/>
  <c r="AC57" i="3" s="1"/>
  <c r="AD57" i="3" s="1"/>
  <c r="AE57" i="3" s="1"/>
  <c r="AF57" i="3" s="1"/>
  <c r="AG57" i="3" s="1"/>
  <c r="AH57" i="3" s="1"/>
  <c r="L55" i="3"/>
  <c r="L56" i="3" s="1"/>
  <c r="L57" i="3" s="1"/>
  <c r="H51" i="3"/>
  <c r="I45" i="3"/>
  <c r="I51" i="3" s="1"/>
  <c r="J45" i="3"/>
  <c r="J51" i="3" s="1"/>
  <c r="M64" i="3"/>
  <c r="M65" i="3" s="1"/>
  <c r="AC65" i="3" s="1"/>
  <c r="AD65" i="3" s="1"/>
  <c r="AE65" i="3" s="1"/>
  <c r="AF65" i="3" s="1"/>
  <c r="AG65" i="3" s="1"/>
  <c r="AH65" i="3" s="1"/>
  <c r="M80" i="3"/>
  <c r="M81" i="3" s="1"/>
  <c r="AC81" i="3" s="1"/>
  <c r="AD81" i="3" s="1"/>
  <c r="AE81" i="3" s="1"/>
  <c r="AF81" i="3" s="1"/>
  <c r="AG81" i="3" s="1"/>
  <c r="AH81" i="3" s="1"/>
  <c r="M88" i="3"/>
  <c r="M89" i="3" s="1"/>
  <c r="M15" i="3"/>
  <c r="M97" i="3" s="1"/>
  <c r="AC97" i="3" s="1"/>
  <c r="AD97" i="3" s="1"/>
  <c r="AE97" i="3" s="1"/>
  <c r="AF97" i="3" s="1"/>
  <c r="AG97" i="3" s="1"/>
  <c r="AH97" i="3" s="1"/>
  <c r="M22" i="3"/>
  <c r="L22" i="3"/>
  <c r="K25" i="3"/>
  <c r="M179" i="4"/>
  <c r="K175" i="4"/>
  <c r="K173" i="4"/>
  <c r="L161" i="4"/>
  <c r="M161" i="4"/>
  <c r="M166" i="4" s="1"/>
  <c r="K159" i="4"/>
  <c r="M152" i="4"/>
  <c r="M159" i="4" s="1"/>
  <c r="M151" i="4"/>
  <c r="M175" i="4" s="1"/>
  <c r="N175" i="4" s="1"/>
  <c r="O175" i="4" s="1"/>
  <c r="P175" i="4" s="1"/>
  <c r="Q175" i="4" s="1"/>
  <c r="R175" i="4" s="1"/>
  <c r="S175" i="4" s="1"/>
  <c r="L152" i="4"/>
  <c r="L173" i="4" s="1"/>
  <c r="L151" i="4"/>
  <c r="L156" i="4" s="1"/>
  <c r="L123" i="4"/>
  <c r="M123" i="4"/>
  <c r="I101" i="4"/>
  <c r="J101" i="4"/>
  <c r="K101" i="4"/>
  <c r="L101" i="4"/>
  <c r="M101" i="4"/>
  <c r="H101" i="4"/>
  <c r="M108" i="4"/>
  <c r="N108" i="4" s="1"/>
  <c r="O108" i="4" s="1"/>
  <c r="P108" i="4" s="1"/>
  <c r="Q108" i="4" s="1"/>
  <c r="R108" i="4" s="1"/>
  <c r="S108" i="4" s="1"/>
  <c r="L108" i="4"/>
  <c r="K108" i="4"/>
  <c r="J108" i="4"/>
  <c r="I108" i="4"/>
  <c r="M106" i="4"/>
  <c r="L106" i="4"/>
  <c r="K106" i="4"/>
  <c r="J106" i="4"/>
  <c r="I106" i="4"/>
  <c r="M104" i="4"/>
  <c r="N104" i="4" s="1"/>
  <c r="O104" i="4" s="1"/>
  <c r="P104" i="4" s="1"/>
  <c r="Q104" i="4" s="1"/>
  <c r="R104" i="4" s="1"/>
  <c r="S104" i="4" s="1"/>
  <c r="L104" i="4"/>
  <c r="K104" i="4"/>
  <c r="J104" i="4"/>
  <c r="I104" i="4"/>
  <c r="L97" i="4"/>
  <c r="M97" i="4"/>
  <c r="L95" i="4"/>
  <c r="M95" i="4"/>
  <c r="M91" i="4"/>
  <c r="M153" i="4" s="1"/>
  <c r="M177" i="4" s="1"/>
  <c r="N177" i="4" s="1"/>
  <c r="L93" i="4"/>
  <c r="M93" i="4"/>
  <c r="M12" i="4"/>
  <c r="M13" i="4"/>
  <c r="M14" i="4"/>
  <c r="M15" i="4"/>
  <c r="M22" i="4"/>
  <c r="M24" i="4"/>
  <c r="M25" i="4"/>
  <c r="M19" i="4" s="1"/>
  <c r="M26" i="4"/>
  <c r="M20" i="4" s="1"/>
  <c r="M27" i="4"/>
  <c r="M21" i="4" s="1"/>
  <c r="L62" i="4"/>
  <c r="M80" i="4"/>
  <c r="L80" i="4"/>
  <c r="L56" i="4"/>
  <c r="M56" i="4"/>
  <c r="L38" i="4"/>
  <c r="L63" i="5" s="1"/>
  <c r="L74" i="5" s="1"/>
  <c r="M38" i="4"/>
  <c r="K23" i="4"/>
  <c r="K22" i="4" s="1"/>
  <c r="M168" i="4" l="1"/>
  <c r="M162" i="3"/>
  <c r="N106" i="4"/>
  <c r="O106" i="4" s="1"/>
  <c r="P106" i="4" s="1"/>
  <c r="Q106" i="4" s="1"/>
  <c r="R106" i="4" s="1"/>
  <c r="S106" i="4" s="1"/>
  <c r="M119" i="3"/>
  <c r="L61" i="4"/>
  <c r="L85" i="4" s="1"/>
  <c r="L86" i="4" s="1"/>
  <c r="L87" i="4" s="1"/>
  <c r="M144" i="3"/>
  <c r="M164" i="3" s="1"/>
  <c r="M164" i="4"/>
  <c r="M110" i="4"/>
  <c r="M113" i="4" s="1"/>
  <c r="M115" i="4" s="1"/>
  <c r="M18" i="4"/>
  <c r="M95" i="3"/>
  <c r="L175" i="4"/>
  <c r="M160" i="3"/>
  <c r="N160" i="3" s="1"/>
  <c r="O160" i="3" s="1"/>
  <c r="P160" i="3" s="1"/>
  <c r="Q160" i="3" s="1"/>
  <c r="R160" i="3" s="1"/>
  <c r="S160" i="3" s="1"/>
  <c r="M176" i="3"/>
  <c r="M177" i="3" s="1"/>
  <c r="M23" i="3"/>
  <c r="N23" i="3" s="1"/>
  <c r="M20" i="5"/>
  <c r="M156" i="4"/>
  <c r="M181" i="4"/>
  <c r="M182" i="4" s="1"/>
  <c r="L102" i="4"/>
  <c r="L159" i="4"/>
  <c r="M173" i="4"/>
  <c r="N173" i="4" s="1"/>
  <c r="M39" i="4"/>
  <c r="M63" i="5"/>
  <c r="M74" i="5" s="1"/>
  <c r="J89" i="34" s="1"/>
  <c r="M102" i="4"/>
  <c r="M102" i="3"/>
  <c r="G56" i="40"/>
  <c r="L165" i="38"/>
  <c r="M329" i="5"/>
  <c r="M274" i="5"/>
  <c r="N274" i="5" s="1"/>
  <c r="O274" i="5" s="1"/>
  <c r="P274" i="5" s="1"/>
  <c r="Q274" i="5" s="1"/>
  <c r="R274" i="5" s="1"/>
  <c r="S274" i="5" s="1"/>
  <c r="O7" i="3"/>
  <c r="M120" i="5"/>
  <c r="P10" i="5"/>
  <c r="M153" i="5"/>
  <c r="M27" i="3"/>
  <c r="M23" i="4"/>
  <c r="M63" i="4"/>
  <c r="O586" i="2"/>
  <c r="P586" i="2" s="1"/>
  <c r="Q586" i="2" s="1"/>
  <c r="R586" i="2" s="1"/>
  <c r="S586" i="2" s="1"/>
  <c r="S583" i="2"/>
  <c r="R583" i="2"/>
  <c r="Q583" i="2"/>
  <c r="P583" i="2"/>
  <c r="O583" i="2"/>
  <c r="N583" i="2"/>
  <c r="S582" i="2"/>
  <c r="R582" i="2"/>
  <c r="Q582" i="2"/>
  <c r="P582" i="2"/>
  <c r="O582" i="2"/>
  <c r="N582" i="2"/>
  <c r="S574" i="2"/>
  <c r="R574" i="2"/>
  <c r="Q574" i="2"/>
  <c r="P574" i="2"/>
  <c r="O574" i="2"/>
  <c r="N574" i="2"/>
  <c r="S573" i="2"/>
  <c r="R573" i="2"/>
  <c r="Q573" i="2"/>
  <c r="P573" i="2"/>
  <c r="O573" i="2"/>
  <c r="N573" i="2"/>
  <c r="S572" i="2"/>
  <c r="R572" i="2"/>
  <c r="Q572" i="2"/>
  <c r="P572" i="2"/>
  <c r="O572" i="2"/>
  <c r="N572" i="2"/>
  <c r="S571" i="2"/>
  <c r="R571" i="2"/>
  <c r="Q571" i="2"/>
  <c r="P571" i="2"/>
  <c r="O571" i="2"/>
  <c r="N571" i="2"/>
  <c r="S570" i="2"/>
  <c r="R570" i="2"/>
  <c r="Q570" i="2"/>
  <c r="P570" i="2"/>
  <c r="O570" i="2"/>
  <c r="N570" i="2"/>
  <c r="H558" i="2"/>
  <c r="N544" i="2"/>
  <c r="O544" i="2" s="1"/>
  <c r="P544" i="2" s="1"/>
  <c r="Q544" i="2" s="1"/>
  <c r="R544" i="2" s="1"/>
  <c r="S544" i="2" s="1"/>
  <c r="S542" i="2"/>
  <c r="R542" i="2"/>
  <c r="Q542" i="2"/>
  <c r="P542" i="2"/>
  <c r="O542" i="2"/>
  <c r="N542" i="2"/>
  <c r="N541" i="2"/>
  <c r="S533" i="2"/>
  <c r="R533" i="2"/>
  <c r="Q533" i="2"/>
  <c r="P533" i="2"/>
  <c r="O533" i="2"/>
  <c r="N533" i="2"/>
  <c r="S532" i="2"/>
  <c r="R532" i="2"/>
  <c r="Q532" i="2"/>
  <c r="P532" i="2"/>
  <c r="O532" i="2"/>
  <c r="N532" i="2"/>
  <c r="S531" i="2"/>
  <c r="R531" i="2"/>
  <c r="Q531" i="2"/>
  <c r="P531" i="2"/>
  <c r="O531" i="2"/>
  <c r="N531" i="2"/>
  <c r="S530" i="2"/>
  <c r="R530" i="2"/>
  <c r="Q530" i="2"/>
  <c r="P530" i="2"/>
  <c r="O530" i="2"/>
  <c r="N530" i="2"/>
  <c r="S529" i="2"/>
  <c r="R529" i="2"/>
  <c r="Q529" i="2"/>
  <c r="P529" i="2"/>
  <c r="O529" i="2"/>
  <c r="N529" i="2"/>
  <c r="S501" i="2"/>
  <c r="R501" i="2"/>
  <c r="Q501" i="2"/>
  <c r="P501" i="2"/>
  <c r="O501" i="2"/>
  <c r="N501" i="2"/>
  <c r="S492" i="2"/>
  <c r="R492" i="2"/>
  <c r="Q492" i="2"/>
  <c r="P492" i="2"/>
  <c r="O492" i="2"/>
  <c r="N492" i="2"/>
  <c r="N486" i="2" s="1"/>
  <c r="L492" i="2"/>
  <c r="S491" i="2"/>
  <c r="R491" i="2"/>
  <c r="Q491" i="2"/>
  <c r="P491" i="2"/>
  <c r="O491" i="2"/>
  <c r="N491" i="2"/>
  <c r="N485" i="2" s="1"/>
  <c r="L491" i="2"/>
  <c r="S490" i="2"/>
  <c r="R490" i="2"/>
  <c r="Q490" i="2"/>
  <c r="P490" i="2"/>
  <c r="O490" i="2"/>
  <c r="N490" i="2"/>
  <c r="N484" i="2" s="1"/>
  <c r="L490" i="2"/>
  <c r="S489" i="2"/>
  <c r="R489" i="2"/>
  <c r="Q489" i="2"/>
  <c r="P489" i="2"/>
  <c r="O489" i="2"/>
  <c r="N489" i="2"/>
  <c r="N483" i="2" s="1"/>
  <c r="L489" i="2"/>
  <c r="S488" i="2"/>
  <c r="R488" i="2"/>
  <c r="Q488" i="2"/>
  <c r="P488" i="2"/>
  <c r="O488" i="2"/>
  <c r="L488" i="2"/>
  <c r="Z477" i="2"/>
  <c r="Y477" i="2"/>
  <c r="X477" i="2"/>
  <c r="W477" i="2"/>
  <c r="V477" i="2"/>
  <c r="U477" i="2"/>
  <c r="M476" i="2"/>
  <c r="M477" i="2" s="1"/>
  <c r="J69" i="34" s="1"/>
  <c r="L476" i="2"/>
  <c r="L477" i="2" s="1"/>
  <c r="K476" i="2"/>
  <c r="K477" i="2" s="1"/>
  <c r="J476" i="2"/>
  <c r="J477" i="2" s="1"/>
  <c r="AD422" i="2"/>
  <c r="S460" i="2"/>
  <c r="R460" i="2"/>
  <c r="Q460" i="2"/>
  <c r="P460" i="2"/>
  <c r="O460" i="2"/>
  <c r="N460" i="2"/>
  <c r="S459" i="2"/>
  <c r="R459" i="2"/>
  <c r="Q459" i="2"/>
  <c r="P459" i="2"/>
  <c r="O459" i="2"/>
  <c r="N459" i="2"/>
  <c r="S451" i="2"/>
  <c r="R451" i="2"/>
  <c r="Q451" i="2"/>
  <c r="P451" i="2"/>
  <c r="O451" i="2"/>
  <c r="N451" i="2"/>
  <c r="N445" i="2" s="1"/>
  <c r="L451" i="2"/>
  <c r="S450" i="2"/>
  <c r="R450" i="2"/>
  <c r="Q450" i="2"/>
  <c r="P450" i="2"/>
  <c r="O450" i="2"/>
  <c r="N450" i="2"/>
  <c r="N444" i="2" s="1"/>
  <c r="L450" i="2"/>
  <c r="S449" i="2"/>
  <c r="R449" i="2"/>
  <c r="Q449" i="2"/>
  <c r="P449" i="2"/>
  <c r="O449" i="2"/>
  <c r="N449" i="2"/>
  <c r="N443" i="2" s="1"/>
  <c r="L449" i="2"/>
  <c r="S448" i="2"/>
  <c r="R448" i="2"/>
  <c r="Q448" i="2"/>
  <c r="P448" i="2"/>
  <c r="O448" i="2"/>
  <c r="N448" i="2"/>
  <c r="N442" i="2" s="1"/>
  <c r="L448" i="2"/>
  <c r="S447" i="2"/>
  <c r="R447" i="2"/>
  <c r="Q447" i="2"/>
  <c r="P447" i="2"/>
  <c r="O447" i="2"/>
  <c r="N447" i="2"/>
  <c r="N441" i="2" s="1"/>
  <c r="L447" i="2"/>
  <c r="Z436" i="2"/>
  <c r="Y436" i="2"/>
  <c r="X436" i="2"/>
  <c r="W436" i="2"/>
  <c r="V436" i="2"/>
  <c r="U436" i="2"/>
  <c r="M435" i="2"/>
  <c r="M436" i="2" s="1"/>
  <c r="J68" i="34" s="1"/>
  <c r="L435" i="2"/>
  <c r="L436" i="2" s="1"/>
  <c r="K435" i="2"/>
  <c r="K436" i="2" s="1"/>
  <c r="J435" i="2"/>
  <c r="J436" i="2" s="1"/>
  <c r="N422" i="2"/>
  <c r="S419" i="2"/>
  <c r="R419" i="2"/>
  <c r="Q419" i="2"/>
  <c r="P419" i="2"/>
  <c r="O419" i="2"/>
  <c r="N419" i="2"/>
  <c r="N418" i="2"/>
  <c r="O418" i="2" s="1"/>
  <c r="P418" i="2" s="1"/>
  <c r="Q418" i="2" s="1"/>
  <c r="R418" i="2" s="1"/>
  <c r="S418" i="2" s="1"/>
  <c r="S410" i="2"/>
  <c r="R410" i="2"/>
  <c r="Q410" i="2"/>
  <c r="P410" i="2"/>
  <c r="O410" i="2"/>
  <c r="N410" i="2"/>
  <c r="N404" i="2" s="1"/>
  <c r="L410" i="2"/>
  <c r="S409" i="2"/>
  <c r="R409" i="2"/>
  <c r="Q409" i="2"/>
  <c r="P409" i="2"/>
  <c r="O409" i="2"/>
  <c r="N409" i="2"/>
  <c r="N403" i="2" s="1"/>
  <c r="L409" i="2"/>
  <c r="S408" i="2"/>
  <c r="R408" i="2"/>
  <c r="Q408" i="2"/>
  <c r="P408" i="2"/>
  <c r="O408" i="2"/>
  <c r="N408" i="2"/>
  <c r="N402" i="2" s="1"/>
  <c r="L408" i="2"/>
  <c r="S407" i="2"/>
  <c r="R407" i="2"/>
  <c r="Q407" i="2"/>
  <c r="P407" i="2"/>
  <c r="O407" i="2"/>
  <c r="N407" i="2"/>
  <c r="N401" i="2" s="1"/>
  <c r="L407" i="2"/>
  <c r="S406" i="2"/>
  <c r="R406" i="2"/>
  <c r="Q406" i="2"/>
  <c r="P406" i="2"/>
  <c r="O406" i="2"/>
  <c r="N406" i="2"/>
  <c r="N400" i="2" s="1"/>
  <c r="L406" i="2"/>
  <c r="Z395" i="2"/>
  <c r="Y395" i="2"/>
  <c r="X395" i="2"/>
  <c r="W395" i="2"/>
  <c r="V395" i="2"/>
  <c r="U395" i="2"/>
  <c r="M394" i="2"/>
  <c r="M395" i="2" s="1"/>
  <c r="J67" i="34" s="1"/>
  <c r="L394" i="2"/>
  <c r="L395" i="2" s="1"/>
  <c r="K394" i="2"/>
  <c r="K395" i="2" s="1"/>
  <c r="J394" i="2"/>
  <c r="J395" i="2" s="1"/>
  <c r="I394" i="2"/>
  <c r="I395" i="2" s="1"/>
  <c r="H394" i="2"/>
  <c r="H395" i="2" s="1"/>
  <c r="N378" i="2"/>
  <c r="O378" i="2" s="1"/>
  <c r="P378" i="2" s="1"/>
  <c r="Q378" i="2" s="1"/>
  <c r="R378" i="2" s="1"/>
  <c r="S378" i="2" s="1"/>
  <c r="L369" i="2"/>
  <c r="L368" i="2"/>
  <c r="L367" i="2"/>
  <c r="L366" i="2"/>
  <c r="L365" i="2"/>
  <c r="S369" i="2"/>
  <c r="R369" i="2"/>
  <c r="Q369" i="2"/>
  <c r="P369" i="2"/>
  <c r="O369" i="2"/>
  <c r="N369" i="2"/>
  <c r="N363" i="2" s="1"/>
  <c r="S368" i="2"/>
  <c r="R368" i="2"/>
  <c r="Q368" i="2"/>
  <c r="P368" i="2"/>
  <c r="O368" i="2"/>
  <c r="N368" i="2"/>
  <c r="N362" i="2" s="1"/>
  <c r="S367" i="2"/>
  <c r="R367" i="2"/>
  <c r="Q367" i="2"/>
  <c r="P367" i="2"/>
  <c r="O367" i="2"/>
  <c r="N367" i="2"/>
  <c r="N361" i="2" s="1"/>
  <c r="S366" i="2"/>
  <c r="R366" i="2"/>
  <c r="Q366" i="2"/>
  <c r="P366" i="2"/>
  <c r="O366" i="2"/>
  <c r="N366" i="2"/>
  <c r="N360" i="2" s="1"/>
  <c r="O365" i="2"/>
  <c r="N365" i="2"/>
  <c r="N359" i="2" s="1"/>
  <c r="S299" i="2"/>
  <c r="R299" i="2"/>
  <c r="Q299" i="2"/>
  <c r="P299" i="2"/>
  <c r="O299" i="2"/>
  <c r="N299" i="2"/>
  <c r="S298" i="2"/>
  <c r="R298" i="2"/>
  <c r="Q298" i="2"/>
  <c r="P298" i="2"/>
  <c r="O298" i="2"/>
  <c r="N298" i="2"/>
  <c r="S297" i="2"/>
  <c r="R297" i="2"/>
  <c r="Q297" i="2"/>
  <c r="P297" i="2"/>
  <c r="O297" i="2"/>
  <c r="N297" i="2"/>
  <c r="S296" i="2"/>
  <c r="R296" i="2"/>
  <c r="Q296" i="2"/>
  <c r="P296" i="2"/>
  <c r="O296" i="2"/>
  <c r="N296" i="2"/>
  <c r="AD295" i="2"/>
  <c r="AF295" i="2" s="1"/>
  <c r="N295" i="2"/>
  <c r="N270" i="2"/>
  <c r="N267" i="2"/>
  <c r="O258" i="2"/>
  <c r="N258" i="2"/>
  <c r="N252" i="2" s="1"/>
  <c r="L258" i="2"/>
  <c r="O257" i="2"/>
  <c r="S257" i="2"/>
  <c r="R257" i="2"/>
  <c r="Q257" i="2"/>
  <c r="N257" i="2"/>
  <c r="N251" i="2" s="1"/>
  <c r="L257" i="2"/>
  <c r="O256" i="2"/>
  <c r="N256" i="2"/>
  <c r="N250" i="2" s="1"/>
  <c r="L256" i="2"/>
  <c r="P255" i="2"/>
  <c r="O255" i="2"/>
  <c r="N255" i="2"/>
  <c r="N249" i="2" s="1"/>
  <c r="L255" i="2"/>
  <c r="AE254" i="2"/>
  <c r="N254" i="2"/>
  <c r="N248" i="2" s="1"/>
  <c r="L254" i="2"/>
  <c r="Z243" i="2"/>
  <c r="Y243" i="2"/>
  <c r="X243" i="2"/>
  <c r="W243" i="2"/>
  <c r="V243" i="2"/>
  <c r="U243" i="2"/>
  <c r="O217" i="2"/>
  <c r="N217" i="2"/>
  <c r="N211" i="2" s="1"/>
  <c r="L217" i="2"/>
  <c r="P216" i="2"/>
  <c r="S216" i="2"/>
  <c r="R216" i="2"/>
  <c r="Q216" i="2"/>
  <c r="N216" i="2"/>
  <c r="N210" i="2" s="1"/>
  <c r="L216" i="2"/>
  <c r="O215" i="2"/>
  <c r="N215" i="2"/>
  <c r="N209" i="2" s="1"/>
  <c r="L215" i="2"/>
  <c r="N214" i="2"/>
  <c r="N208" i="2" s="1"/>
  <c r="L214" i="2"/>
  <c r="O213" i="2"/>
  <c r="N213" i="2"/>
  <c r="N207" i="2" s="1"/>
  <c r="L213" i="2"/>
  <c r="M201" i="2"/>
  <c r="M202" i="2" s="1"/>
  <c r="J62" i="34" s="1"/>
  <c r="N188" i="2"/>
  <c r="O188" i="2" s="1"/>
  <c r="P188" i="2" s="1"/>
  <c r="Q188" i="2" s="1"/>
  <c r="R188" i="2" s="1"/>
  <c r="S188" i="2" s="1"/>
  <c r="O173" i="2"/>
  <c r="L173" i="2"/>
  <c r="S176" i="2"/>
  <c r="R176" i="2"/>
  <c r="Q176" i="2"/>
  <c r="P176" i="2"/>
  <c r="O176" i="2"/>
  <c r="N176" i="2"/>
  <c r="N170" i="2" s="1"/>
  <c r="L176" i="2"/>
  <c r="P175" i="2"/>
  <c r="S175" i="2"/>
  <c r="R175" i="2"/>
  <c r="Q175" i="2"/>
  <c r="N175" i="2"/>
  <c r="N169" i="2" s="1"/>
  <c r="L175" i="2"/>
  <c r="N174" i="2"/>
  <c r="N168" i="2" s="1"/>
  <c r="L174" i="2"/>
  <c r="N173" i="2"/>
  <c r="N167" i="2" s="1"/>
  <c r="N172" i="2"/>
  <c r="N166" i="2" s="1"/>
  <c r="L172" i="2"/>
  <c r="U161" i="2"/>
  <c r="N144" i="2"/>
  <c r="O144" i="2" s="1"/>
  <c r="P144" i="2" s="1"/>
  <c r="Q144" i="2" s="1"/>
  <c r="R144" i="2" s="1"/>
  <c r="S144" i="2" s="1"/>
  <c r="O134" i="2"/>
  <c r="O131" i="2"/>
  <c r="L131" i="2"/>
  <c r="L133" i="2"/>
  <c r="L134" i="2"/>
  <c r="L135" i="2"/>
  <c r="L132" i="2"/>
  <c r="S135" i="2"/>
  <c r="R135" i="2"/>
  <c r="Q135" i="2"/>
  <c r="P135" i="2"/>
  <c r="O135" i="2"/>
  <c r="N135" i="2"/>
  <c r="N129" i="2" s="1"/>
  <c r="S134" i="2"/>
  <c r="R134" i="2"/>
  <c r="Q134" i="2"/>
  <c r="N134" i="2"/>
  <c r="N128" i="2" s="1"/>
  <c r="O133" i="2"/>
  <c r="N133" i="2"/>
  <c r="N127" i="2" s="1"/>
  <c r="O132" i="2"/>
  <c r="N132" i="2"/>
  <c r="N126" i="2" s="1"/>
  <c r="N131" i="2"/>
  <c r="N125" i="2" s="1"/>
  <c r="M599" i="2"/>
  <c r="M600" i="2" s="1"/>
  <c r="J72" i="34" s="1"/>
  <c r="M542" i="2"/>
  <c r="M544" i="2"/>
  <c r="M541" i="2"/>
  <c r="M558" i="2"/>
  <c r="M559" i="2" s="1"/>
  <c r="J71" i="34" s="1"/>
  <c r="M517" i="2"/>
  <c r="M518" i="2" s="1"/>
  <c r="J70" i="34" s="1"/>
  <c r="M352" i="2"/>
  <c r="M76" i="2"/>
  <c r="M77" i="2"/>
  <c r="M324" i="2"/>
  <c r="M325" i="2" s="1"/>
  <c r="J65" i="34" s="1"/>
  <c r="M283" i="2"/>
  <c r="M284" i="2" s="1"/>
  <c r="J64" i="34" s="1"/>
  <c r="M242" i="2"/>
  <c r="M243" i="2" s="1"/>
  <c r="J63" i="34" s="1"/>
  <c r="M160" i="2"/>
  <c r="M161" i="2" s="1"/>
  <c r="J61" i="34" s="1"/>
  <c r="M119" i="2"/>
  <c r="M120" i="2" s="1"/>
  <c r="J60" i="34" s="1"/>
  <c r="M117" i="4" l="1"/>
  <c r="M213" i="5" s="1"/>
  <c r="M171" i="4"/>
  <c r="N171" i="4" s="1"/>
  <c r="M36" i="2"/>
  <c r="M138" i="4"/>
  <c r="M62" i="4"/>
  <c r="M61" i="4" s="1"/>
  <c r="M85" i="4" s="1"/>
  <c r="M86" i="4" s="1"/>
  <c r="M87" i="4" s="1"/>
  <c r="AC87" i="4" s="1"/>
  <c r="AC63" i="4"/>
  <c r="U63" i="4" s="1"/>
  <c r="M171" i="3"/>
  <c r="M152" i="3"/>
  <c r="M163" i="3" s="1"/>
  <c r="M167" i="4"/>
  <c r="J54" i="34"/>
  <c r="M159" i="5"/>
  <c r="M164" i="5" s="1"/>
  <c r="M53" i="5"/>
  <c r="M52" i="5" s="1"/>
  <c r="J6" i="34"/>
  <c r="M26" i="5"/>
  <c r="M28" i="3"/>
  <c r="M64" i="5"/>
  <c r="M75" i="5" s="1"/>
  <c r="J88" i="34" s="1"/>
  <c r="M104" i="3"/>
  <c r="H56" i="40"/>
  <c r="M165" i="38"/>
  <c r="Q10" i="5"/>
  <c r="P7" i="3"/>
  <c r="N586" i="2"/>
  <c r="O295" i="2"/>
  <c r="N507" i="2"/>
  <c r="O484" i="2"/>
  <c r="O483" i="2"/>
  <c r="O486" i="2"/>
  <c r="O485" i="2"/>
  <c r="N481" i="2"/>
  <c r="O482" i="2"/>
  <c r="O422" i="2"/>
  <c r="AE422" i="2" s="1"/>
  <c r="P422" i="2" s="1"/>
  <c r="AF422" i="2" s="1"/>
  <c r="Q422" i="2" s="1"/>
  <c r="AG422" i="2" s="1"/>
  <c r="R422" i="2" s="1"/>
  <c r="AH422" i="2" s="1"/>
  <c r="S422" i="2" s="1"/>
  <c r="N465" i="2"/>
  <c r="N466" i="2"/>
  <c r="O443" i="2"/>
  <c r="O444" i="2"/>
  <c r="O442" i="2"/>
  <c r="O466" i="2" s="1"/>
  <c r="O445" i="2"/>
  <c r="N440" i="2"/>
  <c r="O441" i="2"/>
  <c r="O465" i="2" s="1"/>
  <c r="N425" i="2"/>
  <c r="N428" i="2"/>
  <c r="N424" i="2"/>
  <c r="O404" i="2"/>
  <c r="O403" i="2"/>
  <c r="O401" i="2"/>
  <c r="O402" i="2"/>
  <c r="N399" i="2"/>
  <c r="O400" i="2"/>
  <c r="O424" i="2" s="1"/>
  <c r="N384" i="2"/>
  <c r="O360" i="2"/>
  <c r="O361" i="2"/>
  <c r="O362" i="2"/>
  <c r="P362" i="2" s="1"/>
  <c r="O363" i="2"/>
  <c r="P363" i="2" s="1"/>
  <c r="P365" i="2"/>
  <c r="N358" i="2"/>
  <c r="N370" i="2" s="1"/>
  <c r="O359" i="2"/>
  <c r="Q365" i="2"/>
  <c r="P295" i="2"/>
  <c r="O216" i="2"/>
  <c r="O210" i="2" s="1"/>
  <c r="O249" i="2"/>
  <c r="P249" i="2" s="1"/>
  <c r="N276" i="2"/>
  <c r="O267" i="2"/>
  <c r="N273" i="2"/>
  <c r="O270" i="2"/>
  <c r="O250" i="2"/>
  <c r="O252" i="2"/>
  <c r="O251" i="2"/>
  <c r="N247" i="2"/>
  <c r="Q255" i="2"/>
  <c r="P254" i="2"/>
  <c r="P258" i="2"/>
  <c r="P257" i="2"/>
  <c r="O254" i="2"/>
  <c r="O248" i="2" s="1"/>
  <c r="Q217" i="2"/>
  <c r="O214" i="2"/>
  <c r="O208" i="2" s="1"/>
  <c r="O209" i="2"/>
  <c r="O211" i="2"/>
  <c r="N206" i="2"/>
  <c r="O207" i="2"/>
  <c r="O174" i="2"/>
  <c r="O168" i="2" s="1"/>
  <c r="P174" i="2"/>
  <c r="P214" i="2"/>
  <c r="O172" i="2"/>
  <c r="O166" i="2" s="1"/>
  <c r="N194" i="2"/>
  <c r="O175" i="2"/>
  <c r="O169" i="2" s="1"/>
  <c r="O170" i="2"/>
  <c r="O167" i="2"/>
  <c r="N165" i="2"/>
  <c r="N178" i="2" s="1"/>
  <c r="O129" i="2"/>
  <c r="P129" i="2" s="1"/>
  <c r="P172" i="2"/>
  <c r="V161" i="2"/>
  <c r="O128" i="2"/>
  <c r="P134" i="2"/>
  <c r="R131" i="2"/>
  <c r="N150" i="2"/>
  <c r="O125" i="2"/>
  <c r="O126" i="2"/>
  <c r="O150" i="2" s="1"/>
  <c r="O127" i="2"/>
  <c r="N124" i="2"/>
  <c r="P132" i="2"/>
  <c r="Q132" i="2"/>
  <c r="P133" i="2"/>
  <c r="M78" i="2"/>
  <c r="M79" i="2" s="1"/>
  <c r="J59" i="34" s="1"/>
  <c r="M353" i="2"/>
  <c r="M139" i="4" l="1"/>
  <c r="J100" i="34"/>
  <c r="J105" i="34" s="1"/>
  <c r="M223" i="5"/>
  <c r="M235" i="5" s="1"/>
  <c r="N165" i="38"/>
  <c r="J56" i="40" s="1"/>
  <c r="I56" i="40"/>
  <c r="M105" i="3"/>
  <c r="M108" i="3"/>
  <c r="R10" i="5"/>
  <c r="Q7" i="3"/>
  <c r="O541" i="2"/>
  <c r="P485" i="2"/>
  <c r="Q485" i="2" s="1"/>
  <c r="P486" i="2"/>
  <c r="P483" i="2"/>
  <c r="O507" i="2"/>
  <c r="P484" i="2"/>
  <c r="N496" i="2"/>
  <c r="N498" i="2"/>
  <c r="N493" i="2"/>
  <c r="N495" i="2"/>
  <c r="O481" i="2"/>
  <c r="P482" i="2"/>
  <c r="N497" i="2"/>
  <c r="N494" i="2"/>
  <c r="N452" i="2"/>
  <c r="N455" i="2"/>
  <c r="N457" i="2"/>
  <c r="P445" i="2"/>
  <c r="P442" i="2"/>
  <c r="P466" i="2" s="1"/>
  <c r="P444" i="2"/>
  <c r="P443" i="2"/>
  <c r="N454" i="2"/>
  <c r="N456" i="2"/>
  <c r="N453" i="2"/>
  <c r="O440" i="2"/>
  <c r="P441" i="2"/>
  <c r="P465" i="2" s="1"/>
  <c r="N373" i="2"/>
  <c r="P402" i="2"/>
  <c r="P403" i="2"/>
  <c r="P401" i="2"/>
  <c r="O425" i="2"/>
  <c r="P404" i="2"/>
  <c r="P428" i="2" s="1"/>
  <c r="O428" i="2"/>
  <c r="N413" i="2"/>
  <c r="N414" i="2"/>
  <c r="N411" i="2"/>
  <c r="O399" i="2"/>
  <c r="P400" i="2"/>
  <c r="P424" i="2" s="1"/>
  <c r="N416" i="2"/>
  <c r="N415" i="2"/>
  <c r="N412" i="2"/>
  <c r="N374" i="2"/>
  <c r="N371" i="2"/>
  <c r="N375" i="2"/>
  <c r="N372" i="2"/>
  <c r="P360" i="2"/>
  <c r="P384" i="2" s="1"/>
  <c r="O384" i="2"/>
  <c r="P361" i="2"/>
  <c r="O358" i="2"/>
  <c r="P359" i="2"/>
  <c r="Q363" i="2"/>
  <c r="Q362" i="2"/>
  <c r="R365" i="2"/>
  <c r="S365" i="2"/>
  <c r="Q295" i="2"/>
  <c r="O276" i="2"/>
  <c r="P270" i="2"/>
  <c r="O273" i="2"/>
  <c r="P267" i="2"/>
  <c r="P252" i="2"/>
  <c r="N262" i="2"/>
  <c r="N259" i="2"/>
  <c r="N264" i="2"/>
  <c r="N261" i="2"/>
  <c r="P251" i="2"/>
  <c r="O247" i="2"/>
  <c r="P248" i="2"/>
  <c r="Q249" i="2"/>
  <c r="N260" i="2"/>
  <c r="N263" i="2"/>
  <c r="N221" i="2"/>
  <c r="Q254" i="2"/>
  <c r="P217" i="2"/>
  <c r="P211" i="2" s="1"/>
  <c r="S255" i="2"/>
  <c r="R255" i="2"/>
  <c r="P256" i="2"/>
  <c r="P250" i="2" s="1"/>
  <c r="Q258" i="2"/>
  <c r="N219" i="2"/>
  <c r="P208" i="2"/>
  <c r="P210" i="2"/>
  <c r="N220" i="2"/>
  <c r="N222" i="2"/>
  <c r="N218" i="2"/>
  <c r="N223" i="2"/>
  <c r="O206" i="2"/>
  <c r="P215" i="2"/>
  <c r="P209" i="2" s="1"/>
  <c r="P213" i="2"/>
  <c r="P207" i="2" s="1"/>
  <c r="P173" i="2"/>
  <c r="P167" i="2" s="1"/>
  <c r="Q214" i="2"/>
  <c r="Q174" i="2"/>
  <c r="P170" i="2"/>
  <c r="P194" i="2" s="1"/>
  <c r="O194" i="2"/>
  <c r="P168" i="2"/>
  <c r="O165" i="2"/>
  <c r="P166" i="2"/>
  <c r="N180" i="2"/>
  <c r="N182" i="2"/>
  <c r="N177" i="2"/>
  <c r="P169" i="2"/>
  <c r="N179" i="2"/>
  <c r="N181" i="2"/>
  <c r="P128" i="2"/>
  <c r="Q128" i="2" s="1"/>
  <c r="N137" i="2"/>
  <c r="S131" i="2"/>
  <c r="Q172" i="2"/>
  <c r="W161" i="2"/>
  <c r="O124" i="2"/>
  <c r="O139" i="2" s="1"/>
  <c r="P126" i="2"/>
  <c r="P150" i="2" s="1"/>
  <c r="P127" i="2"/>
  <c r="N139" i="2"/>
  <c r="N136" i="2"/>
  <c r="N140" i="2"/>
  <c r="N141" i="2"/>
  <c r="N138" i="2"/>
  <c r="Q129" i="2"/>
  <c r="S132" i="2"/>
  <c r="R132" i="2"/>
  <c r="Q131" i="2"/>
  <c r="P131" i="2"/>
  <c r="P125" i="2" s="1"/>
  <c r="Q133" i="2"/>
  <c r="O93" i="2"/>
  <c r="O92" i="2"/>
  <c r="AD90" i="2"/>
  <c r="O90" i="2" s="1"/>
  <c r="S94" i="2"/>
  <c r="R94" i="2"/>
  <c r="Q94" i="2"/>
  <c r="P94" i="2"/>
  <c r="O94" i="2"/>
  <c r="N94" i="2"/>
  <c r="N88" i="2" s="1"/>
  <c r="L94" i="2"/>
  <c r="S93" i="2"/>
  <c r="R93" i="2"/>
  <c r="Q93" i="2"/>
  <c r="P93" i="2"/>
  <c r="N93" i="2"/>
  <c r="N87" i="2" s="1"/>
  <c r="L93" i="2"/>
  <c r="N92" i="2"/>
  <c r="N86" i="2" s="1"/>
  <c r="L92" i="2"/>
  <c r="N91" i="2"/>
  <c r="N85" i="2" s="1"/>
  <c r="L91" i="2"/>
  <c r="S90" i="2"/>
  <c r="R90" i="2"/>
  <c r="N90" i="2"/>
  <c r="N84" i="2" s="1"/>
  <c r="L90" i="2"/>
  <c r="N769" i="2"/>
  <c r="M771" i="2"/>
  <c r="L756" i="2"/>
  <c r="M756" i="2"/>
  <c r="K754" i="2"/>
  <c r="M748" i="2"/>
  <c r="L748" i="2"/>
  <c r="M112" i="3" l="1"/>
  <c r="M167" i="3"/>
  <c r="M131" i="3"/>
  <c r="J99" i="34" s="1"/>
  <c r="J104" i="34" s="1"/>
  <c r="M110" i="3"/>
  <c r="S10" i="5"/>
  <c r="R7" i="3"/>
  <c r="P541" i="2"/>
  <c r="Q486" i="2"/>
  <c r="O494" i="2"/>
  <c r="Q484" i="2"/>
  <c r="Q483" i="2"/>
  <c r="P507" i="2"/>
  <c r="R485" i="2"/>
  <c r="P481" i="2"/>
  <c r="Q482" i="2"/>
  <c r="O493" i="2"/>
  <c r="O495" i="2"/>
  <c r="O496" i="2"/>
  <c r="O497" i="2"/>
  <c r="O498" i="2"/>
  <c r="O452" i="2"/>
  <c r="O456" i="2"/>
  <c r="Q443" i="2"/>
  <c r="Q444" i="2"/>
  <c r="O454" i="2"/>
  <c r="Q442" i="2"/>
  <c r="Q466" i="2" s="1"/>
  <c r="O457" i="2"/>
  <c r="Q445" i="2"/>
  <c r="O455" i="2"/>
  <c r="O453" i="2"/>
  <c r="P440" i="2"/>
  <c r="Q441" i="2"/>
  <c r="Q465" i="2" s="1"/>
  <c r="Q402" i="2"/>
  <c r="Q403" i="2"/>
  <c r="Q401" i="2"/>
  <c r="P425" i="2"/>
  <c r="Q404" i="2"/>
  <c r="Q428" i="2" s="1"/>
  <c r="P399" i="2"/>
  <c r="Q400" i="2"/>
  <c r="Q424" i="2" s="1"/>
  <c r="O411" i="2"/>
  <c r="O413" i="2"/>
  <c r="O415" i="2"/>
  <c r="O416" i="2"/>
  <c r="O414" i="2"/>
  <c r="O412" i="2"/>
  <c r="Q360" i="2"/>
  <c r="Q384" i="2" s="1"/>
  <c r="Q361" i="2"/>
  <c r="R363" i="2"/>
  <c r="P358" i="2"/>
  <c r="Q359" i="2"/>
  <c r="O370" i="2"/>
  <c r="O372" i="2"/>
  <c r="O373" i="2"/>
  <c r="O374" i="2"/>
  <c r="O375" i="2"/>
  <c r="R362" i="2"/>
  <c r="O371" i="2"/>
  <c r="R295" i="2"/>
  <c r="S295" i="2"/>
  <c r="O263" i="2"/>
  <c r="P276" i="2"/>
  <c r="P273" i="2"/>
  <c r="Q267" i="2"/>
  <c r="Q270" i="2"/>
  <c r="Q252" i="2"/>
  <c r="O260" i="2"/>
  <c r="R249" i="2"/>
  <c r="P247" i="2"/>
  <c r="Q248" i="2"/>
  <c r="O259" i="2"/>
  <c r="O262" i="2"/>
  <c r="O261" i="2"/>
  <c r="O264" i="2"/>
  <c r="Q251" i="2"/>
  <c r="R217" i="2"/>
  <c r="S217" i="2"/>
  <c r="S254" i="2"/>
  <c r="R254" i="2"/>
  <c r="S258" i="2"/>
  <c r="R258" i="2"/>
  <c r="O218" i="2"/>
  <c r="Q256" i="2"/>
  <c r="Q250" i="2" s="1"/>
  <c r="Q208" i="2"/>
  <c r="O221" i="2"/>
  <c r="O223" i="2"/>
  <c r="Q211" i="2"/>
  <c r="O222" i="2"/>
  <c r="Q210" i="2"/>
  <c r="O220" i="2"/>
  <c r="P206" i="2"/>
  <c r="O219" i="2"/>
  <c r="Q215" i="2"/>
  <c r="Q209" i="2" s="1"/>
  <c r="Q173" i="2"/>
  <c r="Q167" i="2" s="1"/>
  <c r="S214" i="2"/>
  <c r="R214" i="2"/>
  <c r="O178" i="2"/>
  <c r="S174" i="2"/>
  <c r="R174" i="2"/>
  <c r="Q213" i="2"/>
  <c r="Q207" i="2" s="1"/>
  <c r="Q170" i="2"/>
  <c r="Q194" i="2" s="1"/>
  <c r="Q168" i="2"/>
  <c r="O140" i="2"/>
  <c r="O181" i="2"/>
  <c r="O141" i="2"/>
  <c r="Q169" i="2"/>
  <c r="P165" i="2"/>
  <c r="Q166" i="2"/>
  <c r="O177" i="2"/>
  <c r="O182" i="2"/>
  <c r="O180" i="2"/>
  <c r="O179" i="2"/>
  <c r="O91" i="2"/>
  <c r="O85" i="2" s="1"/>
  <c r="O136" i="2"/>
  <c r="O138" i="2"/>
  <c r="Q126" i="2"/>
  <c r="Q150" i="2" s="1"/>
  <c r="S172" i="2"/>
  <c r="R172" i="2"/>
  <c r="O137" i="2"/>
  <c r="X161" i="2"/>
  <c r="Q127" i="2"/>
  <c r="P124" i="2"/>
  <c r="Q125" i="2"/>
  <c r="R125" i="2" s="1"/>
  <c r="R129" i="2"/>
  <c r="R128" i="2"/>
  <c r="M761" i="2"/>
  <c r="M773" i="2" s="1"/>
  <c r="S133" i="2"/>
  <c r="R133" i="2"/>
  <c r="P91" i="2"/>
  <c r="O86" i="2"/>
  <c r="O88" i="2"/>
  <c r="O87" i="2"/>
  <c r="N83" i="2"/>
  <c r="O84" i="2"/>
  <c r="M224" i="5" l="1"/>
  <c r="M236" i="5" s="1"/>
  <c r="M132" i="3"/>
  <c r="M214" i="5"/>
  <c r="M113" i="3"/>
  <c r="S7" i="3"/>
  <c r="Q541" i="2"/>
  <c r="P494" i="2"/>
  <c r="R486" i="2"/>
  <c r="S486" i="2" s="1"/>
  <c r="R483" i="2"/>
  <c r="Q507" i="2"/>
  <c r="R484" i="2"/>
  <c r="Q481" i="2"/>
  <c r="R482" i="2"/>
  <c r="P495" i="2"/>
  <c r="P493" i="2"/>
  <c r="P496" i="2"/>
  <c r="P498" i="2"/>
  <c r="P497" i="2"/>
  <c r="S485" i="2"/>
  <c r="P452" i="2"/>
  <c r="R404" i="2"/>
  <c r="R428" i="2" s="1"/>
  <c r="R445" i="2"/>
  <c r="P453" i="2"/>
  <c r="P454" i="2"/>
  <c r="R442" i="2"/>
  <c r="R466" i="2" s="1"/>
  <c r="P457" i="2"/>
  <c r="P455" i="2"/>
  <c r="P456" i="2"/>
  <c r="R443" i="2"/>
  <c r="R444" i="2"/>
  <c r="Q440" i="2"/>
  <c r="R441" i="2"/>
  <c r="R465" i="2" s="1"/>
  <c r="P412" i="2"/>
  <c r="R402" i="2"/>
  <c r="R403" i="2"/>
  <c r="S403" i="2" s="1"/>
  <c r="Q425" i="2"/>
  <c r="R401" i="2"/>
  <c r="P411" i="2"/>
  <c r="P413" i="2"/>
  <c r="P416" i="2"/>
  <c r="P415" i="2"/>
  <c r="P414" i="2"/>
  <c r="Q399" i="2"/>
  <c r="R400" i="2"/>
  <c r="R424" i="2" s="1"/>
  <c r="R360" i="2"/>
  <c r="R384" i="2" s="1"/>
  <c r="R361" i="2"/>
  <c r="S362" i="2"/>
  <c r="Q358" i="2"/>
  <c r="R359" i="2"/>
  <c r="S363" i="2"/>
  <c r="P370" i="2"/>
  <c r="P373" i="2"/>
  <c r="P375" i="2"/>
  <c r="P374" i="2"/>
  <c r="P372" i="2"/>
  <c r="P371" i="2"/>
  <c r="R252" i="2"/>
  <c r="S252" i="2" s="1"/>
  <c r="P263" i="2"/>
  <c r="Q276" i="2"/>
  <c r="R270" i="2"/>
  <c r="S270" i="2"/>
  <c r="Q273" i="2"/>
  <c r="R267" i="2"/>
  <c r="R251" i="2"/>
  <c r="Q247" i="2"/>
  <c r="R248" i="2"/>
  <c r="P259" i="2"/>
  <c r="P262" i="2"/>
  <c r="P261" i="2"/>
  <c r="P264" i="2"/>
  <c r="P260" i="2"/>
  <c r="S249" i="2"/>
  <c r="P218" i="2"/>
  <c r="S256" i="2"/>
  <c r="R256" i="2"/>
  <c r="R250" i="2" s="1"/>
  <c r="R208" i="2"/>
  <c r="P219" i="2"/>
  <c r="P222" i="2"/>
  <c r="R210" i="2"/>
  <c r="P220" i="2"/>
  <c r="P223" i="2"/>
  <c r="R211" i="2"/>
  <c r="P221" i="2"/>
  <c r="Q206" i="2"/>
  <c r="S215" i="2"/>
  <c r="R215" i="2"/>
  <c r="R209" i="2" s="1"/>
  <c r="R168" i="2"/>
  <c r="S168" i="2" s="1"/>
  <c r="R213" i="2"/>
  <c r="R207" i="2" s="1"/>
  <c r="S213" i="2"/>
  <c r="P178" i="2"/>
  <c r="R173" i="2"/>
  <c r="R167" i="2" s="1"/>
  <c r="S173" i="2"/>
  <c r="R170" i="2"/>
  <c r="R194" i="2" s="1"/>
  <c r="P179" i="2"/>
  <c r="Q165" i="2"/>
  <c r="R166" i="2"/>
  <c r="P177" i="2"/>
  <c r="P182" i="2"/>
  <c r="P180" i="2"/>
  <c r="P181" i="2"/>
  <c r="R169" i="2"/>
  <c r="P136" i="2"/>
  <c r="R126" i="2"/>
  <c r="R150" i="2" s="1"/>
  <c r="Q124" i="2"/>
  <c r="Q141" i="2" s="1"/>
  <c r="Z161" i="2"/>
  <c r="Y161" i="2"/>
  <c r="P140" i="2"/>
  <c r="P139" i="2"/>
  <c r="P141" i="2"/>
  <c r="P137" i="2"/>
  <c r="R127" i="2"/>
  <c r="S127" i="2" s="1"/>
  <c r="P138" i="2"/>
  <c r="S128" i="2"/>
  <c r="S125" i="2"/>
  <c r="S129" i="2"/>
  <c r="N100" i="2"/>
  <c r="P92" i="2"/>
  <c r="P86" i="2" s="1"/>
  <c r="Q90" i="2"/>
  <c r="P90" i="2"/>
  <c r="P84" i="2" s="1"/>
  <c r="Q91" i="2"/>
  <c r="P87" i="2"/>
  <c r="P85" i="2"/>
  <c r="P88" i="2"/>
  <c r="N96" i="2"/>
  <c r="N99" i="2"/>
  <c r="N97" i="2"/>
  <c r="N95" i="2"/>
  <c r="N98" i="2"/>
  <c r="O83" i="2"/>
  <c r="K748" i="2"/>
  <c r="M744" i="2"/>
  <c r="M700" i="2"/>
  <c r="M684" i="2"/>
  <c r="AC684" i="2" s="1"/>
  <c r="L684" i="2"/>
  <c r="U684" i="2" s="1"/>
  <c r="K684" i="2"/>
  <c r="J684" i="2"/>
  <c r="I684" i="2"/>
  <c r="H684" i="2"/>
  <c r="M682" i="2"/>
  <c r="AC682" i="2" s="1"/>
  <c r="N682" i="2" s="1"/>
  <c r="L682" i="2"/>
  <c r="U682" i="2" s="1"/>
  <c r="K682" i="2"/>
  <c r="J682" i="2"/>
  <c r="I682" i="2"/>
  <c r="H682" i="2"/>
  <c r="M680" i="2"/>
  <c r="AC680" i="2" s="1"/>
  <c r="L680" i="2"/>
  <c r="U680" i="2" s="1"/>
  <c r="K680" i="2"/>
  <c r="J680" i="2"/>
  <c r="I680" i="2"/>
  <c r="H680" i="2"/>
  <c r="M678" i="2"/>
  <c r="AC678" i="2" s="1"/>
  <c r="L678" i="2"/>
  <c r="U678" i="2" s="1"/>
  <c r="K678" i="2"/>
  <c r="J678" i="2"/>
  <c r="I678" i="2"/>
  <c r="H678" i="2"/>
  <c r="M676" i="2"/>
  <c r="AC676" i="2" s="1"/>
  <c r="AD676" i="2" s="1"/>
  <c r="L676" i="2"/>
  <c r="U676" i="2" s="1"/>
  <c r="K676" i="2"/>
  <c r="J676" i="2"/>
  <c r="I676" i="2"/>
  <c r="H676" i="2"/>
  <c r="M674" i="2"/>
  <c r="AC674" i="2" s="1"/>
  <c r="L674" i="2"/>
  <c r="U674" i="2" s="1"/>
  <c r="K674" i="2"/>
  <c r="J674" i="2"/>
  <c r="I674" i="2"/>
  <c r="H674" i="2"/>
  <c r="M672" i="2"/>
  <c r="M635" i="2"/>
  <c r="M647" i="2"/>
  <c r="M659" i="2"/>
  <c r="L633" i="2"/>
  <c r="M633" i="2"/>
  <c r="M746" i="2" s="1"/>
  <c r="K633" i="2"/>
  <c r="H666" i="2"/>
  <c r="H667" i="2" s="1"/>
  <c r="L659" i="2"/>
  <c r="I666" i="2"/>
  <c r="I667" i="2" s="1"/>
  <c r="J666" i="2"/>
  <c r="J667" i="2" s="1"/>
  <c r="L665" i="2"/>
  <c r="U665" i="2" s="1"/>
  <c r="J665" i="2"/>
  <c r="I665" i="2"/>
  <c r="H665" i="2"/>
  <c r="L663" i="2"/>
  <c r="U663" i="2" s="1"/>
  <c r="J663" i="2"/>
  <c r="I663" i="2"/>
  <c r="H663" i="2"/>
  <c r="L661" i="2"/>
  <c r="U661" i="2" s="1"/>
  <c r="J661" i="2"/>
  <c r="I661" i="2"/>
  <c r="H661" i="2"/>
  <c r="H656" i="2"/>
  <c r="H657" i="2" s="1"/>
  <c r="L647" i="2"/>
  <c r="J656" i="2"/>
  <c r="J657" i="2" s="1"/>
  <c r="I656" i="2"/>
  <c r="I657" i="2" s="1"/>
  <c r="L655" i="2"/>
  <c r="N655" i="2" s="1"/>
  <c r="J655" i="2"/>
  <c r="I655" i="2"/>
  <c r="H655" i="2"/>
  <c r="L653" i="2"/>
  <c r="J653" i="2"/>
  <c r="I653" i="2"/>
  <c r="H653" i="2"/>
  <c r="L651" i="2"/>
  <c r="J651" i="2"/>
  <c r="I651" i="2"/>
  <c r="H651" i="2"/>
  <c r="L649" i="2"/>
  <c r="J649" i="2"/>
  <c r="I649" i="2"/>
  <c r="H649" i="2"/>
  <c r="I49" i="2"/>
  <c r="J49" i="2"/>
  <c r="K49" i="2"/>
  <c r="L49" i="2"/>
  <c r="L61" i="5" s="1"/>
  <c r="L72" i="5" s="1"/>
  <c r="M49" i="2"/>
  <c r="H49" i="2"/>
  <c r="H61" i="5" s="1"/>
  <c r="L635" i="2"/>
  <c r="I644" i="2"/>
  <c r="I645" i="2" s="1"/>
  <c r="J644" i="2"/>
  <c r="J645" i="2" s="1"/>
  <c r="L644" i="2"/>
  <c r="L645" i="2" s="1"/>
  <c r="AC645" i="2" s="1"/>
  <c r="AD645" i="2" s="1"/>
  <c r="AE645" i="2" s="1"/>
  <c r="AF645" i="2" s="1"/>
  <c r="AG645" i="2" s="1"/>
  <c r="AH645" i="2" s="1"/>
  <c r="S645" i="2" s="1"/>
  <c r="H644" i="2"/>
  <c r="H645" i="2" s="1"/>
  <c r="L643" i="2"/>
  <c r="AC643" i="2" s="1"/>
  <c r="AD643" i="2" s="1"/>
  <c r="AE643" i="2" s="1"/>
  <c r="AF643" i="2" s="1"/>
  <c r="AG643" i="2" s="1"/>
  <c r="AH643" i="2" s="1"/>
  <c r="S643" i="2" s="1"/>
  <c r="J643" i="2"/>
  <c r="I643" i="2"/>
  <c r="H643" i="2"/>
  <c r="H641" i="2"/>
  <c r="L641" i="2"/>
  <c r="U641" i="2" s="1"/>
  <c r="V641" i="2" s="1"/>
  <c r="W641" i="2" s="1"/>
  <c r="X641" i="2" s="1"/>
  <c r="Y641" i="2" s="1"/>
  <c r="Z641" i="2" s="1"/>
  <c r="J641" i="2"/>
  <c r="I641" i="2"/>
  <c r="L639" i="2"/>
  <c r="U639" i="2" s="1"/>
  <c r="V639" i="2" s="1"/>
  <c r="W639" i="2" s="1"/>
  <c r="X639" i="2" s="1"/>
  <c r="Y639" i="2" s="1"/>
  <c r="Z639" i="2" s="1"/>
  <c r="J639" i="2"/>
  <c r="I639" i="2"/>
  <c r="H639" i="2"/>
  <c r="L637" i="2"/>
  <c r="U637" i="2" s="1"/>
  <c r="V637" i="2" s="1"/>
  <c r="W637" i="2" s="1"/>
  <c r="X637" i="2" s="1"/>
  <c r="Y637" i="2" s="1"/>
  <c r="Z637" i="2" s="1"/>
  <c r="J637" i="2"/>
  <c r="I637" i="2"/>
  <c r="H637" i="2"/>
  <c r="N651" i="2" l="1"/>
  <c r="M61" i="5"/>
  <c r="M72" i="5" s="1"/>
  <c r="J58" i="34" s="1"/>
  <c r="M50" i="2"/>
  <c r="S541" i="2"/>
  <c r="R541" i="2"/>
  <c r="Q494" i="2"/>
  <c r="S484" i="2"/>
  <c r="R507" i="2"/>
  <c r="S483" i="2"/>
  <c r="S507" i="2" s="1"/>
  <c r="R481" i="2"/>
  <c r="S482" i="2"/>
  <c r="Q493" i="2"/>
  <c r="Q495" i="2"/>
  <c r="Q496" i="2"/>
  <c r="Q497" i="2"/>
  <c r="Q498" i="2"/>
  <c r="Q452" i="2"/>
  <c r="S404" i="2"/>
  <c r="S428" i="2" s="1"/>
  <c r="Q456" i="2"/>
  <c r="S443" i="2"/>
  <c r="Q453" i="2"/>
  <c r="S444" i="2"/>
  <c r="Q454" i="2"/>
  <c r="S442" i="2"/>
  <c r="S466" i="2" s="1"/>
  <c r="Q457" i="2"/>
  <c r="Q455" i="2"/>
  <c r="S445" i="2"/>
  <c r="S441" i="2"/>
  <c r="S465" i="2" s="1"/>
  <c r="R440" i="2"/>
  <c r="Q412" i="2"/>
  <c r="S402" i="2"/>
  <c r="R425" i="2"/>
  <c r="S401" i="2"/>
  <c r="S425" i="2" s="1"/>
  <c r="R399" i="2"/>
  <c r="S400" i="2"/>
  <c r="S424" i="2" s="1"/>
  <c r="Q411" i="2"/>
  <c r="Q413" i="2"/>
  <c r="Q414" i="2"/>
  <c r="Q415" i="2"/>
  <c r="Q416" i="2"/>
  <c r="Q371" i="2"/>
  <c r="S360" i="2"/>
  <c r="S384" i="2" s="1"/>
  <c r="S361" i="2"/>
  <c r="R358" i="2"/>
  <c r="S359" i="2"/>
  <c r="Q370" i="2"/>
  <c r="Q373" i="2"/>
  <c r="Q372" i="2"/>
  <c r="Q375" i="2"/>
  <c r="Q374" i="2"/>
  <c r="R276" i="2"/>
  <c r="Q260" i="2"/>
  <c r="S276" i="2"/>
  <c r="R273" i="2"/>
  <c r="S267" i="2"/>
  <c r="S273" i="2" s="1"/>
  <c r="S250" i="2"/>
  <c r="R247" i="2"/>
  <c r="S248" i="2"/>
  <c r="Q259" i="2"/>
  <c r="Q262" i="2"/>
  <c r="Q261" i="2"/>
  <c r="Q264" i="2"/>
  <c r="S251" i="2"/>
  <c r="Q263" i="2"/>
  <c r="S208" i="2"/>
  <c r="Q218" i="2"/>
  <c r="Q220" i="2"/>
  <c r="Q223" i="2"/>
  <c r="S211" i="2"/>
  <c r="Q219" i="2"/>
  <c r="Q221" i="2"/>
  <c r="Q222" i="2"/>
  <c r="S210" i="2"/>
  <c r="S209" i="2"/>
  <c r="S207" i="2"/>
  <c r="R206" i="2"/>
  <c r="S170" i="2"/>
  <c r="S194" i="2" s="1"/>
  <c r="Q178" i="2"/>
  <c r="Q181" i="2"/>
  <c r="S166" i="2"/>
  <c r="R165" i="2"/>
  <c r="Q177" i="2"/>
  <c r="Q180" i="2"/>
  <c r="Q182" i="2"/>
  <c r="S167" i="2"/>
  <c r="S169" i="2"/>
  <c r="Q179" i="2"/>
  <c r="S126" i="2"/>
  <c r="S150" i="2" s="1"/>
  <c r="Q136" i="2"/>
  <c r="Q140" i="2"/>
  <c r="Q137" i="2"/>
  <c r="Q138" i="2"/>
  <c r="Q139" i="2"/>
  <c r="R124" i="2"/>
  <c r="R137" i="2" s="1"/>
  <c r="O96" i="2"/>
  <c r="AD674" i="2"/>
  <c r="O674" i="2" s="1"/>
  <c r="N674" i="2"/>
  <c r="M686" i="2"/>
  <c r="M689" i="2" s="1"/>
  <c r="M721" i="2" s="1"/>
  <c r="J97" i="34" s="1"/>
  <c r="J102" i="34" s="1"/>
  <c r="Q92" i="2"/>
  <c r="Q86" i="2" s="1"/>
  <c r="S91" i="2"/>
  <c r="R91" i="2"/>
  <c r="Q88" i="2"/>
  <c r="Q87" i="2"/>
  <c r="R87" i="2" s="1"/>
  <c r="Q85" i="2"/>
  <c r="O95" i="2"/>
  <c r="O100" i="2"/>
  <c r="O97" i="2"/>
  <c r="O98" i="2"/>
  <c r="O99" i="2"/>
  <c r="P83" i="2"/>
  <c r="Q84" i="2"/>
  <c r="AD678" i="2"/>
  <c r="AE678" i="2" s="1"/>
  <c r="N678" i="2"/>
  <c r="AD684" i="2"/>
  <c r="O684" i="2" s="1"/>
  <c r="N684" i="2"/>
  <c r="M766" i="2"/>
  <c r="N766" i="2" s="1"/>
  <c r="M768" i="2"/>
  <c r="N768" i="2" s="1"/>
  <c r="N680" i="2"/>
  <c r="AD680" i="2"/>
  <c r="AE680" i="2" s="1"/>
  <c r="M751" i="2"/>
  <c r="M763" i="2"/>
  <c r="M745" i="2"/>
  <c r="N676" i="2"/>
  <c r="M774" i="2"/>
  <c r="AD682" i="2"/>
  <c r="O682" i="2" s="1"/>
  <c r="AE676" i="2"/>
  <c r="O676" i="2"/>
  <c r="R643" i="2"/>
  <c r="N649" i="2"/>
  <c r="Q645" i="2"/>
  <c r="O645" i="2"/>
  <c r="N653" i="2"/>
  <c r="P651" i="2"/>
  <c r="R645" i="2"/>
  <c r="P645" i="2"/>
  <c r="AC661" i="2"/>
  <c r="AD661" i="2" s="1"/>
  <c r="AE661" i="2" s="1"/>
  <c r="Q643" i="2"/>
  <c r="AC663" i="2"/>
  <c r="AC665" i="2"/>
  <c r="P655" i="2"/>
  <c r="P643" i="2"/>
  <c r="O653" i="2"/>
  <c r="O643" i="2"/>
  <c r="N643" i="2"/>
  <c r="N645" i="2"/>
  <c r="P649" i="2"/>
  <c r="P653" i="2"/>
  <c r="O649" i="2"/>
  <c r="U643" i="2"/>
  <c r="V643" i="2" s="1"/>
  <c r="W643" i="2" s="1"/>
  <c r="X643" i="2" s="1"/>
  <c r="Y643" i="2" s="1"/>
  <c r="Z643" i="2" s="1"/>
  <c r="U645" i="2"/>
  <c r="V645" i="2" s="1"/>
  <c r="W645" i="2" s="1"/>
  <c r="X645" i="2" s="1"/>
  <c r="Y645" i="2" s="1"/>
  <c r="Z645" i="2" s="1"/>
  <c r="U649" i="2"/>
  <c r="U651" i="2"/>
  <c r="AC637" i="2"/>
  <c r="AC639" i="2"/>
  <c r="U653" i="2"/>
  <c r="AC641" i="2"/>
  <c r="U655" i="2"/>
  <c r="N637" i="2" l="1"/>
  <c r="AD637" i="2"/>
  <c r="AE637" i="2" s="1"/>
  <c r="AF637" i="2" s="1"/>
  <c r="AG637" i="2" s="1"/>
  <c r="AH637" i="2" s="1"/>
  <c r="M722" i="2"/>
  <c r="M221" i="5"/>
  <c r="R494" i="2"/>
  <c r="S481" i="2"/>
  <c r="R493" i="2"/>
  <c r="R496" i="2"/>
  <c r="R495" i="2"/>
  <c r="R498" i="2"/>
  <c r="R497" i="2"/>
  <c r="R452" i="2"/>
  <c r="S440" i="2"/>
  <c r="R457" i="2"/>
  <c r="R453" i="2"/>
  <c r="R454" i="2"/>
  <c r="R456" i="2"/>
  <c r="R455" i="2"/>
  <c r="R412" i="2"/>
  <c r="S399" i="2"/>
  <c r="R411" i="2"/>
  <c r="R413" i="2"/>
  <c r="R416" i="2"/>
  <c r="R414" i="2"/>
  <c r="R415" i="2"/>
  <c r="R371" i="2"/>
  <c r="S358" i="2"/>
  <c r="R370" i="2"/>
  <c r="R373" i="2"/>
  <c r="R372" i="2"/>
  <c r="R374" i="2"/>
  <c r="R375" i="2"/>
  <c r="R260" i="2"/>
  <c r="R263" i="2"/>
  <c r="AE674" i="2"/>
  <c r="P674" i="2" s="1"/>
  <c r="S247" i="2"/>
  <c r="R259" i="2"/>
  <c r="R264" i="2"/>
  <c r="R261" i="2"/>
  <c r="R262" i="2"/>
  <c r="R223" i="2"/>
  <c r="R219" i="2"/>
  <c r="R222" i="2"/>
  <c r="R221" i="2"/>
  <c r="R218" i="2"/>
  <c r="R220" i="2"/>
  <c r="S206" i="2"/>
  <c r="R179" i="2"/>
  <c r="R140" i="2"/>
  <c r="R181" i="2"/>
  <c r="S124" i="2"/>
  <c r="S139" i="2" s="1"/>
  <c r="R177" i="2"/>
  <c r="R182" i="2"/>
  <c r="R180" i="2"/>
  <c r="S165" i="2"/>
  <c r="R178" i="2"/>
  <c r="R136" i="2"/>
  <c r="R139" i="2"/>
  <c r="R138" i="2"/>
  <c r="R141" i="2"/>
  <c r="O678" i="2"/>
  <c r="AE682" i="2"/>
  <c r="AF682" i="2" s="1"/>
  <c r="P96" i="2"/>
  <c r="O680" i="2"/>
  <c r="S92" i="2"/>
  <c r="R92" i="2"/>
  <c r="R86" i="2" s="1"/>
  <c r="M693" i="2"/>
  <c r="M691" i="2"/>
  <c r="AE684" i="2"/>
  <c r="P684" i="2" s="1"/>
  <c r="O651" i="2"/>
  <c r="R85" i="2"/>
  <c r="R88" i="2"/>
  <c r="S87" i="2"/>
  <c r="Q83" i="2"/>
  <c r="R84" i="2"/>
  <c r="P95" i="2"/>
  <c r="P99" i="2"/>
  <c r="P97" i="2"/>
  <c r="P100" i="2"/>
  <c r="P98" i="2"/>
  <c r="M754" i="2"/>
  <c r="N754" i="2" s="1"/>
  <c r="M759" i="2"/>
  <c r="AF680" i="2"/>
  <c r="P680" i="2"/>
  <c r="AF678" i="2"/>
  <c r="P678" i="2"/>
  <c r="AF676" i="2"/>
  <c r="P676" i="2"/>
  <c r="Q651" i="2"/>
  <c r="N661" i="2"/>
  <c r="O661" i="2"/>
  <c r="N665" i="2"/>
  <c r="AD665" i="2"/>
  <c r="AD663" i="2"/>
  <c r="N663" i="2"/>
  <c r="AD639" i="2"/>
  <c r="N639" i="2"/>
  <c r="O655" i="2"/>
  <c r="Q655" i="2"/>
  <c r="AD641" i="2"/>
  <c r="N641" i="2"/>
  <c r="AF661" i="2"/>
  <c r="P661" i="2"/>
  <c r="Q653" i="2"/>
  <c r="Q649" i="2"/>
  <c r="O754" i="2" l="1"/>
  <c r="P754" i="2" s="1"/>
  <c r="Q754" i="2" s="1"/>
  <c r="R754" i="2" s="1"/>
  <c r="S754" i="2" s="1"/>
  <c r="M694" i="2"/>
  <c r="M211" i="5"/>
  <c r="M233" i="5"/>
  <c r="S494" i="2"/>
  <c r="S493" i="2"/>
  <c r="S495" i="2"/>
  <c r="S496" i="2"/>
  <c r="S497" i="2"/>
  <c r="S498" i="2"/>
  <c r="S452" i="2"/>
  <c r="S455" i="2"/>
  <c r="S456" i="2"/>
  <c r="S454" i="2"/>
  <c r="S453" i="2"/>
  <c r="S457" i="2"/>
  <c r="S411" i="2"/>
  <c r="S413" i="2"/>
  <c r="S414" i="2"/>
  <c r="S416" i="2"/>
  <c r="S415" i="2"/>
  <c r="S412" i="2"/>
  <c r="S371" i="2"/>
  <c r="S370" i="2"/>
  <c r="S373" i="2"/>
  <c r="S375" i="2"/>
  <c r="S374" i="2"/>
  <c r="S372" i="2"/>
  <c r="S263" i="2"/>
  <c r="AF674" i="2"/>
  <c r="AG674" i="2" s="1"/>
  <c r="S260" i="2"/>
  <c r="S259" i="2"/>
  <c r="S264" i="2"/>
  <c r="S262" i="2"/>
  <c r="S261" i="2"/>
  <c r="S218" i="2"/>
  <c r="S220" i="2"/>
  <c r="S221" i="2"/>
  <c r="S223" i="2"/>
  <c r="S222" i="2"/>
  <c r="S219" i="2"/>
  <c r="S136" i="2"/>
  <c r="S138" i="2"/>
  <c r="P682" i="2"/>
  <c r="M762" i="2"/>
  <c r="S140" i="2"/>
  <c r="S141" i="2"/>
  <c r="S137" i="2"/>
  <c r="S177" i="2"/>
  <c r="S180" i="2"/>
  <c r="S182" i="2"/>
  <c r="S178" i="2"/>
  <c r="S179" i="2"/>
  <c r="S181" i="2"/>
  <c r="AF684" i="2"/>
  <c r="Q684" i="2" s="1"/>
  <c r="Q96" i="2"/>
  <c r="R651" i="2"/>
  <c r="S86" i="2"/>
  <c r="S88" i="2"/>
  <c r="S85" i="2"/>
  <c r="S84" i="2"/>
  <c r="R83" i="2"/>
  <c r="Q95" i="2"/>
  <c r="Q100" i="2"/>
  <c r="Q98" i="2"/>
  <c r="Q97" i="2"/>
  <c r="Q99" i="2"/>
  <c r="AG682" i="2"/>
  <c r="Q682" i="2"/>
  <c r="AG680" i="2"/>
  <c r="Q680" i="2"/>
  <c r="AG678" i="2"/>
  <c r="Q678" i="2"/>
  <c r="AG676" i="2"/>
  <c r="Q676" i="2"/>
  <c r="R655" i="2"/>
  <c r="AE663" i="2"/>
  <c r="O663" i="2"/>
  <c r="AE665" i="2"/>
  <c r="O665" i="2"/>
  <c r="O637" i="2"/>
  <c r="AE639" i="2"/>
  <c r="O639" i="2"/>
  <c r="AE641" i="2"/>
  <c r="O641" i="2"/>
  <c r="AG661" i="2"/>
  <c r="Q661" i="2"/>
  <c r="R649" i="2"/>
  <c r="S649" i="2"/>
  <c r="S653" i="2"/>
  <c r="R653" i="2"/>
  <c r="Q674" i="2" l="1"/>
  <c r="AG684" i="2"/>
  <c r="R684" i="2" s="1"/>
  <c r="R96" i="2"/>
  <c r="S651" i="2"/>
  <c r="R95" i="2"/>
  <c r="R97" i="2"/>
  <c r="R99" i="2"/>
  <c r="R98" i="2"/>
  <c r="R100" i="2"/>
  <c r="S83" i="2"/>
  <c r="AH682" i="2"/>
  <c r="S682" i="2" s="1"/>
  <c r="R682" i="2"/>
  <c r="AH680" i="2"/>
  <c r="S680" i="2" s="1"/>
  <c r="R680" i="2"/>
  <c r="AH678" i="2"/>
  <c r="S678" i="2" s="1"/>
  <c r="R678" i="2"/>
  <c r="AH676" i="2"/>
  <c r="S676" i="2" s="1"/>
  <c r="R676" i="2"/>
  <c r="AH674" i="2"/>
  <c r="S674" i="2" s="1"/>
  <c r="R674" i="2"/>
  <c r="S655" i="2"/>
  <c r="AF663" i="2"/>
  <c r="P663" i="2"/>
  <c r="AF665" i="2"/>
  <c r="P665" i="2"/>
  <c r="AF641" i="2"/>
  <c r="P641" i="2"/>
  <c r="AF639" i="2"/>
  <c r="P639" i="2"/>
  <c r="P637" i="2"/>
  <c r="AH661" i="2"/>
  <c r="S661" i="2" s="1"/>
  <c r="R661" i="2"/>
  <c r="AH684" i="2" l="1"/>
  <c r="S684" i="2" s="1"/>
  <c r="S96" i="2"/>
  <c r="S95" i="2"/>
  <c r="S98" i="2"/>
  <c r="S97" i="2"/>
  <c r="S100" i="2"/>
  <c r="S99" i="2"/>
  <c r="Q637" i="2"/>
  <c r="Q663" i="2"/>
  <c r="AG663" i="2"/>
  <c r="AG639" i="2"/>
  <c r="Q639" i="2"/>
  <c r="AG641" i="2"/>
  <c r="Q641" i="2"/>
  <c r="AG665" i="2"/>
  <c r="Q665" i="2"/>
  <c r="AH665" i="2" l="1"/>
  <c r="S665" i="2" s="1"/>
  <c r="R665" i="2"/>
  <c r="AH641" i="2"/>
  <c r="S641" i="2" s="1"/>
  <c r="R641" i="2"/>
  <c r="AH639" i="2"/>
  <c r="S639" i="2" s="1"/>
  <c r="R639" i="2"/>
  <c r="AH663" i="2"/>
  <c r="S663" i="2" s="1"/>
  <c r="R663" i="2"/>
  <c r="S637" i="2"/>
  <c r="R637" i="2"/>
  <c r="M351" i="2" l="1"/>
  <c r="L599" i="2"/>
  <c r="L600" i="2" s="1"/>
  <c r="L558" i="2"/>
  <c r="L559" i="2" s="1"/>
  <c r="L517" i="2"/>
  <c r="L518" i="2" s="1"/>
  <c r="K500" i="2"/>
  <c r="L500" i="2"/>
  <c r="M500" i="2"/>
  <c r="AC500" i="2" s="1"/>
  <c r="K501" i="2"/>
  <c r="L501" i="2"/>
  <c r="M501" i="2"/>
  <c r="K502" i="2"/>
  <c r="L502" i="2"/>
  <c r="M502" i="2"/>
  <c r="AC502" i="2" s="1"/>
  <c r="N502" i="2" s="1"/>
  <c r="K503" i="2"/>
  <c r="L503" i="2"/>
  <c r="M503" i="2"/>
  <c r="AC503" i="2" s="1"/>
  <c r="N503" i="2" s="1"/>
  <c r="K504" i="2"/>
  <c r="L504" i="2"/>
  <c r="M504" i="2"/>
  <c r="AC504" i="2" s="1"/>
  <c r="K505" i="2"/>
  <c r="L505" i="2"/>
  <c r="L512" i="2" s="1"/>
  <c r="M505" i="2"/>
  <c r="L481" i="2"/>
  <c r="M481" i="2"/>
  <c r="K459" i="2"/>
  <c r="L459" i="2"/>
  <c r="M459" i="2"/>
  <c r="K460" i="2"/>
  <c r="L460" i="2"/>
  <c r="M460" i="2"/>
  <c r="K461" i="2"/>
  <c r="L461" i="2"/>
  <c r="M461" i="2"/>
  <c r="AC461" i="2" s="1"/>
  <c r="N461" i="2" s="1"/>
  <c r="K462" i="2"/>
  <c r="L462" i="2"/>
  <c r="M462" i="2"/>
  <c r="AC462" i="2" s="1"/>
  <c r="N462" i="2" s="1"/>
  <c r="K463" i="2"/>
  <c r="L463" i="2"/>
  <c r="M463" i="2"/>
  <c r="AC463" i="2" s="1"/>
  <c r="L464" i="2"/>
  <c r="L471" i="2" s="1"/>
  <c r="M464" i="2"/>
  <c r="M471" i="2" s="1"/>
  <c r="L440" i="2"/>
  <c r="M440" i="2"/>
  <c r="K418" i="2"/>
  <c r="L418" i="2"/>
  <c r="M418" i="2"/>
  <c r="K419" i="2"/>
  <c r="L419" i="2"/>
  <c r="M419" i="2"/>
  <c r="K420" i="2"/>
  <c r="L420" i="2"/>
  <c r="M420" i="2"/>
  <c r="AC420" i="2" s="1"/>
  <c r="N420" i="2" s="1"/>
  <c r="K421" i="2"/>
  <c r="L421" i="2"/>
  <c r="M421" i="2"/>
  <c r="AC421" i="2" s="1"/>
  <c r="N421" i="2" s="1"/>
  <c r="K422" i="2"/>
  <c r="L422" i="2"/>
  <c r="M422" i="2"/>
  <c r="M399" i="2"/>
  <c r="L423" i="2"/>
  <c r="L430" i="2" s="1"/>
  <c r="M423" i="2"/>
  <c r="M430" i="2" s="1"/>
  <c r="M382" i="2"/>
  <c r="M358" i="2"/>
  <c r="K377" i="2"/>
  <c r="L377" i="2"/>
  <c r="M377" i="2"/>
  <c r="K378" i="2"/>
  <c r="L378" i="2"/>
  <c r="M378" i="2"/>
  <c r="K379" i="2"/>
  <c r="L379" i="2"/>
  <c r="M379" i="2"/>
  <c r="K380" i="2"/>
  <c r="L380" i="2"/>
  <c r="M380" i="2"/>
  <c r="K381" i="2"/>
  <c r="L381" i="2"/>
  <c r="M381" i="2"/>
  <c r="L324" i="2"/>
  <c r="L325" i="2" s="1"/>
  <c r="L283" i="2"/>
  <c r="L284" i="2" s="1"/>
  <c r="L271" i="2"/>
  <c r="L278" i="2" s="1"/>
  <c r="M271" i="2"/>
  <c r="K266" i="2"/>
  <c r="M266" i="2"/>
  <c r="AC266" i="2" s="1"/>
  <c r="N266" i="2" s="1"/>
  <c r="K267" i="2"/>
  <c r="M267" i="2"/>
  <c r="K268" i="2"/>
  <c r="M268" i="2"/>
  <c r="AC268" i="2" s="1"/>
  <c r="N268" i="2" s="1"/>
  <c r="K269" i="2"/>
  <c r="M269" i="2"/>
  <c r="AC269" i="2" s="1"/>
  <c r="N269" i="2" s="1"/>
  <c r="K270" i="2"/>
  <c r="M270" i="2"/>
  <c r="L247" i="2"/>
  <c r="L281" i="2" s="1"/>
  <c r="M247" i="2"/>
  <c r="M281" i="2" s="1"/>
  <c r="N281" i="2" s="1"/>
  <c r="L242" i="2"/>
  <c r="L243" i="2" s="1"/>
  <c r="M230" i="2"/>
  <c r="M237" i="2" s="1"/>
  <c r="M206" i="2"/>
  <c r="K225" i="2"/>
  <c r="L225" i="2"/>
  <c r="M225" i="2"/>
  <c r="AC225" i="2" s="1"/>
  <c r="N225" i="2" s="1"/>
  <c r="K226" i="2"/>
  <c r="L226" i="2"/>
  <c r="M226" i="2"/>
  <c r="AC226" i="2" s="1"/>
  <c r="N226" i="2" s="1"/>
  <c r="K227" i="2"/>
  <c r="L227" i="2"/>
  <c r="M227" i="2"/>
  <c r="AC227" i="2" s="1"/>
  <c r="N227" i="2" s="1"/>
  <c r="K228" i="2"/>
  <c r="L228" i="2"/>
  <c r="M228" i="2"/>
  <c r="AC228" i="2" s="1"/>
  <c r="N228" i="2" s="1"/>
  <c r="K229" i="2"/>
  <c r="L229" i="2"/>
  <c r="M229" i="2"/>
  <c r="AC229" i="2" s="1"/>
  <c r="L201" i="2"/>
  <c r="L202" i="2" s="1"/>
  <c r="M189" i="2"/>
  <c r="K184" i="2"/>
  <c r="L184" i="2"/>
  <c r="M184" i="2"/>
  <c r="AC184" i="2" s="1"/>
  <c r="N184" i="2" s="1"/>
  <c r="K185" i="2"/>
  <c r="L185" i="2"/>
  <c r="M185" i="2"/>
  <c r="AC185" i="2" s="1"/>
  <c r="N185" i="2" s="1"/>
  <c r="K186" i="2"/>
  <c r="L186" i="2"/>
  <c r="M186" i="2"/>
  <c r="AC186" i="2" s="1"/>
  <c r="N186" i="2" s="1"/>
  <c r="K187" i="2"/>
  <c r="L187" i="2"/>
  <c r="M187" i="2"/>
  <c r="AC187" i="2" s="1"/>
  <c r="N187" i="2" s="1"/>
  <c r="K188" i="2"/>
  <c r="L188" i="2"/>
  <c r="M188" i="2"/>
  <c r="M165" i="2"/>
  <c r="J143" i="2"/>
  <c r="K143" i="2"/>
  <c r="L143" i="2"/>
  <c r="M143" i="2"/>
  <c r="AC143" i="2" s="1"/>
  <c r="N143" i="2" s="1"/>
  <c r="J144" i="2"/>
  <c r="K144" i="2"/>
  <c r="L144" i="2"/>
  <c r="M144" i="2"/>
  <c r="J145" i="2"/>
  <c r="K145" i="2"/>
  <c r="L145" i="2"/>
  <c r="M145" i="2"/>
  <c r="AC145" i="2" s="1"/>
  <c r="N145" i="2" s="1"/>
  <c r="J146" i="2"/>
  <c r="K146" i="2"/>
  <c r="L146" i="2"/>
  <c r="M146" i="2"/>
  <c r="AC146" i="2" s="1"/>
  <c r="N146" i="2" s="1"/>
  <c r="J147" i="2"/>
  <c r="K147" i="2"/>
  <c r="L147" i="2"/>
  <c r="M147" i="2"/>
  <c r="AC147" i="2" s="1"/>
  <c r="N147" i="2" s="1"/>
  <c r="M148" i="2"/>
  <c r="M124" i="2"/>
  <c r="L160" i="2"/>
  <c r="L161" i="2" s="1"/>
  <c r="M107" i="2"/>
  <c r="M102" i="2"/>
  <c r="AC102" i="2" s="1"/>
  <c r="N102" i="2" s="1"/>
  <c r="M103" i="2"/>
  <c r="AC103" i="2" s="1"/>
  <c r="N103" i="2" s="1"/>
  <c r="M104" i="2"/>
  <c r="AC104" i="2" s="1"/>
  <c r="N104" i="2" s="1"/>
  <c r="M105" i="2"/>
  <c r="AC105" i="2" s="1"/>
  <c r="N105" i="2" s="1"/>
  <c r="M106" i="2"/>
  <c r="AC106" i="2" s="1"/>
  <c r="N106" i="2" s="1"/>
  <c r="M83" i="2"/>
  <c r="L119" i="2"/>
  <c r="L120" i="2" s="1"/>
  <c r="L102" i="2"/>
  <c r="L103" i="2"/>
  <c r="L104" i="2"/>
  <c r="L105" i="2"/>
  <c r="L106" i="2"/>
  <c r="AC381" i="2" l="1"/>
  <c r="N381" i="2" s="1"/>
  <c r="AC380" i="2"/>
  <c r="N380" i="2" s="1"/>
  <c r="AC379" i="2"/>
  <c r="N379" i="2" s="1"/>
  <c r="AC377" i="2"/>
  <c r="N377" i="2" s="1"/>
  <c r="J13" i="34"/>
  <c r="M27" i="5"/>
  <c r="M29" i="5" s="1"/>
  <c r="AD504" i="2"/>
  <c r="O504" i="2" s="1"/>
  <c r="N504" i="2"/>
  <c r="N510" i="2" s="1"/>
  <c r="AD503" i="2"/>
  <c r="O503" i="2" s="1"/>
  <c r="N509" i="2"/>
  <c r="M515" i="2"/>
  <c r="N515" i="2" s="1"/>
  <c r="M495" i="2"/>
  <c r="M494" i="2"/>
  <c r="M496" i="2"/>
  <c r="M497" i="2"/>
  <c r="M498" i="2"/>
  <c r="M493" i="2"/>
  <c r="AD502" i="2"/>
  <c r="O502" i="2" s="1"/>
  <c r="N508" i="2"/>
  <c r="L515" i="2"/>
  <c r="L496" i="2"/>
  <c r="L494" i="2"/>
  <c r="L498" i="2"/>
  <c r="L495" i="2"/>
  <c r="L497" i="2"/>
  <c r="L493" i="2"/>
  <c r="N500" i="2"/>
  <c r="N506" i="2" s="1"/>
  <c r="AD500" i="2"/>
  <c r="AD462" i="2"/>
  <c r="O462" i="2" s="1"/>
  <c r="N468" i="2"/>
  <c r="N463" i="2"/>
  <c r="N469" i="2" s="1"/>
  <c r="AD463" i="2"/>
  <c r="O463" i="2" s="1"/>
  <c r="AD461" i="2"/>
  <c r="O461" i="2" s="1"/>
  <c r="N467" i="2"/>
  <c r="M453" i="2"/>
  <c r="M457" i="2"/>
  <c r="M452" i="2"/>
  <c r="M454" i="2"/>
  <c r="M474" i="2"/>
  <c r="N474" i="2" s="1"/>
  <c r="M456" i="2"/>
  <c r="M455" i="2"/>
  <c r="L453" i="2"/>
  <c r="L457" i="2"/>
  <c r="L452" i="2"/>
  <c r="L454" i="2"/>
  <c r="L474" i="2"/>
  <c r="L456" i="2"/>
  <c r="L455" i="2"/>
  <c r="AD420" i="2"/>
  <c r="O420" i="2" s="1"/>
  <c r="N426" i="2"/>
  <c r="AD421" i="2"/>
  <c r="O421" i="2" s="1"/>
  <c r="N427" i="2"/>
  <c r="M433" i="2"/>
  <c r="N433" i="2" s="1"/>
  <c r="M416" i="2"/>
  <c r="M411" i="2"/>
  <c r="M414" i="2"/>
  <c r="M415" i="2"/>
  <c r="M412" i="2"/>
  <c r="M413" i="2"/>
  <c r="M392" i="2"/>
  <c r="N392" i="2" s="1"/>
  <c r="M370" i="2"/>
  <c r="M371" i="2"/>
  <c r="M373" i="2"/>
  <c r="M374" i="2"/>
  <c r="M375" i="2"/>
  <c r="M372" i="2"/>
  <c r="N280" i="2"/>
  <c r="N282" i="2"/>
  <c r="L260" i="2"/>
  <c r="L264" i="2"/>
  <c r="L261" i="2"/>
  <c r="L262" i="2"/>
  <c r="L259" i="2"/>
  <c r="L263" i="2"/>
  <c r="N272" i="2"/>
  <c r="AD266" i="2"/>
  <c r="O266" i="2" s="1"/>
  <c r="M260" i="2"/>
  <c r="M264" i="2"/>
  <c r="M261" i="2"/>
  <c r="M262" i="2"/>
  <c r="M259" i="2"/>
  <c r="M263" i="2"/>
  <c r="N275" i="2"/>
  <c r="AD269" i="2"/>
  <c r="O269" i="2" s="1"/>
  <c r="AD268" i="2"/>
  <c r="O268" i="2" s="1"/>
  <c r="N274" i="2"/>
  <c r="M219" i="2"/>
  <c r="M223" i="2"/>
  <c r="M218" i="2"/>
  <c r="M220" i="2"/>
  <c r="M240" i="2"/>
  <c r="N240" i="2" s="1"/>
  <c r="M221" i="2"/>
  <c r="M222" i="2"/>
  <c r="AD225" i="2"/>
  <c r="O225" i="2" s="1"/>
  <c r="N231" i="2"/>
  <c r="AD227" i="2"/>
  <c r="O227" i="2" s="1"/>
  <c r="N233" i="2"/>
  <c r="N229" i="2"/>
  <c r="N235" i="2" s="1"/>
  <c r="AD229" i="2"/>
  <c r="AD228" i="2"/>
  <c r="O228" i="2" s="1"/>
  <c r="N234" i="2"/>
  <c r="AD226" i="2"/>
  <c r="O226" i="2" s="1"/>
  <c r="N232" i="2"/>
  <c r="AD184" i="2"/>
  <c r="O184" i="2" s="1"/>
  <c r="N190" i="2"/>
  <c r="M199" i="2"/>
  <c r="N199" i="2" s="1"/>
  <c r="AD185" i="2"/>
  <c r="O185" i="2" s="1"/>
  <c r="N191" i="2"/>
  <c r="AD187" i="2"/>
  <c r="O187" i="2" s="1"/>
  <c r="N193" i="2"/>
  <c r="AD186" i="2"/>
  <c r="O186" i="2" s="1"/>
  <c r="N192" i="2"/>
  <c r="M179" i="2"/>
  <c r="M181" i="2"/>
  <c r="M178" i="2"/>
  <c r="M177" i="2"/>
  <c r="M180" i="2"/>
  <c r="M182" i="2"/>
  <c r="M158" i="2"/>
  <c r="N158" i="2" s="1"/>
  <c r="AD146" i="2"/>
  <c r="O146" i="2" s="1"/>
  <c r="N152" i="2"/>
  <c r="AD145" i="2"/>
  <c r="O145" i="2" s="1"/>
  <c r="N151" i="2"/>
  <c r="M137" i="2"/>
  <c r="M141" i="2"/>
  <c r="M136" i="2"/>
  <c r="M139" i="2"/>
  <c r="M138" i="2"/>
  <c r="M140" i="2"/>
  <c r="AD147" i="2"/>
  <c r="O147" i="2" s="1"/>
  <c r="N153" i="2"/>
  <c r="AD143" i="2"/>
  <c r="O143" i="2" s="1"/>
  <c r="N149" i="2"/>
  <c r="M117" i="2"/>
  <c r="N117" i="2" s="1"/>
  <c r="M354" i="2"/>
  <c r="J66" i="34" s="1"/>
  <c r="M30" i="2"/>
  <c r="M38" i="2" s="1"/>
  <c r="M39" i="2" s="1"/>
  <c r="M99" i="2"/>
  <c r="M100" i="2"/>
  <c r="M97" i="2"/>
  <c r="M96" i="2"/>
  <c r="M98" i="2"/>
  <c r="M95" i="2"/>
  <c r="AD106" i="2"/>
  <c r="O106" i="2" s="1"/>
  <c r="N112" i="2"/>
  <c r="AD105" i="2"/>
  <c r="O105" i="2" s="1"/>
  <c r="N111" i="2"/>
  <c r="AD104" i="2"/>
  <c r="O104" i="2" s="1"/>
  <c r="N110" i="2"/>
  <c r="AD103" i="2"/>
  <c r="O103" i="2" s="1"/>
  <c r="N109" i="2"/>
  <c r="AD102" i="2"/>
  <c r="O102" i="2" s="1"/>
  <c r="N108" i="2"/>
  <c r="M224" i="2"/>
  <c r="M265" i="2"/>
  <c r="M101" i="2"/>
  <c r="L458" i="2"/>
  <c r="U458" i="2" s="1"/>
  <c r="V458" i="2" s="1"/>
  <c r="W458" i="2" s="1"/>
  <c r="X458" i="2" s="1"/>
  <c r="Y458" i="2" s="1"/>
  <c r="Z458" i="2" s="1"/>
  <c r="M114" i="2"/>
  <c r="M499" i="2"/>
  <c r="M417" i="2"/>
  <c r="M458" i="2"/>
  <c r="M155" i="2"/>
  <c r="M512" i="2"/>
  <c r="M142" i="2"/>
  <c r="L499" i="2"/>
  <c r="U499" i="2" s="1"/>
  <c r="V499" i="2" s="1"/>
  <c r="W499" i="2" s="1"/>
  <c r="X499" i="2" s="1"/>
  <c r="Y499" i="2" s="1"/>
  <c r="Z499" i="2" s="1"/>
  <c r="M183" i="2"/>
  <c r="M389" i="2"/>
  <c r="M196" i="2"/>
  <c r="M278" i="2"/>
  <c r="M376" i="2"/>
  <c r="N385" i="2" l="1"/>
  <c r="AD379" i="2"/>
  <c r="O379" i="2" s="1"/>
  <c r="AE379" i="2" s="1"/>
  <c r="P379" i="2" s="1"/>
  <c r="AD377" i="2"/>
  <c r="O377" i="2" s="1"/>
  <c r="AE377" i="2" s="1"/>
  <c r="P377" i="2" s="1"/>
  <c r="N383" i="2"/>
  <c r="AD380" i="2"/>
  <c r="O380" i="2" s="1"/>
  <c r="AE380" i="2" s="1"/>
  <c r="P380" i="2" s="1"/>
  <c r="N386" i="2"/>
  <c r="N387" i="2"/>
  <c r="AD381" i="2"/>
  <c r="O381" i="2" s="1"/>
  <c r="O500" i="2"/>
  <c r="O506" i="2" s="1"/>
  <c r="AE500" i="2"/>
  <c r="N505" i="2"/>
  <c r="N514" i="2"/>
  <c r="N516" i="2"/>
  <c r="AE502" i="2"/>
  <c r="P502" i="2" s="1"/>
  <c r="O508" i="2"/>
  <c r="AE503" i="2"/>
  <c r="P503" i="2" s="1"/>
  <c r="O509" i="2"/>
  <c r="AE504" i="2"/>
  <c r="P504" i="2" s="1"/>
  <c r="O510" i="2"/>
  <c r="N464" i="2"/>
  <c r="AE461" i="2"/>
  <c r="P461" i="2" s="1"/>
  <c r="O467" i="2"/>
  <c r="AE463" i="2"/>
  <c r="P463" i="2" s="1"/>
  <c r="O469" i="2"/>
  <c r="N475" i="2"/>
  <c r="N473" i="2"/>
  <c r="AE462" i="2"/>
  <c r="P462" i="2" s="1"/>
  <c r="O468" i="2"/>
  <c r="N432" i="2"/>
  <c r="N423" i="2"/>
  <c r="AE421" i="2"/>
  <c r="P421" i="2" s="1"/>
  <c r="O427" i="2"/>
  <c r="AE420" i="2"/>
  <c r="P420" i="2" s="1"/>
  <c r="O426" i="2"/>
  <c r="N391" i="2"/>
  <c r="AE269" i="2"/>
  <c r="P269" i="2" s="1"/>
  <c r="O275" i="2"/>
  <c r="N271" i="2"/>
  <c r="N265" i="2" s="1"/>
  <c r="AE266" i="2"/>
  <c r="P266" i="2" s="1"/>
  <c r="O272" i="2"/>
  <c r="AE268" i="2"/>
  <c r="P268" i="2" s="1"/>
  <c r="O274" i="2"/>
  <c r="AE225" i="2"/>
  <c r="P225" i="2" s="1"/>
  <c r="O231" i="2"/>
  <c r="N239" i="2"/>
  <c r="AE227" i="2"/>
  <c r="P227" i="2" s="1"/>
  <c r="O233" i="2"/>
  <c r="AE226" i="2"/>
  <c r="P226" i="2" s="1"/>
  <c r="O232" i="2"/>
  <c r="AE228" i="2"/>
  <c r="P228" i="2" s="1"/>
  <c r="O234" i="2"/>
  <c r="AE229" i="2"/>
  <c r="O229" i="2"/>
  <c r="N230" i="2"/>
  <c r="AE186" i="2"/>
  <c r="P186" i="2" s="1"/>
  <c r="O192" i="2"/>
  <c r="AE185" i="2"/>
  <c r="P185" i="2" s="1"/>
  <c r="O191" i="2"/>
  <c r="AE187" i="2"/>
  <c r="P187" i="2" s="1"/>
  <c r="O193" i="2"/>
  <c r="N198" i="2"/>
  <c r="AE184" i="2"/>
  <c r="P184" i="2" s="1"/>
  <c r="O190" i="2"/>
  <c r="N189" i="2"/>
  <c r="N157" i="2"/>
  <c r="N148" i="2"/>
  <c r="N142" i="2" s="1"/>
  <c r="AE147" i="2"/>
  <c r="P147" i="2" s="1"/>
  <c r="O153" i="2"/>
  <c r="AE143" i="2"/>
  <c r="P143" i="2" s="1"/>
  <c r="O149" i="2"/>
  <c r="AE145" i="2"/>
  <c r="P145" i="2" s="1"/>
  <c r="O151" i="2"/>
  <c r="AE146" i="2"/>
  <c r="P146" i="2" s="1"/>
  <c r="O152" i="2"/>
  <c r="N107" i="2"/>
  <c r="N116" i="2"/>
  <c r="AE102" i="2"/>
  <c r="P102" i="2" s="1"/>
  <c r="O108" i="2"/>
  <c r="AE104" i="2"/>
  <c r="P104" i="2" s="1"/>
  <c r="O110" i="2"/>
  <c r="AE105" i="2"/>
  <c r="P105" i="2" s="1"/>
  <c r="O111" i="2"/>
  <c r="AE106" i="2"/>
  <c r="P106" i="2" s="1"/>
  <c r="O112" i="2"/>
  <c r="AE103" i="2"/>
  <c r="P103" i="2" s="1"/>
  <c r="O109" i="2"/>
  <c r="O386" i="2" l="1"/>
  <c r="O387" i="2"/>
  <c r="O383" i="2"/>
  <c r="AE381" i="2"/>
  <c r="P381" i="2" s="1"/>
  <c r="N382" i="2"/>
  <c r="O385" i="2"/>
  <c r="O235" i="2"/>
  <c r="O230" i="2" s="1"/>
  <c r="AF504" i="2"/>
  <c r="Q504" i="2" s="1"/>
  <c r="P510" i="2"/>
  <c r="AF503" i="2"/>
  <c r="Q503" i="2" s="1"/>
  <c r="P509" i="2"/>
  <c r="AF502" i="2"/>
  <c r="Q502" i="2" s="1"/>
  <c r="P508" i="2"/>
  <c r="AF500" i="2"/>
  <c r="P500" i="2"/>
  <c r="P506" i="2" s="1"/>
  <c r="O505" i="2"/>
  <c r="AF462" i="2"/>
  <c r="Q462" i="2" s="1"/>
  <c r="P468" i="2"/>
  <c r="AF461" i="2"/>
  <c r="Q461" i="2" s="1"/>
  <c r="P467" i="2"/>
  <c r="AF463" i="2"/>
  <c r="Q463" i="2" s="1"/>
  <c r="P469" i="2"/>
  <c r="O464" i="2"/>
  <c r="O423" i="2"/>
  <c r="AF421" i="2"/>
  <c r="Q421" i="2" s="1"/>
  <c r="P427" i="2"/>
  <c r="AF420" i="2"/>
  <c r="Q420" i="2" s="1"/>
  <c r="P426" i="2"/>
  <c r="AF380" i="2"/>
  <c r="Q380" i="2" s="1"/>
  <c r="P386" i="2"/>
  <c r="AF379" i="2"/>
  <c r="Q379" i="2" s="1"/>
  <c r="P385" i="2"/>
  <c r="AF377" i="2"/>
  <c r="Q377" i="2" s="1"/>
  <c r="P383" i="2"/>
  <c r="AF268" i="2"/>
  <c r="Q268" i="2" s="1"/>
  <c r="P274" i="2"/>
  <c r="O271" i="2"/>
  <c r="O265" i="2" s="1"/>
  <c r="AF266" i="2"/>
  <c r="Q266" i="2" s="1"/>
  <c r="P272" i="2"/>
  <c r="AF269" i="2"/>
  <c r="Q269" i="2" s="1"/>
  <c r="P275" i="2"/>
  <c r="AF229" i="2"/>
  <c r="P229" i="2"/>
  <c r="AF228" i="2"/>
  <c r="Q228" i="2" s="1"/>
  <c r="P234" i="2"/>
  <c r="AF226" i="2"/>
  <c r="Q226" i="2" s="1"/>
  <c r="P232" i="2"/>
  <c r="AF227" i="2"/>
  <c r="Q227" i="2" s="1"/>
  <c r="P233" i="2"/>
  <c r="AF225" i="2"/>
  <c r="Q225" i="2" s="1"/>
  <c r="P231" i="2"/>
  <c r="AF184" i="2"/>
  <c r="Q184" i="2" s="1"/>
  <c r="P190" i="2"/>
  <c r="AF187" i="2"/>
  <c r="Q187" i="2" s="1"/>
  <c r="P193" i="2"/>
  <c r="O189" i="2"/>
  <c r="AF185" i="2"/>
  <c r="Q185" i="2" s="1"/>
  <c r="P191" i="2"/>
  <c r="AF186" i="2"/>
  <c r="Q186" i="2" s="1"/>
  <c r="P192" i="2"/>
  <c r="AF146" i="2"/>
  <c r="Q146" i="2" s="1"/>
  <c r="P152" i="2"/>
  <c r="AF145" i="2"/>
  <c r="Q145" i="2" s="1"/>
  <c r="P151" i="2"/>
  <c r="O148" i="2"/>
  <c r="O142" i="2" s="1"/>
  <c r="AF143" i="2"/>
  <c r="Q143" i="2" s="1"/>
  <c r="P149" i="2"/>
  <c r="AF147" i="2"/>
  <c r="Q147" i="2" s="1"/>
  <c r="P153" i="2"/>
  <c r="AF103" i="2"/>
  <c r="Q103" i="2" s="1"/>
  <c r="P109" i="2"/>
  <c r="AF105" i="2"/>
  <c r="Q105" i="2" s="1"/>
  <c r="P111" i="2"/>
  <c r="AF106" i="2"/>
  <c r="Q106" i="2" s="1"/>
  <c r="P112" i="2"/>
  <c r="AF104" i="2"/>
  <c r="Q104" i="2" s="1"/>
  <c r="P110" i="2"/>
  <c r="O107" i="2"/>
  <c r="AF102" i="2"/>
  <c r="Q102" i="2" s="1"/>
  <c r="P108" i="2"/>
  <c r="O382" i="2" l="1"/>
  <c r="AF381" i="2"/>
  <c r="Q381" i="2" s="1"/>
  <c r="P387" i="2"/>
  <c r="P382" i="2" s="1"/>
  <c r="P235" i="2"/>
  <c r="P230" i="2" s="1"/>
  <c r="P423" i="2"/>
  <c r="P505" i="2"/>
  <c r="AG503" i="2"/>
  <c r="R503" i="2" s="1"/>
  <c r="Q509" i="2"/>
  <c r="AG500" i="2"/>
  <c r="Q500" i="2"/>
  <c r="Q506" i="2" s="1"/>
  <c r="AG502" i="2"/>
  <c r="R502" i="2" s="1"/>
  <c r="Q508" i="2"/>
  <c r="AG504" i="2"/>
  <c r="R504" i="2" s="1"/>
  <c r="Q510" i="2"/>
  <c r="AG461" i="2"/>
  <c r="R461" i="2" s="1"/>
  <c r="Q467" i="2"/>
  <c r="AG463" i="2"/>
  <c r="R463" i="2" s="1"/>
  <c r="Q469" i="2"/>
  <c r="AG462" i="2"/>
  <c r="R462" i="2" s="1"/>
  <c r="Q468" i="2"/>
  <c r="P464" i="2"/>
  <c r="AG420" i="2"/>
  <c r="R420" i="2" s="1"/>
  <c r="Q426" i="2"/>
  <c r="AG421" i="2"/>
  <c r="R421" i="2" s="1"/>
  <c r="Q427" i="2"/>
  <c r="AG377" i="2"/>
  <c r="R377" i="2" s="1"/>
  <c r="Q383" i="2"/>
  <c r="AG379" i="2"/>
  <c r="R379" i="2" s="1"/>
  <c r="Q385" i="2"/>
  <c r="AG380" i="2"/>
  <c r="R380" i="2" s="1"/>
  <c r="Q386" i="2"/>
  <c r="AG269" i="2"/>
  <c r="R269" i="2" s="1"/>
  <c r="Q275" i="2"/>
  <c r="P271" i="2"/>
  <c r="P265" i="2" s="1"/>
  <c r="Q272" i="2"/>
  <c r="AG266" i="2"/>
  <c r="R266" i="2" s="1"/>
  <c r="AG268" i="2"/>
  <c r="R268" i="2" s="1"/>
  <c r="Q274" i="2"/>
  <c r="AG225" i="2"/>
  <c r="R225" i="2" s="1"/>
  <c r="Q231" i="2"/>
  <c r="AG227" i="2"/>
  <c r="R227" i="2" s="1"/>
  <c r="Q233" i="2"/>
  <c r="AG226" i="2"/>
  <c r="R226" i="2" s="1"/>
  <c r="Q232" i="2"/>
  <c r="AG228" i="2"/>
  <c r="R228" i="2" s="1"/>
  <c r="Q234" i="2"/>
  <c r="Q229" i="2"/>
  <c r="AG229" i="2"/>
  <c r="P189" i="2"/>
  <c r="AG186" i="2"/>
  <c r="R186" i="2" s="1"/>
  <c r="Q192" i="2"/>
  <c r="AG185" i="2"/>
  <c r="R185" i="2" s="1"/>
  <c r="Q191" i="2"/>
  <c r="AG187" i="2"/>
  <c r="R187" i="2" s="1"/>
  <c r="Q193" i="2"/>
  <c r="AG184" i="2"/>
  <c r="R184" i="2" s="1"/>
  <c r="Q190" i="2"/>
  <c r="AG147" i="2"/>
  <c r="R147" i="2" s="1"/>
  <c r="Q153" i="2"/>
  <c r="P148" i="2"/>
  <c r="P142" i="2" s="1"/>
  <c r="P107" i="2"/>
  <c r="AG143" i="2"/>
  <c r="R143" i="2" s="1"/>
  <c r="Q149" i="2"/>
  <c r="AG145" i="2"/>
  <c r="R145" i="2" s="1"/>
  <c r="Q151" i="2"/>
  <c r="AG146" i="2"/>
  <c r="R146" i="2" s="1"/>
  <c r="Q152" i="2"/>
  <c r="AG102" i="2"/>
  <c r="R102" i="2" s="1"/>
  <c r="Q108" i="2"/>
  <c r="AG104" i="2"/>
  <c r="R104" i="2" s="1"/>
  <c r="Q110" i="2"/>
  <c r="AG106" i="2"/>
  <c r="R106" i="2" s="1"/>
  <c r="Q112" i="2"/>
  <c r="AG105" i="2"/>
  <c r="R105" i="2" s="1"/>
  <c r="Q111" i="2"/>
  <c r="AG103" i="2"/>
  <c r="R103" i="2" s="1"/>
  <c r="Q109" i="2"/>
  <c r="Q387" i="2" l="1"/>
  <c r="Q382" i="2" s="1"/>
  <c r="AG381" i="2"/>
  <c r="R381" i="2" s="1"/>
  <c r="R387" i="2" s="1"/>
  <c r="Q235" i="2"/>
  <c r="Q230" i="2" s="1"/>
  <c r="AH503" i="2"/>
  <c r="S503" i="2" s="1"/>
  <c r="S509" i="2" s="1"/>
  <c r="R509" i="2"/>
  <c r="AH504" i="2"/>
  <c r="S504" i="2" s="1"/>
  <c r="R510" i="2"/>
  <c r="AH502" i="2"/>
  <c r="S502" i="2" s="1"/>
  <c r="S508" i="2" s="1"/>
  <c r="R508" i="2"/>
  <c r="Q505" i="2"/>
  <c r="R500" i="2"/>
  <c r="R506" i="2" s="1"/>
  <c r="AH500" i="2"/>
  <c r="S500" i="2" s="1"/>
  <c r="S506" i="2" s="1"/>
  <c r="AH463" i="2"/>
  <c r="S463" i="2" s="1"/>
  <c r="R469" i="2"/>
  <c r="AH462" i="2"/>
  <c r="S462" i="2" s="1"/>
  <c r="S468" i="2" s="1"/>
  <c r="R468" i="2"/>
  <c r="Q464" i="2"/>
  <c r="AH461" i="2"/>
  <c r="S461" i="2" s="1"/>
  <c r="S467" i="2" s="1"/>
  <c r="R467" i="2"/>
  <c r="AH421" i="2"/>
  <c r="S421" i="2" s="1"/>
  <c r="S427" i="2" s="1"/>
  <c r="R427" i="2"/>
  <c r="Q423" i="2"/>
  <c r="AH420" i="2"/>
  <c r="S420" i="2" s="1"/>
  <c r="S426" i="2" s="1"/>
  <c r="R426" i="2"/>
  <c r="AH380" i="2"/>
  <c r="S380" i="2" s="1"/>
  <c r="S386" i="2" s="1"/>
  <c r="R386" i="2"/>
  <c r="AH379" i="2"/>
  <c r="S379" i="2" s="1"/>
  <c r="S385" i="2" s="1"/>
  <c r="R385" i="2"/>
  <c r="AH377" i="2"/>
  <c r="S377" i="2" s="1"/>
  <c r="S383" i="2" s="1"/>
  <c r="R383" i="2"/>
  <c r="AH268" i="2"/>
  <c r="S268" i="2" s="1"/>
  <c r="S274" i="2" s="1"/>
  <c r="R274" i="2"/>
  <c r="AH266" i="2"/>
  <c r="S266" i="2" s="1"/>
  <c r="S272" i="2" s="1"/>
  <c r="R272" i="2"/>
  <c r="Q271" i="2"/>
  <c r="Q265" i="2" s="1"/>
  <c r="AH269" i="2"/>
  <c r="S269" i="2" s="1"/>
  <c r="S275" i="2" s="1"/>
  <c r="R275" i="2"/>
  <c r="Q189" i="2"/>
  <c r="R229" i="2"/>
  <c r="AH229" i="2"/>
  <c r="S229" i="2" s="1"/>
  <c r="AH227" i="2"/>
  <c r="S227" i="2" s="1"/>
  <c r="S233" i="2" s="1"/>
  <c r="R233" i="2"/>
  <c r="AH228" i="2"/>
  <c r="S228" i="2" s="1"/>
  <c r="S234" i="2" s="1"/>
  <c r="R234" i="2"/>
  <c r="AH226" i="2"/>
  <c r="S226" i="2" s="1"/>
  <c r="S232" i="2" s="1"/>
  <c r="R232" i="2"/>
  <c r="AH225" i="2"/>
  <c r="S225" i="2" s="1"/>
  <c r="S231" i="2" s="1"/>
  <c r="R231" i="2"/>
  <c r="AH184" i="2"/>
  <c r="S184" i="2" s="1"/>
  <c r="S190" i="2" s="1"/>
  <c r="R190" i="2"/>
  <c r="AH187" i="2"/>
  <c r="S187" i="2" s="1"/>
  <c r="S193" i="2" s="1"/>
  <c r="R193" i="2"/>
  <c r="AH185" i="2"/>
  <c r="S185" i="2" s="1"/>
  <c r="S191" i="2" s="1"/>
  <c r="R191" i="2"/>
  <c r="AH186" i="2"/>
  <c r="S186" i="2" s="1"/>
  <c r="S192" i="2" s="1"/>
  <c r="R192" i="2"/>
  <c r="AH146" i="2"/>
  <c r="S146" i="2" s="1"/>
  <c r="S152" i="2" s="1"/>
  <c r="R152" i="2"/>
  <c r="AH145" i="2"/>
  <c r="S145" i="2" s="1"/>
  <c r="S151" i="2" s="1"/>
  <c r="R151" i="2"/>
  <c r="Q148" i="2"/>
  <c r="Q142" i="2" s="1"/>
  <c r="AH143" i="2"/>
  <c r="S143" i="2" s="1"/>
  <c r="S149" i="2" s="1"/>
  <c r="R149" i="2"/>
  <c r="AH147" i="2"/>
  <c r="S147" i="2" s="1"/>
  <c r="R153" i="2"/>
  <c r="AH103" i="2"/>
  <c r="S103" i="2" s="1"/>
  <c r="S109" i="2" s="1"/>
  <c r="R109" i="2"/>
  <c r="AH105" i="2"/>
  <c r="S105" i="2" s="1"/>
  <c r="S111" i="2" s="1"/>
  <c r="R111" i="2"/>
  <c r="AH106" i="2"/>
  <c r="S106" i="2" s="1"/>
  <c r="R112" i="2"/>
  <c r="AH104" i="2"/>
  <c r="S104" i="2" s="1"/>
  <c r="S110" i="2" s="1"/>
  <c r="R110" i="2"/>
  <c r="Q107" i="2"/>
  <c r="AH102" i="2"/>
  <c r="S102" i="2" s="1"/>
  <c r="S108" i="2" s="1"/>
  <c r="R108" i="2"/>
  <c r="AH381" i="2" l="1"/>
  <c r="S381" i="2" s="1"/>
  <c r="S387" i="2" s="1"/>
  <c r="S382" i="2" s="1"/>
  <c r="S112" i="2"/>
  <c r="S107" i="2" s="1"/>
  <c r="S510" i="2"/>
  <c r="S505" i="2" s="1"/>
  <c r="S235" i="2"/>
  <c r="S230" i="2" s="1"/>
  <c r="R235" i="2"/>
  <c r="R230" i="2" s="1"/>
  <c r="S153" i="2"/>
  <c r="S148" i="2" s="1"/>
  <c r="S142" i="2" s="1"/>
  <c r="S469" i="2"/>
  <c r="S464" i="2" s="1"/>
  <c r="R505" i="2"/>
  <c r="R464" i="2"/>
  <c r="R423" i="2"/>
  <c r="S423" i="2"/>
  <c r="R382" i="2"/>
  <c r="R271" i="2"/>
  <c r="R265" i="2" s="1"/>
  <c r="S271" i="2"/>
  <c r="S265" i="2" s="1"/>
  <c r="R189" i="2"/>
  <c r="S189" i="2"/>
  <c r="R107" i="2"/>
  <c r="R148" i="2"/>
  <c r="R142" i="2" s="1"/>
  <c r="M7" i="2"/>
  <c r="R169" i="24" l="1"/>
  <c r="Q169" i="24"/>
  <c r="P169" i="24"/>
  <c r="O169" i="24"/>
  <c r="N169" i="24"/>
  <c r="Q168" i="24"/>
  <c r="P168" i="24"/>
  <c r="O168" i="24"/>
  <c r="N168" i="24"/>
  <c r="P167" i="24"/>
  <c r="O167" i="24"/>
  <c r="N167" i="24"/>
  <c r="O166" i="24"/>
  <c r="N166" i="24"/>
  <c r="N165" i="24"/>
  <c r="N140" i="24"/>
  <c r="N141" i="24"/>
  <c r="O141" i="24"/>
  <c r="N142" i="24"/>
  <c r="O142" i="24"/>
  <c r="P142" i="24"/>
  <c r="N143" i="24"/>
  <c r="O143" i="24"/>
  <c r="P143" i="24"/>
  <c r="Q143" i="24"/>
  <c r="N144" i="24"/>
  <c r="O144" i="24"/>
  <c r="P144" i="24"/>
  <c r="Q144" i="24"/>
  <c r="R144" i="24"/>
  <c r="N115" i="24"/>
  <c r="N116" i="24"/>
  <c r="O116" i="24"/>
  <c r="N117" i="24"/>
  <c r="O117" i="24"/>
  <c r="P117" i="24"/>
  <c r="N118" i="24"/>
  <c r="O118" i="24"/>
  <c r="P118" i="24"/>
  <c r="Q118" i="24"/>
  <c r="N119" i="24"/>
  <c r="O119" i="24"/>
  <c r="P119" i="24"/>
  <c r="Q119" i="24"/>
  <c r="R119" i="24"/>
  <c r="N90" i="24"/>
  <c r="N91" i="24"/>
  <c r="O91" i="24"/>
  <c r="N92" i="24"/>
  <c r="O92" i="24"/>
  <c r="P92" i="24"/>
  <c r="N93" i="24"/>
  <c r="O93" i="24"/>
  <c r="P93" i="24"/>
  <c r="Q93" i="24"/>
  <c r="N94" i="24"/>
  <c r="O94" i="24"/>
  <c r="P94" i="24"/>
  <c r="Q94" i="24"/>
  <c r="R94" i="24"/>
  <c r="I350" i="5"/>
  <c r="I351" i="5" s="1"/>
  <c r="J350" i="5"/>
  <c r="J351" i="5" s="1"/>
  <c r="K350" i="5"/>
  <c r="K351" i="5" s="1"/>
  <c r="L350" i="5"/>
  <c r="L351" i="5" s="1"/>
  <c r="H13" i="24"/>
  <c r="H350" i="5" s="1"/>
  <c r="H351" i="5" s="1"/>
  <c r="O13" i="24"/>
  <c r="L34" i="24"/>
  <c r="I34" i="24"/>
  <c r="J34" i="24"/>
  <c r="H34" i="24"/>
  <c r="R283" i="24"/>
  <c r="Q283" i="24"/>
  <c r="P283" i="24"/>
  <c r="O283" i="24"/>
  <c r="N283" i="24"/>
  <c r="Q282" i="24"/>
  <c r="P282" i="24"/>
  <c r="O282" i="24"/>
  <c r="N282" i="24"/>
  <c r="P281" i="24"/>
  <c r="O281" i="24"/>
  <c r="N281" i="24"/>
  <c r="O280" i="24"/>
  <c r="N280" i="24"/>
  <c r="N279" i="24"/>
  <c r="G273" i="24"/>
  <c r="O266" i="24"/>
  <c r="P266" i="24" s="1"/>
  <c r="N265" i="24"/>
  <c r="N264" i="24"/>
  <c r="L264" i="24"/>
  <c r="J264" i="24"/>
  <c r="I264" i="24"/>
  <c r="I31" i="24"/>
  <c r="J31" i="24"/>
  <c r="L31" i="24"/>
  <c r="I32" i="24"/>
  <c r="J32" i="24"/>
  <c r="L32" i="24"/>
  <c r="I33" i="24"/>
  <c r="J33" i="24"/>
  <c r="L33" i="24"/>
  <c r="H33" i="24"/>
  <c r="H32" i="24"/>
  <c r="H31" i="24"/>
  <c r="R261" i="24"/>
  <c r="Q261" i="24"/>
  <c r="P261" i="24"/>
  <c r="O261" i="24"/>
  <c r="N261" i="24"/>
  <c r="Q260" i="24"/>
  <c r="P260" i="24"/>
  <c r="O260" i="24"/>
  <c r="N260" i="24"/>
  <c r="P259" i="24"/>
  <c r="O259" i="24"/>
  <c r="N259" i="24"/>
  <c r="O258" i="24"/>
  <c r="N258" i="24"/>
  <c r="N257" i="24"/>
  <c r="G251" i="24"/>
  <c r="O244" i="24"/>
  <c r="P244" i="24" s="1"/>
  <c r="N242" i="24"/>
  <c r="L242" i="24"/>
  <c r="J242" i="24"/>
  <c r="I242" i="24"/>
  <c r="I16" i="24"/>
  <c r="J16" i="24"/>
  <c r="L16" i="24"/>
  <c r="I17" i="24"/>
  <c r="J17" i="24"/>
  <c r="L17" i="24"/>
  <c r="I18" i="24"/>
  <c r="J18" i="24"/>
  <c r="L18" i="24"/>
  <c r="I19" i="24"/>
  <c r="J19" i="24"/>
  <c r="L19" i="24"/>
  <c r="H19" i="24"/>
  <c r="H18" i="24"/>
  <c r="H17" i="24"/>
  <c r="H16" i="24"/>
  <c r="R238" i="24"/>
  <c r="Q238" i="24"/>
  <c r="P238" i="24"/>
  <c r="O238" i="24"/>
  <c r="N238" i="24"/>
  <c r="Q237" i="24"/>
  <c r="P237" i="24"/>
  <c r="O237" i="24"/>
  <c r="N237" i="24"/>
  <c r="P236" i="24"/>
  <c r="O236" i="24"/>
  <c r="N236" i="24"/>
  <c r="O235" i="24"/>
  <c r="N235" i="24"/>
  <c r="N234" i="24"/>
  <c r="G228" i="24"/>
  <c r="O221" i="24"/>
  <c r="P221" i="24" s="1"/>
  <c r="N219" i="24"/>
  <c r="L219" i="24"/>
  <c r="J219" i="24"/>
  <c r="I219" i="24"/>
  <c r="T286" i="38"/>
  <c r="T247" i="38"/>
  <c r="L20" i="24" l="1"/>
  <c r="N20" i="24" s="1"/>
  <c r="P13" i="24"/>
  <c r="O350" i="5"/>
  <c r="O265" i="24"/>
  <c r="Q266" i="24"/>
  <c r="P265" i="24"/>
  <c r="Q244" i="24"/>
  <c r="Q221" i="24"/>
  <c r="Q13" i="24" l="1"/>
  <c r="P350" i="5"/>
  <c r="R266" i="24"/>
  <c r="Q265" i="24"/>
  <c r="R244" i="24"/>
  <c r="R221" i="24"/>
  <c r="R13" i="24" l="1"/>
  <c r="Q350" i="5"/>
  <c r="S266" i="24"/>
  <c r="S265" i="24" s="1"/>
  <c r="R265" i="24"/>
  <c r="S244" i="24"/>
  <c r="S221" i="24"/>
  <c r="S13" i="24" l="1"/>
  <c r="S350" i="5" s="1"/>
  <c r="R350" i="5"/>
  <c r="E278" i="24" a="1"/>
  <c r="E278" i="24" l="1"/>
  <c r="G159" i="24" l="1"/>
  <c r="N151" i="24"/>
  <c r="N148" i="24"/>
  <c r="L148" i="24"/>
  <c r="J148" i="24"/>
  <c r="I148" i="24"/>
  <c r="G134" i="24"/>
  <c r="O126" i="24"/>
  <c r="L123" i="24"/>
  <c r="J123" i="24"/>
  <c r="I123" i="24"/>
  <c r="G109" i="24"/>
  <c r="N98" i="24"/>
  <c r="L98" i="24"/>
  <c r="J98" i="24"/>
  <c r="I98" i="24"/>
  <c r="J213" i="38"/>
  <c r="F87" i="40" s="1"/>
  <c r="K213" i="38"/>
  <c r="G87" i="40" s="1"/>
  <c r="L213" i="38"/>
  <c r="H87" i="40" s="1"/>
  <c r="I213" i="38"/>
  <c r="E87" i="40" s="1"/>
  <c r="P218" i="38"/>
  <c r="Q218" i="38" s="1"/>
  <c r="P217" i="38"/>
  <c r="M209" i="38"/>
  <c r="I85" i="40" s="1"/>
  <c r="L209" i="38"/>
  <c r="K209" i="38"/>
  <c r="G85" i="40" s="1"/>
  <c r="J209" i="38"/>
  <c r="F85" i="40" s="1"/>
  <c r="I209" i="38"/>
  <c r="E85" i="40" s="1"/>
  <c r="J199" i="38"/>
  <c r="F78" i="40" s="1"/>
  <c r="K199" i="38"/>
  <c r="G78" i="40" s="1"/>
  <c r="L199" i="38"/>
  <c r="H78" i="40" s="1"/>
  <c r="I199" i="38"/>
  <c r="E78" i="40" s="1"/>
  <c r="P204" i="38"/>
  <c r="Q204" i="38" s="1"/>
  <c r="M195" i="38"/>
  <c r="I76" i="40" s="1"/>
  <c r="L195" i="38"/>
  <c r="K195" i="38"/>
  <c r="J195" i="38"/>
  <c r="I195" i="38"/>
  <c r="J185" i="38"/>
  <c r="F69" i="40" s="1"/>
  <c r="K185" i="38"/>
  <c r="G69" i="40" s="1"/>
  <c r="L185" i="38"/>
  <c r="H69" i="40" s="1"/>
  <c r="I185" i="38"/>
  <c r="E69" i="40" s="1"/>
  <c r="J171" i="38"/>
  <c r="F60" i="40" s="1"/>
  <c r="K171" i="38"/>
  <c r="G60" i="40" s="1"/>
  <c r="L171" i="38"/>
  <c r="H60" i="40" s="1"/>
  <c r="I167" i="38"/>
  <c r="O795" i="1"/>
  <c r="P795" i="1"/>
  <c r="Q795" i="1"/>
  <c r="R795" i="1"/>
  <c r="S795" i="1"/>
  <c r="N795" i="1"/>
  <c r="AD953" i="36"/>
  <c r="AE953" i="36" s="1"/>
  <c r="AF953" i="36" s="1"/>
  <c r="AG953" i="36" s="1"/>
  <c r="AH953" i="36" s="1"/>
  <c r="S953" i="36" s="1"/>
  <c r="AD952" i="36"/>
  <c r="K954" i="36"/>
  <c r="J954" i="36"/>
  <c r="I954" i="36"/>
  <c r="H954" i="36"/>
  <c r="I964" i="36"/>
  <c r="J964" i="36"/>
  <c r="J959" i="36" s="1"/>
  <c r="K964" i="36"/>
  <c r="L964" i="36"/>
  <c r="M964" i="36"/>
  <c r="H964" i="36"/>
  <c r="H959" i="36" s="1"/>
  <c r="L958" i="36"/>
  <c r="M958" i="36"/>
  <c r="AC958" i="36" s="1"/>
  <c r="M957" i="36"/>
  <c r="L957" i="36"/>
  <c r="H958" i="36"/>
  <c r="I958" i="36"/>
  <c r="J958" i="36"/>
  <c r="I957" i="36"/>
  <c r="J957" i="36"/>
  <c r="H957" i="36"/>
  <c r="AC957" i="36" l="1"/>
  <c r="AD957" i="36" s="1"/>
  <c r="AE957" i="36" s="1"/>
  <c r="AF957" i="36" s="1"/>
  <c r="AG957" i="36" s="1"/>
  <c r="AH957" i="36" s="1"/>
  <c r="AD958" i="36"/>
  <c r="N958" i="36"/>
  <c r="I196" i="38"/>
  <c r="E76" i="40"/>
  <c r="K196" i="38"/>
  <c r="G76" i="40"/>
  <c r="I959" i="36"/>
  <c r="P126" i="24"/>
  <c r="O25" i="24"/>
  <c r="L196" i="38"/>
  <c r="H76" i="40"/>
  <c r="J167" i="38"/>
  <c r="F58" i="40" s="1"/>
  <c r="E58" i="40"/>
  <c r="N952" i="36"/>
  <c r="O151" i="24"/>
  <c r="N26" i="24"/>
  <c r="L210" i="38"/>
  <c r="H85" i="40"/>
  <c r="J196" i="38"/>
  <c r="F76" i="40"/>
  <c r="P101" i="24"/>
  <c r="O23" i="24"/>
  <c r="I210" i="38"/>
  <c r="J210" i="38"/>
  <c r="K210" i="38"/>
  <c r="P203" i="38"/>
  <c r="O179" i="38"/>
  <c r="R218" i="38"/>
  <c r="Q217" i="38"/>
  <c r="M210" i="38"/>
  <c r="N207" i="38"/>
  <c r="O207" i="38"/>
  <c r="R204" i="38"/>
  <c r="Q203" i="38"/>
  <c r="N193" i="38"/>
  <c r="O193" i="38"/>
  <c r="M196" i="38"/>
  <c r="I168" i="38"/>
  <c r="K167" i="38"/>
  <c r="G58" i="40" s="1"/>
  <c r="P176" i="38"/>
  <c r="AE952" i="36"/>
  <c r="O952" i="36"/>
  <c r="N953" i="36"/>
  <c r="O953" i="36"/>
  <c r="P953" i="36"/>
  <c r="Q953" i="36"/>
  <c r="R953" i="36"/>
  <c r="N963" i="36" l="1"/>
  <c r="AE958" i="36"/>
  <c r="O958" i="36"/>
  <c r="O963" i="36" s="1"/>
  <c r="N957" i="36"/>
  <c r="O957" i="36" s="1"/>
  <c r="P957" i="36" s="1"/>
  <c r="Q957" i="36" s="1"/>
  <c r="R957" i="36" s="1"/>
  <c r="S957" i="36" s="1"/>
  <c r="O195" i="38"/>
  <c r="K76" i="40" s="1"/>
  <c r="K74" i="40"/>
  <c r="P151" i="24"/>
  <c r="O26" i="24"/>
  <c r="N195" i="38"/>
  <c r="J74" i="40"/>
  <c r="Q126" i="24"/>
  <c r="P25" i="24"/>
  <c r="J168" i="38"/>
  <c r="O209" i="38"/>
  <c r="K85" i="40" s="1"/>
  <c r="K83" i="40"/>
  <c r="N209" i="38"/>
  <c r="J83" i="40"/>
  <c r="O181" i="38"/>
  <c r="K65" i="40"/>
  <c r="Q101" i="24"/>
  <c r="P23" i="24"/>
  <c r="S218" i="38"/>
  <c r="R217" i="38"/>
  <c r="R203" i="38"/>
  <c r="S204" i="38"/>
  <c r="L167" i="38"/>
  <c r="H58" i="40" s="1"/>
  <c r="K168" i="38"/>
  <c r="P175" i="38"/>
  <c r="Q176" i="38"/>
  <c r="AF952" i="36"/>
  <c r="P952" i="36"/>
  <c r="P962" i="36" l="1"/>
  <c r="O962" i="36"/>
  <c r="P958" i="36"/>
  <c r="P963" i="36" s="1"/>
  <c r="AF958" i="36"/>
  <c r="N962" i="36"/>
  <c r="K67" i="40"/>
  <c r="P193" i="38"/>
  <c r="L74" i="40" s="1"/>
  <c r="P179" i="38"/>
  <c r="R126" i="24"/>
  <c r="Q25" i="24"/>
  <c r="N197" i="38"/>
  <c r="J76" i="40"/>
  <c r="Q151" i="24"/>
  <c r="P26" i="24"/>
  <c r="J85" i="40"/>
  <c r="N211" i="38"/>
  <c r="P207" i="38"/>
  <c r="R101" i="24"/>
  <c r="Q23" i="24"/>
  <c r="T218" i="38"/>
  <c r="T217" i="38" s="1"/>
  <c r="S217" i="38"/>
  <c r="T204" i="38"/>
  <c r="T203" i="38" s="1"/>
  <c r="S203" i="38"/>
  <c r="R176" i="38"/>
  <c r="Q175" i="38"/>
  <c r="M167" i="38"/>
  <c r="I58" i="40" s="1"/>
  <c r="L168" i="38"/>
  <c r="AG952" i="36"/>
  <c r="Q952" i="36"/>
  <c r="Q958" i="36" l="1"/>
  <c r="Q963" i="36" s="1"/>
  <c r="AG958" i="36"/>
  <c r="P195" i="38"/>
  <c r="L76" i="40" s="1"/>
  <c r="R151" i="24"/>
  <c r="Q26" i="24"/>
  <c r="N196" i="38"/>
  <c r="P209" i="38"/>
  <c r="L83" i="40"/>
  <c r="S126" i="24"/>
  <c r="S25" i="24" s="1"/>
  <c r="R25" i="24"/>
  <c r="P181" i="38"/>
  <c r="L65" i="40"/>
  <c r="N210" i="38"/>
  <c r="S101" i="24"/>
  <c r="S23" i="24" s="1"/>
  <c r="R23" i="24"/>
  <c r="O165" i="38"/>
  <c r="N167" i="38"/>
  <c r="M168" i="38"/>
  <c r="S176" i="38"/>
  <c r="R175" i="38"/>
  <c r="Q962" i="36"/>
  <c r="AH952" i="36"/>
  <c r="S952" i="36" s="1"/>
  <c r="R952" i="36"/>
  <c r="N197" i="24"/>
  <c r="R216" i="24"/>
  <c r="Q216" i="24"/>
  <c r="P216" i="24"/>
  <c r="O216" i="24"/>
  <c r="N216" i="24"/>
  <c r="Q215" i="24"/>
  <c r="P215" i="24"/>
  <c r="O215" i="24"/>
  <c r="N215" i="24"/>
  <c r="P214" i="24"/>
  <c r="O214" i="24"/>
  <c r="N214" i="24"/>
  <c r="O213" i="24"/>
  <c r="N213" i="24"/>
  <c r="N212" i="24"/>
  <c r="G206" i="24"/>
  <c r="N209" i="24" s="1"/>
  <c r="L197" i="24"/>
  <c r="J197" i="24"/>
  <c r="I197" i="24"/>
  <c r="E82" i="34"/>
  <c r="E34" i="34"/>
  <c r="H291" i="5"/>
  <c r="H202" i="5"/>
  <c r="H192" i="5"/>
  <c r="I104" i="5"/>
  <c r="J104" i="5"/>
  <c r="K104" i="5"/>
  <c r="H104" i="5"/>
  <c r="I93" i="5"/>
  <c r="J93" i="5"/>
  <c r="K93" i="5"/>
  <c r="H93" i="5"/>
  <c r="I82" i="5"/>
  <c r="J82" i="5"/>
  <c r="K82" i="5"/>
  <c r="H83" i="5"/>
  <c r="H82" i="5"/>
  <c r="J39" i="5"/>
  <c r="L39" i="5"/>
  <c r="M39" i="5"/>
  <c r="J46" i="34" s="1"/>
  <c r="I40" i="5"/>
  <c r="J40" i="5"/>
  <c r="K40" i="5"/>
  <c r="L40" i="5"/>
  <c r="M40" i="5"/>
  <c r="J47" i="34" s="1"/>
  <c r="J50" i="34" s="1"/>
  <c r="I41" i="5"/>
  <c r="J41" i="5"/>
  <c r="K41" i="5"/>
  <c r="L41" i="5"/>
  <c r="M41" i="5"/>
  <c r="J52" i="34" s="1"/>
  <c r="I42" i="5"/>
  <c r="J42" i="5"/>
  <c r="K42" i="5"/>
  <c r="L42" i="5"/>
  <c r="M42" i="5"/>
  <c r="J53" i="34" s="1"/>
  <c r="H42" i="5"/>
  <c r="H41" i="5"/>
  <c r="H40" i="5"/>
  <c r="N11" i="5"/>
  <c r="N9" i="5"/>
  <c r="L34" i="5"/>
  <c r="M34" i="5"/>
  <c r="J29" i="34" s="1"/>
  <c r="I37" i="5"/>
  <c r="J37" i="5"/>
  <c r="K37" i="5"/>
  <c r="L37" i="5"/>
  <c r="M37" i="5"/>
  <c r="H37" i="5"/>
  <c r="G84" i="24"/>
  <c r="S87" i="24" s="1"/>
  <c r="J73" i="24"/>
  <c r="I73" i="24"/>
  <c r="J123" i="38"/>
  <c r="K123" i="38"/>
  <c r="L123" i="38"/>
  <c r="H51" i="40" s="1"/>
  <c r="I123" i="38"/>
  <c r="J119" i="38"/>
  <c r="F50" i="40" s="1"/>
  <c r="P127" i="38"/>
  <c r="P126" i="38" s="1"/>
  <c r="I67" i="38"/>
  <c r="J65" i="38" s="1"/>
  <c r="J67" i="38" s="1"/>
  <c r="O100" i="38"/>
  <c r="O101" i="38" s="1"/>
  <c r="P101" i="38" s="1"/>
  <c r="P100" i="38" s="1"/>
  <c r="I80" i="38"/>
  <c r="I93" i="38"/>
  <c r="O114" i="38"/>
  <c r="P114" i="38" s="1"/>
  <c r="P113" i="38" s="1"/>
  <c r="I104" i="38"/>
  <c r="AH958" i="36" l="1"/>
  <c r="S958" i="36" s="1"/>
  <c r="S963" i="36" s="1"/>
  <c r="R958" i="36"/>
  <c r="R963" i="36" s="1"/>
  <c r="O86" i="38"/>
  <c r="K37" i="34"/>
  <c r="K45" i="34"/>
  <c r="Q193" i="38"/>
  <c r="M74" i="40" s="1"/>
  <c r="O189" i="38"/>
  <c r="O190" i="38" s="1"/>
  <c r="P190" i="38" s="1"/>
  <c r="P189" i="38" s="1"/>
  <c r="J1" i="37"/>
  <c r="K49" i="34"/>
  <c r="K48" i="34"/>
  <c r="I83" i="38"/>
  <c r="E29" i="40"/>
  <c r="I124" i="38"/>
  <c r="E51" i="40"/>
  <c r="L85" i="40"/>
  <c r="Q207" i="38"/>
  <c r="N169" i="38"/>
  <c r="J58" i="40"/>
  <c r="O167" i="38"/>
  <c r="K58" i="40" s="1"/>
  <c r="K56" i="40"/>
  <c r="L67" i="40"/>
  <c r="Q179" i="38"/>
  <c r="K124" i="38"/>
  <c r="G51" i="40"/>
  <c r="S151" i="24"/>
  <c r="S26" i="24" s="1"/>
  <c r="R26" i="24"/>
  <c r="J124" i="38"/>
  <c r="F51" i="40"/>
  <c r="I106" i="38"/>
  <c r="I107" i="38" s="1"/>
  <c r="E41" i="40"/>
  <c r="I94" i="38"/>
  <c r="E36" i="40"/>
  <c r="M303" i="5"/>
  <c r="J303" i="5"/>
  <c r="J306" i="5" s="1"/>
  <c r="I303" i="5"/>
  <c r="O24" i="24"/>
  <c r="L303" i="5"/>
  <c r="H303" i="5"/>
  <c r="H306" i="5" s="1"/>
  <c r="N117" i="5"/>
  <c r="N116" i="5"/>
  <c r="N7" i="4"/>
  <c r="K9" i="40"/>
  <c r="O174" i="38"/>
  <c r="O202" i="38"/>
  <c r="O162" i="38"/>
  <c r="O216" i="38"/>
  <c r="O73" i="38"/>
  <c r="P254" i="24"/>
  <c r="O254" i="24"/>
  <c r="N254" i="24"/>
  <c r="S276" i="24"/>
  <c r="R276" i="24"/>
  <c r="Q276" i="24"/>
  <c r="P276" i="24"/>
  <c r="O276" i="24"/>
  <c r="S254" i="24"/>
  <c r="N276" i="24"/>
  <c r="R254" i="24"/>
  <c r="Q254" i="24"/>
  <c r="J35" i="24"/>
  <c r="I35" i="24"/>
  <c r="H35" i="24"/>
  <c r="O209" i="24"/>
  <c r="P231" i="24"/>
  <c r="N231" i="24"/>
  <c r="S231" i="24"/>
  <c r="Q231" i="24"/>
  <c r="O231" i="24"/>
  <c r="R231" i="24"/>
  <c r="Q87" i="24"/>
  <c r="R87" i="24"/>
  <c r="P162" i="24"/>
  <c r="O162" i="24"/>
  <c r="N162" i="24"/>
  <c r="Q162" i="24"/>
  <c r="R162" i="24"/>
  <c r="S162" i="24"/>
  <c r="P137" i="24"/>
  <c r="O137" i="24"/>
  <c r="N137" i="24"/>
  <c r="R137" i="24"/>
  <c r="Q137" i="24"/>
  <c r="S137" i="24"/>
  <c r="P112" i="24"/>
  <c r="O112" i="24"/>
  <c r="N112" i="24"/>
  <c r="R112" i="24"/>
  <c r="Q112" i="24"/>
  <c r="S112" i="24"/>
  <c r="P87" i="24"/>
  <c r="O87" i="24"/>
  <c r="R209" i="24"/>
  <c r="Q209" i="24"/>
  <c r="S209" i="24"/>
  <c r="P209" i="24"/>
  <c r="N87" i="24"/>
  <c r="P88" i="38"/>
  <c r="T176" i="38"/>
  <c r="T175" i="38" s="1"/>
  <c r="S175" i="38"/>
  <c r="S962" i="36"/>
  <c r="R962" i="36"/>
  <c r="O125" i="38"/>
  <c r="K11" i="40" s="1"/>
  <c r="O99" i="38"/>
  <c r="K10" i="40" s="1"/>
  <c r="L73" i="24"/>
  <c r="I120" i="38"/>
  <c r="I122" i="38"/>
  <c r="K119" i="38"/>
  <c r="G50" i="40" s="1"/>
  <c r="J120" i="38"/>
  <c r="J122" i="38"/>
  <c r="Q127" i="38"/>
  <c r="Q126" i="38" s="1"/>
  <c r="I68" i="38"/>
  <c r="J68" i="38"/>
  <c r="K65" i="38"/>
  <c r="K67" i="38" s="1"/>
  <c r="O75" i="38"/>
  <c r="P75" i="38" s="1"/>
  <c r="O113" i="38"/>
  <c r="I81" i="38"/>
  <c r="J78" i="38"/>
  <c r="I96" i="38"/>
  <c r="J91" i="38"/>
  <c r="F34" i="40" s="1"/>
  <c r="Q101" i="38"/>
  <c r="Q100" i="38" s="1"/>
  <c r="Q114" i="38"/>
  <c r="Q113" i="38" s="1"/>
  <c r="O157" i="38" l="1"/>
  <c r="Q195" i="38"/>
  <c r="M76" i="40"/>
  <c r="R193" i="38"/>
  <c r="K8" i="40"/>
  <c r="J104" i="38"/>
  <c r="J106" i="38" s="1"/>
  <c r="F43" i="40" s="1"/>
  <c r="Q190" i="38"/>
  <c r="Q189" i="38" s="1"/>
  <c r="J80" i="38"/>
  <c r="J83" i="38" s="1"/>
  <c r="F27" i="40"/>
  <c r="I109" i="38"/>
  <c r="E43" i="40"/>
  <c r="Q209" i="38"/>
  <c r="M83" i="40"/>
  <c r="Q181" i="38"/>
  <c r="M65" i="40"/>
  <c r="P165" i="38"/>
  <c r="N168" i="38"/>
  <c r="P76" i="24"/>
  <c r="P24" i="24" s="1"/>
  <c r="L306" i="5"/>
  <c r="I306" i="5"/>
  <c r="M306" i="5"/>
  <c r="N306" i="5" s="1"/>
  <c r="O306" i="5" s="1"/>
  <c r="P306" i="5" s="1"/>
  <c r="Q306" i="5" s="1"/>
  <c r="R306" i="5" s="1"/>
  <c r="S306" i="5" s="1"/>
  <c r="Q88" i="38"/>
  <c r="Q87" i="38" s="1"/>
  <c r="L117" i="38"/>
  <c r="K122" i="38"/>
  <c r="K120" i="38"/>
  <c r="R127" i="38"/>
  <c r="R126" i="38" s="1"/>
  <c r="P74" i="38"/>
  <c r="Q75" i="38"/>
  <c r="L65" i="38"/>
  <c r="L67" i="38" s="1"/>
  <c r="K68" i="38"/>
  <c r="J93" i="38"/>
  <c r="F36" i="40" s="1"/>
  <c r="R101" i="38"/>
  <c r="R100" i="38" s="1"/>
  <c r="R114" i="38"/>
  <c r="R113" i="38" s="1"/>
  <c r="K7" i="40" l="1"/>
  <c r="R195" i="38"/>
  <c r="N74" i="40"/>
  <c r="F41" i="40"/>
  <c r="R190" i="38"/>
  <c r="R189" i="38" s="1"/>
  <c r="K104" i="38"/>
  <c r="K78" i="38"/>
  <c r="K80" i="38" s="1"/>
  <c r="L78" i="38" s="1"/>
  <c r="J107" i="38"/>
  <c r="R88" i="38"/>
  <c r="R87" i="38" s="1"/>
  <c r="J109" i="38"/>
  <c r="R179" i="38"/>
  <c r="M67" i="40"/>
  <c r="K106" i="38"/>
  <c r="G43" i="40" s="1"/>
  <c r="G41" i="40"/>
  <c r="M85" i="40"/>
  <c r="R207" i="38"/>
  <c r="P167" i="38"/>
  <c r="L56" i="40"/>
  <c r="J81" i="38"/>
  <c r="F29" i="40"/>
  <c r="L119" i="38"/>
  <c r="H50" i="40" s="1"/>
  <c r="H48" i="40"/>
  <c r="S190" i="38"/>
  <c r="S189" i="38" s="1"/>
  <c r="Q76" i="24"/>
  <c r="Q24" i="24" s="1"/>
  <c r="L35" i="24"/>
  <c r="S127" i="38"/>
  <c r="S126" i="38" s="1"/>
  <c r="R75" i="38"/>
  <c r="Q74" i="38"/>
  <c r="M65" i="38"/>
  <c r="M67" i="38" s="1"/>
  <c r="L68" i="38"/>
  <c r="J96" i="38"/>
  <c r="J94" i="38"/>
  <c r="K91" i="38"/>
  <c r="S101" i="38"/>
  <c r="S100" i="38" s="1"/>
  <c r="S114" i="38"/>
  <c r="S113" i="38" s="1"/>
  <c r="G27" i="40" l="1"/>
  <c r="N76" i="40"/>
  <c r="S193" i="38"/>
  <c r="K107" i="38"/>
  <c r="K109" i="38"/>
  <c r="L104" i="38"/>
  <c r="L106" i="38" s="1"/>
  <c r="M104" i="38" s="1"/>
  <c r="I41" i="40" s="1"/>
  <c r="S88" i="38"/>
  <c r="S87" i="38" s="1"/>
  <c r="L80" i="38"/>
  <c r="H29" i="40" s="1"/>
  <c r="H27" i="40"/>
  <c r="M117" i="38"/>
  <c r="K93" i="38"/>
  <c r="G36" i="40" s="1"/>
  <c r="G34" i="40"/>
  <c r="N35" i="24"/>
  <c r="O35" i="24" s="1"/>
  <c r="P35" i="24" s="1"/>
  <c r="Q35" i="24" s="1"/>
  <c r="R35" i="24" s="1"/>
  <c r="S35" i="24" s="1"/>
  <c r="K83" i="38"/>
  <c r="K81" i="38"/>
  <c r="G29" i="40"/>
  <c r="L58" i="40"/>
  <c r="Q165" i="38"/>
  <c r="R209" i="38"/>
  <c r="N83" i="40"/>
  <c r="L120" i="38"/>
  <c r="H41" i="40"/>
  <c r="R181" i="38"/>
  <c r="N65" i="40"/>
  <c r="T190" i="38"/>
  <c r="T189" i="38" s="1"/>
  <c r="R76" i="24"/>
  <c r="R24" i="24" s="1"/>
  <c r="O199" i="24"/>
  <c r="O65" i="38"/>
  <c r="K20" i="40" s="1"/>
  <c r="N65" i="38"/>
  <c r="N67" i="38" s="1"/>
  <c r="T127" i="38"/>
  <c r="T126" i="38" s="1"/>
  <c r="S75" i="38"/>
  <c r="R74" i="38"/>
  <c r="M68" i="38"/>
  <c r="T101" i="38"/>
  <c r="T100" i="38" s="1"/>
  <c r="T114" i="38"/>
  <c r="T113" i="38" s="1"/>
  <c r="S195" i="38" l="1"/>
  <c r="O74" i="40"/>
  <c r="K96" i="38"/>
  <c r="T88" i="38"/>
  <c r="T87" i="38" s="1"/>
  <c r="K94" i="38"/>
  <c r="L91" i="38"/>
  <c r="L93" i="38" s="1"/>
  <c r="L81" i="38"/>
  <c r="M78" i="38"/>
  <c r="I27" i="40" s="1"/>
  <c r="N85" i="40"/>
  <c r="S207" i="38"/>
  <c r="Q167" i="38"/>
  <c r="M56" i="40"/>
  <c r="L107" i="38"/>
  <c r="H43" i="40"/>
  <c r="M80" i="38"/>
  <c r="M119" i="38"/>
  <c r="I48" i="40"/>
  <c r="N67" i="40"/>
  <c r="S179" i="38"/>
  <c r="S76" i="24"/>
  <c r="P199" i="24"/>
  <c r="O67" i="38"/>
  <c r="K22" i="40" s="1"/>
  <c r="N68" i="38"/>
  <c r="T75" i="38"/>
  <c r="T74" i="38" s="1"/>
  <c r="S74" i="38"/>
  <c r="O76" i="40" l="1"/>
  <c r="T193" i="38"/>
  <c r="H36" i="40"/>
  <c r="M91" i="38"/>
  <c r="M93" i="38" s="1"/>
  <c r="L94" i="38"/>
  <c r="H34" i="40"/>
  <c r="I34" i="40"/>
  <c r="S181" i="38"/>
  <c r="O65" i="40"/>
  <c r="I50" i="40"/>
  <c r="M120" i="38"/>
  <c r="N117" i="38"/>
  <c r="O117" i="38"/>
  <c r="M83" i="38"/>
  <c r="I29" i="40"/>
  <c r="N78" i="38"/>
  <c r="O78" i="38"/>
  <c r="M58" i="40"/>
  <c r="R165" i="38"/>
  <c r="M81" i="38"/>
  <c r="S209" i="38"/>
  <c r="O83" i="40"/>
  <c r="S24" i="24"/>
  <c r="Q199" i="24"/>
  <c r="P65" i="38"/>
  <c r="T195" i="38" l="1"/>
  <c r="P76" i="40" s="1"/>
  <c r="P74" i="40"/>
  <c r="I36" i="40"/>
  <c r="M96" i="38"/>
  <c r="M94" i="38"/>
  <c r="O91" i="38"/>
  <c r="K34" i="40" s="1"/>
  <c r="N91" i="38"/>
  <c r="O85" i="40"/>
  <c r="T207" i="38"/>
  <c r="N80" i="38"/>
  <c r="J27" i="40"/>
  <c r="N119" i="38"/>
  <c r="J48" i="40"/>
  <c r="R167" i="38"/>
  <c r="N56" i="40"/>
  <c r="O80" i="38"/>
  <c r="K27" i="40"/>
  <c r="P67" i="38"/>
  <c r="L22" i="40" s="1"/>
  <c r="L20" i="40"/>
  <c r="K48" i="40"/>
  <c r="O119" i="38"/>
  <c r="O93" i="38"/>
  <c r="K36" i="40" s="1"/>
  <c r="O67" i="40"/>
  <c r="T179" i="38"/>
  <c r="R199" i="24"/>
  <c r="P91" i="38" l="1"/>
  <c r="J34" i="40"/>
  <c r="N93" i="38"/>
  <c r="Q65" i="38"/>
  <c r="J50" i="40"/>
  <c r="N120" i="38"/>
  <c r="N122" i="38"/>
  <c r="T181" i="38"/>
  <c r="P67" i="40" s="1"/>
  <c r="P65" i="40"/>
  <c r="K50" i="40"/>
  <c r="P117" i="38"/>
  <c r="N81" i="38"/>
  <c r="J29" i="40"/>
  <c r="N83" i="38"/>
  <c r="P93" i="38"/>
  <c r="L36" i="40" s="1"/>
  <c r="L34" i="40"/>
  <c r="T209" i="38"/>
  <c r="P85" i="40" s="1"/>
  <c r="P83" i="40"/>
  <c r="K29" i="40"/>
  <c r="P78" i="38"/>
  <c r="N58" i="40"/>
  <c r="S165" i="38"/>
  <c r="S199" i="24"/>
  <c r="J36" i="40" l="1"/>
  <c r="N96" i="38"/>
  <c r="N94" i="38"/>
  <c r="P119" i="38"/>
  <c r="L48" i="40"/>
  <c r="S167" i="38"/>
  <c r="O56" i="40"/>
  <c r="P80" i="38"/>
  <c r="L27" i="40"/>
  <c r="Q67" i="38"/>
  <c r="M20" i="40"/>
  <c r="M22" i="40" l="1"/>
  <c r="R65" i="38"/>
  <c r="L29" i="40"/>
  <c r="Q78" i="38"/>
  <c r="O58" i="40"/>
  <c r="T165" i="38"/>
  <c r="L50" i="40"/>
  <c r="Q117" i="38"/>
  <c r="Q119" i="38" l="1"/>
  <c r="M48" i="40"/>
  <c r="T167" i="38"/>
  <c r="P58" i="40" s="1"/>
  <c r="P56" i="40"/>
  <c r="Q80" i="38"/>
  <c r="M27" i="40"/>
  <c r="R67" i="38"/>
  <c r="N20" i="40"/>
  <c r="J11" i="38"/>
  <c r="K11" i="38" s="1"/>
  <c r="M316" i="38"/>
  <c r="O314" i="38"/>
  <c r="O316" i="38" s="1"/>
  <c r="M310" i="38"/>
  <c r="O308" i="38"/>
  <c r="O310" i="38" s="1"/>
  <c r="M304" i="38"/>
  <c r="O302" i="38"/>
  <c r="P302" i="38" s="1"/>
  <c r="M298" i="38"/>
  <c r="O296" i="38"/>
  <c r="O298" i="38" s="1"/>
  <c r="M292" i="38"/>
  <c r="K292" i="38"/>
  <c r="J292" i="38"/>
  <c r="I292" i="38"/>
  <c r="O290" i="38"/>
  <c r="P290" i="38" s="1"/>
  <c r="P292" i="38" s="1"/>
  <c r="S286" i="38"/>
  <c r="R286" i="38"/>
  <c r="Q286" i="38"/>
  <c r="P286" i="38"/>
  <c r="O286" i="38"/>
  <c r="M286" i="38"/>
  <c r="K286" i="38"/>
  <c r="J286" i="38"/>
  <c r="I286" i="38"/>
  <c r="M280" i="38"/>
  <c r="K280" i="38"/>
  <c r="J280" i="38"/>
  <c r="I280" i="38"/>
  <c r="O278" i="38"/>
  <c r="P278" i="38" s="1"/>
  <c r="O266" i="38"/>
  <c r="P266" i="38" s="1"/>
  <c r="M264" i="38"/>
  <c r="K264" i="38"/>
  <c r="J264" i="38"/>
  <c r="I264" i="38"/>
  <c r="H41" i="24" s="1"/>
  <c r="M259" i="38"/>
  <c r="O257" i="38"/>
  <c r="O259" i="38" s="1"/>
  <c r="M253" i="38"/>
  <c r="K253" i="38"/>
  <c r="J253" i="38"/>
  <c r="I253" i="38"/>
  <c r="O251" i="38"/>
  <c r="P251" i="38" s="1"/>
  <c r="Q247" i="38"/>
  <c r="P247" i="38"/>
  <c r="O247" i="38"/>
  <c r="M247" i="38"/>
  <c r="K247" i="38"/>
  <c r="J247" i="38"/>
  <c r="I247" i="38"/>
  <c r="R247" i="38"/>
  <c r="M241" i="38"/>
  <c r="K241" i="38"/>
  <c r="J241" i="38"/>
  <c r="I241" i="38"/>
  <c r="O239" i="38"/>
  <c r="P239" i="38" s="1"/>
  <c r="P241" i="38" s="1"/>
  <c r="O229" i="38"/>
  <c r="P229" i="38" s="1"/>
  <c r="P227" i="38" s="1"/>
  <c r="M227" i="38"/>
  <c r="K227" i="38"/>
  <c r="J227" i="38"/>
  <c r="I227" i="38"/>
  <c r="H40" i="24" s="1"/>
  <c r="O152" i="38"/>
  <c r="O150" i="38" s="1"/>
  <c r="N99" i="24" s="1"/>
  <c r="M150" i="38"/>
  <c r="K150" i="38"/>
  <c r="J150" i="38"/>
  <c r="I150" i="38"/>
  <c r="H38" i="24" s="1"/>
  <c r="M106" i="38"/>
  <c r="I43" i="40" s="1"/>
  <c r="M45" i="38"/>
  <c r="M21" i="38" s="1"/>
  <c r="K45" i="38"/>
  <c r="K21" i="38" s="1"/>
  <c r="J45" i="38"/>
  <c r="J21" i="38" s="1"/>
  <c r="I45" i="38"/>
  <c r="I21" i="38" s="1"/>
  <c r="O28" i="38"/>
  <c r="P28" i="38" s="1"/>
  <c r="M28" i="38"/>
  <c r="K28" i="38"/>
  <c r="J28" i="38"/>
  <c r="I28" i="38"/>
  <c r="I20" i="38" s="1"/>
  <c r="O99" i="37"/>
  <c r="N99" i="37"/>
  <c r="M99" i="37"/>
  <c r="L99" i="37"/>
  <c r="K99" i="37"/>
  <c r="I99" i="37"/>
  <c r="H99" i="37"/>
  <c r="G99" i="37"/>
  <c r="F99" i="37"/>
  <c r="E92" i="37"/>
  <c r="H90" i="37"/>
  <c r="G90" i="37"/>
  <c r="F90" i="37"/>
  <c r="E90" i="37"/>
  <c r="I89" i="37"/>
  <c r="H89" i="37"/>
  <c r="G89" i="37"/>
  <c r="F89" i="37"/>
  <c r="E89" i="37"/>
  <c r="H88" i="37"/>
  <c r="I96" i="37" s="1"/>
  <c r="G88" i="37"/>
  <c r="F88" i="37"/>
  <c r="E88" i="37"/>
  <c r="H87" i="37"/>
  <c r="G87" i="37"/>
  <c r="F87" i="37"/>
  <c r="E87" i="37"/>
  <c r="I84" i="37"/>
  <c r="J84" i="37" s="1"/>
  <c r="J30" i="37" s="1"/>
  <c r="K30" i="37" s="1"/>
  <c r="H84" i="37"/>
  <c r="G84" i="37"/>
  <c r="F84" i="37"/>
  <c r="I83" i="37"/>
  <c r="J83" i="37" s="1"/>
  <c r="H83" i="37"/>
  <c r="G83" i="37"/>
  <c r="F83" i="37"/>
  <c r="I82" i="37"/>
  <c r="J82" i="37" s="1"/>
  <c r="J28" i="37" s="1"/>
  <c r="K28" i="37" s="1"/>
  <c r="H82" i="37"/>
  <c r="G82" i="37"/>
  <c r="F82" i="37"/>
  <c r="I81" i="37"/>
  <c r="J81" i="37" s="1"/>
  <c r="J27" i="37" s="1"/>
  <c r="H81" i="37"/>
  <c r="G81" i="37"/>
  <c r="F81" i="37"/>
  <c r="I80" i="37"/>
  <c r="I92" i="37" s="1"/>
  <c r="H80" i="37"/>
  <c r="H92" i="37" s="1"/>
  <c r="G80" i="37"/>
  <c r="G92" i="37" s="1"/>
  <c r="F80" i="37"/>
  <c r="F92" i="37" s="1"/>
  <c r="I79" i="37"/>
  <c r="J79" i="37" s="1"/>
  <c r="J25" i="37" s="1"/>
  <c r="K25" i="37" s="1"/>
  <c r="L25" i="37" s="1"/>
  <c r="H79" i="37"/>
  <c r="G79" i="37"/>
  <c r="F79" i="37"/>
  <c r="I78" i="37"/>
  <c r="J78" i="37" s="1"/>
  <c r="J24" i="37" s="1"/>
  <c r="H78" i="37"/>
  <c r="G78" i="37"/>
  <c r="F78" i="37"/>
  <c r="I77" i="37"/>
  <c r="J77" i="37" s="1"/>
  <c r="J23" i="37" s="1"/>
  <c r="K23" i="37" s="1"/>
  <c r="L23" i="37" s="1"/>
  <c r="M23" i="37" s="1"/>
  <c r="H77" i="37"/>
  <c r="G77" i="37"/>
  <c r="I76" i="37"/>
  <c r="J76" i="37" s="1"/>
  <c r="J22" i="37" s="1"/>
  <c r="K22" i="37" s="1"/>
  <c r="L22" i="37" s="1"/>
  <c r="M22" i="37" s="1"/>
  <c r="H76" i="37"/>
  <c r="G76" i="37"/>
  <c r="F76" i="37"/>
  <c r="I75" i="37"/>
  <c r="H75" i="37"/>
  <c r="G75" i="37"/>
  <c r="F75" i="37"/>
  <c r="I74" i="37"/>
  <c r="J74" i="37" s="1"/>
  <c r="J20" i="37" s="1"/>
  <c r="H74" i="37"/>
  <c r="G74" i="37"/>
  <c r="F74" i="37"/>
  <c r="I73" i="37"/>
  <c r="J73" i="37" s="1"/>
  <c r="J19" i="37" s="1"/>
  <c r="K19" i="37" s="1"/>
  <c r="L19" i="37" s="1"/>
  <c r="M19" i="37" s="1"/>
  <c r="N19" i="37" s="1"/>
  <c r="H73" i="37"/>
  <c r="G73" i="37"/>
  <c r="F73" i="37"/>
  <c r="I71" i="37"/>
  <c r="J71" i="37" s="1"/>
  <c r="J17" i="37" s="1"/>
  <c r="H71" i="37"/>
  <c r="G71" i="37"/>
  <c r="F71" i="37"/>
  <c r="I70" i="37"/>
  <c r="H70" i="37"/>
  <c r="G70" i="37"/>
  <c r="F70" i="37"/>
  <c r="I69" i="37"/>
  <c r="J69" i="37" s="1"/>
  <c r="J15" i="37" s="1"/>
  <c r="K15" i="37" s="1"/>
  <c r="L15" i="37" s="1"/>
  <c r="H69" i="37"/>
  <c r="G69" i="37"/>
  <c r="F69" i="37"/>
  <c r="I68" i="37"/>
  <c r="J68" i="37" s="1"/>
  <c r="J14" i="37" s="1"/>
  <c r="K14" i="37" s="1"/>
  <c r="H68" i="37"/>
  <c r="G68" i="37"/>
  <c r="F68" i="37"/>
  <c r="I67" i="37"/>
  <c r="J67" i="37" s="1"/>
  <c r="J13" i="37" s="1"/>
  <c r="K13" i="37" s="1"/>
  <c r="H67" i="37"/>
  <c r="G67" i="37"/>
  <c r="F67" i="37"/>
  <c r="I66" i="37"/>
  <c r="J66" i="37" s="1"/>
  <c r="J12" i="37" s="1"/>
  <c r="K12" i="37" s="1"/>
  <c r="H66" i="37"/>
  <c r="G66" i="37"/>
  <c r="F66" i="37"/>
  <c r="I65" i="37"/>
  <c r="H65" i="37"/>
  <c r="G65" i="37"/>
  <c r="F65" i="37"/>
  <c r="I64" i="37"/>
  <c r="J64" i="37" s="1"/>
  <c r="J10" i="37" s="1"/>
  <c r="H64" i="37"/>
  <c r="G64" i="37"/>
  <c r="F64" i="37"/>
  <c r="I63" i="37"/>
  <c r="J63" i="37" s="1"/>
  <c r="J9" i="37" s="1"/>
  <c r="K9" i="37" s="1"/>
  <c r="L9" i="37" s="1"/>
  <c r="H63" i="37"/>
  <c r="G63" i="37"/>
  <c r="F63" i="37"/>
  <c r="I62" i="37"/>
  <c r="J62" i="37" s="1"/>
  <c r="J8" i="37" s="1"/>
  <c r="H62" i="37"/>
  <c r="G62" i="37"/>
  <c r="I61" i="37"/>
  <c r="J61" i="37" s="1"/>
  <c r="J7" i="37" s="1"/>
  <c r="K7" i="37" s="1"/>
  <c r="L7" i="37" s="1"/>
  <c r="H61" i="37"/>
  <c r="G61" i="37"/>
  <c r="F61" i="37"/>
  <c r="I60" i="37"/>
  <c r="H60" i="37"/>
  <c r="G60" i="37"/>
  <c r="F60" i="37"/>
  <c r="I57" i="37"/>
  <c r="H57" i="37"/>
  <c r="G57" i="37"/>
  <c r="F57" i="37"/>
  <c r="E57" i="37"/>
  <c r="I56" i="37"/>
  <c r="H56" i="37"/>
  <c r="G56" i="37"/>
  <c r="F56" i="37"/>
  <c r="E56" i="37"/>
  <c r="I55" i="37"/>
  <c r="H55" i="37"/>
  <c r="G55" i="37"/>
  <c r="F55" i="37"/>
  <c r="E55" i="37"/>
  <c r="I54" i="37"/>
  <c r="H54" i="37"/>
  <c r="G54" i="37"/>
  <c r="F54" i="37"/>
  <c r="E54" i="37"/>
  <c r="I53" i="37"/>
  <c r="H53" i="37"/>
  <c r="G53" i="37"/>
  <c r="F53" i="37"/>
  <c r="E53" i="37"/>
  <c r="I52" i="37"/>
  <c r="H52" i="37"/>
  <c r="G52" i="37"/>
  <c r="F52" i="37"/>
  <c r="E52" i="37"/>
  <c r="I51" i="37"/>
  <c r="H51" i="37"/>
  <c r="G51" i="37"/>
  <c r="F51" i="37"/>
  <c r="E51" i="37"/>
  <c r="I50" i="37"/>
  <c r="H50" i="37"/>
  <c r="G50" i="37"/>
  <c r="F50" i="37"/>
  <c r="E50" i="37"/>
  <c r="I49" i="37"/>
  <c r="H49" i="37"/>
  <c r="G49" i="37"/>
  <c r="F49" i="37"/>
  <c r="E49" i="37"/>
  <c r="I48" i="37"/>
  <c r="H48" i="37"/>
  <c r="G48" i="37"/>
  <c r="F48" i="37"/>
  <c r="E48" i="37"/>
  <c r="I47" i="37"/>
  <c r="H47" i="37"/>
  <c r="G47" i="37"/>
  <c r="F47" i="37"/>
  <c r="E47" i="37"/>
  <c r="I46" i="37"/>
  <c r="H46" i="37"/>
  <c r="G46" i="37"/>
  <c r="F46" i="37"/>
  <c r="E46" i="37"/>
  <c r="I45" i="37"/>
  <c r="H45" i="37"/>
  <c r="G45" i="37"/>
  <c r="F45" i="37"/>
  <c r="E45" i="37"/>
  <c r="I44" i="37"/>
  <c r="H44" i="37"/>
  <c r="G44" i="37"/>
  <c r="F44" i="37"/>
  <c r="E44" i="37"/>
  <c r="I43" i="37"/>
  <c r="H43" i="37"/>
  <c r="G43" i="37"/>
  <c r="F43" i="37"/>
  <c r="E43" i="37"/>
  <c r="I42" i="37"/>
  <c r="H42" i="37"/>
  <c r="G42" i="37"/>
  <c r="F42" i="37"/>
  <c r="E42" i="37"/>
  <c r="I41" i="37"/>
  <c r="H41" i="37"/>
  <c r="G41" i="37"/>
  <c r="F41" i="37"/>
  <c r="E41" i="37"/>
  <c r="I40" i="37"/>
  <c r="H40" i="37"/>
  <c r="G40" i="37"/>
  <c r="F40" i="37"/>
  <c r="E40" i="37"/>
  <c r="I39" i="37"/>
  <c r="H39" i="37"/>
  <c r="G39" i="37"/>
  <c r="F39" i="37"/>
  <c r="E39" i="37"/>
  <c r="I38" i="37"/>
  <c r="H38" i="37"/>
  <c r="G38" i="37"/>
  <c r="F38" i="37"/>
  <c r="E38" i="37"/>
  <c r="I37" i="37"/>
  <c r="H37" i="37"/>
  <c r="G37" i="37"/>
  <c r="F37" i="37"/>
  <c r="E37" i="37"/>
  <c r="I36" i="37"/>
  <c r="H36" i="37"/>
  <c r="G36" i="37"/>
  <c r="F36" i="37"/>
  <c r="E36" i="37"/>
  <c r="I35" i="37"/>
  <c r="H35" i="37"/>
  <c r="G35" i="37"/>
  <c r="F35" i="37"/>
  <c r="E35" i="37"/>
  <c r="I34" i="37"/>
  <c r="H34" i="37"/>
  <c r="G34" i="37"/>
  <c r="F34" i="37"/>
  <c r="E34" i="37"/>
  <c r="I33" i="37"/>
  <c r="H33" i="37"/>
  <c r="G33" i="37"/>
  <c r="F33" i="37"/>
  <c r="E33" i="37"/>
  <c r="J29" i="37"/>
  <c r="K29" i="37" s="1"/>
  <c r="J18" i="37"/>
  <c r="K1156" i="36"/>
  <c r="J1156" i="36"/>
  <c r="I1156" i="36"/>
  <c r="H1156" i="36"/>
  <c r="K1150" i="36"/>
  <c r="J1150" i="36"/>
  <c r="I1150" i="36"/>
  <c r="H1150" i="36"/>
  <c r="M1145" i="36"/>
  <c r="L1145" i="36"/>
  <c r="K1145" i="36"/>
  <c r="J1145" i="36"/>
  <c r="I1145" i="36"/>
  <c r="H1145" i="36"/>
  <c r="O1144" i="36"/>
  <c r="P1144" i="36" s="1"/>
  <c r="O1142" i="36"/>
  <c r="O1140" i="36"/>
  <c r="P1140" i="36" s="1"/>
  <c r="O1136" i="36"/>
  <c r="O1134" i="36"/>
  <c r="M1123" i="36"/>
  <c r="L1123" i="36"/>
  <c r="K1123" i="36"/>
  <c r="J1123" i="36"/>
  <c r="I1123" i="36"/>
  <c r="H1123" i="36"/>
  <c r="M1114" i="36"/>
  <c r="L1114" i="36"/>
  <c r="K1114" i="36"/>
  <c r="J1114" i="36"/>
  <c r="I1114" i="36"/>
  <c r="H1114" i="36"/>
  <c r="K1095" i="36"/>
  <c r="J1095" i="36"/>
  <c r="I1095" i="36"/>
  <c r="H1095" i="36"/>
  <c r="K1092" i="36"/>
  <c r="J1092" i="36"/>
  <c r="I1092" i="36"/>
  <c r="H1092" i="36"/>
  <c r="K1089" i="36"/>
  <c r="J1089" i="36"/>
  <c r="I1089" i="36"/>
  <c r="H1089" i="36"/>
  <c r="K1076" i="36"/>
  <c r="J1076" i="36"/>
  <c r="I1076" i="36"/>
  <c r="H1076" i="36"/>
  <c r="K1072" i="36"/>
  <c r="J1072" i="36"/>
  <c r="I1072" i="36"/>
  <c r="H1072" i="36"/>
  <c r="K1068" i="36"/>
  <c r="J1068" i="36"/>
  <c r="I1068" i="36"/>
  <c r="H1068" i="36"/>
  <c r="K1058" i="36"/>
  <c r="J1058" i="36"/>
  <c r="I1058" i="36"/>
  <c r="H1058" i="36"/>
  <c r="N1048" i="36"/>
  <c r="N192" i="5" s="1"/>
  <c r="O1041" i="36"/>
  <c r="O1039" i="36"/>
  <c r="M1036" i="36"/>
  <c r="L1036" i="36"/>
  <c r="K1036" i="36"/>
  <c r="J1036" i="36"/>
  <c r="I1036" i="36"/>
  <c r="H1036" i="36"/>
  <c r="M1030" i="36"/>
  <c r="L1030" i="36"/>
  <c r="J1030" i="36"/>
  <c r="I1030" i="36"/>
  <c r="H1030" i="36"/>
  <c r="AD1029" i="36"/>
  <c r="AE1029" i="36" s="1"/>
  <c r="AF1029" i="36" s="1"/>
  <c r="N1029" i="36"/>
  <c r="AD1027" i="36"/>
  <c r="AE1027" i="36" s="1"/>
  <c r="N1027" i="36"/>
  <c r="O1025" i="36"/>
  <c r="N1025" i="36"/>
  <c r="AL1021" i="36"/>
  <c r="AM1021" i="36" s="1"/>
  <c r="AN1021" i="36" s="1"/>
  <c r="AO1021" i="36" s="1"/>
  <c r="AP1021" i="36" s="1"/>
  <c r="Z1021" i="36"/>
  <c r="Y1021" i="36"/>
  <c r="X1021" i="36"/>
  <c r="W1021" i="36"/>
  <c r="V1021" i="36"/>
  <c r="U1021" i="36"/>
  <c r="M1018" i="36"/>
  <c r="L1018" i="36"/>
  <c r="J1018" i="36"/>
  <c r="I1018" i="36"/>
  <c r="H1018" i="36"/>
  <c r="AD1017" i="36"/>
  <c r="AE1017" i="36" s="1"/>
  <c r="AF1017" i="36" s="1"/>
  <c r="AG1017" i="36" s="1"/>
  <c r="AH1017" i="36" s="1"/>
  <c r="S1017" i="36" s="1"/>
  <c r="N1017" i="36"/>
  <c r="N1015" i="36"/>
  <c r="S1013" i="36"/>
  <c r="R1013" i="36"/>
  <c r="Q1013" i="36"/>
  <c r="P1013" i="36"/>
  <c r="O1013" i="36"/>
  <c r="N1013" i="36"/>
  <c r="AL1009" i="36"/>
  <c r="AM1009" i="36" s="1"/>
  <c r="AN1009" i="36" s="1"/>
  <c r="AO1009" i="36" s="1"/>
  <c r="AP1009" i="36" s="1"/>
  <c r="Z1009" i="36"/>
  <c r="Y1009" i="36"/>
  <c r="X1009" i="36"/>
  <c r="W1009" i="36"/>
  <c r="V1009" i="36"/>
  <c r="U1009" i="36"/>
  <c r="S1007" i="36"/>
  <c r="N1007" i="36"/>
  <c r="M1006" i="36"/>
  <c r="L1006" i="36"/>
  <c r="J1006" i="36"/>
  <c r="I1006" i="36"/>
  <c r="H1006" i="36"/>
  <c r="AD1005" i="36"/>
  <c r="O1005" i="36" s="1"/>
  <c r="N1005" i="36"/>
  <c r="N1003" i="36"/>
  <c r="AD1001" i="36"/>
  <c r="O1001" i="36" s="1"/>
  <c r="N1001" i="36"/>
  <c r="N999" i="36"/>
  <c r="AP995" i="36"/>
  <c r="AO995" i="36"/>
  <c r="AN995" i="36"/>
  <c r="AM995" i="36"/>
  <c r="AL995" i="36"/>
  <c r="AK995" i="36"/>
  <c r="M993" i="36"/>
  <c r="L993" i="36"/>
  <c r="L1142" i="36" s="1"/>
  <c r="K993" i="36"/>
  <c r="K1142" i="36" s="1"/>
  <c r="J993" i="36"/>
  <c r="J1112" i="36" s="1"/>
  <c r="K1112" i="36" s="1"/>
  <c r="I993" i="36"/>
  <c r="I1112" i="36" s="1"/>
  <c r="H993" i="36"/>
  <c r="M988" i="36"/>
  <c r="M989" i="36" s="1"/>
  <c r="N989" i="36" s="1"/>
  <c r="L988" i="36"/>
  <c r="L989" i="36" s="1"/>
  <c r="K988" i="36"/>
  <c r="K989" i="36" s="1"/>
  <c r="J988" i="36"/>
  <c r="J989" i="36" s="1"/>
  <c r="I988" i="36"/>
  <c r="I989" i="36" s="1"/>
  <c r="H988" i="36"/>
  <c r="H989" i="36" s="1"/>
  <c r="AL985" i="36"/>
  <c r="AM985" i="36" s="1"/>
  <c r="AN985" i="36" s="1"/>
  <c r="AO985" i="36" s="1"/>
  <c r="AP985" i="36" s="1"/>
  <c r="AD985" i="36"/>
  <c r="O985" i="36" s="1"/>
  <c r="V985" i="36"/>
  <c r="W985" i="36" s="1"/>
  <c r="X985" i="36" s="1"/>
  <c r="Y985" i="36" s="1"/>
  <c r="Z985" i="36" s="1"/>
  <c r="N985" i="36"/>
  <c r="AL980" i="36"/>
  <c r="AM980" i="36" s="1"/>
  <c r="AN980" i="36" s="1"/>
  <c r="AO980" i="36" s="1"/>
  <c r="AP980" i="36" s="1"/>
  <c r="V980" i="36"/>
  <c r="W980" i="36" s="1"/>
  <c r="X980" i="36" s="1"/>
  <c r="Y980" i="36" s="1"/>
  <c r="Z980" i="36" s="1"/>
  <c r="M979" i="36"/>
  <c r="M980" i="36" s="1"/>
  <c r="L979" i="36"/>
  <c r="L980" i="36" s="1"/>
  <c r="I87" i="34" s="1"/>
  <c r="K979" i="36"/>
  <c r="K980" i="36" s="1"/>
  <c r="H87" i="34" s="1"/>
  <c r="J979" i="36"/>
  <c r="J980" i="36" s="1"/>
  <c r="G87" i="34" s="1"/>
  <c r="I979" i="36"/>
  <c r="I980" i="36" s="1"/>
  <c r="F87" i="34" s="1"/>
  <c r="H979" i="36"/>
  <c r="H980" i="36" s="1"/>
  <c r="E87" i="34" s="1"/>
  <c r="AL976" i="36"/>
  <c r="AM976" i="36" s="1"/>
  <c r="AN976" i="36" s="1"/>
  <c r="AO976" i="36" s="1"/>
  <c r="AP976" i="36" s="1"/>
  <c r="AD976" i="36"/>
  <c r="O976" i="36" s="1"/>
  <c r="V976" i="36"/>
  <c r="W976" i="36" s="1"/>
  <c r="X976" i="36" s="1"/>
  <c r="Y976" i="36" s="1"/>
  <c r="Z976" i="36" s="1"/>
  <c r="N976" i="36"/>
  <c r="N975" i="36" s="1"/>
  <c r="N41" i="5" s="1"/>
  <c r="L976" i="36"/>
  <c r="J976" i="36"/>
  <c r="I976" i="36"/>
  <c r="AL971" i="36"/>
  <c r="AM971" i="36" s="1"/>
  <c r="AN971" i="36" s="1"/>
  <c r="AO971" i="36" s="1"/>
  <c r="AP971" i="36" s="1"/>
  <c r="AD971" i="36"/>
  <c r="AE971" i="36" s="1"/>
  <c r="AF971" i="36" s="1"/>
  <c r="AG971" i="36" s="1"/>
  <c r="AH971" i="36" s="1"/>
  <c r="V971" i="36"/>
  <c r="W971" i="36" s="1"/>
  <c r="X971" i="36" s="1"/>
  <c r="Y971" i="36" s="1"/>
  <c r="Z971" i="36" s="1"/>
  <c r="M970" i="36"/>
  <c r="L970" i="36"/>
  <c r="L971" i="36" s="1"/>
  <c r="I86" i="34" s="1"/>
  <c r="K970" i="36"/>
  <c r="K971" i="36" s="1"/>
  <c r="H86" i="34" s="1"/>
  <c r="J970" i="36"/>
  <c r="J971" i="36" s="1"/>
  <c r="G86" i="34" s="1"/>
  <c r="I970" i="36"/>
  <c r="I971" i="36" s="1"/>
  <c r="F86" i="34" s="1"/>
  <c r="H970" i="36"/>
  <c r="H971" i="36" s="1"/>
  <c r="E86" i="34" s="1"/>
  <c r="K968" i="36"/>
  <c r="J968" i="36"/>
  <c r="I968" i="36"/>
  <c r="K956" i="36"/>
  <c r="L956" i="36" s="1"/>
  <c r="U956" i="36" s="1"/>
  <c r="V956" i="36" s="1"/>
  <c r="W956" i="36" s="1"/>
  <c r="X956" i="36" s="1"/>
  <c r="Y956" i="36" s="1"/>
  <c r="Z956" i="36" s="1"/>
  <c r="J956" i="36"/>
  <c r="I956" i="36"/>
  <c r="H956" i="36"/>
  <c r="AL947" i="36"/>
  <c r="AM947" i="36" s="1"/>
  <c r="AN947" i="36" s="1"/>
  <c r="AO947" i="36" s="1"/>
  <c r="AP947" i="36" s="1"/>
  <c r="V947" i="36"/>
  <c r="W947" i="36" s="1"/>
  <c r="X947" i="36" s="1"/>
  <c r="Y947" i="36" s="1"/>
  <c r="Z947" i="36" s="1"/>
  <c r="M946" i="36"/>
  <c r="M947" i="36" s="1"/>
  <c r="J85" i="34" s="1"/>
  <c r="L946" i="36"/>
  <c r="L947" i="36" s="1"/>
  <c r="I85" i="34" s="1"/>
  <c r="J946" i="36"/>
  <c r="J947" i="36" s="1"/>
  <c r="G85" i="34" s="1"/>
  <c r="J941" i="36"/>
  <c r="J935" i="36" s="1"/>
  <c r="K936" i="36"/>
  <c r="K39" i="5" s="1"/>
  <c r="I936" i="36"/>
  <c r="I39" i="5" s="1"/>
  <c r="H936" i="36"/>
  <c r="H39" i="5" s="1"/>
  <c r="K935" i="36"/>
  <c r="L935" i="36" s="1"/>
  <c r="M935" i="36" s="1"/>
  <c r="AC935" i="36" s="1"/>
  <c r="I935" i="36"/>
  <c r="H935" i="36"/>
  <c r="K934" i="36"/>
  <c r="L934" i="36" s="1"/>
  <c r="M934" i="36" s="1"/>
  <c r="AC934" i="36" s="1"/>
  <c r="J934" i="36"/>
  <c r="I934" i="36"/>
  <c r="H934" i="36"/>
  <c r="K933" i="36"/>
  <c r="L933" i="36" s="1"/>
  <c r="M933" i="36" s="1"/>
  <c r="AC933" i="36" s="1"/>
  <c r="J933" i="36"/>
  <c r="I933" i="36"/>
  <c r="H933" i="36"/>
  <c r="K932" i="36"/>
  <c r="L932" i="36" s="1"/>
  <c r="M932" i="36" s="1"/>
  <c r="AC932" i="36" s="1"/>
  <c r="J932" i="36"/>
  <c r="I932" i="36"/>
  <c r="H932" i="36"/>
  <c r="K931" i="36"/>
  <c r="L931" i="36" s="1"/>
  <c r="M931" i="36" s="1"/>
  <c r="J931" i="36"/>
  <c r="AC931" i="36" s="1"/>
  <c r="I931" i="36"/>
  <c r="H931" i="36"/>
  <c r="S923" i="36"/>
  <c r="R923" i="36"/>
  <c r="Q923" i="36"/>
  <c r="P923" i="36"/>
  <c r="O923" i="36"/>
  <c r="N923" i="36"/>
  <c r="J923" i="36"/>
  <c r="I923" i="36"/>
  <c r="S922" i="36"/>
  <c r="R922" i="36"/>
  <c r="Q922" i="36"/>
  <c r="P922" i="36"/>
  <c r="O922" i="36"/>
  <c r="N922" i="36"/>
  <c r="J922" i="36"/>
  <c r="I922" i="36"/>
  <c r="S921" i="36"/>
  <c r="R921" i="36"/>
  <c r="Q921" i="36"/>
  <c r="P921" i="36"/>
  <c r="O921" i="36"/>
  <c r="N921" i="36"/>
  <c r="J921" i="36"/>
  <c r="I921" i="36"/>
  <c r="S920" i="36"/>
  <c r="R920" i="36"/>
  <c r="Q920" i="36"/>
  <c r="P920" i="36"/>
  <c r="O920" i="36"/>
  <c r="N920" i="36"/>
  <c r="J920" i="36"/>
  <c r="I920" i="36"/>
  <c r="S919" i="36"/>
  <c r="R919" i="36"/>
  <c r="Q919" i="36"/>
  <c r="P919" i="36"/>
  <c r="O919" i="36"/>
  <c r="N919" i="36"/>
  <c r="J919" i="36"/>
  <c r="I919" i="36"/>
  <c r="K912" i="36"/>
  <c r="K926" i="36" s="1"/>
  <c r="J912" i="36"/>
  <c r="I912" i="36"/>
  <c r="I924" i="36" s="1"/>
  <c r="H912" i="36"/>
  <c r="H928" i="36" s="1"/>
  <c r="AL907" i="36"/>
  <c r="AM907" i="36" s="1"/>
  <c r="AN907" i="36" s="1"/>
  <c r="AO907" i="36" s="1"/>
  <c r="AP907" i="36" s="1"/>
  <c r="V907" i="36"/>
  <c r="W907" i="36" s="1"/>
  <c r="X907" i="36" s="1"/>
  <c r="Y907" i="36" s="1"/>
  <c r="Z907" i="36" s="1"/>
  <c r="M906" i="36"/>
  <c r="M907" i="36" s="1"/>
  <c r="AC907" i="36" s="1"/>
  <c r="N907" i="36" s="1"/>
  <c r="L906" i="36"/>
  <c r="L907" i="36" s="1"/>
  <c r="K906" i="36"/>
  <c r="K907" i="36" s="1"/>
  <c r="J906" i="36"/>
  <c r="J907" i="36" s="1"/>
  <c r="I906" i="36"/>
  <c r="I907" i="36" s="1"/>
  <c r="H906" i="36"/>
  <c r="H907" i="36" s="1"/>
  <c r="AL903" i="36"/>
  <c r="AM903" i="36" s="1"/>
  <c r="AN903" i="36" s="1"/>
  <c r="AO903" i="36" s="1"/>
  <c r="AP903" i="36" s="1"/>
  <c r="AD903" i="36"/>
  <c r="V903" i="36"/>
  <c r="W903" i="36" s="1"/>
  <c r="X903" i="36" s="1"/>
  <c r="Y903" i="36" s="1"/>
  <c r="Z903" i="36" s="1"/>
  <c r="N903" i="36"/>
  <c r="N902" i="36" s="1"/>
  <c r="N37" i="5" s="1"/>
  <c r="L903" i="36"/>
  <c r="K903" i="36"/>
  <c r="J903" i="36"/>
  <c r="I903" i="36"/>
  <c r="AK820" i="36"/>
  <c r="AL820" i="36" s="1"/>
  <c r="AM820" i="36" s="1"/>
  <c r="AN820" i="36" s="1"/>
  <c r="AO820" i="36" s="1"/>
  <c r="AP820" i="36" s="1"/>
  <c r="U820" i="36"/>
  <c r="V820" i="36" s="1"/>
  <c r="W820" i="36" s="1"/>
  <c r="X820" i="36" s="1"/>
  <c r="Y820" i="36" s="1"/>
  <c r="Z820" i="36" s="1"/>
  <c r="H808" i="36"/>
  <c r="H807" i="36"/>
  <c r="H806" i="36"/>
  <c r="H805" i="36"/>
  <c r="H804" i="36"/>
  <c r="J796" i="36"/>
  <c r="I796" i="36"/>
  <c r="J795" i="36"/>
  <c r="I795" i="36"/>
  <c r="J794" i="36"/>
  <c r="I794" i="36"/>
  <c r="J793" i="36"/>
  <c r="I793" i="36"/>
  <c r="J792" i="36"/>
  <c r="I792" i="36"/>
  <c r="K785" i="36"/>
  <c r="J785" i="36"/>
  <c r="J803" i="36" s="1"/>
  <c r="I785" i="36"/>
  <c r="AK781" i="36"/>
  <c r="AL781" i="36" s="1"/>
  <c r="AM781" i="36" s="1"/>
  <c r="AN781" i="36" s="1"/>
  <c r="AO781" i="36" s="1"/>
  <c r="AP781" i="36" s="1"/>
  <c r="U781" i="36"/>
  <c r="V781" i="36" s="1"/>
  <c r="W781" i="36" s="1"/>
  <c r="X781" i="36" s="1"/>
  <c r="Y781" i="36" s="1"/>
  <c r="Z781" i="36" s="1"/>
  <c r="M770" i="36"/>
  <c r="J41" i="34" s="1"/>
  <c r="L770" i="36"/>
  <c r="K770" i="36"/>
  <c r="J770" i="36"/>
  <c r="I770" i="36"/>
  <c r="H780" i="36"/>
  <c r="H781" i="36" s="1"/>
  <c r="S769" i="36"/>
  <c r="R769" i="36"/>
  <c r="Q769" i="36"/>
  <c r="P769" i="36"/>
  <c r="O769" i="36"/>
  <c r="N769" i="36"/>
  <c r="M769" i="36"/>
  <c r="L769" i="36"/>
  <c r="K769" i="36"/>
  <c r="J769" i="36"/>
  <c r="I769" i="36"/>
  <c r="H769" i="36"/>
  <c r="M768" i="36"/>
  <c r="AC768" i="36" s="1"/>
  <c r="N768" i="36" s="1"/>
  <c r="L768" i="36"/>
  <c r="K768" i="36"/>
  <c r="J768" i="36"/>
  <c r="I768" i="36"/>
  <c r="H768" i="36"/>
  <c r="S767" i="36"/>
  <c r="R767" i="36"/>
  <c r="Q767" i="36"/>
  <c r="P767" i="36"/>
  <c r="O767" i="36"/>
  <c r="N767" i="36"/>
  <c r="M767" i="36"/>
  <c r="L767" i="36"/>
  <c r="K767" i="36"/>
  <c r="J767" i="36"/>
  <c r="I767" i="36"/>
  <c r="H767" i="36"/>
  <c r="S766" i="36"/>
  <c r="R766" i="36"/>
  <c r="Q766" i="36"/>
  <c r="P766" i="36"/>
  <c r="O766" i="36"/>
  <c r="N766" i="36"/>
  <c r="M766" i="36"/>
  <c r="L766" i="36"/>
  <c r="K766" i="36"/>
  <c r="J766" i="36"/>
  <c r="I766" i="36"/>
  <c r="H766" i="36"/>
  <c r="S765" i="36"/>
  <c r="R765" i="36"/>
  <c r="Q765" i="36"/>
  <c r="P765" i="36"/>
  <c r="O765" i="36"/>
  <c r="N765" i="36"/>
  <c r="M765" i="36"/>
  <c r="L765" i="36"/>
  <c r="K765" i="36"/>
  <c r="J765" i="36"/>
  <c r="I765" i="36"/>
  <c r="H765" i="36"/>
  <c r="S757" i="36"/>
  <c r="R757" i="36"/>
  <c r="Q757" i="36"/>
  <c r="P757" i="36"/>
  <c r="O757" i="36"/>
  <c r="N757" i="36"/>
  <c r="N751" i="36" s="1"/>
  <c r="S756" i="36"/>
  <c r="R756" i="36"/>
  <c r="Q756" i="36"/>
  <c r="P756" i="36"/>
  <c r="O756" i="36"/>
  <c r="N756" i="36"/>
  <c r="N750" i="36" s="1"/>
  <c r="L756" i="36"/>
  <c r="J756" i="36"/>
  <c r="I756" i="36"/>
  <c r="S755" i="36"/>
  <c r="R755" i="36"/>
  <c r="Q755" i="36"/>
  <c r="P755" i="36"/>
  <c r="O755" i="36"/>
  <c r="N755" i="36"/>
  <c r="N749" i="36" s="1"/>
  <c r="S754" i="36"/>
  <c r="R754" i="36"/>
  <c r="Q754" i="36"/>
  <c r="P754" i="36"/>
  <c r="O754" i="36"/>
  <c r="N754" i="36"/>
  <c r="N748" i="36" s="1"/>
  <c r="S753" i="36"/>
  <c r="R753" i="36"/>
  <c r="Q753" i="36"/>
  <c r="P753" i="36"/>
  <c r="O753" i="36"/>
  <c r="N753" i="36"/>
  <c r="N747" i="36" s="1"/>
  <c r="M746" i="36"/>
  <c r="M759" i="36" s="1"/>
  <c r="L746" i="36"/>
  <c r="L759" i="36" s="1"/>
  <c r="K746" i="36"/>
  <c r="K761" i="36" s="1"/>
  <c r="J746" i="36"/>
  <c r="J759" i="36" s="1"/>
  <c r="I746" i="36"/>
  <c r="I761" i="36" s="1"/>
  <c r="H746" i="36"/>
  <c r="H761" i="36" s="1"/>
  <c r="AK742" i="36"/>
  <c r="AL742" i="36" s="1"/>
  <c r="AM742" i="36" s="1"/>
  <c r="AN742" i="36" s="1"/>
  <c r="AO742" i="36" s="1"/>
  <c r="AP742" i="36" s="1"/>
  <c r="U742" i="36"/>
  <c r="V742" i="36" s="1"/>
  <c r="W742" i="36" s="1"/>
  <c r="X742" i="36" s="1"/>
  <c r="Y742" i="36" s="1"/>
  <c r="Z742" i="36" s="1"/>
  <c r="M731" i="36"/>
  <c r="L731" i="36"/>
  <c r="I40" i="34" s="1"/>
  <c r="Q40" i="34" s="1"/>
  <c r="K731" i="36"/>
  <c r="H40" i="34" s="1"/>
  <c r="J731" i="36"/>
  <c r="G40" i="34" s="1"/>
  <c r="I731" i="36"/>
  <c r="H741" i="36"/>
  <c r="M730" i="36"/>
  <c r="AC730" i="36" s="1"/>
  <c r="AD730" i="36" s="1"/>
  <c r="AE730" i="36" s="1"/>
  <c r="AF730" i="36" s="1"/>
  <c r="Q730" i="36" s="1"/>
  <c r="L730" i="36"/>
  <c r="K730" i="36"/>
  <c r="J730" i="36"/>
  <c r="I730" i="36"/>
  <c r="H730" i="36"/>
  <c r="M729" i="36"/>
  <c r="AC729" i="36" s="1"/>
  <c r="N729" i="36" s="1"/>
  <c r="L729" i="36"/>
  <c r="K729" i="36"/>
  <c r="J729" i="36"/>
  <c r="I729" i="36"/>
  <c r="H729" i="36"/>
  <c r="M728" i="36"/>
  <c r="AC728" i="36" s="1"/>
  <c r="L728" i="36"/>
  <c r="K728" i="36"/>
  <c r="J728" i="36"/>
  <c r="I728" i="36"/>
  <c r="H728" i="36"/>
  <c r="M727" i="36"/>
  <c r="AC727" i="36" s="1"/>
  <c r="N727" i="36" s="1"/>
  <c r="L727" i="36"/>
  <c r="K727" i="36"/>
  <c r="J727" i="36"/>
  <c r="I727" i="36"/>
  <c r="H727" i="36"/>
  <c r="M726" i="36"/>
  <c r="AC726" i="36" s="1"/>
  <c r="N726" i="36" s="1"/>
  <c r="L726" i="36"/>
  <c r="K726" i="36"/>
  <c r="J726" i="36"/>
  <c r="I726" i="36"/>
  <c r="H726" i="36"/>
  <c r="S718" i="36"/>
  <c r="R718" i="36"/>
  <c r="Q718" i="36"/>
  <c r="P718" i="36"/>
  <c r="O718" i="36"/>
  <c r="N718" i="36"/>
  <c r="N712" i="36" s="1"/>
  <c r="S717" i="36"/>
  <c r="R717" i="36"/>
  <c r="Q717" i="36"/>
  <c r="P717" i="36"/>
  <c r="O717" i="36"/>
  <c r="N717" i="36"/>
  <c r="N711" i="36" s="1"/>
  <c r="L717" i="36"/>
  <c r="J717" i="36"/>
  <c r="I717" i="36"/>
  <c r="S716" i="36"/>
  <c r="R716" i="36"/>
  <c r="Q716" i="36"/>
  <c r="P716" i="36"/>
  <c r="O716" i="36"/>
  <c r="N716" i="36"/>
  <c r="N710" i="36" s="1"/>
  <c r="L716" i="36"/>
  <c r="J716" i="36"/>
  <c r="I716" i="36"/>
  <c r="S715" i="36"/>
  <c r="R715" i="36"/>
  <c r="Q715" i="36"/>
  <c r="P715" i="36"/>
  <c r="O715" i="36"/>
  <c r="N715" i="36"/>
  <c r="N709" i="36" s="1"/>
  <c r="L715" i="36"/>
  <c r="J715" i="36"/>
  <c r="S714" i="36"/>
  <c r="R714" i="36"/>
  <c r="Q714" i="36"/>
  <c r="P714" i="36"/>
  <c r="O714" i="36"/>
  <c r="N714" i="36"/>
  <c r="N708" i="36" s="1"/>
  <c r="L714" i="36"/>
  <c r="J714" i="36"/>
  <c r="I714" i="36"/>
  <c r="M707" i="36"/>
  <c r="L707" i="36"/>
  <c r="K707" i="36"/>
  <c r="K720" i="36" s="1"/>
  <c r="J707" i="36"/>
  <c r="I707" i="36"/>
  <c r="I739" i="36" s="1"/>
  <c r="H707" i="36"/>
  <c r="H739" i="36" s="1"/>
  <c r="AK703" i="36"/>
  <c r="AL703" i="36" s="1"/>
  <c r="AM703" i="36" s="1"/>
  <c r="AN703" i="36" s="1"/>
  <c r="AO703" i="36" s="1"/>
  <c r="AP703" i="36" s="1"/>
  <c r="U703" i="36"/>
  <c r="V703" i="36" s="1"/>
  <c r="W703" i="36" s="1"/>
  <c r="X703" i="36" s="1"/>
  <c r="Y703" i="36" s="1"/>
  <c r="Z703" i="36" s="1"/>
  <c r="M702" i="36"/>
  <c r="M703" i="36" s="1"/>
  <c r="L702" i="36"/>
  <c r="L703" i="36" s="1"/>
  <c r="N701" i="36"/>
  <c r="M697" i="36"/>
  <c r="L697" i="36"/>
  <c r="K694" i="36"/>
  <c r="J694" i="36"/>
  <c r="G42" i="34" s="1"/>
  <c r="I694" i="36"/>
  <c r="F42" i="34" s="1"/>
  <c r="H694" i="36"/>
  <c r="E42" i="34" s="1"/>
  <c r="Q42" i="34" s="1"/>
  <c r="K693" i="36"/>
  <c r="J693" i="36"/>
  <c r="I693" i="36"/>
  <c r="H693" i="36"/>
  <c r="K692" i="36"/>
  <c r="J692" i="36"/>
  <c r="I692" i="36"/>
  <c r="H692" i="36"/>
  <c r="K691" i="36"/>
  <c r="L691" i="36" s="1"/>
  <c r="J691" i="36"/>
  <c r="I691" i="36"/>
  <c r="H691" i="36"/>
  <c r="K690" i="36"/>
  <c r="J690" i="36"/>
  <c r="I690" i="36"/>
  <c r="H690" i="36"/>
  <c r="K689" i="36"/>
  <c r="J689" i="36"/>
  <c r="I689" i="36"/>
  <c r="H689" i="36"/>
  <c r="S688" i="36"/>
  <c r="R688" i="36"/>
  <c r="Q688" i="36"/>
  <c r="P688" i="36"/>
  <c r="O688" i="36"/>
  <c r="N688" i="36"/>
  <c r="K682" i="36"/>
  <c r="J682" i="36"/>
  <c r="I682" i="36"/>
  <c r="H682" i="36"/>
  <c r="AK678" i="36"/>
  <c r="AL678" i="36" s="1"/>
  <c r="AM678" i="36" s="1"/>
  <c r="AN678" i="36" s="1"/>
  <c r="AO678" i="36" s="1"/>
  <c r="AP678" i="36" s="1"/>
  <c r="U678" i="36"/>
  <c r="V678" i="36" s="1"/>
  <c r="W678" i="36" s="1"/>
  <c r="X678" i="36" s="1"/>
  <c r="Y678" i="36" s="1"/>
  <c r="Z678" i="36" s="1"/>
  <c r="M667" i="36"/>
  <c r="L667" i="36"/>
  <c r="K667" i="36"/>
  <c r="J667" i="36"/>
  <c r="I667" i="36"/>
  <c r="F39" i="34" s="1"/>
  <c r="H677" i="36"/>
  <c r="S666" i="36"/>
  <c r="R666" i="36"/>
  <c r="Q666" i="36"/>
  <c r="P666" i="36"/>
  <c r="O666" i="36"/>
  <c r="N666" i="36"/>
  <c r="M666" i="36"/>
  <c r="L666" i="36"/>
  <c r="K666" i="36"/>
  <c r="J666" i="36"/>
  <c r="I666" i="36"/>
  <c r="H666" i="36"/>
  <c r="M665" i="36"/>
  <c r="AC665" i="36" s="1"/>
  <c r="AD665" i="36" s="1"/>
  <c r="AE665" i="36" s="1"/>
  <c r="L665" i="36"/>
  <c r="K665" i="36"/>
  <c r="J665" i="36"/>
  <c r="I665" i="36"/>
  <c r="H665" i="36"/>
  <c r="M664" i="36"/>
  <c r="AC664" i="36" s="1"/>
  <c r="AD664" i="36" s="1"/>
  <c r="AE664" i="36" s="1"/>
  <c r="P664" i="36" s="1"/>
  <c r="L664" i="36"/>
  <c r="K664" i="36"/>
  <c r="J664" i="36"/>
  <c r="I664" i="36"/>
  <c r="H664" i="36"/>
  <c r="S663" i="36"/>
  <c r="R663" i="36"/>
  <c r="Q663" i="36"/>
  <c r="P663" i="36"/>
  <c r="O663" i="36"/>
  <c r="N663" i="36"/>
  <c r="M663" i="36"/>
  <c r="L663" i="36"/>
  <c r="K663" i="36"/>
  <c r="J663" i="36"/>
  <c r="I663" i="36"/>
  <c r="H663" i="36"/>
  <c r="M662" i="36"/>
  <c r="AC662" i="36" s="1"/>
  <c r="AD662" i="36" s="1"/>
  <c r="AE662" i="36" s="1"/>
  <c r="L662" i="36"/>
  <c r="K662" i="36"/>
  <c r="J662" i="36"/>
  <c r="I662" i="36"/>
  <c r="H662" i="36"/>
  <c r="S654" i="36"/>
  <c r="R654" i="36"/>
  <c r="Q654" i="36"/>
  <c r="P654" i="36"/>
  <c r="O654" i="36"/>
  <c r="N654" i="36"/>
  <c r="N648" i="36" s="1"/>
  <c r="S653" i="36"/>
  <c r="R653" i="36"/>
  <c r="Q653" i="36"/>
  <c r="P653" i="36"/>
  <c r="O653" i="36"/>
  <c r="N653" i="36"/>
  <c r="N647" i="36" s="1"/>
  <c r="L653" i="36"/>
  <c r="J653" i="36"/>
  <c r="I653" i="36"/>
  <c r="S652" i="36"/>
  <c r="R652" i="36"/>
  <c r="Q652" i="36"/>
  <c r="P652" i="36"/>
  <c r="O652" i="36"/>
  <c r="N652" i="36"/>
  <c r="N646" i="36" s="1"/>
  <c r="L652" i="36"/>
  <c r="J652" i="36"/>
  <c r="I652" i="36"/>
  <c r="S651" i="36"/>
  <c r="R651" i="36"/>
  <c r="Q651" i="36"/>
  <c r="P651" i="36"/>
  <c r="O651" i="36"/>
  <c r="N651" i="36"/>
  <c r="N645" i="36" s="1"/>
  <c r="S650" i="36"/>
  <c r="R650" i="36"/>
  <c r="Q650" i="36"/>
  <c r="P650" i="36"/>
  <c r="O650" i="36"/>
  <c r="N650" i="36"/>
  <c r="N644" i="36" s="1"/>
  <c r="L650" i="36"/>
  <c r="J650" i="36"/>
  <c r="I650" i="36"/>
  <c r="M643" i="36"/>
  <c r="M660" i="36" s="1"/>
  <c r="L643" i="36"/>
  <c r="AK643" i="36" s="1"/>
  <c r="AL643" i="36" s="1"/>
  <c r="AM643" i="36" s="1"/>
  <c r="AN643" i="36" s="1"/>
  <c r="AO643" i="36" s="1"/>
  <c r="AP643" i="36" s="1"/>
  <c r="K643" i="36"/>
  <c r="K659" i="36" s="1"/>
  <c r="J643" i="36"/>
  <c r="J659" i="36" s="1"/>
  <c r="I643" i="36"/>
  <c r="I659" i="36" s="1"/>
  <c r="H643" i="36"/>
  <c r="H659" i="36" s="1"/>
  <c r="M637" i="36"/>
  <c r="L637" i="36"/>
  <c r="K637" i="36"/>
  <c r="J637" i="36"/>
  <c r="I637" i="36"/>
  <c r="H637" i="36"/>
  <c r="K635" i="36"/>
  <c r="J635" i="36"/>
  <c r="I635" i="36"/>
  <c r="H635" i="36"/>
  <c r="K634" i="36"/>
  <c r="J634" i="36"/>
  <c r="I634" i="36"/>
  <c r="H634" i="36"/>
  <c r="K633" i="36"/>
  <c r="J633" i="36"/>
  <c r="I633" i="36"/>
  <c r="H633" i="36"/>
  <c r="K632" i="36"/>
  <c r="J632" i="36"/>
  <c r="I632" i="36"/>
  <c r="H632" i="36"/>
  <c r="K631" i="36"/>
  <c r="J631" i="36"/>
  <c r="I631" i="36"/>
  <c r="H631" i="36"/>
  <c r="K623" i="36"/>
  <c r="J623" i="36"/>
  <c r="I623" i="36"/>
  <c r="H623" i="36"/>
  <c r="K622" i="36"/>
  <c r="J622" i="36"/>
  <c r="I622" i="36"/>
  <c r="H622" i="36"/>
  <c r="K621" i="36"/>
  <c r="J621" i="36"/>
  <c r="I621" i="36"/>
  <c r="H621" i="36"/>
  <c r="K620" i="36"/>
  <c r="J620" i="36"/>
  <c r="I620" i="36"/>
  <c r="H620" i="36"/>
  <c r="K619" i="36"/>
  <c r="J619" i="36"/>
  <c r="I619" i="36"/>
  <c r="H619" i="36"/>
  <c r="AK534" i="36"/>
  <c r="AL534" i="36" s="1"/>
  <c r="AM534" i="36" s="1"/>
  <c r="AN534" i="36" s="1"/>
  <c r="AO534" i="36" s="1"/>
  <c r="AP534" i="36" s="1"/>
  <c r="U534" i="36"/>
  <c r="V534" i="36" s="1"/>
  <c r="W534" i="36" s="1"/>
  <c r="X534" i="36" s="1"/>
  <c r="Y534" i="36" s="1"/>
  <c r="Z534" i="36" s="1"/>
  <c r="H17" i="42"/>
  <c r="F17" i="42"/>
  <c r="J510" i="36"/>
  <c r="J509" i="36"/>
  <c r="J508" i="36"/>
  <c r="J507" i="36"/>
  <c r="J506" i="36"/>
  <c r="K499" i="36"/>
  <c r="J499" i="36"/>
  <c r="I499" i="36"/>
  <c r="H499" i="36"/>
  <c r="AK495" i="36"/>
  <c r="AL495" i="36" s="1"/>
  <c r="AM495" i="36" s="1"/>
  <c r="AN495" i="36" s="1"/>
  <c r="AO495" i="36" s="1"/>
  <c r="AP495" i="36" s="1"/>
  <c r="U495" i="36"/>
  <c r="V495" i="36" s="1"/>
  <c r="W495" i="36" s="1"/>
  <c r="X495" i="36" s="1"/>
  <c r="Y495" i="36" s="1"/>
  <c r="Z495" i="36" s="1"/>
  <c r="M489" i="36"/>
  <c r="L484" i="36"/>
  <c r="J16" i="42" s="1"/>
  <c r="K484" i="36"/>
  <c r="I16" i="42" s="1"/>
  <c r="J484" i="36"/>
  <c r="H16" i="42" s="1"/>
  <c r="I484" i="36"/>
  <c r="G16" i="42" s="1"/>
  <c r="L483" i="36"/>
  <c r="J483" i="36"/>
  <c r="I483" i="36"/>
  <c r="M482" i="36"/>
  <c r="AC482" i="36" s="1"/>
  <c r="L482" i="36"/>
  <c r="J482" i="36"/>
  <c r="I482" i="36"/>
  <c r="M481" i="36"/>
  <c r="AC481" i="36" s="1"/>
  <c r="N481" i="36" s="1"/>
  <c r="L481" i="36"/>
  <c r="J481" i="36"/>
  <c r="I481" i="36"/>
  <c r="M480" i="36"/>
  <c r="AC480" i="36" s="1"/>
  <c r="N480" i="36" s="1"/>
  <c r="L480" i="36"/>
  <c r="J480" i="36"/>
  <c r="I480" i="36"/>
  <c r="M479" i="36"/>
  <c r="AC479" i="36" s="1"/>
  <c r="L479" i="36"/>
  <c r="J479" i="36"/>
  <c r="I479" i="36"/>
  <c r="S471" i="36"/>
  <c r="R471" i="36"/>
  <c r="Q471" i="36"/>
  <c r="P471" i="36"/>
  <c r="O471" i="36"/>
  <c r="N471" i="36"/>
  <c r="N465" i="36" s="1"/>
  <c r="L471" i="36"/>
  <c r="S470" i="36"/>
  <c r="R470" i="36"/>
  <c r="Q470" i="36"/>
  <c r="P470" i="36"/>
  <c r="O470" i="36"/>
  <c r="N470" i="36"/>
  <c r="N464" i="36" s="1"/>
  <c r="L470" i="36"/>
  <c r="J470" i="36"/>
  <c r="S469" i="36"/>
  <c r="R469" i="36"/>
  <c r="Q469" i="36"/>
  <c r="P469" i="36"/>
  <c r="O469" i="36"/>
  <c r="N469" i="36"/>
  <c r="N463" i="36" s="1"/>
  <c r="L469" i="36"/>
  <c r="J469" i="36"/>
  <c r="S468" i="36"/>
  <c r="R468" i="36"/>
  <c r="Q468" i="36"/>
  <c r="P468" i="36"/>
  <c r="O468" i="36"/>
  <c r="N468" i="36"/>
  <c r="N462" i="36" s="1"/>
  <c r="L468" i="36"/>
  <c r="S467" i="36"/>
  <c r="R467" i="36"/>
  <c r="Q467" i="36"/>
  <c r="P467" i="36"/>
  <c r="O467" i="36"/>
  <c r="N467" i="36"/>
  <c r="N461" i="36" s="1"/>
  <c r="L467" i="36"/>
  <c r="J467" i="36"/>
  <c r="M460" i="36"/>
  <c r="M475" i="36" s="1"/>
  <c r="L460" i="36"/>
  <c r="L476" i="36" s="1"/>
  <c r="J460" i="36"/>
  <c r="J476" i="36" s="1"/>
  <c r="I460" i="36"/>
  <c r="I477" i="36" s="1"/>
  <c r="AK456" i="36"/>
  <c r="AL456" i="36" s="1"/>
  <c r="AM456" i="36" s="1"/>
  <c r="AN456" i="36" s="1"/>
  <c r="AO456" i="36" s="1"/>
  <c r="AP456" i="36" s="1"/>
  <c r="U456" i="36"/>
  <c r="V456" i="36" s="1"/>
  <c r="W456" i="36" s="1"/>
  <c r="X456" i="36" s="1"/>
  <c r="Y456" i="36" s="1"/>
  <c r="Z456" i="36" s="1"/>
  <c r="L450" i="36"/>
  <c r="L445" i="36" s="1"/>
  <c r="M445" i="36"/>
  <c r="K445" i="36"/>
  <c r="I445" i="36"/>
  <c r="G15" i="42" s="1"/>
  <c r="H445" i="36"/>
  <c r="F15" i="42" s="1"/>
  <c r="M444" i="36"/>
  <c r="AC444" i="36" s="1"/>
  <c r="AD444" i="36" s="1"/>
  <c r="K444" i="36"/>
  <c r="J444" i="36"/>
  <c r="I444" i="36"/>
  <c r="H444" i="36"/>
  <c r="S443" i="36"/>
  <c r="R443" i="36"/>
  <c r="Q443" i="36"/>
  <c r="P443" i="36"/>
  <c r="O443" i="36"/>
  <c r="N443" i="36"/>
  <c r="M443" i="36"/>
  <c r="L443" i="36"/>
  <c r="K443" i="36"/>
  <c r="J443" i="36"/>
  <c r="I443" i="36"/>
  <c r="H443" i="36"/>
  <c r="M442" i="36"/>
  <c r="AC442" i="36" s="1"/>
  <c r="L442" i="36"/>
  <c r="K442" i="36"/>
  <c r="J442" i="36"/>
  <c r="I442" i="36"/>
  <c r="H442" i="36"/>
  <c r="S441" i="36"/>
  <c r="R441" i="36"/>
  <c r="Q441" i="36"/>
  <c r="P441" i="36"/>
  <c r="O441" i="36"/>
  <c r="N441" i="36"/>
  <c r="M441" i="36"/>
  <c r="L441" i="36"/>
  <c r="K441" i="36"/>
  <c r="J441" i="36"/>
  <c r="I441" i="36"/>
  <c r="H441" i="36"/>
  <c r="S440" i="36"/>
  <c r="R440" i="36"/>
  <c r="Q440" i="36"/>
  <c r="P440" i="36"/>
  <c r="O440" i="36"/>
  <c r="N440" i="36"/>
  <c r="M440" i="36"/>
  <c r="L440" i="36"/>
  <c r="K440" i="36"/>
  <c r="J440" i="36"/>
  <c r="I440" i="36"/>
  <c r="H440" i="36"/>
  <c r="S432" i="36"/>
  <c r="R432" i="36"/>
  <c r="Q432" i="36"/>
  <c r="P432" i="36"/>
  <c r="O432" i="36"/>
  <c r="N432" i="36"/>
  <c r="N426" i="36" s="1"/>
  <c r="L432" i="36"/>
  <c r="S431" i="36"/>
  <c r="R431" i="36"/>
  <c r="Q431" i="36"/>
  <c r="P431" i="36"/>
  <c r="O431" i="36"/>
  <c r="N431" i="36"/>
  <c r="N425" i="36" s="1"/>
  <c r="S430" i="36"/>
  <c r="R430" i="36"/>
  <c r="Q430" i="36"/>
  <c r="P430" i="36"/>
  <c r="O430" i="36"/>
  <c r="N430" i="36"/>
  <c r="N424" i="36" s="1"/>
  <c r="L430" i="36"/>
  <c r="J430" i="36"/>
  <c r="I430" i="36"/>
  <c r="S429" i="36"/>
  <c r="R429" i="36"/>
  <c r="Q429" i="36"/>
  <c r="P429" i="36"/>
  <c r="O429" i="36"/>
  <c r="N429" i="36"/>
  <c r="N423" i="36" s="1"/>
  <c r="L429" i="36"/>
  <c r="J429" i="36"/>
  <c r="I429" i="36"/>
  <c r="S428" i="36"/>
  <c r="R428" i="36"/>
  <c r="Q428" i="36"/>
  <c r="P428" i="36"/>
  <c r="O428" i="36"/>
  <c r="N428" i="36"/>
  <c r="N422" i="36" s="1"/>
  <c r="AQ421" i="36"/>
  <c r="AA421" i="36"/>
  <c r="M421" i="36"/>
  <c r="M437" i="36" s="1"/>
  <c r="L421" i="36"/>
  <c r="L438" i="36" s="1"/>
  <c r="K421" i="36"/>
  <c r="K436" i="36" s="1"/>
  <c r="J421" i="36"/>
  <c r="J436" i="36" s="1"/>
  <c r="I421" i="36"/>
  <c r="I453" i="36" s="1"/>
  <c r="H421" i="36"/>
  <c r="H434" i="36" s="1"/>
  <c r="AK417" i="36"/>
  <c r="AL417" i="36" s="1"/>
  <c r="AM417" i="36" s="1"/>
  <c r="AN417" i="36" s="1"/>
  <c r="AO417" i="36" s="1"/>
  <c r="AP417" i="36" s="1"/>
  <c r="U417" i="36"/>
  <c r="V417" i="36" s="1"/>
  <c r="W417" i="36" s="1"/>
  <c r="X417" i="36" s="1"/>
  <c r="Y417" i="36" s="1"/>
  <c r="Z417" i="36" s="1"/>
  <c r="M406" i="36"/>
  <c r="L406" i="36"/>
  <c r="J14" i="42" s="1"/>
  <c r="K406" i="36"/>
  <c r="I14" i="42" s="1"/>
  <c r="J406" i="36"/>
  <c r="H14" i="42" s="1"/>
  <c r="I406" i="36"/>
  <c r="G14" i="42" s="1"/>
  <c r="H406" i="36"/>
  <c r="F14" i="42" s="1"/>
  <c r="M405" i="36"/>
  <c r="AC405" i="36" s="1"/>
  <c r="L405" i="36"/>
  <c r="K405" i="36"/>
  <c r="J405" i="36"/>
  <c r="I405" i="36"/>
  <c r="H405" i="36"/>
  <c r="M404" i="36"/>
  <c r="AC404" i="36" s="1"/>
  <c r="L404" i="36"/>
  <c r="K404" i="36"/>
  <c r="J404" i="36"/>
  <c r="I404" i="36"/>
  <c r="H404" i="36"/>
  <c r="M403" i="36"/>
  <c r="AC403" i="36" s="1"/>
  <c r="AD403" i="36" s="1"/>
  <c r="AE403" i="36" s="1"/>
  <c r="L403" i="36"/>
  <c r="K403" i="36"/>
  <c r="J403" i="36"/>
  <c r="I403" i="36"/>
  <c r="H403" i="36"/>
  <c r="M402" i="36"/>
  <c r="AC402" i="36" s="1"/>
  <c r="AD402" i="36" s="1"/>
  <c r="L402" i="36"/>
  <c r="K402" i="36"/>
  <c r="J402" i="36"/>
  <c r="I402" i="36"/>
  <c r="H402" i="36"/>
  <c r="M401" i="36"/>
  <c r="AC401" i="36" s="1"/>
  <c r="AD401" i="36" s="1"/>
  <c r="AE401" i="36" s="1"/>
  <c r="P401" i="36" s="1"/>
  <c r="L401" i="36"/>
  <c r="K401" i="36"/>
  <c r="J401" i="36"/>
  <c r="I401" i="36"/>
  <c r="H401" i="36"/>
  <c r="S393" i="36"/>
  <c r="R393" i="36"/>
  <c r="Q393" i="36"/>
  <c r="P393" i="36"/>
  <c r="O393" i="36"/>
  <c r="N393" i="36"/>
  <c r="N387" i="36" s="1"/>
  <c r="L393" i="36"/>
  <c r="S392" i="36"/>
  <c r="R392" i="36"/>
  <c r="Q392" i="36"/>
  <c r="P392" i="36"/>
  <c r="O392" i="36"/>
  <c r="N392" i="36"/>
  <c r="N386" i="36" s="1"/>
  <c r="L392" i="36"/>
  <c r="J392" i="36"/>
  <c r="I392" i="36"/>
  <c r="S391" i="36"/>
  <c r="R391" i="36"/>
  <c r="Q391" i="36"/>
  <c r="P391" i="36"/>
  <c r="O391" i="36"/>
  <c r="N391" i="36"/>
  <c r="N385" i="36" s="1"/>
  <c r="L391" i="36"/>
  <c r="J391" i="36"/>
  <c r="I391" i="36"/>
  <c r="S390" i="36"/>
  <c r="R390" i="36"/>
  <c r="Q390" i="36"/>
  <c r="P390" i="36"/>
  <c r="O390" i="36"/>
  <c r="N390" i="36"/>
  <c r="N384" i="36" s="1"/>
  <c r="L390" i="36"/>
  <c r="J390" i="36"/>
  <c r="I390" i="36"/>
  <c r="S389" i="36"/>
  <c r="R389" i="36"/>
  <c r="Q389" i="36"/>
  <c r="P389" i="36"/>
  <c r="O389" i="36"/>
  <c r="N389" i="36"/>
  <c r="N383" i="36" s="1"/>
  <c r="L389" i="36"/>
  <c r="J389" i="36"/>
  <c r="I389" i="36"/>
  <c r="AQ382" i="36"/>
  <c r="AA382" i="36"/>
  <c r="M382" i="36"/>
  <c r="M398" i="36" s="1"/>
  <c r="L382" i="36"/>
  <c r="K382" i="36"/>
  <c r="K414" i="36" s="1"/>
  <c r="J382" i="36"/>
  <c r="J398" i="36" s="1"/>
  <c r="I382" i="36"/>
  <c r="H382" i="36"/>
  <c r="H399" i="36" s="1"/>
  <c r="AK378" i="36"/>
  <c r="AL378" i="36" s="1"/>
  <c r="AM378" i="36" s="1"/>
  <c r="AN378" i="36" s="1"/>
  <c r="AO378" i="36" s="1"/>
  <c r="AP378" i="36" s="1"/>
  <c r="U378" i="36"/>
  <c r="V378" i="36" s="1"/>
  <c r="W378" i="36" s="1"/>
  <c r="X378" i="36" s="1"/>
  <c r="Y378" i="36" s="1"/>
  <c r="Z378" i="36" s="1"/>
  <c r="M367" i="36"/>
  <c r="L367" i="36"/>
  <c r="K367" i="36"/>
  <c r="G31" i="34"/>
  <c r="E31" i="34"/>
  <c r="S366" i="36"/>
  <c r="R366" i="36"/>
  <c r="Q366" i="36"/>
  <c r="P366" i="36"/>
  <c r="O366" i="36"/>
  <c r="N366" i="36"/>
  <c r="M365" i="36"/>
  <c r="AC365" i="36" s="1"/>
  <c r="N365" i="36" s="1"/>
  <c r="L365" i="36"/>
  <c r="K365" i="36"/>
  <c r="J365" i="36"/>
  <c r="I365" i="36"/>
  <c r="H365" i="36"/>
  <c r="M364" i="36"/>
  <c r="AC364" i="36" s="1"/>
  <c r="L364" i="36"/>
  <c r="K364" i="36"/>
  <c r="J364" i="36"/>
  <c r="I364" i="36"/>
  <c r="H364" i="36"/>
  <c r="M363" i="36"/>
  <c r="AC363" i="36" s="1"/>
  <c r="N363" i="36" s="1"/>
  <c r="L363" i="36"/>
  <c r="K363" i="36"/>
  <c r="J363" i="36"/>
  <c r="I363" i="36"/>
  <c r="H363" i="36"/>
  <c r="S354" i="36"/>
  <c r="R354" i="36"/>
  <c r="Q354" i="36"/>
  <c r="P354" i="36"/>
  <c r="O354" i="36"/>
  <c r="N354" i="36"/>
  <c r="N348" i="36" s="1"/>
  <c r="S353" i="36"/>
  <c r="R353" i="36"/>
  <c r="Q353" i="36"/>
  <c r="P353" i="36"/>
  <c r="O353" i="36"/>
  <c r="N353" i="36"/>
  <c r="N347" i="36" s="1"/>
  <c r="L353" i="36"/>
  <c r="J353" i="36"/>
  <c r="I353" i="36"/>
  <c r="S352" i="36"/>
  <c r="R352" i="36"/>
  <c r="Q352" i="36"/>
  <c r="P352" i="36"/>
  <c r="O352" i="36"/>
  <c r="N352" i="36"/>
  <c r="N346" i="36" s="1"/>
  <c r="L352" i="36"/>
  <c r="J352" i="36"/>
  <c r="I352" i="36"/>
  <c r="S351" i="36"/>
  <c r="R351" i="36"/>
  <c r="Q351" i="36"/>
  <c r="P351" i="36"/>
  <c r="O351" i="36"/>
  <c r="N351" i="36"/>
  <c r="N345" i="36" s="1"/>
  <c r="L351" i="36"/>
  <c r="J351" i="36"/>
  <c r="I351" i="36"/>
  <c r="S350" i="36"/>
  <c r="R350" i="36"/>
  <c r="Q350" i="36"/>
  <c r="P350" i="36"/>
  <c r="O350" i="36"/>
  <c r="N350" i="36"/>
  <c r="N344" i="36" s="1"/>
  <c r="AQ343" i="36"/>
  <c r="M343" i="36"/>
  <c r="M359" i="36" s="1"/>
  <c r="L343" i="36"/>
  <c r="K343" i="36"/>
  <c r="K355" i="36" s="1"/>
  <c r="J343" i="36"/>
  <c r="J375" i="36" s="1"/>
  <c r="I343" i="36"/>
  <c r="I358" i="36" s="1"/>
  <c r="H343" i="36"/>
  <c r="H360" i="36" s="1"/>
  <c r="M337" i="36"/>
  <c r="L337" i="36"/>
  <c r="K337" i="36"/>
  <c r="J337" i="36"/>
  <c r="I337" i="36"/>
  <c r="H337" i="36"/>
  <c r="K335" i="36"/>
  <c r="J335" i="36"/>
  <c r="I335" i="36"/>
  <c r="H335" i="36"/>
  <c r="K334" i="36"/>
  <c r="J334" i="36"/>
  <c r="I334" i="36"/>
  <c r="H334" i="36"/>
  <c r="K333" i="36"/>
  <c r="J333" i="36"/>
  <c r="I333" i="36"/>
  <c r="H333" i="36"/>
  <c r="K332" i="36"/>
  <c r="J332" i="36"/>
  <c r="I332" i="36"/>
  <c r="H332" i="36"/>
  <c r="K331" i="36"/>
  <c r="J331" i="36"/>
  <c r="I331" i="36"/>
  <c r="H331" i="36"/>
  <c r="K323" i="36"/>
  <c r="J323" i="36"/>
  <c r="I323" i="36"/>
  <c r="H323" i="36"/>
  <c r="K322" i="36"/>
  <c r="J322" i="36"/>
  <c r="I322" i="36"/>
  <c r="H322" i="36"/>
  <c r="K321" i="36"/>
  <c r="J321" i="36"/>
  <c r="I321" i="36"/>
  <c r="H321" i="36"/>
  <c r="K320" i="36"/>
  <c r="J320" i="36"/>
  <c r="I320" i="36"/>
  <c r="H320" i="36"/>
  <c r="K319" i="36"/>
  <c r="J319" i="36"/>
  <c r="H319" i="36"/>
  <c r="AK312" i="36"/>
  <c r="AL312" i="36" s="1"/>
  <c r="AM312" i="36" s="1"/>
  <c r="AN312" i="36" s="1"/>
  <c r="AO312" i="36" s="1"/>
  <c r="AP312" i="36" s="1"/>
  <c r="U312" i="36"/>
  <c r="V312" i="36" s="1"/>
  <c r="W312" i="36" s="1"/>
  <c r="X312" i="36" s="1"/>
  <c r="Y312" i="36" s="1"/>
  <c r="Z312" i="36" s="1"/>
  <c r="M311" i="36"/>
  <c r="L311" i="36"/>
  <c r="K301" i="36"/>
  <c r="J301" i="36"/>
  <c r="I301" i="36"/>
  <c r="G11" i="42" s="1"/>
  <c r="H301" i="36"/>
  <c r="K300" i="36"/>
  <c r="L300" i="36" s="1"/>
  <c r="M300" i="36" s="1"/>
  <c r="AC300" i="36" s="1"/>
  <c r="J300" i="36"/>
  <c r="I300" i="36"/>
  <c r="H300" i="36"/>
  <c r="K299" i="36"/>
  <c r="L299" i="36" s="1"/>
  <c r="M299" i="36" s="1"/>
  <c r="AC299" i="36" s="1"/>
  <c r="J299" i="36"/>
  <c r="I299" i="36"/>
  <c r="H299" i="36"/>
  <c r="K298" i="36"/>
  <c r="L298" i="36" s="1"/>
  <c r="M298" i="36" s="1"/>
  <c r="AC298" i="36" s="1"/>
  <c r="J298" i="36"/>
  <c r="I298" i="36"/>
  <c r="H298" i="36"/>
  <c r="K297" i="36"/>
  <c r="L297" i="36" s="1"/>
  <c r="M297" i="36" s="1"/>
  <c r="AC297" i="36" s="1"/>
  <c r="J297" i="36"/>
  <c r="I297" i="36"/>
  <c r="H297" i="36"/>
  <c r="K296" i="36"/>
  <c r="J296" i="36"/>
  <c r="I296" i="36"/>
  <c r="H296" i="36"/>
  <c r="S288" i="36"/>
  <c r="R288" i="36"/>
  <c r="Q288" i="36"/>
  <c r="P288" i="36"/>
  <c r="O288" i="36"/>
  <c r="N288" i="36"/>
  <c r="J288" i="36"/>
  <c r="I288" i="36"/>
  <c r="S287" i="36"/>
  <c r="R287" i="36"/>
  <c r="Q287" i="36"/>
  <c r="P287" i="36"/>
  <c r="O287" i="36"/>
  <c r="N287" i="36"/>
  <c r="J287" i="36"/>
  <c r="I287" i="36"/>
  <c r="S286" i="36"/>
  <c r="R286" i="36"/>
  <c r="Q286" i="36"/>
  <c r="P286" i="36"/>
  <c r="O286" i="36"/>
  <c r="N286" i="36"/>
  <c r="J286" i="36"/>
  <c r="I286" i="36"/>
  <c r="S285" i="36"/>
  <c r="R285" i="36"/>
  <c r="Q285" i="36"/>
  <c r="P285" i="36"/>
  <c r="O285" i="36"/>
  <c r="N285" i="36"/>
  <c r="J285" i="36"/>
  <c r="I285" i="36"/>
  <c r="S284" i="36"/>
  <c r="R284" i="36"/>
  <c r="Q284" i="36"/>
  <c r="P284" i="36"/>
  <c r="O284" i="36"/>
  <c r="N284" i="36"/>
  <c r="N278" i="36" s="1"/>
  <c r="J284" i="36"/>
  <c r="I284" i="36"/>
  <c r="K277" i="36"/>
  <c r="K309" i="36" s="1"/>
  <c r="J277" i="36"/>
  <c r="J309" i="36" s="1"/>
  <c r="I277" i="36"/>
  <c r="H277" i="36"/>
  <c r="H289" i="36" s="1"/>
  <c r="AK273" i="36"/>
  <c r="AL273" i="36" s="1"/>
  <c r="AM273" i="36" s="1"/>
  <c r="AN273" i="36" s="1"/>
  <c r="AO273" i="36" s="1"/>
  <c r="AP273" i="36" s="1"/>
  <c r="U273" i="36"/>
  <c r="V273" i="36" s="1"/>
  <c r="W273" i="36" s="1"/>
  <c r="X273" i="36" s="1"/>
  <c r="Y273" i="36" s="1"/>
  <c r="Z273" i="36" s="1"/>
  <c r="M272" i="36"/>
  <c r="L272" i="36"/>
  <c r="K262" i="36"/>
  <c r="J262" i="36"/>
  <c r="I262" i="36"/>
  <c r="G10" i="42" s="1"/>
  <c r="H262" i="36"/>
  <c r="F10" i="42" s="1"/>
  <c r="K261" i="36"/>
  <c r="J261" i="36"/>
  <c r="I261" i="36"/>
  <c r="H261" i="36"/>
  <c r="K260" i="36"/>
  <c r="L260" i="36" s="1"/>
  <c r="M260" i="36" s="1"/>
  <c r="AC260" i="36" s="1"/>
  <c r="J260" i="36"/>
  <c r="I260" i="36"/>
  <c r="H260" i="36"/>
  <c r="K259" i="36"/>
  <c r="L259" i="36" s="1"/>
  <c r="M259" i="36" s="1"/>
  <c r="AC259" i="36" s="1"/>
  <c r="J259" i="36"/>
  <c r="I259" i="36"/>
  <c r="H259" i="36"/>
  <c r="K258" i="36"/>
  <c r="L258" i="36" s="1"/>
  <c r="M258" i="36" s="1"/>
  <c r="J258" i="36"/>
  <c r="I258" i="36"/>
  <c r="H258" i="36"/>
  <c r="K257" i="36"/>
  <c r="J257" i="36"/>
  <c r="I257" i="36"/>
  <c r="H257" i="36"/>
  <c r="S249" i="36"/>
  <c r="R249" i="36"/>
  <c r="Q249" i="36"/>
  <c r="P249" i="36"/>
  <c r="O249" i="36"/>
  <c r="N249" i="36"/>
  <c r="N243" i="36" s="1"/>
  <c r="S248" i="36"/>
  <c r="R248" i="36"/>
  <c r="Q248" i="36"/>
  <c r="P248" i="36"/>
  <c r="O248" i="36"/>
  <c r="N248" i="36"/>
  <c r="J248" i="36"/>
  <c r="I248" i="36"/>
  <c r="S247" i="36"/>
  <c r="R247" i="36"/>
  <c r="Q247" i="36"/>
  <c r="P247" i="36"/>
  <c r="O247" i="36"/>
  <c r="N247" i="36"/>
  <c r="J247" i="36"/>
  <c r="I247" i="36"/>
  <c r="S246" i="36"/>
  <c r="R246" i="36"/>
  <c r="Q246" i="36"/>
  <c r="P246" i="36"/>
  <c r="O246" i="36"/>
  <c r="N246" i="36"/>
  <c r="N240" i="36" s="1"/>
  <c r="S245" i="36"/>
  <c r="R245" i="36"/>
  <c r="Q245" i="36"/>
  <c r="P245" i="36"/>
  <c r="O245" i="36"/>
  <c r="N245" i="36"/>
  <c r="N239" i="36" s="1"/>
  <c r="AQ238" i="36"/>
  <c r="AA238" i="36"/>
  <c r="K238" i="36"/>
  <c r="J238" i="36"/>
  <c r="I238" i="36"/>
  <c r="I253" i="36" s="1"/>
  <c r="H238" i="36"/>
  <c r="H250" i="36" s="1"/>
  <c r="AK234" i="36"/>
  <c r="AL234" i="36" s="1"/>
  <c r="AM234" i="36" s="1"/>
  <c r="AN234" i="36" s="1"/>
  <c r="AO234" i="36" s="1"/>
  <c r="AP234" i="36" s="1"/>
  <c r="U234" i="36"/>
  <c r="V234" i="36" s="1"/>
  <c r="W234" i="36" s="1"/>
  <c r="X234" i="36" s="1"/>
  <c r="Y234" i="36" s="1"/>
  <c r="Z234" i="36" s="1"/>
  <c r="M233" i="36"/>
  <c r="L233" i="36"/>
  <c r="K223" i="36"/>
  <c r="I9" i="42" s="1"/>
  <c r="J223" i="36"/>
  <c r="H9" i="42" s="1"/>
  <c r="I223" i="36"/>
  <c r="H223" i="36"/>
  <c r="J222" i="36"/>
  <c r="I222" i="36"/>
  <c r="H222" i="36"/>
  <c r="J221" i="36"/>
  <c r="I221" i="36"/>
  <c r="H221" i="36"/>
  <c r="J220" i="36"/>
  <c r="I220" i="36"/>
  <c r="H220" i="36"/>
  <c r="J219" i="36"/>
  <c r="I219" i="36"/>
  <c r="H219" i="36"/>
  <c r="J218" i="36"/>
  <c r="I218" i="36"/>
  <c r="H218" i="36"/>
  <c r="AH210" i="36"/>
  <c r="S210" i="36" s="1"/>
  <c r="R210" i="36"/>
  <c r="Q210" i="36"/>
  <c r="P210" i="36"/>
  <c r="O210" i="36"/>
  <c r="N210" i="36"/>
  <c r="J210" i="36"/>
  <c r="I210" i="36"/>
  <c r="AH209" i="36"/>
  <c r="S209" i="36" s="1"/>
  <c r="R209" i="36"/>
  <c r="Q209" i="36"/>
  <c r="P209" i="36"/>
  <c r="O209" i="36"/>
  <c r="N209" i="36"/>
  <c r="J209" i="36"/>
  <c r="I209" i="36"/>
  <c r="AH208" i="36"/>
  <c r="S208" i="36" s="1"/>
  <c r="R208" i="36"/>
  <c r="Q208" i="36"/>
  <c r="P208" i="36"/>
  <c r="O208" i="36"/>
  <c r="N208" i="36"/>
  <c r="J208" i="36"/>
  <c r="I208" i="36"/>
  <c r="AH207" i="36"/>
  <c r="S207" i="36" s="1"/>
  <c r="R207" i="36"/>
  <c r="Q207" i="36"/>
  <c r="P207" i="36"/>
  <c r="O207" i="36"/>
  <c r="N207" i="36"/>
  <c r="J207" i="36"/>
  <c r="I207" i="36"/>
  <c r="AH206" i="36"/>
  <c r="S206" i="36" s="1"/>
  <c r="R206" i="36"/>
  <c r="Q206" i="36"/>
  <c r="P206" i="36"/>
  <c r="O206" i="36"/>
  <c r="N206" i="36"/>
  <c r="J206" i="36"/>
  <c r="I206" i="36"/>
  <c r="AQ199" i="36"/>
  <c r="AA199" i="36"/>
  <c r="K199" i="36"/>
  <c r="K216" i="36" s="1"/>
  <c r="J199" i="36"/>
  <c r="J214" i="36" s="1"/>
  <c r="I199" i="36"/>
  <c r="I214" i="36" s="1"/>
  <c r="H199" i="36"/>
  <c r="H213" i="36" s="1"/>
  <c r="AK195" i="36"/>
  <c r="AL195" i="36" s="1"/>
  <c r="AM195" i="36" s="1"/>
  <c r="AN195" i="36" s="1"/>
  <c r="AO195" i="36" s="1"/>
  <c r="AP195" i="36" s="1"/>
  <c r="U195" i="36"/>
  <c r="V195" i="36" s="1"/>
  <c r="W195" i="36" s="1"/>
  <c r="X195" i="36" s="1"/>
  <c r="Y195" i="36" s="1"/>
  <c r="Z195" i="36" s="1"/>
  <c r="M184" i="36"/>
  <c r="L184" i="36"/>
  <c r="J8" i="42" s="1"/>
  <c r="K184" i="36"/>
  <c r="I8" i="42" s="1"/>
  <c r="J184" i="36"/>
  <c r="I184" i="36"/>
  <c r="S183" i="36"/>
  <c r="R183" i="36"/>
  <c r="Q183" i="36"/>
  <c r="P183" i="36"/>
  <c r="O183" i="36"/>
  <c r="N183" i="36"/>
  <c r="K183" i="36"/>
  <c r="J183" i="36"/>
  <c r="I183" i="36"/>
  <c r="M182" i="36"/>
  <c r="AC182" i="36" s="1"/>
  <c r="N182" i="36" s="1"/>
  <c r="L182" i="36"/>
  <c r="K182" i="36"/>
  <c r="J182" i="36"/>
  <c r="I182" i="36"/>
  <c r="M181" i="36"/>
  <c r="AC181" i="36" s="1"/>
  <c r="N181" i="36" s="1"/>
  <c r="L181" i="36"/>
  <c r="K181" i="36"/>
  <c r="J181" i="36"/>
  <c r="I181" i="36"/>
  <c r="M180" i="36"/>
  <c r="AC180" i="36" s="1"/>
  <c r="L180" i="36"/>
  <c r="K180" i="36"/>
  <c r="J180" i="36"/>
  <c r="I180" i="36"/>
  <c r="M179" i="36"/>
  <c r="AC179" i="36" s="1"/>
  <c r="N179" i="36" s="1"/>
  <c r="L179" i="36"/>
  <c r="K179" i="36"/>
  <c r="J179" i="36"/>
  <c r="I179" i="36"/>
  <c r="S171" i="36"/>
  <c r="R171" i="36"/>
  <c r="Q171" i="36"/>
  <c r="P171" i="36"/>
  <c r="O171" i="36"/>
  <c r="N171" i="36"/>
  <c r="N165" i="36" s="1"/>
  <c r="S170" i="36"/>
  <c r="R170" i="36"/>
  <c r="Q170" i="36"/>
  <c r="P170" i="36"/>
  <c r="O170" i="36"/>
  <c r="N170" i="36"/>
  <c r="N164" i="36" s="1"/>
  <c r="L170" i="36"/>
  <c r="S169" i="36"/>
  <c r="R169" i="36"/>
  <c r="Q169" i="36"/>
  <c r="P169" i="36"/>
  <c r="O169" i="36"/>
  <c r="N169" i="36"/>
  <c r="N163" i="36" s="1"/>
  <c r="L169" i="36"/>
  <c r="S168" i="36"/>
  <c r="R168" i="36"/>
  <c r="Q168" i="36"/>
  <c r="P168" i="36"/>
  <c r="O168" i="36"/>
  <c r="N168" i="36"/>
  <c r="N162" i="36" s="1"/>
  <c r="L168" i="36"/>
  <c r="J168" i="36"/>
  <c r="S167" i="36"/>
  <c r="R167" i="36"/>
  <c r="Q167" i="36"/>
  <c r="P167" i="36"/>
  <c r="O167" i="36"/>
  <c r="N167" i="36"/>
  <c r="N161" i="36" s="1"/>
  <c r="L167" i="36"/>
  <c r="AQ160" i="36"/>
  <c r="AA160" i="36"/>
  <c r="M160" i="36"/>
  <c r="M175" i="36" s="1"/>
  <c r="L160" i="36"/>
  <c r="L177" i="36" s="1"/>
  <c r="K160" i="36"/>
  <c r="K172" i="36" s="1"/>
  <c r="J160" i="36"/>
  <c r="J176" i="36" s="1"/>
  <c r="I160" i="36"/>
  <c r="I176" i="36" s="1"/>
  <c r="AK156" i="36"/>
  <c r="AL156" i="36" s="1"/>
  <c r="AM156" i="36" s="1"/>
  <c r="AN156" i="36" s="1"/>
  <c r="AO156" i="36" s="1"/>
  <c r="AP156" i="36" s="1"/>
  <c r="U156" i="36"/>
  <c r="V156" i="36" s="1"/>
  <c r="W156" i="36" s="1"/>
  <c r="X156" i="36" s="1"/>
  <c r="Y156" i="36" s="1"/>
  <c r="Z156" i="36" s="1"/>
  <c r="M145" i="36"/>
  <c r="K7" i="42" s="1"/>
  <c r="L145" i="36"/>
  <c r="J7" i="42" s="1"/>
  <c r="K145" i="36"/>
  <c r="I7" i="42" s="1"/>
  <c r="J145" i="36"/>
  <c r="H7" i="42" s="1"/>
  <c r="I145" i="36"/>
  <c r="G7" i="42" s="1"/>
  <c r="H145" i="36"/>
  <c r="F7" i="42" s="1"/>
  <c r="M144" i="36"/>
  <c r="AC144" i="36" s="1"/>
  <c r="L144" i="36"/>
  <c r="K144" i="36"/>
  <c r="J144" i="36"/>
  <c r="I144" i="36"/>
  <c r="H144" i="36"/>
  <c r="M143" i="36"/>
  <c r="AC143" i="36" s="1"/>
  <c r="N143" i="36" s="1"/>
  <c r="L143" i="36"/>
  <c r="K143" i="36"/>
  <c r="J143" i="36"/>
  <c r="I143" i="36"/>
  <c r="H143" i="36"/>
  <c r="M142" i="36"/>
  <c r="AC142" i="36" s="1"/>
  <c r="N142" i="36" s="1"/>
  <c r="L142" i="36"/>
  <c r="K142" i="36"/>
  <c r="J142" i="36"/>
  <c r="I142" i="36"/>
  <c r="H142" i="36"/>
  <c r="M141" i="36"/>
  <c r="AC141" i="36" s="1"/>
  <c r="N141" i="36" s="1"/>
  <c r="L141" i="36"/>
  <c r="K141" i="36"/>
  <c r="J141" i="36"/>
  <c r="I141" i="36"/>
  <c r="H141" i="36"/>
  <c r="M140" i="36"/>
  <c r="AC140" i="36" s="1"/>
  <c r="N140" i="36" s="1"/>
  <c r="L140" i="36"/>
  <c r="K140" i="36"/>
  <c r="J140" i="36"/>
  <c r="I140" i="36"/>
  <c r="H140" i="36"/>
  <c r="S132" i="36"/>
  <c r="R132" i="36"/>
  <c r="Q132" i="36"/>
  <c r="P132" i="36"/>
  <c r="O132" i="36"/>
  <c r="N132" i="36"/>
  <c r="N126" i="36" s="1"/>
  <c r="L132" i="36"/>
  <c r="J132" i="36"/>
  <c r="I132" i="36"/>
  <c r="S131" i="36"/>
  <c r="R131" i="36"/>
  <c r="Q131" i="36"/>
  <c r="P131" i="36"/>
  <c r="O131" i="36"/>
  <c r="N131" i="36"/>
  <c r="N125" i="36" s="1"/>
  <c r="L131" i="36"/>
  <c r="J131" i="36"/>
  <c r="I131" i="36"/>
  <c r="S130" i="36"/>
  <c r="R130" i="36"/>
  <c r="Q130" i="36"/>
  <c r="P130" i="36"/>
  <c r="O130" i="36"/>
  <c r="N130" i="36"/>
  <c r="N124" i="36" s="1"/>
  <c r="L130" i="36"/>
  <c r="J130" i="36"/>
  <c r="I130" i="36"/>
  <c r="S129" i="36"/>
  <c r="R129" i="36"/>
  <c r="Q129" i="36"/>
  <c r="P129" i="36"/>
  <c r="O129" i="36"/>
  <c r="N129" i="36"/>
  <c r="N123" i="36" s="1"/>
  <c r="L129" i="36"/>
  <c r="J129" i="36"/>
  <c r="I129" i="36"/>
  <c r="S128" i="36"/>
  <c r="R128" i="36"/>
  <c r="Q128" i="36"/>
  <c r="P128" i="36"/>
  <c r="O128" i="36"/>
  <c r="N128" i="36"/>
  <c r="N122" i="36" s="1"/>
  <c r="AQ121" i="36"/>
  <c r="AA121" i="36"/>
  <c r="M121" i="36"/>
  <c r="M133" i="36" s="1"/>
  <c r="L121" i="36"/>
  <c r="L153" i="36" s="1"/>
  <c r="K121" i="36"/>
  <c r="K133" i="36" s="1"/>
  <c r="J121" i="36"/>
  <c r="J133" i="36" s="1"/>
  <c r="I121" i="36"/>
  <c r="I136" i="36" s="1"/>
  <c r="H121" i="36"/>
  <c r="H135" i="36" s="1"/>
  <c r="AK117" i="36"/>
  <c r="AL117" i="36" s="1"/>
  <c r="AM117" i="36" s="1"/>
  <c r="AN117" i="36" s="1"/>
  <c r="AO117" i="36" s="1"/>
  <c r="AP117" i="36" s="1"/>
  <c r="U117" i="36"/>
  <c r="V117" i="36" s="1"/>
  <c r="W117" i="36" s="1"/>
  <c r="X117" i="36" s="1"/>
  <c r="Y117" i="36" s="1"/>
  <c r="Z117" i="36" s="1"/>
  <c r="M106" i="36"/>
  <c r="K6" i="42" s="1"/>
  <c r="L106" i="36"/>
  <c r="J6" i="42" s="1"/>
  <c r="K106" i="36"/>
  <c r="I6" i="42" s="1"/>
  <c r="J106" i="36"/>
  <c r="H6" i="42" s="1"/>
  <c r="I106" i="36"/>
  <c r="G6" i="42" s="1"/>
  <c r="H106" i="36"/>
  <c r="F6" i="42" s="1"/>
  <c r="M105" i="36"/>
  <c r="AC105" i="36" s="1"/>
  <c r="N105" i="36" s="1"/>
  <c r="AD105" i="36" s="1"/>
  <c r="O105" i="36" s="1"/>
  <c r="AE105" i="36" s="1"/>
  <c r="P105" i="36" s="1"/>
  <c r="AF105" i="36" s="1"/>
  <c r="Q105" i="36" s="1"/>
  <c r="AG105" i="36" s="1"/>
  <c r="R105" i="36" s="1"/>
  <c r="AH105" i="36" s="1"/>
  <c r="S105" i="36" s="1"/>
  <c r="L105" i="36"/>
  <c r="K105" i="36"/>
  <c r="J105" i="36"/>
  <c r="I105" i="36"/>
  <c r="H105" i="36"/>
  <c r="M104" i="36"/>
  <c r="AC104" i="36" s="1"/>
  <c r="N104" i="36" s="1"/>
  <c r="AD104" i="36" s="1"/>
  <c r="O104" i="36" s="1"/>
  <c r="AE104" i="36" s="1"/>
  <c r="P104" i="36" s="1"/>
  <c r="AF104" i="36" s="1"/>
  <c r="Q104" i="36" s="1"/>
  <c r="AG104" i="36" s="1"/>
  <c r="R104" i="36" s="1"/>
  <c r="AH104" i="36" s="1"/>
  <c r="S104" i="36" s="1"/>
  <c r="L104" i="36"/>
  <c r="K104" i="36"/>
  <c r="J104" i="36"/>
  <c r="I104" i="36"/>
  <c r="H104" i="36"/>
  <c r="M103" i="36"/>
  <c r="AC103" i="36" s="1"/>
  <c r="N103" i="36" s="1"/>
  <c r="AD103" i="36" s="1"/>
  <c r="O103" i="36" s="1"/>
  <c r="AE103" i="36" s="1"/>
  <c r="P103" i="36" s="1"/>
  <c r="AF103" i="36" s="1"/>
  <c r="Q103" i="36" s="1"/>
  <c r="AG103" i="36" s="1"/>
  <c r="R103" i="36" s="1"/>
  <c r="AH103" i="36" s="1"/>
  <c r="S103" i="36" s="1"/>
  <c r="L103" i="36"/>
  <c r="K103" i="36"/>
  <c r="J103" i="36"/>
  <c r="I103" i="36"/>
  <c r="H103" i="36"/>
  <c r="M102" i="36"/>
  <c r="AC102" i="36" s="1"/>
  <c r="N102" i="36" s="1"/>
  <c r="AD102" i="36" s="1"/>
  <c r="O102" i="36" s="1"/>
  <c r="AE102" i="36" s="1"/>
  <c r="P102" i="36" s="1"/>
  <c r="AF102" i="36" s="1"/>
  <c r="Q102" i="36" s="1"/>
  <c r="AG102" i="36" s="1"/>
  <c r="R102" i="36" s="1"/>
  <c r="AH102" i="36" s="1"/>
  <c r="S102" i="36" s="1"/>
  <c r="L102" i="36"/>
  <c r="K102" i="36"/>
  <c r="J102" i="36"/>
  <c r="I102" i="36"/>
  <c r="H102" i="36"/>
  <c r="M101" i="36"/>
  <c r="AC101" i="36" s="1"/>
  <c r="N101" i="36" s="1"/>
  <c r="AD101" i="36" s="1"/>
  <c r="O101" i="36" s="1"/>
  <c r="AE101" i="36" s="1"/>
  <c r="P101" i="36" s="1"/>
  <c r="AF101" i="36" s="1"/>
  <c r="Q101" i="36" s="1"/>
  <c r="AG101" i="36" s="1"/>
  <c r="R101" i="36" s="1"/>
  <c r="AH101" i="36" s="1"/>
  <c r="S101" i="36" s="1"/>
  <c r="L101" i="36"/>
  <c r="K101" i="36"/>
  <c r="J101" i="36"/>
  <c r="I101" i="36"/>
  <c r="H101" i="36"/>
  <c r="S93" i="36"/>
  <c r="R93" i="36"/>
  <c r="Q93" i="36"/>
  <c r="P93" i="36"/>
  <c r="O93" i="36"/>
  <c r="N93" i="36"/>
  <c r="N87" i="36" s="1"/>
  <c r="L93" i="36"/>
  <c r="J93" i="36"/>
  <c r="I93" i="36"/>
  <c r="S92" i="36"/>
  <c r="R92" i="36"/>
  <c r="Q92" i="36"/>
  <c r="P92" i="36"/>
  <c r="O92" i="36"/>
  <c r="N92" i="36"/>
  <c r="N86" i="36" s="1"/>
  <c r="L92" i="36"/>
  <c r="J92" i="36"/>
  <c r="I92" i="36"/>
  <c r="S91" i="36"/>
  <c r="R91" i="36"/>
  <c r="Q91" i="36"/>
  <c r="P91" i="36"/>
  <c r="O91" i="36"/>
  <c r="N91" i="36"/>
  <c r="N85" i="36" s="1"/>
  <c r="L91" i="36"/>
  <c r="J91" i="36"/>
  <c r="I91" i="36"/>
  <c r="S90" i="36"/>
  <c r="R90" i="36"/>
  <c r="Q90" i="36"/>
  <c r="P90" i="36"/>
  <c r="O90" i="36"/>
  <c r="N90" i="36"/>
  <c r="N84" i="36" s="1"/>
  <c r="L90" i="36"/>
  <c r="J90" i="36"/>
  <c r="I90" i="36"/>
  <c r="S89" i="36"/>
  <c r="R89" i="36"/>
  <c r="Q89" i="36"/>
  <c r="P89" i="36"/>
  <c r="O89" i="36"/>
  <c r="N89" i="36"/>
  <c r="N83" i="36" s="1"/>
  <c r="L89" i="36"/>
  <c r="J89" i="36"/>
  <c r="I89" i="36"/>
  <c r="AQ82" i="36"/>
  <c r="AA82" i="36"/>
  <c r="M82" i="36"/>
  <c r="M98" i="36" s="1"/>
  <c r="L82" i="36"/>
  <c r="L114" i="36" s="1"/>
  <c r="K82" i="36"/>
  <c r="K94" i="36" s="1"/>
  <c r="J82" i="36"/>
  <c r="J114" i="36" s="1"/>
  <c r="I82" i="36"/>
  <c r="I114" i="36" s="1"/>
  <c r="H82" i="36"/>
  <c r="M76" i="36"/>
  <c r="L76" i="36"/>
  <c r="K76" i="36"/>
  <c r="J76" i="36"/>
  <c r="I76" i="36"/>
  <c r="H76" i="36"/>
  <c r="K74" i="36"/>
  <c r="J74" i="36"/>
  <c r="I74" i="36"/>
  <c r="H74" i="36"/>
  <c r="K73" i="36"/>
  <c r="J73" i="36"/>
  <c r="I73" i="36"/>
  <c r="H73" i="36"/>
  <c r="K72" i="36"/>
  <c r="J72" i="36"/>
  <c r="I72" i="36"/>
  <c r="H72" i="36"/>
  <c r="K71" i="36"/>
  <c r="J71" i="36"/>
  <c r="I71" i="36"/>
  <c r="H71" i="36"/>
  <c r="K70" i="36"/>
  <c r="J70" i="36"/>
  <c r="I70" i="36"/>
  <c r="H70" i="36"/>
  <c r="K62" i="36"/>
  <c r="J62" i="36"/>
  <c r="I62" i="36"/>
  <c r="H62" i="36"/>
  <c r="K61" i="36"/>
  <c r="J61" i="36"/>
  <c r="I61" i="36"/>
  <c r="H61" i="36"/>
  <c r="K60" i="36"/>
  <c r="J60" i="36"/>
  <c r="I60" i="36"/>
  <c r="H60" i="36"/>
  <c r="K59" i="36"/>
  <c r="J59" i="36"/>
  <c r="I59" i="36"/>
  <c r="H59" i="36"/>
  <c r="K58" i="36"/>
  <c r="J58" i="36"/>
  <c r="I58" i="36"/>
  <c r="H58" i="36"/>
  <c r="B8" i="15"/>
  <c r="B13" i="15"/>
  <c r="B20" i="15"/>
  <c r="B25" i="15"/>
  <c r="B31" i="15"/>
  <c r="B35" i="15"/>
  <c r="B38" i="15"/>
  <c r="H3" i="26"/>
  <c r="O3" i="26"/>
  <c r="H4" i="26"/>
  <c r="O4" i="26"/>
  <c r="H5" i="26"/>
  <c r="O5" i="26"/>
  <c r="H6" i="26"/>
  <c r="O6" i="26"/>
  <c r="H7" i="26"/>
  <c r="O7" i="26"/>
  <c r="H8" i="26"/>
  <c r="O8" i="26"/>
  <c r="H9" i="26"/>
  <c r="O9" i="26"/>
  <c r="H10" i="26"/>
  <c r="O10" i="26"/>
  <c r="H11" i="26"/>
  <c r="O11" i="26"/>
  <c r="H12" i="26"/>
  <c r="O12" i="26"/>
  <c r="H13" i="26"/>
  <c r="O13" i="26"/>
  <c r="H14" i="26"/>
  <c r="O14" i="26"/>
  <c r="H15" i="26"/>
  <c r="O15" i="26"/>
  <c r="H16" i="26"/>
  <c r="O16" i="26"/>
  <c r="H17" i="26"/>
  <c r="O17" i="26"/>
  <c r="H18" i="26"/>
  <c r="H19" i="26"/>
  <c r="O19" i="26"/>
  <c r="H20" i="26"/>
  <c r="O20" i="26"/>
  <c r="H21" i="26"/>
  <c r="O21" i="26"/>
  <c r="H22" i="26"/>
  <c r="O22" i="26"/>
  <c r="H23" i="26"/>
  <c r="O23" i="26"/>
  <c r="H24" i="26"/>
  <c r="O24" i="26"/>
  <c r="H25" i="26"/>
  <c r="O25" i="26"/>
  <c r="H26" i="26"/>
  <c r="O26" i="26"/>
  <c r="H27" i="26"/>
  <c r="O27" i="26"/>
  <c r="H28" i="26"/>
  <c r="O28" i="26"/>
  <c r="H29" i="26"/>
  <c r="O29" i="26"/>
  <c r="H30" i="26"/>
  <c r="O30" i="26"/>
  <c r="H31" i="26"/>
  <c r="O31" i="26"/>
  <c r="H32" i="26"/>
  <c r="O32" i="26"/>
  <c r="H33" i="26"/>
  <c r="O33" i="26"/>
  <c r="H34" i="26"/>
  <c r="O34" i="26"/>
  <c r="H35" i="26"/>
  <c r="O35" i="26"/>
  <c r="H36" i="26"/>
  <c r="O36" i="26"/>
  <c r="H37" i="26"/>
  <c r="O37" i="26"/>
  <c r="H38" i="26"/>
  <c r="O38" i="26"/>
  <c r="H39" i="26"/>
  <c r="O39" i="26"/>
  <c r="H40" i="26"/>
  <c r="O40" i="26"/>
  <c r="H41" i="26"/>
  <c r="O41" i="26"/>
  <c r="H42" i="26"/>
  <c r="O42" i="26"/>
  <c r="H43" i="26"/>
  <c r="O43" i="26"/>
  <c r="H44" i="26"/>
  <c r="O44" i="26"/>
  <c r="H45" i="26"/>
  <c r="O45" i="26"/>
  <c r="H46" i="26"/>
  <c r="O46" i="26"/>
  <c r="H47" i="26"/>
  <c r="O47" i="26"/>
  <c r="H48" i="26"/>
  <c r="O48" i="26"/>
  <c r="H49" i="26"/>
  <c r="O49" i="26"/>
  <c r="H50" i="26"/>
  <c r="O50" i="26"/>
  <c r="H51" i="26"/>
  <c r="O51" i="26"/>
  <c r="H52" i="26"/>
  <c r="O52" i="26"/>
  <c r="H53" i="26"/>
  <c r="O53" i="26"/>
  <c r="H54" i="26"/>
  <c r="O54" i="26"/>
  <c r="H55" i="26"/>
  <c r="O55" i="26"/>
  <c r="H56" i="26"/>
  <c r="O56" i="26"/>
  <c r="H57" i="26"/>
  <c r="O57" i="26"/>
  <c r="H58" i="26"/>
  <c r="O58" i="26"/>
  <c r="H59" i="26"/>
  <c r="O59" i="26"/>
  <c r="H60" i="26"/>
  <c r="O60" i="26"/>
  <c r="H61" i="26"/>
  <c r="O61" i="26"/>
  <c r="H62" i="26"/>
  <c r="O62" i="26"/>
  <c r="H63" i="26"/>
  <c r="O63" i="26"/>
  <c r="H64" i="26"/>
  <c r="O64" i="26"/>
  <c r="H65" i="26"/>
  <c r="O65" i="26"/>
  <c r="H66" i="26"/>
  <c r="O66" i="26"/>
  <c r="H67" i="26"/>
  <c r="O67" i="26"/>
  <c r="H68" i="26"/>
  <c r="O68" i="26"/>
  <c r="H69" i="26"/>
  <c r="O69" i="26"/>
  <c r="H70" i="26"/>
  <c r="O70" i="26"/>
  <c r="H71" i="26"/>
  <c r="O71" i="26"/>
  <c r="H72" i="26"/>
  <c r="O72" i="26"/>
  <c r="H73" i="26"/>
  <c r="O73" i="26"/>
  <c r="H74" i="26"/>
  <c r="O74" i="26"/>
  <c r="H75" i="26"/>
  <c r="O75" i="26"/>
  <c r="H76" i="26"/>
  <c r="O76" i="26"/>
  <c r="H77" i="26"/>
  <c r="O77" i="26"/>
  <c r="H78" i="26"/>
  <c r="O78" i="26"/>
  <c r="H79" i="26"/>
  <c r="O79" i="26"/>
  <c r="H80" i="26"/>
  <c r="O80" i="26"/>
  <c r="H81" i="26"/>
  <c r="O81" i="26"/>
  <c r="H82" i="26"/>
  <c r="O82" i="26"/>
  <c r="H83" i="26"/>
  <c r="O83" i="26"/>
  <c r="H84" i="26"/>
  <c r="O84" i="26"/>
  <c r="H85" i="26"/>
  <c r="O85" i="26"/>
  <c r="H86" i="26"/>
  <c r="O86" i="26"/>
  <c r="H119" i="26"/>
  <c r="H87" i="26"/>
  <c r="C88" i="26"/>
  <c r="C89" i="26" s="1"/>
  <c r="C90" i="26" s="1"/>
  <c r="C91" i="26" s="1"/>
  <c r="C92" i="26" s="1"/>
  <c r="C93" i="26" s="1"/>
  <c r="C94" i="26" s="1"/>
  <c r="H88" i="26"/>
  <c r="H89" i="26"/>
  <c r="H90" i="26"/>
  <c r="H91" i="26"/>
  <c r="H92" i="26"/>
  <c r="H93" i="26"/>
  <c r="H94" i="26"/>
  <c r="H95" i="26"/>
  <c r="O95" i="26"/>
  <c r="H96" i="26"/>
  <c r="O96" i="26"/>
  <c r="H97" i="26"/>
  <c r="O97" i="26"/>
  <c r="H98" i="26"/>
  <c r="C99" i="26"/>
  <c r="H99" i="26"/>
  <c r="O99" i="26"/>
  <c r="H100" i="26"/>
  <c r="O100" i="26"/>
  <c r="H101" i="26"/>
  <c r="O101" i="26"/>
  <c r="H102" i="26"/>
  <c r="O102" i="26"/>
  <c r="H103" i="26"/>
  <c r="O103" i="26"/>
  <c r="H104" i="26"/>
  <c r="O104" i="26"/>
  <c r="H105" i="26"/>
  <c r="O105" i="26"/>
  <c r="H106" i="26"/>
  <c r="O106" i="26"/>
  <c r="H107" i="26"/>
  <c r="O107" i="26"/>
  <c r="H108" i="26"/>
  <c r="O108" i="26"/>
  <c r="H109" i="26"/>
  <c r="O109" i="26"/>
  <c r="H110" i="26"/>
  <c r="O110" i="26"/>
  <c r="H111" i="26"/>
  <c r="O111" i="26"/>
  <c r="H112" i="26"/>
  <c r="H113" i="26"/>
  <c r="O113" i="26"/>
  <c r="H114" i="26"/>
  <c r="O114" i="26"/>
  <c r="H115" i="26"/>
  <c r="O115" i="26"/>
  <c r="H117" i="26"/>
  <c r="H118" i="26"/>
  <c r="P11" i="25"/>
  <c r="Q11" i="25" s="1"/>
  <c r="R11" i="25" s="1"/>
  <c r="S11" i="25" s="1"/>
  <c r="T11" i="25" s="1"/>
  <c r="U11" i="25" s="1"/>
  <c r="H11" i="4"/>
  <c r="I11" i="4"/>
  <c r="J11" i="4"/>
  <c r="K11" i="4"/>
  <c r="N11" i="4"/>
  <c r="O11" i="4"/>
  <c r="P11" i="4"/>
  <c r="Q11" i="4"/>
  <c r="R11" i="4"/>
  <c r="S11" i="4"/>
  <c r="H12" i="4"/>
  <c r="H18" i="4" s="1"/>
  <c r="I12" i="4"/>
  <c r="I18" i="4" s="1"/>
  <c r="J12" i="4"/>
  <c r="J18" i="4" s="1"/>
  <c r="K12" i="4"/>
  <c r="K18" i="4" s="1"/>
  <c r="N12" i="4"/>
  <c r="O12" i="4"/>
  <c r="P12" i="4"/>
  <c r="Q12" i="4"/>
  <c r="R12" i="4"/>
  <c r="S12" i="4"/>
  <c r="H13" i="4"/>
  <c r="H19" i="4" s="1"/>
  <c r="I13" i="4"/>
  <c r="I19" i="4" s="1"/>
  <c r="J13" i="4"/>
  <c r="J19" i="4" s="1"/>
  <c r="K13" i="4"/>
  <c r="K19" i="4" s="1"/>
  <c r="N13" i="4"/>
  <c r="O13" i="4"/>
  <c r="P13" i="4"/>
  <c r="Q13" i="4"/>
  <c r="R13" i="4"/>
  <c r="S13" i="4"/>
  <c r="H14" i="4"/>
  <c r="H20" i="4" s="1"/>
  <c r="I14" i="4"/>
  <c r="I20" i="4" s="1"/>
  <c r="J14" i="4"/>
  <c r="J20" i="4" s="1"/>
  <c r="K14" i="4"/>
  <c r="K20" i="4" s="1"/>
  <c r="N14" i="4"/>
  <c r="O14" i="4"/>
  <c r="P14" i="4"/>
  <c r="Q14" i="4"/>
  <c r="R14" i="4"/>
  <c r="S14" i="4"/>
  <c r="H15" i="4"/>
  <c r="H21" i="4" s="1"/>
  <c r="I15" i="4"/>
  <c r="I21" i="4" s="1"/>
  <c r="J15" i="4"/>
  <c r="J21" i="4" s="1"/>
  <c r="K15" i="4"/>
  <c r="K21" i="4" s="1"/>
  <c r="N15" i="4"/>
  <c r="O15" i="4"/>
  <c r="P15" i="4"/>
  <c r="Q15" i="4"/>
  <c r="R15" i="4"/>
  <c r="S15" i="4"/>
  <c r="H23" i="4"/>
  <c r="I23" i="4"/>
  <c r="I22" i="4" s="1"/>
  <c r="J23" i="4"/>
  <c r="J22" i="4" s="1"/>
  <c r="N23" i="4"/>
  <c r="O23" i="4"/>
  <c r="P23" i="4"/>
  <c r="Q23" i="4"/>
  <c r="R23" i="4"/>
  <c r="S23" i="4"/>
  <c r="N24" i="4"/>
  <c r="O24" i="4"/>
  <c r="P24" i="4"/>
  <c r="Q24" i="4"/>
  <c r="R24" i="4"/>
  <c r="S24" i="4"/>
  <c r="N25" i="4"/>
  <c r="O25" i="4"/>
  <c r="P25" i="4"/>
  <c r="Q25" i="4"/>
  <c r="R25" i="4"/>
  <c r="S25" i="4"/>
  <c r="N26" i="4"/>
  <c r="O26" i="4"/>
  <c r="P26" i="4"/>
  <c r="Q26" i="4"/>
  <c r="R26" i="4"/>
  <c r="S26" i="4"/>
  <c r="N27" i="4"/>
  <c r="O27" i="4"/>
  <c r="P27" i="4"/>
  <c r="Q27" i="4"/>
  <c r="R27" i="4"/>
  <c r="S27" i="4"/>
  <c r="H34" i="4"/>
  <c r="I34" i="4"/>
  <c r="J34" i="4"/>
  <c r="K34" i="4"/>
  <c r="H38" i="4"/>
  <c r="H39" i="4" s="1"/>
  <c r="I38" i="4"/>
  <c r="I39" i="4" s="1"/>
  <c r="J38" i="4"/>
  <c r="J63" i="5" s="1"/>
  <c r="H43" i="4"/>
  <c r="I43" i="4"/>
  <c r="J43" i="4"/>
  <c r="K43" i="4"/>
  <c r="H50" i="4"/>
  <c r="I50" i="4"/>
  <c r="J50" i="4"/>
  <c r="K50" i="4"/>
  <c r="L50" i="4" s="1"/>
  <c r="M50" i="4" s="1"/>
  <c r="M44" i="4" s="1"/>
  <c r="H51" i="4"/>
  <c r="I51" i="4"/>
  <c r="J51" i="4"/>
  <c r="K51" i="4"/>
  <c r="H52" i="4"/>
  <c r="I52" i="4"/>
  <c r="J52" i="4"/>
  <c r="K52" i="4"/>
  <c r="H53" i="4"/>
  <c r="I53" i="4"/>
  <c r="J53" i="4"/>
  <c r="K53" i="4"/>
  <c r="I54" i="4"/>
  <c r="J54" i="4"/>
  <c r="K54" i="4"/>
  <c r="I55" i="4"/>
  <c r="I62" i="4" s="1"/>
  <c r="I63" i="4" s="1"/>
  <c r="J55" i="4"/>
  <c r="J62" i="4" s="1"/>
  <c r="J63" i="4" s="1"/>
  <c r="K55" i="4"/>
  <c r="H60" i="4"/>
  <c r="H67" i="4"/>
  <c r="I67" i="4"/>
  <c r="J67" i="4"/>
  <c r="K67" i="4"/>
  <c r="H74" i="4"/>
  <c r="I74" i="4"/>
  <c r="J74" i="4"/>
  <c r="K74" i="4"/>
  <c r="L74" i="4" s="1"/>
  <c r="H75" i="4"/>
  <c r="I75" i="4"/>
  <c r="J75" i="4"/>
  <c r="K75" i="4"/>
  <c r="H76" i="4"/>
  <c r="I76" i="4"/>
  <c r="J76" i="4"/>
  <c r="K76" i="4"/>
  <c r="H77" i="4"/>
  <c r="I77" i="4"/>
  <c r="J77" i="4"/>
  <c r="K77" i="4"/>
  <c r="H78" i="4"/>
  <c r="I78" i="4"/>
  <c r="J78" i="4"/>
  <c r="K78" i="4"/>
  <c r="H79" i="4"/>
  <c r="I79" i="4"/>
  <c r="J79" i="4"/>
  <c r="K79" i="4"/>
  <c r="H91" i="4"/>
  <c r="I91" i="4"/>
  <c r="J91" i="4"/>
  <c r="J153" i="4" s="1"/>
  <c r="J177" i="4" s="1"/>
  <c r="K91" i="4"/>
  <c r="O177" i="4" s="1"/>
  <c r="P177" i="4" s="1"/>
  <c r="Q177" i="4" s="1"/>
  <c r="R177" i="4" s="1"/>
  <c r="H93" i="4"/>
  <c r="I93" i="4"/>
  <c r="J93" i="4"/>
  <c r="K93" i="4"/>
  <c r="H95" i="4"/>
  <c r="I95" i="4"/>
  <c r="J95" i="4"/>
  <c r="K95" i="4"/>
  <c r="H97" i="4"/>
  <c r="I97" i="4"/>
  <c r="J97" i="4"/>
  <c r="K97" i="4"/>
  <c r="H102" i="4"/>
  <c r="N111" i="4"/>
  <c r="O111" i="4" s="1"/>
  <c r="P111" i="4" s="1"/>
  <c r="Q111" i="4" s="1"/>
  <c r="R111" i="4" s="1"/>
  <c r="S111" i="4" s="1"/>
  <c r="N121" i="4"/>
  <c r="O121" i="4"/>
  <c r="P121" i="4"/>
  <c r="Q121" i="4"/>
  <c r="R121" i="4"/>
  <c r="S121" i="4"/>
  <c r="H123" i="4"/>
  <c r="I123" i="4"/>
  <c r="J123" i="4"/>
  <c r="K123" i="4"/>
  <c r="H129" i="4"/>
  <c r="I129" i="4"/>
  <c r="J129" i="4"/>
  <c r="K129" i="4"/>
  <c r="H136" i="4"/>
  <c r="I136" i="4"/>
  <c r="J136" i="4"/>
  <c r="K136" i="4"/>
  <c r="H143" i="4"/>
  <c r="I143" i="4"/>
  <c r="J143" i="4"/>
  <c r="K143" i="4"/>
  <c r="I151" i="4"/>
  <c r="J151" i="4"/>
  <c r="I152" i="4"/>
  <c r="I173" i="4" s="1"/>
  <c r="J152" i="4"/>
  <c r="K156" i="4"/>
  <c r="H161" i="4"/>
  <c r="H166" i="4" s="1"/>
  <c r="I161" i="4"/>
  <c r="J161" i="4"/>
  <c r="L164" i="4" s="1"/>
  <c r="K161" i="4"/>
  <c r="H179" i="4"/>
  <c r="I179" i="4"/>
  <c r="J179" i="4"/>
  <c r="K179" i="4"/>
  <c r="H15" i="3"/>
  <c r="H95" i="3" s="1"/>
  <c r="I15" i="3"/>
  <c r="J15" i="3"/>
  <c r="K15" i="3"/>
  <c r="K119" i="3" s="1"/>
  <c r="H25" i="3"/>
  <c r="I25" i="3"/>
  <c r="I145" i="3" s="1"/>
  <c r="J25" i="3"/>
  <c r="J169" i="3" s="1"/>
  <c r="H39" i="3"/>
  <c r="H40" i="3"/>
  <c r="I40" i="3"/>
  <c r="J40" i="3"/>
  <c r="K40" i="3"/>
  <c r="H41" i="3"/>
  <c r="I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K45" i="3"/>
  <c r="K51" i="3" s="1"/>
  <c r="L51" i="3" s="1"/>
  <c r="H56" i="3"/>
  <c r="H57" i="3" s="1"/>
  <c r="I56" i="3"/>
  <c r="I57" i="3" s="1"/>
  <c r="J56" i="3"/>
  <c r="J57" i="3" s="1"/>
  <c r="K56" i="3"/>
  <c r="K57" i="3" s="1"/>
  <c r="AK61" i="3"/>
  <c r="AL61" i="3" s="1"/>
  <c r="AM61" i="3" s="1"/>
  <c r="AN61" i="3" s="1"/>
  <c r="AO61" i="3" s="1"/>
  <c r="AP61" i="3" s="1"/>
  <c r="I62" i="3"/>
  <c r="I64" i="3" s="1"/>
  <c r="I65" i="3" s="1"/>
  <c r="J62" i="3"/>
  <c r="J64" i="3" s="1"/>
  <c r="J65" i="3" s="1"/>
  <c r="H64" i="3"/>
  <c r="H65" i="3" s="1"/>
  <c r="K64" i="3"/>
  <c r="K65" i="3" s="1"/>
  <c r="U77" i="3"/>
  <c r="V77" i="3" s="1"/>
  <c r="W77" i="3" s="1"/>
  <c r="X77" i="3" s="1"/>
  <c r="Y77" i="3" s="1"/>
  <c r="Z77" i="3" s="1"/>
  <c r="I78" i="3"/>
  <c r="I80" i="3" s="1"/>
  <c r="I81" i="3" s="1"/>
  <c r="J78" i="3"/>
  <c r="J80" i="3" s="1"/>
  <c r="J81" i="3" s="1"/>
  <c r="H80" i="3"/>
  <c r="H81" i="3" s="1"/>
  <c r="K80" i="3"/>
  <c r="K81" i="3" s="1"/>
  <c r="N85" i="3"/>
  <c r="O85" i="3" s="1"/>
  <c r="P85" i="3" s="1"/>
  <c r="I86" i="3"/>
  <c r="J86" i="3"/>
  <c r="H87" i="3"/>
  <c r="H88" i="3" s="1"/>
  <c r="H89" i="3" s="1"/>
  <c r="I87" i="3"/>
  <c r="J87" i="3"/>
  <c r="K87" i="3"/>
  <c r="K88" i="3" s="1"/>
  <c r="K89" i="3" s="1"/>
  <c r="N117" i="3"/>
  <c r="O117" i="3"/>
  <c r="P117" i="3"/>
  <c r="Q117" i="3"/>
  <c r="R117" i="3"/>
  <c r="S117" i="3"/>
  <c r="H129" i="3"/>
  <c r="H131" i="3" s="1"/>
  <c r="E99" i="34" s="1"/>
  <c r="I129" i="3"/>
  <c r="I131" i="3" s="1"/>
  <c r="J129" i="3"/>
  <c r="J131" i="3" s="1"/>
  <c r="K129" i="3"/>
  <c r="K131" i="3" s="1"/>
  <c r="H148" i="3"/>
  <c r="I148" i="3"/>
  <c r="J148" i="3"/>
  <c r="K148" i="3"/>
  <c r="H157" i="3"/>
  <c r="I157" i="3"/>
  <c r="J157" i="3"/>
  <c r="K157" i="3"/>
  <c r="H174" i="3"/>
  <c r="H56" i="1"/>
  <c r="I56" i="1"/>
  <c r="J56" i="1"/>
  <c r="K56" i="1"/>
  <c r="M56" i="1"/>
  <c r="N56" i="1"/>
  <c r="O56" i="1"/>
  <c r="P56" i="1"/>
  <c r="Q56" i="1"/>
  <c r="R56" i="1"/>
  <c r="H57" i="1"/>
  <c r="I57" i="1"/>
  <c r="J57" i="1"/>
  <c r="K57" i="1"/>
  <c r="M57" i="1"/>
  <c r="N57" i="1"/>
  <c r="O57" i="1"/>
  <c r="P57" i="1"/>
  <c r="Q57" i="1"/>
  <c r="R57" i="1"/>
  <c r="H58" i="1"/>
  <c r="I58" i="1"/>
  <c r="J58" i="1"/>
  <c r="K58" i="1"/>
  <c r="M58" i="1"/>
  <c r="N58" i="1"/>
  <c r="O58" i="1"/>
  <c r="P58" i="1"/>
  <c r="Q58" i="1"/>
  <c r="R58" i="1"/>
  <c r="H59" i="1"/>
  <c r="I59" i="1"/>
  <c r="J59" i="1"/>
  <c r="K59" i="1"/>
  <c r="M59" i="1"/>
  <c r="N59" i="1"/>
  <c r="O59" i="1"/>
  <c r="P59" i="1"/>
  <c r="Q59" i="1"/>
  <c r="R59" i="1"/>
  <c r="H60" i="1"/>
  <c r="I60" i="1"/>
  <c r="J60" i="1"/>
  <c r="K60" i="1"/>
  <c r="M60" i="1"/>
  <c r="N60" i="1"/>
  <c r="O60" i="1"/>
  <c r="P60" i="1"/>
  <c r="Q60" i="1"/>
  <c r="R60" i="1"/>
  <c r="H68" i="1"/>
  <c r="I68" i="1"/>
  <c r="J68" i="1"/>
  <c r="K68" i="1"/>
  <c r="M68" i="1"/>
  <c r="N68" i="1"/>
  <c r="O68" i="1"/>
  <c r="P68" i="1"/>
  <c r="Q68" i="1"/>
  <c r="R68" i="1"/>
  <c r="H69" i="1"/>
  <c r="I69" i="1"/>
  <c r="J69" i="1"/>
  <c r="K69" i="1"/>
  <c r="M69" i="1"/>
  <c r="N69" i="1"/>
  <c r="O69" i="1"/>
  <c r="P69" i="1"/>
  <c r="Q69" i="1"/>
  <c r="R69" i="1"/>
  <c r="H70" i="1"/>
  <c r="I70" i="1"/>
  <c r="J70" i="1"/>
  <c r="K70" i="1"/>
  <c r="M70" i="1"/>
  <c r="N70" i="1"/>
  <c r="O70" i="1"/>
  <c r="P70" i="1"/>
  <c r="Q70" i="1"/>
  <c r="R70" i="1"/>
  <c r="H71" i="1"/>
  <c r="I71" i="1"/>
  <c r="J71" i="1"/>
  <c r="K71" i="1"/>
  <c r="M71" i="1"/>
  <c r="N71" i="1"/>
  <c r="O71" i="1"/>
  <c r="P71" i="1"/>
  <c r="Q71" i="1"/>
  <c r="R71" i="1"/>
  <c r="H72" i="1"/>
  <c r="I72" i="1"/>
  <c r="J72" i="1"/>
  <c r="K72" i="1"/>
  <c r="M72" i="1"/>
  <c r="N72" i="1"/>
  <c r="O72" i="1"/>
  <c r="P72" i="1"/>
  <c r="Q72" i="1"/>
  <c r="R72" i="1"/>
  <c r="H74" i="1"/>
  <c r="I74" i="1"/>
  <c r="J74" i="1"/>
  <c r="K74" i="1"/>
  <c r="H80" i="1"/>
  <c r="I80" i="1"/>
  <c r="J80" i="1"/>
  <c r="K80" i="1"/>
  <c r="Z80" i="1"/>
  <c r="AH80" i="1"/>
  <c r="AP80" i="1"/>
  <c r="L81" i="1"/>
  <c r="L82" i="1"/>
  <c r="L83" i="1"/>
  <c r="L84" i="1"/>
  <c r="L85" i="1"/>
  <c r="H87" i="1"/>
  <c r="I87" i="1"/>
  <c r="J87" i="1"/>
  <c r="K87" i="1"/>
  <c r="L87" i="1" s="1"/>
  <c r="H88" i="1"/>
  <c r="I88" i="1"/>
  <c r="J88" i="1"/>
  <c r="K88" i="1"/>
  <c r="L88" i="1" s="1"/>
  <c r="H89" i="1"/>
  <c r="I89" i="1"/>
  <c r="J89" i="1"/>
  <c r="K89" i="1"/>
  <c r="L89" i="1" s="1"/>
  <c r="H90" i="1"/>
  <c r="I90" i="1"/>
  <c r="J90" i="1"/>
  <c r="K90" i="1"/>
  <c r="L90" i="1" s="1"/>
  <c r="H91" i="1"/>
  <c r="I91" i="1"/>
  <c r="J91" i="1"/>
  <c r="K91" i="1"/>
  <c r="L91" i="1" s="1"/>
  <c r="H92" i="1"/>
  <c r="I92" i="1"/>
  <c r="J92" i="1"/>
  <c r="K92" i="1"/>
  <c r="K100" i="1" s="1"/>
  <c r="K101" i="1" s="1"/>
  <c r="L101" i="1" s="1"/>
  <c r="M101" i="1"/>
  <c r="T101" i="1"/>
  <c r="U101" i="1" s="1"/>
  <c r="V101" i="1" s="1"/>
  <c r="W101" i="1" s="1"/>
  <c r="X101" i="1" s="1"/>
  <c r="Y101" i="1" s="1"/>
  <c r="AC101" i="1"/>
  <c r="N101" i="1" s="1"/>
  <c r="AJ101" i="1"/>
  <c r="AK101" i="1" s="1"/>
  <c r="AL101" i="1" s="1"/>
  <c r="AM101" i="1" s="1"/>
  <c r="AN101" i="1" s="1"/>
  <c r="AO101" i="1" s="1"/>
  <c r="H105" i="1"/>
  <c r="I105" i="1"/>
  <c r="J105" i="1"/>
  <c r="K105" i="1"/>
  <c r="Z105" i="1"/>
  <c r="AH105" i="1"/>
  <c r="AP105" i="1"/>
  <c r="L106" i="1"/>
  <c r="L118" i="1" s="1"/>
  <c r="L107" i="1"/>
  <c r="L108" i="1"/>
  <c r="L109" i="1"/>
  <c r="L110" i="1"/>
  <c r="H112" i="1"/>
  <c r="I112" i="1"/>
  <c r="J112" i="1"/>
  <c r="K112" i="1"/>
  <c r="H113" i="1"/>
  <c r="I113" i="1"/>
  <c r="J113" i="1"/>
  <c r="K113" i="1"/>
  <c r="L113" i="1" s="1"/>
  <c r="H114" i="1"/>
  <c r="I114" i="1"/>
  <c r="J114" i="1"/>
  <c r="K114" i="1"/>
  <c r="L114" i="1" s="1"/>
  <c r="H115" i="1"/>
  <c r="I115" i="1"/>
  <c r="J115" i="1"/>
  <c r="K115" i="1"/>
  <c r="L115" i="1" s="1"/>
  <c r="H116" i="1"/>
  <c r="I116" i="1"/>
  <c r="J116" i="1"/>
  <c r="K116" i="1"/>
  <c r="L116" i="1" s="1"/>
  <c r="H117" i="1"/>
  <c r="H125" i="1" s="1"/>
  <c r="H126" i="1" s="1"/>
  <c r="I117" i="1"/>
  <c r="I125" i="1" s="1"/>
  <c r="I126" i="1" s="1"/>
  <c r="J117" i="1"/>
  <c r="J125" i="1" s="1"/>
  <c r="J126" i="1" s="1"/>
  <c r="K117" i="1"/>
  <c r="K125" i="1" s="1"/>
  <c r="K126" i="1" s="1"/>
  <c r="L126" i="1" s="1"/>
  <c r="M126" i="1"/>
  <c r="T126" i="1"/>
  <c r="U126" i="1" s="1"/>
  <c r="V126" i="1" s="1"/>
  <c r="W126" i="1" s="1"/>
  <c r="X126" i="1" s="1"/>
  <c r="Y126" i="1" s="1"/>
  <c r="AC126" i="1"/>
  <c r="AJ126" i="1"/>
  <c r="AK126" i="1" s="1"/>
  <c r="AL126" i="1" s="1"/>
  <c r="AM126" i="1" s="1"/>
  <c r="AN126" i="1" s="1"/>
  <c r="AO126" i="1" s="1"/>
  <c r="H130" i="1"/>
  <c r="I130" i="1"/>
  <c r="J130" i="1"/>
  <c r="K130" i="1"/>
  <c r="Z130" i="1"/>
  <c r="AH130" i="1"/>
  <c r="AP130" i="1"/>
  <c r="L131" i="1"/>
  <c r="L132" i="1"/>
  <c r="L133" i="1"/>
  <c r="L134" i="1"/>
  <c r="L135" i="1"/>
  <c r="L147" i="1" s="1"/>
  <c r="H137" i="1"/>
  <c r="I137" i="1"/>
  <c r="J137" i="1"/>
  <c r="K137" i="1"/>
  <c r="L137" i="1" s="1"/>
  <c r="H138" i="1"/>
  <c r="I138" i="1"/>
  <c r="J138" i="1"/>
  <c r="K138" i="1"/>
  <c r="L138" i="1" s="1"/>
  <c r="H139" i="1"/>
  <c r="I139" i="1"/>
  <c r="J139" i="1"/>
  <c r="K139" i="1"/>
  <c r="L139" i="1" s="1"/>
  <c r="H140" i="1"/>
  <c r="I140" i="1"/>
  <c r="J140" i="1"/>
  <c r="K140" i="1"/>
  <c r="L140" i="1" s="1"/>
  <c r="H141" i="1"/>
  <c r="I141" i="1"/>
  <c r="J141" i="1"/>
  <c r="K141" i="1"/>
  <c r="H142" i="1"/>
  <c r="I142" i="1"/>
  <c r="J142" i="1"/>
  <c r="K142" i="1"/>
  <c r="K150" i="1" s="1"/>
  <c r="K151" i="1" s="1"/>
  <c r="L151" i="1" s="1"/>
  <c r="M151" i="1"/>
  <c r="T151" i="1"/>
  <c r="U151" i="1" s="1"/>
  <c r="V151" i="1" s="1"/>
  <c r="W151" i="1" s="1"/>
  <c r="X151" i="1" s="1"/>
  <c r="Y151" i="1" s="1"/>
  <c r="AC151" i="1"/>
  <c r="N151" i="1" s="1"/>
  <c r="AJ151" i="1"/>
  <c r="AK151" i="1" s="1"/>
  <c r="AL151" i="1" s="1"/>
  <c r="AM151" i="1" s="1"/>
  <c r="AN151" i="1" s="1"/>
  <c r="AO151" i="1" s="1"/>
  <c r="H155" i="1"/>
  <c r="I155" i="1"/>
  <c r="J155" i="1"/>
  <c r="K155" i="1"/>
  <c r="Z155" i="1"/>
  <c r="AH155" i="1"/>
  <c r="AP155" i="1"/>
  <c r="L156" i="1"/>
  <c r="L157" i="1"/>
  <c r="L158" i="1"/>
  <c r="L159" i="1"/>
  <c r="L160" i="1"/>
  <c r="H162" i="1"/>
  <c r="I162" i="1"/>
  <c r="J162" i="1"/>
  <c r="K162" i="1"/>
  <c r="L162" i="1" s="1"/>
  <c r="H163" i="1"/>
  <c r="I163" i="1"/>
  <c r="J163" i="1"/>
  <c r="K163" i="1"/>
  <c r="L163" i="1" s="1"/>
  <c r="H164" i="1"/>
  <c r="I164" i="1"/>
  <c r="J164" i="1"/>
  <c r="K164" i="1"/>
  <c r="L164" i="1" s="1"/>
  <c r="H165" i="1"/>
  <c r="I165" i="1"/>
  <c r="J165" i="1"/>
  <c r="K165" i="1"/>
  <c r="L165" i="1" s="1"/>
  <c r="H166" i="1"/>
  <c r="I166" i="1"/>
  <c r="J166" i="1"/>
  <c r="K166" i="1"/>
  <c r="L166" i="1" s="1"/>
  <c r="H167" i="1"/>
  <c r="H175" i="1" s="1"/>
  <c r="H176" i="1" s="1"/>
  <c r="I167" i="1"/>
  <c r="I175" i="1" s="1"/>
  <c r="I176" i="1" s="1"/>
  <c r="J167" i="1"/>
  <c r="J175" i="1" s="1"/>
  <c r="J176" i="1" s="1"/>
  <c r="K167" i="1"/>
  <c r="K175" i="1" s="1"/>
  <c r="K176" i="1" s="1"/>
  <c r="L176" i="1" s="1"/>
  <c r="M176" i="1"/>
  <c r="T176" i="1"/>
  <c r="U176" i="1" s="1"/>
  <c r="V176" i="1" s="1"/>
  <c r="W176" i="1" s="1"/>
  <c r="X176" i="1" s="1"/>
  <c r="Y176" i="1" s="1"/>
  <c r="AC176" i="1"/>
  <c r="AD176" i="1" s="1"/>
  <c r="AJ176" i="1"/>
  <c r="AK176" i="1" s="1"/>
  <c r="AL176" i="1" s="1"/>
  <c r="AM176" i="1" s="1"/>
  <c r="AN176" i="1" s="1"/>
  <c r="AO176" i="1" s="1"/>
  <c r="H180" i="1"/>
  <c r="I180" i="1"/>
  <c r="J180" i="1"/>
  <c r="K180" i="1"/>
  <c r="Z180" i="1"/>
  <c r="AH180" i="1"/>
  <c r="AP180" i="1"/>
  <c r="L181" i="1"/>
  <c r="L193" i="1" s="1"/>
  <c r="L182" i="1"/>
  <c r="L194" i="1" s="1"/>
  <c r="L183" i="1"/>
  <c r="L184" i="1"/>
  <c r="L185" i="1"/>
  <c r="L197" i="1" s="1"/>
  <c r="H187" i="1"/>
  <c r="I187" i="1"/>
  <c r="J187" i="1"/>
  <c r="K187" i="1"/>
  <c r="H188" i="1"/>
  <c r="I188" i="1"/>
  <c r="J188" i="1"/>
  <c r="K188" i="1"/>
  <c r="H189" i="1"/>
  <c r="I189" i="1"/>
  <c r="J189" i="1"/>
  <c r="K189" i="1"/>
  <c r="L189" i="1" s="1"/>
  <c r="H190" i="1"/>
  <c r="I190" i="1"/>
  <c r="J190" i="1"/>
  <c r="K190" i="1"/>
  <c r="L190" i="1" s="1"/>
  <c r="H191" i="1"/>
  <c r="I191" i="1"/>
  <c r="J191" i="1"/>
  <c r="K191" i="1"/>
  <c r="H192" i="1"/>
  <c r="I192" i="1"/>
  <c r="J192" i="1"/>
  <c r="K192" i="1"/>
  <c r="K200" i="1" s="1"/>
  <c r="K201" i="1" s="1"/>
  <c r="L201" i="1" s="1"/>
  <c r="M201" i="1"/>
  <c r="T201" i="1"/>
  <c r="U201" i="1" s="1"/>
  <c r="V201" i="1" s="1"/>
  <c r="W201" i="1" s="1"/>
  <c r="X201" i="1" s="1"/>
  <c r="Y201" i="1" s="1"/>
  <c r="AC201" i="1"/>
  <c r="N201" i="1" s="1"/>
  <c r="AJ201" i="1"/>
  <c r="AK201" i="1" s="1"/>
  <c r="AL201" i="1" s="1"/>
  <c r="AM201" i="1" s="1"/>
  <c r="AN201" i="1" s="1"/>
  <c r="AO201" i="1" s="1"/>
  <c r="H205" i="1"/>
  <c r="I205" i="1"/>
  <c r="J205" i="1"/>
  <c r="K205" i="1"/>
  <c r="L206" i="1"/>
  <c r="L207" i="1"/>
  <c r="L208" i="1"/>
  <c r="L209" i="1"/>
  <c r="L210" i="1"/>
  <c r="H212" i="1"/>
  <c r="I212" i="1"/>
  <c r="J212" i="1"/>
  <c r="K212" i="1"/>
  <c r="H213" i="1"/>
  <c r="I213" i="1"/>
  <c r="J213" i="1"/>
  <c r="K213" i="1"/>
  <c r="L213" i="1" s="1"/>
  <c r="H214" i="1"/>
  <c r="I214" i="1"/>
  <c r="J214" i="1"/>
  <c r="K214" i="1"/>
  <c r="L214" i="1" s="1"/>
  <c r="H215" i="1"/>
  <c r="I215" i="1"/>
  <c r="J215" i="1"/>
  <c r="K215" i="1"/>
  <c r="L215" i="1" s="1"/>
  <c r="H216" i="1"/>
  <c r="I216" i="1"/>
  <c r="J216" i="1"/>
  <c r="K216" i="1"/>
  <c r="L216" i="1" s="1"/>
  <c r="H217" i="1"/>
  <c r="H225" i="1" s="1"/>
  <c r="H226" i="1" s="1"/>
  <c r="I217" i="1"/>
  <c r="I225" i="1" s="1"/>
  <c r="I226" i="1" s="1"/>
  <c r="J217" i="1"/>
  <c r="K217" i="1"/>
  <c r="K225" i="1" s="1"/>
  <c r="K226" i="1" s="1"/>
  <c r="L226" i="1" s="1"/>
  <c r="M226" i="1"/>
  <c r="T226" i="1"/>
  <c r="U226" i="1" s="1"/>
  <c r="V226" i="1" s="1"/>
  <c r="W226" i="1" s="1"/>
  <c r="X226" i="1" s="1"/>
  <c r="Y226" i="1" s="1"/>
  <c r="AC226" i="1"/>
  <c r="N226" i="1" s="1"/>
  <c r="AJ226" i="1"/>
  <c r="AK226" i="1" s="1"/>
  <c r="AL226" i="1" s="1"/>
  <c r="AM226" i="1" s="1"/>
  <c r="AN226" i="1" s="1"/>
  <c r="AO226" i="1" s="1"/>
  <c r="H233" i="1"/>
  <c r="I233" i="1"/>
  <c r="J233" i="1"/>
  <c r="K233" i="1"/>
  <c r="M233" i="1"/>
  <c r="N233" i="1"/>
  <c r="O233" i="1"/>
  <c r="P233" i="1"/>
  <c r="Q233" i="1"/>
  <c r="R233" i="1"/>
  <c r="H234" i="1"/>
  <c r="I234" i="1"/>
  <c r="J234" i="1"/>
  <c r="K234" i="1"/>
  <c r="M234" i="1"/>
  <c r="N234" i="1"/>
  <c r="O234" i="1"/>
  <c r="P234" i="1"/>
  <c r="Q234" i="1"/>
  <c r="R234" i="1"/>
  <c r="H235" i="1"/>
  <c r="I235" i="1"/>
  <c r="J235" i="1"/>
  <c r="K235" i="1"/>
  <c r="M235" i="1"/>
  <c r="N235" i="1"/>
  <c r="O235" i="1"/>
  <c r="P235" i="1"/>
  <c r="Q235" i="1"/>
  <c r="R235" i="1"/>
  <c r="H236" i="1"/>
  <c r="I236" i="1"/>
  <c r="J236" i="1"/>
  <c r="K236" i="1"/>
  <c r="M236" i="1"/>
  <c r="N236" i="1"/>
  <c r="O236" i="1"/>
  <c r="P236" i="1"/>
  <c r="Q236" i="1"/>
  <c r="R236" i="1"/>
  <c r="H237" i="1"/>
  <c r="I237" i="1"/>
  <c r="J237" i="1"/>
  <c r="K237" i="1"/>
  <c r="M237" i="1"/>
  <c r="N237" i="1"/>
  <c r="O237" i="1"/>
  <c r="P237" i="1"/>
  <c r="Q237" i="1"/>
  <c r="R237" i="1"/>
  <c r="H245" i="1"/>
  <c r="I245" i="1"/>
  <c r="J245" i="1"/>
  <c r="K245" i="1"/>
  <c r="M245" i="1"/>
  <c r="N245" i="1"/>
  <c r="O245" i="1"/>
  <c r="P245" i="1"/>
  <c r="Q245" i="1"/>
  <c r="R245" i="1"/>
  <c r="H246" i="1"/>
  <c r="I246" i="1"/>
  <c r="J246" i="1"/>
  <c r="K246" i="1"/>
  <c r="M246" i="1"/>
  <c r="N246" i="1"/>
  <c r="O246" i="1"/>
  <c r="P246" i="1"/>
  <c r="Q246" i="1"/>
  <c r="R246" i="1"/>
  <c r="H247" i="1"/>
  <c r="I247" i="1"/>
  <c r="J247" i="1"/>
  <c r="K247" i="1"/>
  <c r="M247" i="1"/>
  <c r="N247" i="1"/>
  <c r="O247" i="1"/>
  <c r="P247" i="1"/>
  <c r="Q247" i="1"/>
  <c r="R247" i="1"/>
  <c r="H248" i="1"/>
  <c r="I248" i="1"/>
  <c r="J248" i="1"/>
  <c r="K248" i="1"/>
  <c r="M248" i="1"/>
  <c r="N248" i="1"/>
  <c r="O248" i="1"/>
  <c r="P248" i="1"/>
  <c r="Q248" i="1"/>
  <c r="R248" i="1"/>
  <c r="H249" i="1"/>
  <c r="I249" i="1"/>
  <c r="J249" i="1"/>
  <c r="K249" i="1"/>
  <c r="M249" i="1"/>
  <c r="N249" i="1"/>
  <c r="O249" i="1"/>
  <c r="P249" i="1"/>
  <c r="Q249" i="1"/>
  <c r="R249" i="1"/>
  <c r="H251" i="1"/>
  <c r="I251" i="1"/>
  <c r="J251" i="1"/>
  <c r="K251" i="1"/>
  <c r="H257" i="1"/>
  <c r="I257" i="1"/>
  <c r="J257" i="1"/>
  <c r="K257" i="1"/>
  <c r="Z257" i="1"/>
  <c r="AP257" i="1"/>
  <c r="L258" i="1"/>
  <c r="L270" i="1" s="1"/>
  <c r="L259" i="1"/>
  <c r="L260" i="1"/>
  <c r="L261" i="1"/>
  <c r="L262" i="1"/>
  <c r="L274" i="1" s="1"/>
  <c r="H264" i="1"/>
  <c r="I264" i="1"/>
  <c r="J264" i="1"/>
  <c r="K264" i="1"/>
  <c r="H265" i="1"/>
  <c r="I265" i="1"/>
  <c r="J265" i="1"/>
  <c r="K265" i="1"/>
  <c r="L265" i="1" s="1"/>
  <c r="H266" i="1"/>
  <c r="I266" i="1"/>
  <c r="J266" i="1"/>
  <c r="K266" i="1"/>
  <c r="L266" i="1" s="1"/>
  <c r="H267" i="1"/>
  <c r="I267" i="1"/>
  <c r="J267" i="1"/>
  <c r="K267" i="1"/>
  <c r="L267" i="1" s="1"/>
  <c r="H268" i="1"/>
  <c r="I268" i="1"/>
  <c r="J268" i="1"/>
  <c r="K268" i="1"/>
  <c r="H269" i="1"/>
  <c r="I269" i="1"/>
  <c r="I277" i="1" s="1"/>
  <c r="I278" i="1" s="1"/>
  <c r="J269" i="1"/>
  <c r="J277" i="1" s="1"/>
  <c r="J278" i="1" s="1"/>
  <c r="K269" i="1"/>
  <c r="K277" i="1" s="1"/>
  <c r="K278" i="1" s="1"/>
  <c r="L278" i="1" s="1"/>
  <c r="M278" i="1"/>
  <c r="T278" i="1"/>
  <c r="U278" i="1" s="1"/>
  <c r="V278" i="1" s="1"/>
  <c r="W278" i="1" s="1"/>
  <c r="X278" i="1" s="1"/>
  <c r="Y278" i="1" s="1"/>
  <c r="AC278" i="1"/>
  <c r="AD278" i="1" s="1"/>
  <c r="O278" i="1" s="1"/>
  <c r="AJ278" i="1"/>
  <c r="AK278" i="1" s="1"/>
  <c r="AL278" i="1" s="1"/>
  <c r="AM278" i="1" s="1"/>
  <c r="AN278" i="1" s="1"/>
  <c r="AO278" i="1" s="1"/>
  <c r="H282" i="1"/>
  <c r="I282" i="1"/>
  <c r="J282" i="1"/>
  <c r="K282" i="1"/>
  <c r="Z282" i="1"/>
  <c r="AP282" i="1"/>
  <c r="L283" i="1"/>
  <c r="L284" i="1"/>
  <c r="L285" i="1"/>
  <c r="L286" i="1"/>
  <c r="L287" i="1"/>
  <c r="H289" i="1"/>
  <c r="I289" i="1"/>
  <c r="J289" i="1"/>
  <c r="K289" i="1"/>
  <c r="L289" i="1" s="1"/>
  <c r="H290" i="1"/>
  <c r="I290" i="1"/>
  <c r="J290" i="1"/>
  <c r="K290" i="1"/>
  <c r="L290" i="1" s="1"/>
  <c r="H291" i="1"/>
  <c r="I291" i="1"/>
  <c r="J291" i="1"/>
  <c r="K291" i="1"/>
  <c r="L291" i="1" s="1"/>
  <c r="H292" i="1"/>
  <c r="I292" i="1"/>
  <c r="J292" i="1"/>
  <c r="K292" i="1"/>
  <c r="L292" i="1" s="1"/>
  <c r="H293" i="1"/>
  <c r="I293" i="1"/>
  <c r="J293" i="1"/>
  <c r="K293" i="1"/>
  <c r="L293" i="1" s="1"/>
  <c r="H294" i="1"/>
  <c r="I294" i="1"/>
  <c r="J294" i="1"/>
  <c r="K294" i="1"/>
  <c r="M303" i="1"/>
  <c r="T303" i="1"/>
  <c r="U303" i="1" s="1"/>
  <c r="V303" i="1" s="1"/>
  <c r="W303" i="1" s="1"/>
  <c r="X303" i="1" s="1"/>
  <c r="Y303" i="1" s="1"/>
  <c r="AC303" i="1"/>
  <c r="AJ303" i="1"/>
  <c r="AK303" i="1" s="1"/>
  <c r="AL303" i="1" s="1"/>
  <c r="AM303" i="1" s="1"/>
  <c r="AN303" i="1" s="1"/>
  <c r="AO303" i="1" s="1"/>
  <c r="H307" i="1"/>
  <c r="I307" i="1"/>
  <c r="J307" i="1"/>
  <c r="K307" i="1"/>
  <c r="Z307" i="1"/>
  <c r="AP307" i="1"/>
  <c r="L308" i="1"/>
  <c r="L309" i="1"/>
  <c r="L310" i="1"/>
  <c r="L311" i="1"/>
  <c r="L323" i="1" s="1"/>
  <c r="L312" i="1"/>
  <c r="H314" i="1"/>
  <c r="I314" i="1"/>
  <c r="J314" i="1"/>
  <c r="K314" i="1"/>
  <c r="H315" i="1"/>
  <c r="I315" i="1"/>
  <c r="J315" i="1"/>
  <c r="K315" i="1"/>
  <c r="L315" i="1" s="1"/>
  <c r="H316" i="1"/>
  <c r="I316" i="1"/>
  <c r="J316" i="1"/>
  <c r="K316" i="1"/>
  <c r="L316" i="1" s="1"/>
  <c r="H317" i="1"/>
  <c r="I317" i="1"/>
  <c r="J317" i="1"/>
  <c r="K317" i="1"/>
  <c r="H318" i="1"/>
  <c r="I318" i="1"/>
  <c r="J318" i="1"/>
  <c r="K318" i="1"/>
  <c r="L318" i="1" s="1"/>
  <c r="H319" i="1"/>
  <c r="I319" i="1"/>
  <c r="J319" i="1"/>
  <c r="J327" i="1" s="1"/>
  <c r="J328" i="1" s="1"/>
  <c r="K319" i="1"/>
  <c r="K327" i="1" s="1"/>
  <c r="K328" i="1" s="1"/>
  <c r="M328" i="1"/>
  <c r="T328" i="1"/>
  <c r="U328" i="1" s="1"/>
  <c r="V328" i="1" s="1"/>
  <c r="W328" i="1" s="1"/>
  <c r="X328" i="1" s="1"/>
  <c r="Y328" i="1" s="1"/>
  <c r="AC328" i="1"/>
  <c r="N328" i="1" s="1"/>
  <c r="AJ328" i="1"/>
  <c r="AK328" i="1" s="1"/>
  <c r="AL328" i="1" s="1"/>
  <c r="AM328" i="1" s="1"/>
  <c r="AN328" i="1" s="1"/>
  <c r="AO328" i="1" s="1"/>
  <c r="H332" i="1"/>
  <c r="I332" i="1"/>
  <c r="J332" i="1"/>
  <c r="K332" i="1"/>
  <c r="L333" i="1"/>
  <c r="L334" i="1"/>
  <c r="L335" i="1"/>
  <c r="L336" i="1"/>
  <c r="L337" i="1"/>
  <c r="H339" i="1"/>
  <c r="I339" i="1"/>
  <c r="J339" i="1"/>
  <c r="K339" i="1"/>
  <c r="L339" i="1" s="1"/>
  <c r="H340" i="1"/>
  <c r="I340" i="1"/>
  <c r="J340" i="1"/>
  <c r="K340" i="1"/>
  <c r="L340" i="1" s="1"/>
  <c r="H341" i="1"/>
  <c r="I341" i="1"/>
  <c r="J341" i="1"/>
  <c r="K341" i="1"/>
  <c r="L341" i="1" s="1"/>
  <c r="H342" i="1"/>
  <c r="I342" i="1"/>
  <c r="J342" i="1"/>
  <c r="K342" i="1"/>
  <c r="L342" i="1" s="1"/>
  <c r="H343" i="1"/>
  <c r="I343" i="1"/>
  <c r="J343" i="1"/>
  <c r="K343" i="1"/>
  <c r="L343" i="1" s="1"/>
  <c r="H344" i="1"/>
  <c r="H352" i="1" s="1"/>
  <c r="H353" i="1" s="1"/>
  <c r="I344" i="1"/>
  <c r="J344" i="1"/>
  <c r="K344" i="1"/>
  <c r="M353" i="1"/>
  <c r="T353" i="1"/>
  <c r="U353" i="1" s="1"/>
  <c r="V353" i="1" s="1"/>
  <c r="W353" i="1" s="1"/>
  <c r="X353" i="1" s="1"/>
  <c r="Y353" i="1" s="1"/>
  <c r="AC353" i="1"/>
  <c r="AJ353" i="1"/>
  <c r="AK353" i="1" s="1"/>
  <c r="AL353" i="1" s="1"/>
  <c r="AM353" i="1" s="1"/>
  <c r="AN353" i="1" s="1"/>
  <c r="AO353" i="1" s="1"/>
  <c r="H357" i="1"/>
  <c r="I357" i="1"/>
  <c r="J357" i="1"/>
  <c r="K357" i="1"/>
  <c r="L358" i="1"/>
  <c r="L359" i="1"/>
  <c r="L360" i="1"/>
  <c r="L361" i="1"/>
  <c r="L362" i="1"/>
  <c r="H364" i="1"/>
  <c r="I364" i="1"/>
  <c r="J364" i="1"/>
  <c r="K364" i="1"/>
  <c r="L364" i="1" s="1"/>
  <c r="H365" i="1"/>
  <c r="I365" i="1"/>
  <c r="J365" i="1"/>
  <c r="K365" i="1"/>
  <c r="L365" i="1" s="1"/>
  <c r="H366" i="1"/>
  <c r="I366" i="1"/>
  <c r="J366" i="1"/>
  <c r="K366" i="1"/>
  <c r="L366" i="1" s="1"/>
  <c r="H367" i="1"/>
  <c r="I367" i="1"/>
  <c r="J367" i="1"/>
  <c r="K367" i="1"/>
  <c r="L367" i="1" s="1"/>
  <c r="H368" i="1"/>
  <c r="I368" i="1"/>
  <c r="J368" i="1"/>
  <c r="K368" i="1"/>
  <c r="L368" i="1" s="1"/>
  <c r="H369" i="1"/>
  <c r="H377" i="1" s="1"/>
  <c r="H378" i="1" s="1"/>
  <c r="I369" i="1"/>
  <c r="J369" i="1"/>
  <c r="J377" i="1" s="1"/>
  <c r="J378" i="1" s="1"/>
  <c r="K369" i="1"/>
  <c r="K377" i="1" s="1"/>
  <c r="K378" i="1" s="1"/>
  <c r="L378" i="1" s="1"/>
  <c r="M378" i="1"/>
  <c r="T378" i="1"/>
  <c r="U378" i="1" s="1"/>
  <c r="V378" i="1" s="1"/>
  <c r="W378" i="1" s="1"/>
  <c r="X378" i="1" s="1"/>
  <c r="Y378" i="1" s="1"/>
  <c r="AC378" i="1"/>
  <c r="N378" i="1" s="1"/>
  <c r="AJ378" i="1"/>
  <c r="AK378" i="1" s="1"/>
  <c r="AL378" i="1" s="1"/>
  <c r="AM378" i="1" s="1"/>
  <c r="AN378" i="1" s="1"/>
  <c r="AO378" i="1" s="1"/>
  <c r="H385" i="1"/>
  <c r="I385" i="1"/>
  <c r="J385" i="1"/>
  <c r="K385" i="1"/>
  <c r="M385" i="1"/>
  <c r="N385" i="1"/>
  <c r="O385" i="1"/>
  <c r="P385" i="1"/>
  <c r="Q385" i="1"/>
  <c r="R385" i="1"/>
  <c r="H386" i="1"/>
  <c r="I386" i="1"/>
  <c r="J386" i="1"/>
  <c r="K386" i="1"/>
  <c r="M386" i="1"/>
  <c r="N386" i="1"/>
  <c r="O386" i="1"/>
  <c r="P386" i="1"/>
  <c r="Q386" i="1"/>
  <c r="R386" i="1"/>
  <c r="H387" i="1"/>
  <c r="I387" i="1"/>
  <c r="J387" i="1"/>
  <c r="K387" i="1"/>
  <c r="M387" i="1"/>
  <c r="N387" i="1"/>
  <c r="O387" i="1"/>
  <c r="P387" i="1"/>
  <c r="Q387" i="1"/>
  <c r="R387" i="1"/>
  <c r="H388" i="1"/>
  <c r="I388" i="1"/>
  <c r="J388" i="1"/>
  <c r="K388" i="1"/>
  <c r="M388" i="1"/>
  <c r="N388" i="1"/>
  <c r="O388" i="1"/>
  <c r="P388" i="1"/>
  <c r="Q388" i="1"/>
  <c r="R388" i="1"/>
  <c r="H389" i="1"/>
  <c r="I389" i="1"/>
  <c r="J389" i="1"/>
  <c r="K389" i="1"/>
  <c r="M389" i="1"/>
  <c r="N389" i="1"/>
  <c r="O389" i="1"/>
  <c r="P389" i="1"/>
  <c r="Q389" i="1"/>
  <c r="R389" i="1"/>
  <c r="H397" i="1"/>
  <c r="I397" i="1"/>
  <c r="J397" i="1"/>
  <c r="K397" i="1"/>
  <c r="M397" i="1"/>
  <c r="N397" i="1"/>
  <c r="O397" i="1"/>
  <c r="P397" i="1"/>
  <c r="Q397" i="1"/>
  <c r="R397" i="1"/>
  <c r="H398" i="1"/>
  <c r="I398" i="1"/>
  <c r="J398" i="1"/>
  <c r="K398" i="1"/>
  <c r="M398" i="1"/>
  <c r="N398" i="1"/>
  <c r="O398" i="1"/>
  <c r="P398" i="1"/>
  <c r="Q398" i="1"/>
  <c r="R398" i="1"/>
  <c r="H399" i="1"/>
  <c r="I399" i="1"/>
  <c r="J399" i="1"/>
  <c r="K399" i="1"/>
  <c r="M399" i="1"/>
  <c r="N399" i="1"/>
  <c r="O399" i="1"/>
  <c r="P399" i="1"/>
  <c r="Q399" i="1"/>
  <c r="R399" i="1"/>
  <c r="H400" i="1"/>
  <c r="I400" i="1"/>
  <c r="J400" i="1"/>
  <c r="K400" i="1"/>
  <c r="M400" i="1"/>
  <c r="N400" i="1"/>
  <c r="O400" i="1"/>
  <c r="P400" i="1"/>
  <c r="Q400" i="1"/>
  <c r="R400" i="1"/>
  <c r="H401" i="1"/>
  <c r="I401" i="1"/>
  <c r="J401" i="1"/>
  <c r="K401" i="1"/>
  <c r="M401" i="1"/>
  <c r="N401" i="1"/>
  <c r="O401" i="1"/>
  <c r="P401" i="1"/>
  <c r="Q401" i="1"/>
  <c r="R401" i="1"/>
  <c r="H403" i="1"/>
  <c r="I403" i="1"/>
  <c r="J403" i="1"/>
  <c r="K403" i="1"/>
  <c r="H409" i="1"/>
  <c r="I409" i="1"/>
  <c r="J409" i="1"/>
  <c r="K409" i="1"/>
  <c r="L410" i="1"/>
  <c r="L411" i="1"/>
  <c r="L423" i="1" s="1"/>
  <c r="L412" i="1"/>
  <c r="L413" i="1"/>
  <c r="L414" i="1"/>
  <c r="L426" i="1" s="1"/>
  <c r="H416" i="1"/>
  <c r="I416" i="1"/>
  <c r="J416" i="1"/>
  <c r="K416" i="1"/>
  <c r="L416" i="1" s="1"/>
  <c r="H417" i="1"/>
  <c r="I417" i="1"/>
  <c r="J417" i="1"/>
  <c r="K417" i="1"/>
  <c r="H418" i="1"/>
  <c r="I418" i="1"/>
  <c r="J418" i="1"/>
  <c r="K418" i="1"/>
  <c r="L418" i="1" s="1"/>
  <c r="H419" i="1"/>
  <c r="I419" i="1"/>
  <c r="J419" i="1"/>
  <c r="K419" i="1"/>
  <c r="L419" i="1" s="1"/>
  <c r="H420" i="1"/>
  <c r="I420" i="1"/>
  <c r="J420" i="1"/>
  <c r="K420" i="1"/>
  <c r="H421" i="1"/>
  <c r="I421" i="1"/>
  <c r="J421" i="1"/>
  <c r="K421" i="1"/>
  <c r="M430" i="1"/>
  <c r="T430" i="1"/>
  <c r="U430" i="1" s="1"/>
  <c r="V430" i="1" s="1"/>
  <c r="W430" i="1" s="1"/>
  <c r="X430" i="1" s="1"/>
  <c r="Y430" i="1" s="1"/>
  <c r="AC430" i="1"/>
  <c r="N430" i="1" s="1"/>
  <c r="AJ430" i="1"/>
  <c r="AK430" i="1" s="1"/>
  <c r="AL430" i="1" s="1"/>
  <c r="AM430" i="1" s="1"/>
  <c r="AN430" i="1" s="1"/>
  <c r="AO430" i="1" s="1"/>
  <c r="H434" i="1"/>
  <c r="I434" i="1"/>
  <c r="J434" i="1"/>
  <c r="K434" i="1"/>
  <c r="L435" i="1"/>
  <c r="L436" i="1"/>
  <c r="L448" i="1" s="1"/>
  <c r="L437" i="1"/>
  <c r="L438" i="1"/>
  <c r="L450" i="1" s="1"/>
  <c r="L439" i="1"/>
  <c r="L451" i="1" s="1"/>
  <c r="H441" i="1"/>
  <c r="I441" i="1"/>
  <c r="J441" i="1"/>
  <c r="K441" i="1"/>
  <c r="H442" i="1"/>
  <c r="I442" i="1"/>
  <c r="J442" i="1"/>
  <c r="K442" i="1"/>
  <c r="H443" i="1"/>
  <c r="I443" i="1"/>
  <c r="J443" i="1"/>
  <c r="K443" i="1"/>
  <c r="L443" i="1" s="1"/>
  <c r="H444" i="1"/>
  <c r="I444" i="1"/>
  <c r="J444" i="1"/>
  <c r="K444" i="1"/>
  <c r="H445" i="1"/>
  <c r="I445" i="1"/>
  <c r="J445" i="1"/>
  <c r="K445" i="1"/>
  <c r="H446" i="1"/>
  <c r="I446" i="1"/>
  <c r="J446" i="1"/>
  <c r="J454" i="1" s="1"/>
  <c r="J455" i="1" s="1"/>
  <c r="K446" i="1"/>
  <c r="M455" i="1"/>
  <c r="T455" i="1"/>
  <c r="U455" i="1" s="1"/>
  <c r="V455" i="1" s="1"/>
  <c r="W455" i="1" s="1"/>
  <c r="X455" i="1" s="1"/>
  <c r="Y455" i="1" s="1"/>
  <c r="AC455" i="1"/>
  <c r="AJ455" i="1"/>
  <c r="AK455" i="1" s="1"/>
  <c r="AL455" i="1" s="1"/>
  <c r="AM455" i="1" s="1"/>
  <c r="AN455" i="1" s="1"/>
  <c r="AO455" i="1" s="1"/>
  <c r="H459" i="1"/>
  <c r="I459" i="1"/>
  <c r="J459" i="1"/>
  <c r="K459" i="1"/>
  <c r="L460" i="1"/>
  <c r="L461" i="1"/>
  <c r="L462" i="1"/>
  <c r="L463" i="1"/>
  <c r="L464" i="1"/>
  <c r="H466" i="1"/>
  <c r="I466" i="1"/>
  <c r="J466" i="1"/>
  <c r="K466" i="1"/>
  <c r="L466" i="1" s="1"/>
  <c r="H467" i="1"/>
  <c r="I467" i="1"/>
  <c r="J467" i="1"/>
  <c r="K467" i="1"/>
  <c r="L467" i="1" s="1"/>
  <c r="H468" i="1"/>
  <c r="I468" i="1"/>
  <c r="J468" i="1"/>
  <c r="K468" i="1"/>
  <c r="L468" i="1" s="1"/>
  <c r="H469" i="1"/>
  <c r="I469" i="1"/>
  <c r="J469" i="1"/>
  <c r="K469" i="1"/>
  <c r="L469" i="1" s="1"/>
  <c r="H470" i="1"/>
  <c r="I470" i="1"/>
  <c r="J470" i="1"/>
  <c r="K470" i="1"/>
  <c r="L470" i="1" s="1"/>
  <c r="H471" i="1"/>
  <c r="H479" i="1" s="1"/>
  <c r="H480" i="1" s="1"/>
  <c r="I471" i="1"/>
  <c r="I479" i="1" s="1"/>
  <c r="I480" i="1" s="1"/>
  <c r="J471" i="1"/>
  <c r="J479" i="1" s="1"/>
  <c r="J480" i="1" s="1"/>
  <c r="K471" i="1"/>
  <c r="K479" i="1" s="1"/>
  <c r="K480" i="1" s="1"/>
  <c r="L480" i="1" s="1"/>
  <c r="M480" i="1"/>
  <c r="T480" i="1"/>
  <c r="U480" i="1" s="1"/>
  <c r="V480" i="1" s="1"/>
  <c r="W480" i="1" s="1"/>
  <c r="X480" i="1" s="1"/>
  <c r="Y480" i="1" s="1"/>
  <c r="AC480" i="1"/>
  <c r="AD480" i="1" s="1"/>
  <c r="AE480" i="1" s="1"/>
  <c r="AJ480" i="1"/>
  <c r="AK480" i="1" s="1"/>
  <c r="AL480" i="1" s="1"/>
  <c r="AM480" i="1" s="1"/>
  <c r="AN480" i="1" s="1"/>
  <c r="AO480" i="1" s="1"/>
  <c r="H484" i="1"/>
  <c r="I484" i="1"/>
  <c r="J484" i="1"/>
  <c r="K484" i="1"/>
  <c r="L485" i="1"/>
  <c r="L497" i="1" s="1"/>
  <c r="L486" i="1"/>
  <c r="L498" i="1" s="1"/>
  <c r="L487" i="1"/>
  <c r="L499" i="1" s="1"/>
  <c r="L488" i="1"/>
  <c r="L489" i="1"/>
  <c r="L501" i="1" s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L494" i="1" s="1"/>
  <c r="H495" i="1"/>
  <c r="I495" i="1"/>
  <c r="J495" i="1"/>
  <c r="K495" i="1"/>
  <c r="H496" i="1"/>
  <c r="I496" i="1"/>
  <c r="J496" i="1"/>
  <c r="K496" i="1"/>
  <c r="M505" i="1"/>
  <c r="T505" i="1"/>
  <c r="U505" i="1" s="1"/>
  <c r="V505" i="1" s="1"/>
  <c r="W505" i="1" s="1"/>
  <c r="X505" i="1" s="1"/>
  <c r="Y505" i="1" s="1"/>
  <c r="AC505" i="1"/>
  <c r="N505" i="1" s="1"/>
  <c r="AJ505" i="1"/>
  <c r="AK505" i="1" s="1"/>
  <c r="AL505" i="1" s="1"/>
  <c r="AM505" i="1" s="1"/>
  <c r="AN505" i="1" s="1"/>
  <c r="AO505" i="1" s="1"/>
  <c r="H509" i="1"/>
  <c r="I509" i="1"/>
  <c r="J509" i="1"/>
  <c r="K509" i="1"/>
  <c r="L510" i="1"/>
  <c r="L511" i="1"/>
  <c r="L512" i="1"/>
  <c r="L513" i="1"/>
  <c r="L514" i="1"/>
  <c r="H516" i="1"/>
  <c r="I516" i="1"/>
  <c r="J516" i="1"/>
  <c r="K516" i="1"/>
  <c r="L516" i="1" s="1"/>
  <c r="H517" i="1"/>
  <c r="I517" i="1"/>
  <c r="J517" i="1"/>
  <c r="K517" i="1"/>
  <c r="L517" i="1" s="1"/>
  <c r="H518" i="1"/>
  <c r="I518" i="1"/>
  <c r="J518" i="1"/>
  <c r="K518" i="1"/>
  <c r="L518" i="1" s="1"/>
  <c r="H519" i="1"/>
  <c r="I519" i="1"/>
  <c r="J519" i="1"/>
  <c r="K519" i="1"/>
  <c r="L519" i="1" s="1"/>
  <c r="H520" i="1"/>
  <c r="I520" i="1"/>
  <c r="J520" i="1"/>
  <c r="K520" i="1"/>
  <c r="L520" i="1" s="1"/>
  <c r="H521" i="1"/>
  <c r="I521" i="1"/>
  <c r="J521" i="1"/>
  <c r="J529" i="1" s="1"/>
  <c r="J530" i="1" s="1"/>
  <c r="K521" i="1"/>
  <c r="M530" i="1"/>
  <c r="T530" i="1"/>
  <c r="U530" i="1" s="1"/>
  <c r="V530" i="1" s="1"/>
  <c r="W530" i="1" s="1"/>
  <c r="X530" i="1" s="1"/>
  <c r="Y530" i="1" s="1"/>
  <c r="AC530" i="1"/>
  <c r="N530" i="1" s="1"/>
  <c r="AJ530" i="1"/>
  <c r="AK530" i="1" s="1"/>
  <c r="AL530" i="1" s="1"/>
  <c r="AM530" i="1" s="1"/>
  <c r="AN530" i="1" s="1"/>
  <c r="AO530" i="1" s="1"/>
  <c r="L534" i="1"/>
  <c r="I535" i="1"/>
  <c r="J535" i="1"/>
  <c r="K535" i="1"/>
  <c r="M535" i="1"/>
  <c r="U535" i="1"/>
  <c r="V535" i="1" s="1"/>
  <c r="W535" i="1" s="1"/>
  <c r="X535" i="1" s="1"/>
  <c r="Y535" i="1" s="1"/>
  <c r="AC535" i="1"/>
  <c r="N535" i="1" s="1"/>
  <c r="AK535" i="1"/>
  <c r="AL535" i="1" s="1"/>
  <c r="AM535" i="1" s="1"/>
  <c r="AN535" i="1" s="1"/>
  <c r="AO535" i="1" s="1"/>
  <c r="H538" i="1"/>
  <c r="H539" i="1" s="1"/>
  <c r="I538" i="1"/>
  <c r="I539" i="1" s="1"/>
  <c r="J538" i="1"/>
  <c r="J539" i="1" s="1"/>
  <c r="K538" i="1"/>
  <c r="K539" i="1" s="1"/>
  <c r="L539" i="1" s="1"/>
  <c r="M539" i="1"/>
  <c r="U539" i="1"/>
  <c r="V539" i="1" s="1"/>
  <c r="W539" i="1" s="1"/>
  <c r="X539" i="1" s="1"/>
  <c r="Y539" i="1" s="1"/>
  <c r="AC539" i="1"/>
  <c r="N539" i="1" s="1"/>
  <c r="AK539" i="1"/>
  <c r="AL539" i="1" s="1"/>
  <c r="AM539" i="1" s="1"/>
  <c r="AN539" i="1" s="1"/>
  <c r="AO539" i="1" s="1"/>
  <c r="H544" i="1"/>
  <c r="I544" i="1"/>
  <c r="J544" i="1"/>
  <c r="K544" i="1"/>
  <c r="L545" i="1"/>
  <c r="L546" i="1"/>
  <c r="L547" i="1"/>
  <c r="L548" i="1"/>
  <c r="L549" i="1"/>
  <c r="H551" i="1"/>
  <c r="I551" i="1"/>
  <c r="J551" i="1"/>
  <c r="K551" i="1"/>
  <c r="L551" i="1" s="1"/>
  <c r="H552" i="1"/>
  <c r="I552" i="1"/>
  <c r="J552" i="1"/>
  <c r="K552" i="1"/>
  <c r="L552" i="1" s="1"/>
  <c r="H553" i="1"/>
  <c r="I553" i="1"/>
  <c r="J553" i="1"/>
  <c r="K553" i="1"/>
  <c r="L553" i="1" s="1"/>
  <c r="H554" i="1"/>
  <c r="I554" i="1"/>
  <c r="J554" i="1"/>
  <c r="K554" i="1"/>
  <c r="L554" i="1" s="1"/>
  <c r="H555" i="1"/>
  <c r="I555" i="1"/>
  <c r="J555" i="1"/>
  <c r="K555" i="1"/>
  <c r="L555" i="1" s="1"/>
  <c r="H556" i="1"/>
  <c r="I556" i="1"/>
  <c r="J556" i="1"/>
  <c r="J564" i="1" s="1"/>
  <c r="J565" i="1" s="1"/>
  <c r="K556" i="1"/>
  <c r="K564" i="1" s="1"/>
  <c r="K565" i="1" s="1"/>
  <c r="M565" i="1"/>
  <c r="U565" i="1"/>
  <c r="V565" i="1" s="1"/>
  <c r="W565" i="1" s="1"/>
  <c r="X565" i="1" s="1"/>
  <c r="Y565" i="1" s="1"/>
  <c r="AC565" i="1"/>
  <c r="AK565" i="1"/>
  <c r="AL565" i="1" s="1"/>
  <c r="AM565" i="1" s="1"/>
  <c r="AN565" i="1" s="1"/>
  <c r="AO565" i="1" s="1"/>
  <c r="L569" i="1"/>
  <c r="H570" i="1"/>
  <c r="I570" i="1"/>
  <c r="J570" i="1"/>
  <c r="K570" i="1"/>
  <c r="L570" i="1" s="1"/>
  <c r="H574" i="1"/>
  <c r="H575" i="1" s="1"/>
  <c r="I574" i="1"/>
  <c r="I575" i="1" s="1"/>
  <c r="J574" i="1"/>
  <c r="J575" i="1" s="1"/>
  <c r="K574" i="1"/>
  <c r="K575" i="1" s="1"/>
  <c r="M575" i="1"/>
  <c r="U575" i="1"/>
  <c r="V575" i="1" s="1"/>
  <c r="W575" i="1" s="1"/>
  <c r="X575" i="1" s="1"/>
  <c r="Y575" i="1" s="1"/>
  <c r="AC575" i="1"/>
  <c r="N575" i="1" s="1"/>
  <c r="AK575" i="1"/>
  <c r="AL575" i="1" s="1"/>
  <c r="AM575" i="1" s="1"/>
  <c r="AN575" i="1" s="1"/>
  <c r="AO575" i="1" s="1"/>
  <c r="L579" i="1"/>
  <c r="I580" i="1"/>
  <c r="J580" i="1"/>
  <c r="M580" i="1"/>
  <c r="U580" i="1"/>
  <c r="V580" i="1" s="1"/>
  <c r="W580" i="1" s="1"/>
  <c r="X580" i="1" s="1"/>
  <c r="Y580" i="1" s="1"/>
  <c r="AC580" i="1"/>
  <c r="N580" i="1" s="1"/>
  <c r="AK580" i="1"/>
  <c r="AL580" i="1" s="1"/>
  <c r="AM580" i="1" s="1"/>
  <c r="AN580" i="1" s="1"/>
  <c r="AO580" i="1" s="1"/>
  <c r="H583" i="1"/>
  <c r="H584" i="1" s="1"/>
  <c r="I583" i="1"/>
  <c r="I584" i="1" s="1"/>
  <c r="J583" i="1"/>
  <c r="J584" i="1" s="1"/>
  <c r="K583" i="1"/>
  <c r="K584" i="1" s="1"/>
  <c r="L584" i="1" s="1"/>
  <c r="M584" i="1"/>
  <c r="U584" i="1"/>
  <c r="V584" i="1" s="1"/>
  <c r="W584" i="1" s="1"/>
  <c r="X584" i="1" s="1"/>
  <c r="Y584" i="1" s="1"/>
  <c r="AC584" i="1"/>
  <c r="N584" i="1" s="1"/>
  <c r="AK584" i="1"/>
  <c r="AL584" i="1" s="1"/>
  <c r="AM584" i="1" s="1"/>
  <c r="AN584" i="1" s="1"/>
  <c r="AO584" i="1" s="1"/>
  <c r="L588" i="1"/>
  <c r="M589" i="1"/>
  <c r="U589" i="1"/>
  <c r="V589" i="1" s="1"/>
  <c r="W589" i="1" s="1"/>
  <c r="X589" i="1" s="1"/>
  <c r="Y589" i="1" s="1"/>
  <c r="AC589" i="1"/>
  <c r="N589" i="1" s="1"/>
  <c r="AK589" i="1"/>
  <c r="AL589" i="1" s="1"/>
  <c r="AM589" i="1" s="1"/>
  <c r="AN589" i="1" s="1"/>
  <c r="AO589" i="1" s="1"/>
  <c r="H592" i="1"/>
  <c r="H593" i="1" s="1"/>
  <c r="I592" i="1"/>
  <c r="I593" i="1" s="1"/>
  <c r="J592" i="1"/>
  <c r="J593" i="1" s="1"/>
  <c r="K592" i="1"/>
  <c r="K593" i="1" s="1"/>
  <c r="L593" i="1" s="1"/>
  <c r="H597" i="1"/>
  <c r="I597" i="1"/>
  <c r="J597" i="1"/>
  <c r="J709" i="1" s="1"/>
  <c r="K597" i="1"/>
  <c r="K709" i="1" s="1"/>
  <c r="M599" i="1"/>
  <c r="T599" i="1"/>
  <c r="AC599" i="1"/>
  <c r="AD599" i="1" s="1"/>
  <c r="AE599" i="1" s="1"/>
  <c r="AJ599" i="1"/>
  <c r="M601" i="1"/>
  <c r="N601" i="1"/>
  <c r="O601" i="1"/>
  <c r="P601" i="1"/>
  <c r="Q601" i="1"/>
  <c r="R601" i="1"/>
  <c r="T601" i="1"/>
  <c r="U601" i="1"/>
  <c r="V601" i="1"/>
  <c r="W601" i="1"/>
  <c r="X601" i="1"/>
  <c r="Y601" i="1"/>
  <c r="AK601" i="1"/>
  <c r="AL601" i="1" s="1"/>
  <c r="AM601" i="1" s="1"/>
  <c r="AN601" i="1" s="1"/>
  <c r="AO601" i="1" s="1"/>
  <c r="M603" i="1"/>
  <c r="N603" i="1"/>
  <c r="O603" i="1"/>
  <c r="P603" i="1"/>
  <c r="Q603" i="1"/>
  <c r="R603" i="1"/>
  <c r="T603" i="1"/>
  <c r="U603" i="1"/>
  <c r="V603" i="1"/>
  <c r="W603" i="1"/>
  <c r="X603" i="1"/>
  <c r="Y603" i="1"/>
  <c r="AK603" i="1"/>
  <c r="AL603" i="1" s="1"/>
  <c r="AM603" i="1" s="1"/>
  <c r="AN603" i="1" s="1"/>
  <c r="AO603" i="1" s="1"/>
  <c r="H607" i="1"/>
  <c r="I607" i="1"/>
  <c r="J607" i="1"/>
  <c r="K607" i="1"/>
  <c r="L615" i="1"/>
  <c r="M615" i="1" s="1"/>
  <c r="N615" i="1" s="1"/>
  <c r="O615" i="1" s="1"/>
  <c r="P615" i="1" s="1"/>
  <c r="Q615" i="1" s="1"/>
  <c r="R615" i="1" s="1"/>
  <c r="H625" i="1"/>
  <c r="I625" i="1"/>
  <c r="J625" i="1"/>
  <c r="K625" i="1"/>
  <c r="H635" i="1"/>
  <c r="I635" i="1"/>
  <c r="J635" i="1"/>
  <c r="K635" i="1"/>
  <c r="H639" i="1"/>
  <c r="I639" i="1"/>
  <c r="J639" i="1"/>
  <c r="K639" i="1"/>
  <c r="H643" i="1"/>
  <c r="I643" i="1"/>
  <c r="J643" i="1"/>
  <c r="K643" i="1"/>
  <c r="H656" i="1"/>
  <c r="I656" i="1"/>
  <c r="J656" i="1"/>
  <c r="K656" i="1"/>
  <c r="H659" i="1"/>
  <c r="I659" i="1"/>
  <c r="J659" i="1"/>
  <c r="K659" i="1"/>
  <c r="H662" i="1"/>
  <c r="I662" i="1"/>
  <c r="J662" i="1"/>
  <c r="K662" i="1"/>
  <c r="H681" i="1"/>
  <c r="I681" i="1"/>
  <c r="J681" i="1"/>
  <c r="K681" i="1"/>
  <c r="M688" i="1"/>
  <c r="N688" i="1" s="1"/>
  <c r="O688" i="1" s="1"/>
  <c r="P688" i="1" s="1"/>
  <c r="Q688" i="1" s="1"/>
  <c r="R688" i="1" s="1"/>
  <c r="H690" i="1"/>
  <c r="I690" i="1"/>
  <c r="J690" i="1"/>
  <c r="K690" i="1"/>
  <c r="N694" i="1"/>
  <c r="O694" i="1" s="1"/>
  <c r="P694" i="1" s="1"/>
  <c r="Q694" i="1" s="1"/>
  <c r="R694" i="1" s="1"/>
  <c r="H712" i="1"/>
  <c r="I712" i="1"/>
  <c r="J712" i="1"/>
  <c r="K712" i="1"/>
  <c r="H717" i="1"/>
  <c r="I717" i="1"/>
  <c r="J717" i="1"/>
  <c r="K717" i="1"/>
  <c r="N722" i="1"/>
  <c r="O722" i="1" s="1"/>
  <c r="P722" i="1" s="1"/>
  <c r="Q722" i="1" s="1"/>
  <c r="R722" i="1" s="1"/>
  <c r="H723" i="1"/>
  <c r="I723" i="1"/>
  <c r="J723" i="1"/>
  <c r="K723" i="1"/>
  <c r="M723" i="1"/>
  <c r="N723" i="1" s="1"/>
  <c r="O723" i="1" s="1"/>
  <c r="P723" i="1" s="1"/>
  <c r="Q723" i="1" s="1"/>
  <c r="R723" i="1" s="1"/>
  <c r="N724" i="1"/>
  <c r="O724" i="1" s="1"/>
  <c r="P724" i="1" s="1"/>
  <c r="Q724" i="1" s="1"/>
  <c r="R724" i="1" s="1"/>
  <c r="H7" i="2"/>
  <c r="I7" i="2"/>
  <c r="J7" i="2"/>
  <c r="K7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I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H73" i="2"/>
  <c r="I73" i="2"/>
  <c r="J73" i="2"/>
  <c r="K73" i="2"/>
  <c r="H76" i="2"/>
  <c r="H26" i="5" s="1"/>
  <c r="I76" i="2"/>
  <c r="J76" i="2"/>
  <c r="J26" i="5" s="1"/>
  <c r="K76" i="2"/>
  <c r="K26" i="5" s="1"/>
  <c r="H77" i="2"/>
  <c r="I77" i="2"/>
  <c r="J77" i="2"/>
  <c r="K77" i="2"/>
  <c r="H83" i="2"/>
  <c r="I83" i="2"/>
  <c r="J83" i="2"/>
  <c r="K83" i="2"/>
  <c r="H102" i="2"/>
  <c r="I102" i="2"/>
  <c r="J102" i="2"/>
  <c r="K102" i="2"/>
  <c r="H103" i="2"/>
  <c r="I103" i="2"/>
  <c r="J103" i="2"/>
  <c r="K103" i="2"/>
  <c r="H104" i="2"/>
  <c r="I104" i="2"/>
  <c r="J104" i="2"/>
  <c r="K104" i="2"/>
  <c r="H105" i="2"/>
  <c r="I105" i="2"/>
  <c r="J105" i="2"/>
  <c r="K105" i="2"/>
  <c r="H106" i="2"/>
  <c r="I106" i="2"/>
  <c r="J106" i="2"/>
  <c r="K106" i="2"/>
  <c r="H107" i="2"/>
  <c r="H114" i="2" s="1"/>
  <c r="J107" i="2"/>
  <c r="J114" i="2" s="1"/>
  <c r="K107" i="2"/>
  <c r="K114" i="2" s="1"/>
  <c r="I114" i="2"/>
  <c r="H119" i="2"/>
  <c r="H120" i="2" s="1"/>
  <c r="E60" i="34" s="1"/>
  <c r="I119" i="2"/>
  <c r="I120" i="2" s="1"/>
  <c r="F60" i="34" s="1"/>
  <c r="J119" i="2"/>
  <c r="J120" i="2" s="1"/>
  <c r="G60" i="34" s="1"/>
  <c r="K119" i="2"/>
  <c r="H124" i="2"/>
  <c r="I124" i="2"/>
  <c r="I142" i="2" s="1"/>
  <c r="J124" i="2"/>
  <c r="K124" i="2"/>
  <c r="AA124" i="2"/>
  <c r="H143" i="2"/>
  <c r="I143" i="2"/>
  <c r="H144" i="2"/>
  <c r="I144" i="2"/>
  <c r="H145" i="2"/>
  <c r="I145" i="2"/>
  <c r="H146" i="2"/>
  <c r="I146" i="2"/>
  <c r="H147" i="2"/>
  <c r="I147" i="2"/>
  <c r="H148" i="2"/>
  <c r="H155" i="2" s="1"/>
  <c r="J148" i="2"/>
  <c r="J155" i="2" s="1"/>
  <c r="K148" i="2"/>
  <c r="K155" i="2" s="1"/>
  <c r="I155" i="2"/>
  <c r="H160" i="2"/>
  <c r="H161" i="2" s="1"/>
  <c r="E61" i="34" s="1"/>
  <c r="I160" i="2"/>
  <c r="I161" i="2" s="1"/>
  <c r="F61" i="34" s="1"/>
  <c r="J160" i="2"/>
  <c r="J161" i="2" s="1"/>
  <c r="G61" i="34" s="1"/>
  <c r="K160" i="2"/>
  <c r="K161" i="2" s="1"/>
  <c r="I61" i="34" s="1"/>
  <c r="H165" i="2"/>
  <c r="I165" i="2"/>
  <c r="I183" i="2" s="1"/>
  <c r="J165" i="2"/>
  <c r="K165" i="2"/>
  <c r="AQ165" i="2"/>
  <c r="H184" i="2"/>
  <c r="I184" i="2"/>
  <c r="J184" i="2"/>
  <c r="H185" i="2"/>
  <c r="I185" i="2"/>
  <c r="J185" i="2"/>
  <c r="H186" i="2"/>
  <c r="I186" i="2"/>
  <c r="J186" i="2"/>
  <c r="H187" i="2"/>
  <c r="I187" i="2"/>
  <c r="J187" i="2"/>
  <c r="H188" i="2"/>
  <c r="I188" i="2"/>
  <c r="J188" i="2"/>
  <c r="H189" i="2"/>
  <c r="J189" i="2"/>
  <c r="J196" i="2" s="1"/>
  <c r="K189" i="2"/>
  <c r="I196" i="2"/>
  <c r="H201" i="2"/>
  <c r="H202" i="2" s="1"/>
  <c r="E62" i="34" s="1"/>
  <c r="I201" i="2"/>
  <c r="I202" i="2" s="1"/>
  <c r="F62" i="34" s="1"/>
  <c r="J201" i="2"/>
  <c r="J202" i="2" s="1"/>
  <c r="G62" i="34" s="1"/>
  <c r="K201" i="2"/>
  <c r="H206" i="2"/>
  <c r="I206" i="2"/>
  <c r="J206" i="2"/>
  <c r="K206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H237" i="2" s="1"/>
  <c r="J230" i="2"/>
  <c r="J237" i="2" s="1"/>
  <c r="K230" i="2"/>
  <c r="I237" i="2"/>
  <c r="H242" i="2"/>
  <c r="H243" i="2" s="1"/>
  <c r="E63" i="34" s="1"/>
  <c r="I242" i="2"/>
  <c r="J242" i="2"/>
  <c r="J243" i="2" s="1"/>
  <c r="G63" i="34" s="1"/>
  <c r="K242" i="2"/>
  <c r="AK243" i="2"/>
  <c r="AP243" i="2"/>
  <c r="H247" i="2"/>
  <c r="I247" i="2"/>
  <c r="I265" i="2" s="1"/>
  <c r="J247" i="2"/>
  <c r="K247" i="2"/>
  <c r="H266" i="2"/>
  <c r="I266" i="2"/>
  <c r="J266" i="2"/>
  <c r="H267" i="2"/>
  <c r="I267" i="2"/>
  <c r="J267" i="2"/>
  <c r="H268" i="2"/>
  <c r="I268" i="2"/>
  <c r="J268" i="2"/>
  <c r="H269" i="2"/>
  <c r="I269" i="2"/>
  <c r="J269" i="2"/>
  <c r="H270" i="2"/>
  <c r="I270" i="2"/>
  <c r="J270" i="2"/>
  <c r="H271" i="2"/>
  <c r="H278" i="2" s="1"/>
  <c r="J271" i="2"/>
  <c r="J278" i="2" s="1"/>
  <c r="K271" i="2"/>
  <c r="I278" i="2"/>
  <c r="H283" i="2"/>
  <c r="H284" i="2" s="1"/>
  <c r="E64" i="34" s="1"/>
  <c r="I283" i="2"/>
  <c r="I284" i="2" s="1"/>
  <c r="F64" i="34" s="1"/>
  <c r="J283" i="2"/>
  <c r="J284" i="2" s="1"/>
  <c r="G64" i="34" s="1"/>
  <c r="K283" i="2"/>
  <c r="H288" i="2"/>
  <c r="I288" i="2"/>
  <c r="I306" i="2" s="1"/>
  <c r="J288" i="2"/>
  <c r="K288" i="2"/>
  <c r="H307" i="2"/>
  <c r="I307" i="2"/>
  <c r="J307" i="2"/>
  <c r="K307" i="2"/>
  <c r="L307" i="2" s="1"/>
  <c r="M307" i="2" s="1"/>
  <c r="AC307" i="2" s="1"/>
  <c r="N307" i="2" s="1"/>
  <c r="AD307" i="2" s="1"/>
  <c r="O307" i="2" s="1"/>
  <c r="AE307" i="2" s="1"/>
  <c r="P307" i="2" s="1"/>
  <c r="AF307" i="2" s="1"/>
  <c r="Q307" i="2" s="1"/>
  <c r="AG307" i="2" s="1"/>
  <c r="R307" i="2" s="1"/>
  <c r="AH307" i="2" s="1"/>
  <c r="S307" i="2" s="1"/>
  <c r="H308" i="2"/>
  <c r="I308" i="2"/>
  <c r="J308" i="2"/>
  <c r="K308" i="2"/>
  <c r="L308" i="2" s="1"/>
  <c r="M308" i="2" s="1"/>
  <c r="AC308" i="2" s="1"/>
  <c r="N308" i="2" s="1"/>
  <c r="AD308" i="2" s="1"/>
  <c r="O308" i="2" s="1"/>
  <c r="AE308" i="2" s="1"/>
  <c r="P308" i="2" s="1"/>
  <c r="AF308" i="2" s="1"/>
  <c r="Q308" i="2" s="1"/>
  <c r="AG308" i="2" s="1"/>
  <c r="R308" i="2" s="1"/>
  <c r="AH308" i="2" s="1"/>
  <c r="S308" i="2" s="1"/>
  <c r="H309" i="2"/>
  <c r="I309" i="2"/>
  <c r="J309" i="2"/>
  <c r="K309" i="2"/>
  <c r="L309" i="2" s="1"/>
  <c r="M309" i="2" s="1"/>
  <c r="AC309" i="2" s="1"/>
  <c r="N309" i="2" s="1"/>
  <c r="AD309" i="2" s="1"/>
  <c r="O309" i="2" s="1"/>
  <c r="H310" i="2"/>
  <c r="I310" i="2"/>
  <c r="J310" i="2"/>
  <c r="K310" i="2"/>
  <c r="L310" i="2" s="1"/>
  <c r="M310" i="2" s="1"/>
  <c r="AC310" i="2" s="1"/>
  <c r="N310" i="2" s="1"/>
  <c r="AD310" i="2" s="1"/>
  <c r="O310" i="2" s="1"/>
  <c r="AE310" i="2" s="1"/>
  <c r="P310" i="2" s="1"/>
  <c r="AF310" i="2" s="1"/>
  <c r="Q310" i="2" s="1"/>
  <c r="AG310" i="2" s="1"/>
  <c r="R310" i="2" s="1"/>
  <c r="AH310" i="2" s="1"/>
  <c r="S310" i="2" s="1"/>
  <c r="H311" i="2"/>
  <c r="I311" i="2"/>
  <c r="J311" i="2"/>
  <c r="K311" i="2"/>
  <c r="L311" i="2" s="1"/>
  <c r="M311" i="2" s="1"/>
  <c r="AC311" i="2" s="1"/>
  <c r="N311" i="2" s="1"/>
  <c r="AD311" i="2" s="1"/>
  <c r="O311" i="2" s="1"/>
  <c r="AE311" i="2" s="1"/>
  <c r="P311" i="2" s="1"/>
  <c r="AF311" i="2" s="1"/>
  <c r="Q311" i="2" s="1"/>
  <c r="AG311" i="2" s="1"/>
  <c r="R311" i="2" s="1"/>
  <c r="AH311" i="2" s="1"/>
  <c r="S311" i="2" s="1"/>
  <c r="K312" i="2"/>
  <c r="K319" i="2" s="1"/>
  <c r="L319" i="2" s="1"/>
  <c r="M319" i="2" s="1"/>
  <c r="M312" i="2" s="1"/>
  <c r="H319" i="2"/>
  <c r="I319" i="2"/>
  <c r="J319" i="2"/>
  <c r="H324" i="2"/>
  <c r="H325" i="2" s="1"/>
  <c r="E65" i="34" s="1"/>
  <c r="I324" i="2"/>
  <c r="I325" i="2" s="1"/>
  <c r="F65" i="34" s="1"/>
  <c r="J324" i="2"/>
  <c r="J325" i="2" s="1"/>
  <c r="G65" i="34" s="1"/>
  <c r="K324" i="2"/>
  <c r="K325" i="2" s="1"/>
  <c r="U325" i="2" s="1"/>
  <c r="H332" i="2"/>
  <c r="I332" i="2"/>
  <c r="J332" i="2"/>
  <c r="K332" i="2"/>
  <c r="H333" i="2"/>
  <c r="I333" i="2"/>
  <c r="J333" i="2"/>
  <c r="K333" i="2"/>
  <c r="H334" i="2"/>
  <c r="I334" i="2"/>
  <c r="J334" i="2"/>
  <c r="K334" i="2"/>
  <c r="H335" i="2"/>
  <c r="I335" i="2"/>
  <c r="J335" i="2"/>
  <c r="K335" i="2"/>
  <c r="H336" i="2"/>
  <c r="I336" i="2"/>
  <c r="J336" i="2"/>
  <c r="K336" i="2"/>
  <c r="H343" i="2"/>
  <c r="I343" i="2"/>
  <c r="H344" i="2"/>
  <c r="I344" i="2"/>
  <c r="J344" i="2"/>
  <c r="K344" i="2"/>
  <c r="H345" i="2"/>
  <c r="I345" i="2"/>
  <c r="J345" i="2"/>
  <c r="K345" i="2"/>
  <c r="H346" i="2"/>
  <c r="I346" i="2"/>
  <c r="J346" i="2"/>
  <c r="K346" i="2"/>
  <c r="H347" i="2"/>
  <c r="I347" i="2"/>
  <c r="J347" i="2"/>
  <c r="K347" i="2"/>
  <c r="H348" i="2"/>
  <c r="I348" i="2"/>
  <c r="J348" i="2"/>
  <c r="K348" i="2"/>
  <c r="H351" i="2"/>
  <c r="H27" i="5" s="1"/>
  <c r="I351" i="2"/>
  <c r="F13" i="34" s="1"/>
  <c r="J351" i="2"/>
  <c r="J27" i="5" s="1"/>
  <c r="K351" i="2"/>
  <c r="K27" i="5" s="1"/>
  <c r="H352" i="2"/>
  <c r="I352" i="2"/>
  <c r="J352" i="2"/>
  <c r="K352" i="2"/>
  <c r="H358" i="2"/>
  <c r="H376" i="2" s="1"/>
  <c r="I358" i="2"/>
  <c r="I376" i="2" s="1"/>
  <c r="J358" i="2"/>
  <c r="K358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J382" i="2"/>
  <c r="K382" i="2"/>
  <c r="H389" i="2"/>
  <c r="I389" i="2"/>
  <c r="E67" i="34"/>
  <c r="F67" i="34"/>
  <c r="G67" i="34"/>
  <c r="I67" i="34"/>
  <c r="H399" i="2"/>
  <c r="H417" i="2" s="1"/>
  <c r="I399" i="2"/>
  <c r="I417" i="2" s="1"/>
  <c r="J399" i="2"/>
  <c r="K399" i="2"/>
  <c r="H418" i="2"/>
  <c r="I418" i="2"/>
  <c r="J418" i="2"/>
  <c r="H419" i="2"/>
  <c r="I419" i="2"/>
  <c r="J419" i="2"/>
  <c r="H420" i="2"/>
  <c r="I420" i="2"/>
  <c r="J420" i="2"/>
  <c r="H421" i="2"/>
  <c r="I421" i="2"/>
  <c r="J421" i="2"/>
  <c r="H422" i="2"/>
  <c r="I422" i="2"/>
  <c r="J422" i="2"/>
  <c r="J423" i="2"/>
  <c r="K423" i="2"/>
  <c r="H430" i="2"/>
  <c r="I430" i="2"/>
  <c r="H435" i="2"/>
  <c r="H436" i="2" s="1"/>
  <c r="E68" i="34" s="1"/>
  <c r="I435" i="2"/>
  <c r="I436" i="2" s="1"/>
  <c r="F68" i="34" s="1"/>
  <c r="AL436" i="2"/>
  <c r="AK436" i="2"/>
  <c r="AO436" i="2"/>
  <c r="AP436" i="2"/>
  <c r="H440" i="2"/>
  <c r="H458" i="2" s="1"/>
  <c r="I440" i="2"/>
  <c r="I458" i="2" s="1"/>
  <c r="J440" i="2"/>
  <c r="K440" i="2"/>
  <c r="H459" i="2"/>
  <c r="I459" i="2"/>
  <c r="J459" i="2"/>
  <c r="H460" i="2"/>
  <c r="I460" i="2"/>
  <c r="J460" i="2"/>
  <c r="H461" i="2"/>
  <c r="I461" i="2"/>
  <c r="J461" i="2"/>
  <c r="H462" i="2"/>
  <c r="I462" i="2"/>
  <c r="J462" i="2"/>
  <c r="H463" i="2"/>
  <c r="I463" i="2"/>
  <c r="J463" i="2"/>
  <c r="J464" i="2"/>
  <c r="K464" i="2"/>
  <c r="H471" i="2"/>
  <c r="I471" i="2"/>
  <c r="H476" i="2"/>
  <c r="H477" i="2" s="1"/>
  <c r="E69" i="34" s="1"/>
  <c r="I476" i="2"/>
  <c r="G69" i="34"/>
  <c r="H69" i="34"/>
  <c r="H481" i="2"/>
  <c r="H499" i="2" s="1"/>
  <c r="I481" i="2"/>
  <c r="I499" i="2" s="1"/>
  <c r="J481" i="2"/>
  <c r="K481" i="2"/>
  <c r="H500" i="2"/>
  <c r="I500" i="2"/>
  <c r="J500" i="2"/>
  <c r="H501" i="2"/>
  <c r="I501" i="2"/>
  <c r="J501" i="2"/>
  <c r="H502" i="2"/>
  <c r="I502" i="2"/>
  <c r="J502" i="2"/>
  <c r="H503" i="2"/>
  <c r="I503" i="2"/>
  <c r="J503" i="2"/>
  <c r="H504" i="2"/>
  <c r="I504" i="2"/>
  <c r="J504" i="2"/>
  <c r="J505" i="2"/>
  <c r="J512" i="2" s="1"/>
  <c r="H512" i="2"/>
  <c r="I512" i="2"/>
  <c r="H517" i="2"/>
  <c r="H518" i="2" s="1"/>
  <c r="E70" i="34" s="1"/>
  <c r="I517" i="2"/>
  <c r="I518" i="2" s="1"/>
  <c r="F70" i="34" s="1"/>
  <c r="J517" i="2"/>
  <c r="J518" i="2" s="1"/>
  <c r="G70" i="34" s="1"/>
  <c r="K517" i="2"/>
  <c r="K518" i="2" s="1"/>
  <c r="H522" i="2"/>
  <c r="H540" i="2" s="1"/>
  <c r="I522" i="2"/>
  <c r="I540" i="2" s="1"/>
  <c r="J522" i="2"/>
  <c r="K522" i="2"/>
  <c r="AQ522" i="2"/>
  <c r="H541" i="2"/>
  <c r="I541" i="2"/>
  <c r="J541" i="2"/>
  <c r="K541" i="2"/>
  <c r="H542" i="2"/>
  <c r="I542" i="2"/>
  <c r="J542" i="2"/>
  <c r="K542" i="2"/>
  <c r="H543" i="2"/>
  <c r="I543" i="2"/>
  <c r="J543" i="2"/>
  <c r="K543" i="2"/>
  <c r="L543" i="2" s="1"/>
  <c r="M543" i="2" s="1"/>
  <c r="AC543" i="2" s="1"/>
  <c r="N543" i="2" s="1"/>
  <c r="AD543" i="2" s="1"/>
  <c r="O543" i="2" s="1"/>
  <c r="AE543" i="2" s="1"/>
  <c r="P543" i="2" s="1"/>
  <c r="AF543" i="2" s="1"/>
  <c r="Q543" i="2" s="1"/>
  <c r="AG543" i="2" s="1"/>
  <c r="R543" i="2" s="1"/>
  <c r="AH543" i="2" s="1"/>
  <c r="S543" i="2" s="1"/>
  <c r="H544" i="2"/>
  <c r="I544" i="2"/>
  <c r="J544" i="2"/>
  <c r="K544" i="2"/>
  <c r="H545" i="2"/>
  <c r="I545" i="2"/>
  <c r="J545" i="2"/>
  <c r="K545" i="2"/>
  <c r="L545" i="2" s="1"/>
  <c r="M545" i="2" s="1"/>
  <c r="AC545" i="2" s="1"/>
  <c r="J546" i="2"/>
  <c r="J553" i="2" s="1"/>
  <c r="K546" i="2"/>
  <c r="K553" i="2" s="1"/>
  <c r="L553" i="2" s="1"/>
  <c r="M553" i="2" s="1"/>
  <c r="H553" i="2"/>
  <c r="I553" i="2"/>
  <c r="H559" i="2"/>
  <c r="E71" i="34" s="1"/>
  <c r="I558" i="2"/>
  <c r="I559" i="2" s="1"/>
  <c r="F71" i="34" s="1"/>
  <c r="J558" i="2"/>
  <c r="J559" i="2" s="1"/>
  <c r="G71" i="34" s="1"/>
  <c r="K558" i="2"/>
  <c r="K559" i="2" s="1"/>
  <c r="H563" i="2"/>
  <c r="H581" i="2" s="1"/>
  <c r="I563" i="2"/>
  <c r="I581" i="2" s="1"/>
  <c r="J563" i="2"/>
  <c r="K563" i="2"/>
  <c r="H582" i="2"/>
  <c r="I582" i="2"/>
  <c r="J582" i="2"/>
  <c r="K582" i="2"/>
  <c r="L582" i="2" s="1"/>
  <c r="M582" i="2" s="1"/>
  <c r="H583" i="2"/>
  <c r="I583" i="2"/>
  <c r="J583" i="2"/>
  <c r="K583" i="2"/>
  <c r="L583" i="2" s="1"/>
  <c r="M583" i="2" s="1"/>
  <c r="H584" i="2"/>
  <c r="I584" i="2"/>
  <c r="J584" i="2"/>
  <c r="K584" i="2"/>
  <c r="L584" i="2" s="1"/>
  <c r="M584" i="2" s="1"/>
  <c r="AC584" i="2" s="1"/>
  <c r="N584" i="2" s="1"/>
  <c r="AD584" i="2" s="1"/>
  <c r="O584" i="2" s="1"/>
  <c r="AE584" i="2" s="1"/>
  <c r="P584" i="2" s="1"/>
  <c r="AF584" i="2" s="1"/>
  <c r="Q584" i="2" s="1"/>
  <c r="AG584" i="2" s="1"/>
  <c r="R584" i="2" s="1"/>
  <c r="AH584" i="2" s="1"/>
  <c r="S584" i="2" s="1"/>
  <c r="H585" i="2"/>
  <c r="I585" i="2"/>
  <c r="J585" i="2"/>
  <c r="K585" i="2"/>
  <c r="L585" i="2" s="1"/>
  <c r="M585" i="2" s="1"/>
  <c r="AC585" i="2" s="1"/>
  <c r="N585" i="2" s="1"/>
  <c r="AD585" i="2" s="1"/>
  <c r="O585" i="2" s="1"/>
  <c r="AE585" i="2" s="1"/>
  <c r="P585" i="2" s="1"/>
  <c r="AF585" i="2" s="1"/>
  <c r="Q585" i="2" s="1"/>
  <c r="AG585" i="2" s="1"/>
  <c r="R585" i="2" s="1"/>
  <c r="AH585" i="2" s="1"/>
  <c r="S585" i="2" s="1"/>
  <c r="H586" i="2"/>
  <c r="I586" i="2"/>
  <c r="J586" i="2"/>
  <c r="K586" i="2"/>
  <c r="L586" i="2" s="1"/>
  <c r="M586" i="2" s="1"/>
  <c r="K587" i="2"/>
  <c r="H594" i="2"/>
  <c r="I594" i="2"/>
  <c r="J594" i="2"/>
  <c r="H599" i="2"/>
  <c r="I599" i="2"/>
  <c r="I600" i="2" s="1"/>
  <c r="F72" i="34" s="1"/>
  <c r="J599" i="2"/>
  <c r="J600" i="2" s="1"/>
  <c r="G72" i="34" s="1"/>
  <c r="K599" i="2"/>
  <c r="K600" i="2" s="1"/>
  <c r="I72" i="34" s="1"/>
  <c r="U600" i="2"/>
  <c r="Y600" i="2"/>
  <c r="Z600" i="2"/>
  <c r="AK600" i="2"/>
  <c r="AO600" i="2"/>
  <c r="AP600" i="2"/>
  <c r="H606" i="2"/>
  <c r="I606" i="2"/>
  <c r="J606" i="2"/>
  <c r="K606" i="2"/>
  <c r="H613" i="2"/>
  <c r="I613" i="2"/>
  <c r="J613" i="2"/>
  <c r="K613" i="2"/>
  <c r="H614" i="2"/>
  <c r="I614" i="2"/>
  <c r="J614" i="2"/>
  <c r="K614" i="2"/>
  <c r="H615" i="2"/>
  <c r="I615" i="2"/>
  <c r="J615" i="2"/>
  <c r="K615" i="2"/>
  <c r="H616" i="2"/>
  <c r="I616" i="2"/>
  <c r="J616" i="2"/>
  <c r="K616" i="2"/>
  <c r="H617" i="2"/>
  <c r="I617" i="2"/>
  <c r="J617" i="2"/>
  <c r="K617" i="2"/>
  <c r="H618" i="2"/>
  <c r="E20" i="34" s="1"/>
  <c r="I618" i="2"/>
  <c r="F20" i="34" s="1"/>
  <c r="J618" i="2"/>
  <c r="K618" i="2"/>
  <c r="K20" i="34"/>
  <c r="AA618" i="2"/>
  <c r="V618" i="2" s="1"/>
  <c r="W618" i="2" s="1"/>
  <c r="X618" i="2" s="1"/>
  <c r="Y618" i="2" s="1"/>
  <c r="Z618" i="2" s="1"/>
  <c r="AQ618" i="2"/>
  <c r="AL618" i="2" s="1"/>
  <c r="AM618" i="2" s="1"/>
  <c r="AN618" i="2" s="1"/>
  <c r="AO618" i="2" s="1"/>
  <c r="AP618" i="2" s="1"/>
  <c r="L28" i="5"/>
  <c r="U629" i="2"/>
  <c r="V629" i="2"/>
  <c r="AK629" i="2"/>
  <c r="H633" i="2"/>
  <c r="I633" i="2"/>
  <c r="J633" i="2"/>
  <c r="J746" i="2" s="1"/>
  <c r="H635" i="2"/>
  <c r="I635" i="2"/>
  <c r="J635" i="2"/>
  <c r="K635" i="2"/>
  <c r="AK635" i="2" s="1"/>
  <c r="H647" i="2"/>
  <c r="I647" i="2"/>
  <c r="J647" i="2"/>
  <c r="K647" i="2"/>
  <c r="H659" i="2"/>
  <c r="I659" i="2"/>
  <c r="J659" i="2"/>
  <c r="K659" i="2"/>
  <c r="U659" i="2"/>
  <c r="V659" i="2"/>
  <c r="W659" i="2"/>
  <c r="X659" i="2"/>
  <c r="Y659" i="2"/>
  <c r="AK659" i="2"/>
  <c r="AL659" i="2"/>
  <c r="AM659" i="2"/>
  <c r="AN659" i="2"/>
  <c r="AO659" i="2"/>
  <c r="N687" i="2"/>
  <c r="H700" i="2"/>
  <c r="I700" i="2"/>
  <c r="J700" i="2"/>
  <c r="K700" i="2"/>
  <c r="H713" i="2"/>
  <c r="I713" i="2"/>
  <c r="J713" i="2"/>
  <c r="K713" i="2"/>
  <c r="H719" i="2"/>
  <c r="I719" i="2"/>
  <c r="J719" i="2"/>
  <c r="K719" i="2"/>
  <c r="H730" i="2"/>
  <c r="I730" i="2"/>
  <c r="J730" i="2"/>
  <c r="K730" i="2"/>
  <c r="H736" i="2"/>
  <c r="I736" i="2"/>
  <c r="J736" i="2"/>
  <c r="K736" i="2"/>
  <c r="H744" i="2"/>
  <c r="I744" i="2"/>
  <c r="J744" i="2"/>
  <c r="H748" i="2"/>
  <c r="I748" i="2"/>
  <c r="J748" i="2"/>
  <c r="H756" i="2"/>
  <c r="I756" i="2"/>
  <c r="J756" i="2"/>
  <c r="K756" i="2"/>
  <c r="O759" i="2"/>
  <c r="N762" i="2"/>
  <c r="O769" i="2"/>
  <c r="P769" i="2" s="1"/>
  <c r="Q769" i="2" s="1"/>
  <c r="R769" i="2" s="1"/>
  <c r="S769" i="2" s="1"/>
  <c r="N770" i="2"/>
  <c r="O770" i="2" s="1"/>
  <c r="P770" i="2" s="1"/>
  <c r="Q770" i="2" s="1"/>
  <c r="R770" i="2" s="1"/>
  <c r="S770" i="2" s="1"/>
  <c r="H771" i="2"/>
  <c r="I771" i="2"/>
  <c r="J771" i="2"/>
  <c r="K771" i="2"/>
  <c r="H51" i="5"/>
  <c r="K84" i="5"/>
  <c r="O11" i="5"/>
  <c r="H17" i="5"/>
  <c r="I17" i="5"/>
  <c r="J17" i="5"/>
  <c r="K17" i="5"/>
  <c r="H19" i="5"/>
  <c r="I19" i="5"/>
  <c r="J19" i="5"/>
  <c r="K19" i="5"/>
  <c r="H28" i="5"/>
  <c r="I28" i="5"/>
  <c r="J28" i="5"/>
  <c r="K28" i="5"/>
  <c r="E47" i="34"/>
  <c r="E50" i="34" s="1"/>
  <c r="F47" i="34"/>
  <c r="F50" i="34" s="1"/>
  <c r="G47" i="34"/>
  <c r="G50" i="34" s="1"/>
  <c r="H47" i="34"/>
  <c r="H50" i="34" s="1"/>
  <c r="E52" i="34"/>
  <c r="G52" i="34"/>
  <c r="H52" i="34"/>
  <c r="E53" i="34"/>
  <c r="F53" i="34"/>
  <c r="H53" i="34"/>
  <c r="N65" i="5"/>
  <c r="O65" i="5"/>
  <c r="P65" i="5"/>
  <c r="Q65" i="5"/>
  <c r="R65" i="5"/>
  <c r="S65" i="5"/>
  <c r="H68" i="5"/>
  <c r="E57" i="34" s="1"/>
  <c r="G57" i="34"/>
  <c r="H57" i="34"/>
  <c r="H81" i="5"/>
  <c r="I81" i="5"/>
  <c r="J81" i="5"/>
  <c r="K81" i="5"/>
  <c r="I83" i="5"/>
  <c r="J83" i="5"/>
  <c r="K83" i="5"/>
  <c r="N85" i="5"/>
  <c r="O85" i="5" s="1"/>
  <c r="H92" i="5"/>
  <c r="I92" i="5"/>
  <c r="J92" i="5"/>
  <c r="K92" i="5"/>
  <c r="H94" i="5"/>
  <c r="I94" i="5"/>
  <c r="J94" i="5"/>
  <c r="K94" i="5"/>
  <c r="N96" i="5"/>
  <c r="O96" i="5" s="1"/>
  <c r="P96" i="5" s="1"/>
  <c r="Q96" i="5" s="1"/>
  <c r="R96" i="5" s="1"/>
  <c r="S96" i="5" s="1"/>
  <c r="O98" i="5"/>
  <c r="P98" i="5" s="1"/>
  <c r="Q98" i="5" s="1"/>
  <c r="R98" i="5" s="1"/>
  <c r="S98" i="5" s="1"/>
  <c r="H103" i="5"/>
  <c r="I103" i="5"/>
  <c r="J103" i="5"/>
  <c r="K103" i="5"/>
  <c r="H105" i="5"/>
  <c r="I105" i="5"/>
  <c r="J105" i="5"/>
  <c r="K105" i="5"/>
  <c r="H106" i="5"/>
  <c r="I106" i="5"/>
  <c r="J106" i="5"/>
  <c r="K106" i="5"/>
  <c r="N106" i="5"/>
  <c r="O106" i="5"/>
  <c r="P106" i="5"/>
  <c r="Q106" i="5"/>
  <c r="R106" i="5"/>
  <c r="S106" i="5"/>
  <c r="N107" i="5"/>
  <c r="O107" i="5" s="1"/>
  <c r="P107" i="5" s="1"/>
  <c r="Q107" i="5" s="1"/>
  <c r="R107" i="5" s="1"/>
  <c r="S107" i="5" s="1"/>
  <c r="N184" i="5"/>
  <c r="O184" i="5" s="1"/>
  <c r="P184" i="5" s="1"/>
  <c r="Q184" i="5" s="1"/>
  <c r="R184" i="5" s="1"/>
  <c r="S184" i="5" s="1"/>
  <c r="H191" i="5"/>
  <c r="H193" i="5"/>
  <c r="N195" i="5"/>
  <c r="O195" i="5" s="1"/>
  <c r="P195" i="5" s="1"/>
  <c r="Q195" i="5" s="1"/>
  <c r="R195" i="5" s="1"/>
  <c r="S195" i="5" s="1"/>
  <c r="H201" i="5"/>
  <c r="H203" i="5"/>
  <c r="N205" i="5"/>
  <c r="O205" i="5" s="1"/>
  <c r="P205" i="5" s="1"/>
  <c r="Q205" i="5" s="1"/>
  <c r="R205" i="5" s="1"/>
  <c r="S205" i="5" s="1"/>
  <c r="H226" i="5"/>
  <c r="I226" i="5"/>
  <c r="J226" i="5"/>
  <c r="O226" i="5"/>
  <c r="P226" i="5" s="1"/>
  <c r="Q226" i="5" s="1"/>
  <c r="R226" i="5" s="1"/>
  <c r="S226" i="5" s="1"/>
  <c r="H229" i="5"/>
  <c r="I229" i="5"/>
  <c r="J229" i="5"/>
  <c r="H290" i="5"/>
  <c r="H292" i="5"/>
  <c r="E4" i="34"/>
  <c r="F4" i="34"/>
  <c r="G4" i="34"/>
  <c r="G112" i="34" s="1"/>
  <c r="H4" i="34"/>
  <c r="E7" i="34"/>
  <c r="F7" i="34"/>
  <c r="G7" i="34"/>
  <c r="H7" i="34"/>
  <c r="E8" i="34"/>
  <c r="F8" i="34"/>
  <c r="G8" i="34"/>
  <c r="H8" i="34"/>
  <c r="E9" i="34"/>
  <c r="F9" i="34"/>
  <c r="G9" i="34"/>
  <c r="H9" i="34"/>
  <c r="E10" i="34"/>
  <c r="F10" i="34"/>
  <c r="G10" i="34"/>
  <c r="H10" i="34"/>
  <c r="E11" i="34"/>
  <c r="F11" i="34"/>
  <c r="G11" i="34"/>
  <c r="H11" i="34"/>
  <c r="E12" i="34"/>
  <c r="F12" i="34"/>
  <c r="G12" i="34"/>
  <c r="H12" i="34"/>
  <c r="E14" i="34"/>
  <c r="F14" i="34"/>
  <c r="G14" i="34"/>
  <c r="H14" i="34"/>
  <c r="E15" i="34"/>
  <c r="F15" i="34"/>
  <c r="G15" i="34"/>
  <c r="H15" i="34"/>
  <c r="E16" i="34"/>
  <c r="F16" i="34"/>
  <c r="G16" i="34"/>
  <c r="H16" i="34"/>
  <c r="E17" i="34"/>
  <c r="F17" i="34"/>
  <c r="G17" i="34"/>
  <c r="H17" i="34"/>
  <c r="E18" i="34"/>
  <c r="F18" i="34"/>
  <c r="G18" i="34"/>
  <c r="H18" i="34"/>
  <c r="E19" i="34"/>
  <c r="F19" i="34"/>
  <c r="G19" i="34"/>
  <c r="H19" i="34"/>
  <c r="I20" i="34"/>
  <c r="F52" i="34"/>
  <c r="G53" i="34"/>
  <c r="F57" i="34"/>
  <c r="F119" i="34"/>
  <c r="G119" i="34"/>
  <c r="H119" i="34"/>
  <c r="F120" i="34"/>
  <c r="G120" i="34"/>
  <c r="H120" i="34"/>
  <c r="F121" i="34"/>
  <c r="G121" i="34"/>
  <c r="H121" i="34"/>
  <c r="H7" i="22"/>
  <c r="I23" i="22"/>
  <c r="I13" i="25" s="1"/>
  <c r="J23" i="22"/>
  <c r="J13" i="25" s="1"/>
  <c r="I26" i="22"/>
  <c r="J26" i="22"/>
  <c r="K26" i="22"/>
  <c r="O28" i="22"/>
  <c r="I32" i="22"/>
  <c r="I30" i="22" s="1"/>
  <c r="J98" i="19"/>
  <c r="J11" i="22" s="1"/>
  <c r="H8" i="17"/>
  <c r="H21" i="17" s="1"/>
  <c r="I8" i="17"/>
  <c r="J8" i="17"/>
  <c r="K8" i="17"/>
  <c r="H10" i="17"/>
  <c r="I10" i="17"/>
  <c r="J10" i="17"/>
  <c r="K10" i="17"/>
  <c r="H13" i="17"/>
  <c r="I13" i="17"/>
  <c r="J13" i="17"/>
  <c r="K13" i="17"/>
  <c r="H15" i="17"/>
  <c r="I15" i="17"/>
  <c r="J15" i="17"/>
  <c r="K15" i="17"/>
  <c r="H17" i="17"/>
  <c r="I17" i="17"/>
  <c r="J17" i="17"/>
  <c r="K17" i="17"/>
  <c r="H33" i="17"/>
  <c r="I33" i="17"/>
  <c r="J33" i="17"/>
  <c r="K33" i="17"/>
  <c r="H37" i="17"/>
  <c r="I37" i="17"/>
  <c r="J37" i="17"/>
  <c r="K37" i="17"/>
  <c r="H44" i="17"/>
  <c r="E96" i="34" s="1"/>
  <c r="I44" i="17"/>
  <c r="J44" i="17"/>
  <c r="K44" i="17"/>
  <c r="F10" i="28"/>
  <c r="L71" i="28" s="1"/>
  <c r="F11" i="28"/>
  <c r="G33" i="28"/>
  <c r="F34" i="28"/>
  <c r="M72" i="28"/>
  <c r="N72" i="28"/>
  <c r="O72" i="28"/>
  <c r="P72" i="28"/>
  <c r="Q72" i="28"/>
  <c r="R72" i="28"/>
  <c r="M79" i="28"/>
  <c r="M80" i="28" s="1"/>
  <c r="N79" i="28"/>
  <c r="N80" i="28" s="1"/>
  <c r="O79" i="28"/>
  <c r="O80" i="28" s="1"/>
  <c r="P79" i="28"/>
  <c r="P80" i="28" s="1"/>
  <c r="Q79" i="28"/>
  <c r="Q80" i="28" s="1"/>
  <c r="K101" i="28"/>
  <c r="J101" i="28" s="1"/>
  <c r="I101" i="28" s="1"/>
  <c r="H101" i="28" s="1"/>
  <c r="M101" i="28"/>
  <c r="N101" i="28" s="1"/>
  <c r="O101" i="28" s="1"/>
  <c r="P101" i="28" s="1"/>
  <c r="G105" i="28"/>
  <c r="G104" i="28" s="1"/>
  <c r="G103" i="28" s="1"/>
  <c r="G102" i="28" s="1"/>
  <c r="G107" i="28"/>
  <c r="K116" i="28"/>
  <c r="J116" i="28" s="1"/>
  <c r="I116" i="28" s="1"/>
  <c r="H116" i="28" s="1"/>
  <c r="M116" i="28"/>
  <c r="N116" i="28" s="1"/>
  <c r="O116" i="28" s="1"/>
  <c r="P116" i="28" s="1"/>
  <c r="G120" i="28"/>
  <c r="G119" i="28" s="1"/>
  <c r="G118" i="28" s="1"/>
  <c r="G122" i="28"/>
  <c r="G123" i="28" s="1"/>
  <c r="G34" i="33"/>
  <c r="F46" i="33" s="1"/>
  <c r="F35" i="33"/>
  <c r="F36" i="33" s="1"/>
  <c r="J42" i="33"/>
  <c r="O11" i="19" s="1"/>
  <c r="L86" i="33"/>
  <c r="M87" i="33"/>
  <c r="N87" i="33"/>
  <c r="O87" i="33"/>
  <c r="P87" i="33"/>
  <c r="Q87" i="33"/>
  <c r="R87" i="33"/>
  <c r="R111" i="33" s="1"/>
  <c r="K163" i="33"/>
  <c r="J163" i="33" s="1"/>
  <c r="I163" i="33" s="1"/>
  <c r="H163" i="33" s="1"/>
  <c r="M163" i="33"/>
  <c r="N163" i="33" s="1"/>
  <c r="O163" i="33" s="1"/>
  <c r="P163" i="33" s="1"/>
  <c r="F167" i="33"/>
  <c r="F166" i="33" s="1"/>
  <c r="F169" i="33"/>
  <c r="F170" i="33" s="1"/>
  <c r="F171" i="33" s="1"/>
  <c r="F172" i="33" s="1"/>
  <c r="K178" i="33"/>
  <c r="J178" i="33" s="1"/>
  <c r="I178" i="33" s="1"/>
  <c r="H178" i="33" s="1"/>
  <c r="M178" i="33"/>
  <c r="N178" i="33" s="1"/>
  <c r="O178" i="33" s="1"/>
  <c r="P178" i="33" s="1"/>
  <c r="F182" i="33"/>
  <c r="F181" i="33" s="1"/>
  <c r="F180" i="33" s="1"/>
  <c r="F184" i="33"/>
  <c r="F185" i="33" s="1"/>
  <c r="F186" i="33" s="1"/>
  <c r="O23" i="19" l="1"/>
  <c r="O67" i="25"/>
  <c r="I819" i="36"/>
  <c r="I820" i="36" s="1"/>
  <c r="I803" i="36"/>
  <c r="K803" i="36"/>
  <c r="K797" i="36"/>
  <c r="H802" i="36"/>
  <c r="I798" i="36"/>
  <c r="J513" i="36"/>
  <c r="K515" i="36"/>
  <c r="M741" i="36"/>
  <c r="M742" i="36" s="1"/>
  <c r="J40" i="34"/>
  <c r="I780" i="36"/>
  <c r="I781" i="36" s="1"/>
  <c r="F41" i="34"/>
  <c r="J780" i="36"/>
  <c r="J781" i="36" s="1"/>
  <c r="G41" i="34"/>
  <c r="I741" i="36"/>
  <c r="I742" i="36" s="1"/>
  <c r="F40" i="34"/>
  <c r="K780" i="36"/>
  <c r="K781" i="36" s="1"/>
  <c r="H41" i="34"/>
  <c r="L780" i="36"/>
  <c r="L781" i="36" s="1"/>
  <c r="I41" i="34"/>
  <c r="Q41" i="34" s="1"/>
  <c r="K702" i="36"/>
  <c r="K703" i="36" s="1"/>
  <c r="H42" i="34"/>
  <c r="I28" i="22"/>
  <c r="L196" i="1"/>
  <c r="J224" i="5"/>
  <c r="G99" i="34"/>
  <c r="K393" i="1"/>
  <c r="K224" i="5"/>
  <c r="H99" i="34"/>
  <c r="O27" i="25"/>
  <c r="O35" i="25"/>
  <c r="I224" i="5"/>
  <c r="F99" i="34"/>
  <c r="H28" i="34"/>
  <c r="I10" i="42"/>
  <c r="H678" i="36"/>
  <c r="F46" i="42"/>
  <c r="L234" i="36"/>
  <c r="J36" i="42"/>
  <c r="J59" i="42" s="1"/>
  <c r="I33" i="34"/>
  <c r="J15" i="42"/>
  <c r="L273" i="36"/>
  <c r="J37" i="42"/>
  <c r="J60" i="42" s="1"/>
  <c r="H35" i="34"/>
  <c r="I17" i="42"/>
  <c r="H702" i="36"/>
  <c r="F20" i="42"/>
  <c r="M273" i="36"/>
  <c r="K37" i="42"/>
  <c r="K60" i="42" s="1"/>
  <c r="H31" i="34"/>
  <c r="I13" i="42"/>
  <c r="I31" i="34"/>
  <c r="Q31" i="34" s="1"/>
  <c r="J13" i="42"/>
  <c r="J33" i="34"/>
  <c r="K15" i="42"/>
  <c r="F35" i="34"/>
  <c r="G17" i="42"/>
  <c r="J31" i="34"/>
  <c r="K13" i="42"/>
  <c r="F26" i="34"/>
  <c r="G8" i="42"/>
  <c r="H34" i="5"/>
  <c r="E29" i="34" s="1"/>
  <c r="F11" i="42"/>
  <c r="G26" i="34"/>
  <c r="H8" i="42"/>
  <c r="J34" i="5"/>
  <c r="G29" i="34" s="1"/>
  <c r="H11" i="42"/>
  <c r="K34" i="5"/>
  <c r="H29" i="34" s="1"/>
  <c r="I11" i="42"/>
  <c r="M234" i="36"/>
  <c r="K36" i="42"/>
  <c r="K59" i="42" s="1"/>
  <c r="G28" i="34"/>
  <c r="H10" i="42"/>
  <c r="J26" i="34"/>
  <c r="K8" i="42"/>
  <c r="E27" i="34"/>
  <c r="Q27" i="34" s="1"/>
  <c r="F9" i="42"/>
  <c r="L312" i="36"/>
  <c r="I77" i="34" s="1"/>
  <c r="J38" i="42"/>
  <c r="J61" i="42" s="1"/>
  <c r="H742" i="36"/>
  <c r="F48" i="42"/>
  <c r="J32" i="34"/>
  <c r="K14" i="42"/>
  <c r="H33" i="34"/>
  <c r="I15" i="42"/>
  <c r="F27" i="34"/>
  <c r="G9" i="42"/>
  <c r="M312" i="36"/>
  <c r="J77" i="34" s="1"/>
  <c r="K38" i="42"/>
  <c r="K61" i="42" s="1"/>
  <c r="H63" i="5"/>
  <c r="H74" i="5" s="1"/>
  <c r="E89" i="34" s="1"/>
  <c r="I31" i="36"/>
  <c r="G7" i="41" s="1"/>
  <c r="G9" i="41" s="1"/>
  <c r="Q20" i="34"/>
  <c r="L144" i="1"/>
  <c r="AD580" i="1"/>
  <c r="AE580" i="1" s="1"/>
  <c r="K391" i="1"/>
  <c r="AD226" i="1"/>
  <c r="O226" i="1" s="1"/>
  <c r="K164" i="4"/>
  <c r="K167" i="4" s="1"/>
  <c r="O63" i="1"/>
  <c r="K392" i="1"/>
  <c r="I49" i="4"/>
  <c r="K288" i="1"/>
  <c r="H66" i="1"/>
  <c r="K240" i="1"/>
  <c r="L561" i="1"/>
  <c r="L297" i="1"/>
  <c r="O242" i="1"/>
  <c r="B36" i="15"/>
  <c r="AD328" i="1"/>
  <c r="O328" i="1" s="1"/>
  <c r="S19" i="4"/>
  <c r="K696" i="1"/>
  <c r="K714" i="1" s="1"/>
  <c r="K211" i="1"/>
  <c r="K152" i="3"/>
  <c r="K649" i="1"/>
  <c r="K651" i="1" s="1"/>
  <c r="J211" i="1"/>
  <c r="L220" i="1"/>
  <c r="M971" i="36"/>
  <c r="J86" i="34" s="1"/>
  <c r="I63" i="5"/>
  <c r="I74" i="5" s="1"/>
  <c r="F89" i="34" s="1"/>
  <c r="K675" i="1"/>
  <c r="K724" i="1" s="1"/>
  <c r="L474" i="1"/>
  <c r="P394" i="1"/>
  <c r="B14" i="15"/>
  <c r="J391" i="1"/>
  <c r="Q243" i="1"/>
  <c r="J242" i="1"/>
  <c r="H239" i="1"/>
  <c r="M66" i="1"/>
  <c r="I242" i="1"/>
  <c r="N240" i="1"/>
  <c r="H31" i="36"/>
  <c r="F7" i="41" s="1"/>
  <c r="F9" i="41" s="1"/>
  <c r="H43" i="36"/>
  <c r="F6" i="41" s="1"/>
  <c r="I625" i="36"/>
  <c r="I629" i="36"/>
  <c r="I43" i="36"/>
  <c r="G6" i="41" s="1"/>
  <c r="J233" i="36"/>
  <c r="G27" i="34"/>
  <c r="L155" i="36"/>
  <c r="I25" i="34"/>
  <c r="J677" i="36"/>
  <c r="J678" i="36" s="1"/>
  <c r="G39" i="34"/>
  <c r="M155" i="36"/>
  <c r="J25" i="34"/>
  <c r="K677" i="36"/>
  <c r="K678" i="36" s="1"/>
  <c r="H39" i="34"/>
  <c r="H272" i="36"/>
  <c r="E28" i="34"/>
  <c r="Q28" i="34" s="1"/>
  <c r="M1108" i="36"/>
  <c r="M1157" i="36" s="1"/>
  <c r="J24" i="34"/>
  <c r="I272" i="36"/>
  <c r="F28" i="34"/>
  <c r="J87" i="34"/>
  <c r="AC980" i="36"/>
  <c r="L677" i="36"/>
  <c r="L678" i="36" s="1"/>
  <c r="I39" i="34"/>
  <c r="Q39" i="34" s="1"/>
  <c r="H1108" i="36"/>
  <c r="H1157" i="36" s="1"/>
  <c r="E24" i="34"/>
  <c r="M677" i="36"/>
  <c r="M678" i="36" s="1"/>
  <c r="J39" i="34"/>
  <c r="J1108" i="36"/>
  <c r="J1157" i="36" s="1"/>
  <c r="G24" i="34"/>
  <c r="H155" i="36"/>
  <c r="E25" i="34"/>
  <c r="J272" i="36"/>
  <c r="K512" i="36"/>
  <c r="H396" i="36"/>
  <c r="K1108" i="36"/>
  <c r="K1157" i="36" s="1"/>
  <c r="H24" i="34"/>
  <c r="K233" i="36"/>
  <c r="H27" i="34"/>
  <c r="I155" i="36"/>
  <c r="F25" i="34"/>
  <c r="K194" i="36"/>
  <c r="H26" i="34"/>
  <c r="I1108" i="36"/>
  <c r="I1157" i="36" s="1"/>
  <c r="F24" i="34"/>
  <c r="L1108" i="36"/>
  <c r="L1157" i="36" s="1"/>
  <c r="I24" i="34"/>
  <c r="J155" i="36"/>
  <c r="G25" i="34"/>
  <c r="L194" i="36"/>
  <c r="I26" i="34"/>
  <c r="Q26" i="34" s="1"/>
  <c r="K155" i="36"/>
  <c r="H25" i="34"/>
  <c r="O1015" i="36"/>
  <c r="F98" i="37"/>
  <c r="J26" i="37"/>
  <c r="J54" i="37" s="1"/>
  <c r="I100" i="37"/>
  <c r="K27" i="37"/>
  <c r="K26" i="37" s="1"/>
  <c r="K57" i="37" s="1"/>
  <c r="F95" i="37"/>
  <c r="G98" i="37"/>
  <c r="H97" i="37"/>
  <c r="G95" i="37"/>
  <c r="H98" i="37"/>
  <c r="H95" i="37"/>
  <c r="I98" i="37"/>
  <c r="I97" i="37"/>
  <c r="M276" i="36"/>
  <c r="M303" i="36" s="1"/>
  <c r="M279" i="36" s="1"/>
  <c r="M1129" i="36"/>
  <c r="M1147" i="36" s="1"/>
  <c r="L473" i="1"/>
  <c r="H242" i="1"/>
  <c r="M240" i="1"/>
  <c r="Q65" i="1"/>
  <c r="L271" i="1"/>
  <c r="AD151" i="1"/>
  <c r="O151" i="1" s="1"/>
  <c r="L146" i="1"/>
  <c r="I295" i="36"/>
  <c r="I41" i="24"/>
  <c r="I149" i="24"/>
  <c r="I152" i="24" s="1"/>
  <c r="I267" i="24" s="1"/>
  <c r="I265" i="24" s="1"/>
  <c r="I266" i="24" s="1"/>
  <c r="I211" i="1"/>
  <c r="J159" i="4"/>
  <c r="J173" i="4"/>
  <c r="J41" i="24"/>
  <c r="J149" i="24"/>
  <c r="J152" i="24" s="1"/>
  <c r="J267" i="24" s="1"/>
  <c r="J265" i="24" s="1"/>
  <c r="J266" i="24" s="1"/>
  <c r="O40" i="19"/>
  <c r="J696" i="1"/>
  <c r="J714" i="1" s="1"/>
  <c r="L560" i="1"/>
  <c r="J31" i="36"/>
  <c r="J35" i="36"/>
  <c r="I38" i="24"/>
  <c r="I99" i="24"/>
  <c r="I102" i="24" s="1"/>
  <c r="I222" i="24" s="1"/>
  <c r="I220" i="24" s="1"/>
  <c r="L41" i="24"/>
  <c r="L149" i="24"/>
  <c r="L152" i="24" s="1"/>
  <c r="H696" i="1"/>
  <c r="L523" i="1"/>
  <c r="K302" i="1"/>
  <c r="K303" i="1" s="1"/>
  <c r="L303" i="1" s="1"/>
  <c r="I88" i="3"/>
  <c r="I89" i="3" s="1"/>
  <c r="I156" i="4"/>
  <c r="I175" i="4"/>
  <c r="J311" i="36"/>
  <c r="I95" i="37"/>
  <c r="L38" i="24"/>
  <c r="L99" i="24"/>
  <c r="L102" i="24" s="1"/>
  <c r="J38" i="24"/>
  <c r="J99" i="24"/>
  <c r="J102" i="24" s="1"/>
  <c r="J222" i="24" s="1"/>
  <c r="J220" i="24" s="1"/>
  <c r="K311" i="36"/>
  <c r="M483" i="36"/>
  <c r="AC483" i="36" s="1"/>
  <c r="AD483" i="36" s="1"/>
  <c r="M484" i="36"/>
  <c r="H11" i="2"/>
  <c r="AD505" i="1"/>
  <c r="AE505" i="1" s="1"/>
  <c r="AF505" i="1" s="1"/>
  <c r="AG505" i="1" s="1"/>
  <c r="R505" i="1" s="1"/>
  <c r="J225" i="1"/>
  <c r="J226" i="1" s="1"/>
  <c r="L169" i="1"/>
  <c r="I65" i="1"/>
  <c r="N63" i="1"/>
  <c r="J355" i="36"/>
  <c r="F96" i="37"/>
  <c r="J156" i="4"/>
  <c r="J175" i="4"/>
  <c r="K580" i="2"/>
  <c r="K578" i="2"/>
  <c r="K597" i="2"/>
  <c r="K576" i="2"/>
  <c r="K579" i="2"/>
  <c r="K575" i="2"/>
  <c r="K577" i="2"/>
  <c r="K550" i="1"/>
  <c r="L155" i="1"/>
  <c r="AB155" i="1" s="1"/>
  <c r="H132" i="3"/>
  <c r="L45" i="3"/>
  <c r="M51" i="3"/>
  <c r="M45" i="3" s="1"/>
  <c r="P1007" i="36"/>
  <c r="G96" i="37"/>
  <c r="H96" i="37"/>
  <c r="N22" i="40"/>
  <c r="S65" i="38"/>
  <c r="R32" i="1"/>
  <c r="P29" i="1"/>
  <c r="R1007" i="36"/>
  <c r="H649" i="1"/>
  <c r="H651" i="1" s="1"/>
  <c r="I1142" i="36"/>
  <c r="M29" i="40"/>
  <c r="R78" i="38"/>
  <c r="B26" i="15"/>
  <c r="L424" i="1"/>
  <c r="K363" i="1"/>
  <c r="K160" i="3"/>
  <c r="K292" i="36"/>
  <c r="AD539" i="1"/>
  <c r="O539" i="1" s="1"/>
  <c r="K242" i="1"/>
  <c r="P240" i="1"/>
  <c r="I239" i="1"/>
  <c r="AD201" i="1"/>
  <c r="O201" i="1" s="1"/>
  <c r="F100" i="37"/>
  <c r="L388" i="1"/>
  <c r="K439" i="36"/>
  <c r="O1029" i="36"/>
  <c r="J21" i="37"/>
  <c r="L37" i="41" s="1"/>
  <c r="M50" i="40"/>
  <c r="R117" i="38"/>
  <c r="J40" i="24"/>
  <c r="J124" i="24"/>
  <c r="L40" i="24"/>
  <c r="L124" i="24"/>
  <c r="I40" i="24"/>
  <c r="I124" i="24"/>
  <c r="K109" i="5"/>
  <c r="J109" i="5"/>
  <c r="K46" i="5"/>
  <c r="I109" i="5"/>
  <c r="K87" i="5"/>
  <c r="O215" i="5"/>
  <c r="N215" i="5"/>
  <c r="H109" i="5"/>
  <c r="J46" i="17"/>
  <c r="K30" i="5"/>
  <c r="K29" i="5" s="1"/>
  <c r="I30" i="5"/>
  <c r="K21" i="17"/>
  <c r="H93" i="34" s="1"/>
  <c r="P11" i="5"/>
  <c r="O7" i="4"/>
  <c r="F112" i="34"/>
  <c r="J102" i="4"/>
  <c r="I102" i="4"/>
  <c r="Q20" i="4"/>
  <c r="P20" i="4"/>
  <c r="M43" i="4"/>
  <c r="M74" i="4"/>
  <c r="M68" i="4" s="1"/>
  <c r="M67" i="4" s="1"/>
  <c r="M73" i="4" s="1"/>
  <c r="L68" i="4"/>
  <c r="L67" i="4" s="1"/>
  <c r="AK67" i="4" s="1"/>
  <c r="AL67" i="4" s="1"/>
  <c r="AM67" i="4" s="1"/>
  <c r="AN67" i="4" s="1"/>
  <c r="AO67" i="4" s="1"/>
  <c r="AP67" i="4" s="1"/>
  <c r="J556" i="2"/>
  <c r="K556" i="2"/>
  <c r="J581" i="2"/>
  <c r="M546" i="2"/>
  <c r="M521" i="2" s="1"/>
  <c r="N553" i="2"/>
  <c r="O553" i="2" s="1"/>
  <c r="P553" i="2" s="1"/>
  <c r="Q553" i="2" s="1"/>
  <c r="R553" i="2" s="1"/>
  <c r="S553" i="2" s="1"/>
  <c r="AD545" i="2"/>
  <c r="O545" i="2" s="1"/>
  <c r="AE545" i="2" s="1"/>
  <c r="P545" i="2" s="1"/>
  <c r="AF545" i="2" s="1"/>
  <c r="Q545" i="2" s="1"/>
  <c r="AG545" i="2" s="1"/>
  <c r="R545" i="2" s="1"/>
  <c r="AH545" i="2" s="1"/>
  <c r="S545" i="2" s="1"/>
  <c r="N545" i="2"/>
  <c r="K537" i="2"/>
  <c r="K535" i="2"/>
  <c r="K539" i="2"/>
  <c r="K538" i="2"/>
  <c r="K534" i="2"/>
  <c r="K536" i="2"/>
  <c r="J535" i="2"/>
  <c r="J539" i="2"/>
  <c r="J538" i="2"/>
  <c r="J536" i="2"/>
  <c r="J537" i="2"/>
  <c r="J534" i="2"/>
  <c r="K495" i="2"/>
  <c r="K496" i="2"/>
  <c r="K515" i="2"/>
  <c r="K497" i="2"/>
  <c r="K493" i="2"/>
  <c r="K494" i="2"/>
  <c r="K498" i="2"/>
  <c r="J498" i="2"/>
  <c r="J493" i="2"/>
  <c r="J515" i="2"/>
  <c r="L516" i="2" s="1"/>
  <c r="J495" i="2"/>
  <c r="J496" i="2"/>
  <c r="J497" i="2"/>
  <c r="J494" i="2"/>
  <c r="K499" i="2"/>
  <c r="L487" i="2"/>
  <c r="K456" i="2"/>
  <c r="K453" i="2"/>
  <c r="K452" i="2"/>
  <c r="K454" i="2"/>
  <c r="K457" i="2"/>
  <c r="K474" i="2"/>
  <c r="K455" i="2"/>
  <c r="J456" i="2"/>
  <c r="J454" i="2"/>
  <c r="J453" i="2"/>
  <c r="J452" i="2"/>
  <c r="J455" i="2"/>
  <c r="J457" i="2"/>
  <c r="J474" i="2"/>
  <c r="L475" i="2" s="1"/>
  <c r="K64" i="2"/>
  <c r="K415" i="2"/>
  <c r="K433" i="2"/>
  <c r="K413" i="2"/>
  <c r="K414" i="2"/>
  <c r="K416" i="2"/>
  <c r="K411" i="2"/>
  <c r="K412" i="2"/>
  <c r="J413" i="2"/>
  <c r="J433" i="2"/>
  <c r="J414" i="2"/>
  <c r="J411" i="2"/>
  <c r="J412" i="2"/>
  <c r="J415" i="2"/>
  <c r="J416" i="2"/>
  <c r="L446" i="2"/>
  <c r="J392" i="2"/>
  <c r="K392" i="2"/>
  <c r="K373" i="2"/>
  <c r="K370" i="2"/>
  <c r="K371" i="2"/>
  <c r="K372" i="2"/>
  <c r="K374" i="2"/>
  <c r="K375" i="2"/>
  <c r="J371" i="2"/>
  <c r="J372" i="2"/>
  <c r="J374" i="2"/>
  <c r="J375" i="2"/>
  <c r="J373" i="2"/>
  <c r="J370" i="2"/>
  <c r="K322" i="2"/>
  <c r="AE309" i="2"/>
  <c r="P309" i="2" s="1"/>
  <c r="K300" i="2"/>
  <c r="K302" i="2"/>
  <c r="K303" i="2"/>
  <c r="K305" i="2"/>
  <c r="K301" i="2"/>
  <c r="K304" i="2"/>
  <c r="J306" i="2"/>
  <c r="H306" i="2"/>
  <c r="J281" i="2"/>
  <c r="L282" i="2" s="1"/>
  <c r="K281" i="2"/>
  <c r="H261" i="2"/>
  <c r="H262" i="2"/>
  <c r="H263" i="2"/>
  <c r="H264" i="2"/>
  <c r="H260" i="2"/>
  <c r="H259" i="2"/>
  <c r="K260" i="2"/>
  <c r="K264" i="2"/>
  <c r="K261" i="2"/>
  <c r="K262" i="2"/>
  <c r="K259" i="2"/>
  <c r="K263" i="2"/>
  <c r="J261" i="2"/>
  <c r="J262" i="2"/>
  <c r="J259" i="2"/>
  <c r="J263" i="2"/>
  <c r="J260" i="2"/>
  <c r="J264" i="2"/>
  <c r="K220" i="2"/>
  <c r="K240" i="2"/>
  <c r="K218" i="2"/>
  <c r="K222" i="2"/>
  <c r="K221" i="2"/>
  <c r="K219" i="2"/>
  <c r="K223" i="2"/>
  <c r="J218" i="2"/>
  <c r="J220" i="2"/>
  <c r="J240" i="2"/>
  <c r="J219" i="2"/>
  <c r="J223" i="2"/>
  <c r="J221" i="2"/>
  <c r="J222" i="2"/>
  <c r="H220" i="2"/>
  <c r="H222" i="2"/>
  <c r="H221" i="2"/>
  <c r="H223" i="2"/>
  <c r="H219" i="2"/>
  <c r="H240" i="2"/>
  <c r="H218" i="2"/>
  <c r="L253" i="2"/>
  <c r="I224" i="2"/>
  <c r="K199" i="2"/>
  <c r="K178" i="2"/>
  <c r="K179" i="2"/>
  <c r="K177" i="2"/>
  <c r="K182" i="2"/>
  <c r="K180" i="2"/>
  <c r="K181" i="2"/>
  <c r="H182" i="2"/>
  <c r="H178" i="2"/>
  <c r="H177" i="2"/>
  <c r="H179" i="2"/>
  <c r="H181" i="2"/>
  <c r="H199" i="2"/>
  <c r="H180" i="2"/>
  <c r="J181" i="2"/>
  <c r="J182" i="2"/>
  <c r="J180" i="2"/>
  <c r="J179" i="2"/>
  <c r="J177" i="2"/>
  <c r="J199" i="2"/>
  <c r="J178" i="2"/>
  <c r="H158" i="2"/>
  <c r="K158" i="2"/>
  <c r="J158" i="2"/>
  <c r="H137" i="2"/>
  <c r="H138" i="2"/>
  <c r="H139" i="2"/>
  <c r="H136" i="2"/>
  <c r="H140" i="2"/>
  <c r="H141" i="2"/>
  <c r="K137" i="2"/>
  <c r="K141" i="2"/>
  <c r="K136" i="2"/>
  <c r="K139" i="2"/>
  <c r="K138" i="2"/>
  <c r="K140" i="2"/>
  <c r="J139" i="2"/>
  <c r="J136" i="2"/>
  <c r="J138" i="2"/>
  <c r="J140" i="2"/>
  <c r="J137" i="2"/>
  <c r="J141" i="2"/>
  <c r="J117" i="2"/>
  <c r="K117" i="2"/>
  <c r="M287" i="2"/>
  <c r="M68" i="2"/>
  <c r="H117" i="2"/>
  <c r="H100" i="2"/>
  <c r="H99" i="2"/>
  <c r="H97" i="2"/>
  <c r="H98" i="2"/>
  <c r="H96" i="2"/>
  <c r="H95" i="2"/>
  <c r="J99" i="2"/>
  <c r="J96" i="2"/>
  <c r="J95" i="2"/>
  <c r="J100" i="2"/>
  <c r="J97" i="2"/>
  <c r="J98" i="2"/>
  <c r="K97" i="2"/>
  <c r="K95" i="2"/>
  <c r="K98" i="2"/>
  <c r="K96" i="2"/>
  <c r="K99" i="2"/>
  <c r="K100" i="2"/>
  <c r="J766" i="2"/>
  <c r="J768" i="2"/>
  <c r="I101" i="2"/>
  <c r="K759" i="2"/>
  <c r="J23" i="2"/>
  <c r="E6" i="34"/>
  <c r="J64" i="2"/>
  <c r="AL629" i="2"/>
  <c r="H142" i="2"/>
  <c r="H341" i="2"/>
  <c r="K202" i="2"/>
  <c r="I62" i="34" s="1"/>
  <c r="K284" i="2"/>
  <c r="H64" i="34" s="1"/>
  <c r="K196" i="2"/>
  <c r="K183" i="2"/>
  <c r="K471" i="2"/>
  <c r="N471" i="2" s="1"/>
  <c r="O471" i="2" s="1"/>
  <c r="P471" i="2" s="1"/>
  <c r="Q471" i="2" s="1"/>
  <c r="R471" i="2" s="1"/>
  <c r="S471" i="2" s="1"/>
  <c r="K458" i="2"/>
  <c r="F5" i="34"/>
  <c r="L546" i="2"/>
  <c r="L521" i="2" s="1"/>
  <c r="K430" i="2"/>
  <c r="N430" i="2" s="1"/>
  <c r="O430" i="2" s="1"/>
  <c r="P430" i="2" s="1"/>
  <c r="Q430" i="2" s="1"/>
  <c r="R430" i="2" s="1"/>
  <c r="S430" i="2" s="1"/>
  <c r="K417" i="2"/>
  <c r="N319" i="2"/>
  <c r="O319" i="2" s="1"/>
  <c r="P319" i="2" s="1"/>
  <c r="Q319" i="2" s="1"/>
  <c r="R319" i="2" s="1"/>
  <c r="S319" i="2" s="1"/>
  <c r="L312" i="2"/>
  <c r="L287" i="2" s="1"/>
  <c r="H224" i="2"/>
  <c r="H67" i="34"/>
  <c r="I66" i="2"/>
  <c r="K376" i="2"/>
  <c r="K278" i="2"/>
  <c r="N278" i="2" s="1"/>
  <c r="O278" i="2" s="1"/>
  <c r="P278" i="2" s="1"/>
  <c r="Q278" i="2" s="1"/>
  <c r="R278" i="2" s="1"/>
  <c r="S278" i="2" s="1"/>
  <c r="K265" i="2"/>
  <c r="O747" i="36"/>
  <c r="O771" i="36" s="1"/>
  <c r="K237" i="2"/>
  <c r="K224" i="2"/>
  <c r="J20" i="24"/>
  <c r="I20" i="24"/>
  <c r="H20" i="24"/>
  <c r="N295" i="5"/>
  <c r="O295" i="5" s="1"/>
  <c r="P295" i="5" s="1"/>
  <c r="Q295" i="5" s="1"/>
  <c r="R295" i="5" s="1"/>
  <c r="S295" i="5" s="1"/>
  <c r="K97" i="3"/>
  <c r="I19" i="3"/>
  <c r="R20" i="4"/>
  <c r="N21" i="4"/>
  <c r="R19" i="4"/>
  <c r="H138" i="4"/>
  <c r="J49" i="4"/>
  <c r="Q19" i="4"/>
  <c r="S20" i="4"/>
  <c r="I672" i="2"/>
  <c r="K65" i="2"/>
  <c r="I341" i="2"/>
  <c r="P152" i="38"/>
  <c r="Q152" i="38" s="1"/>
  <c r="R152" i="38" s="1"/>
  <c r="H688" i="36"/>
  <c r="K627" i="36"/>
  <c r="H628" i="36"/>
  <c r="I628" i="36"/>
  <c r="K49" i="36"/>
  <c r="K21" i="36" s="1"/>
  <c r="K1111" i="36" s="1"/>
  <c r="H34" i="36"/>
  <c r="L29" i="37"/>
  <c r="M29" i="37" s="1"/>
  <c r="O1007" i="36"/>
  <c r="K688" i="36"/>
  <c r="J918" i="36"/>
  <c r="H68" i="36"/>
  <c r="J1142" i="36"/>
  <c r="K43" i="36"/>
  <c r="I6" i="41" s="1"/>
  <c r="M114" i="36"/>
  <c r="M400" i="36"/>
  <c r="L444" i="36"/>
  <c r="K329" i="36"/>
  <c r="M439" i="36"/>
  <c r="I327" i="36"/>
  <c r="I326" i="36"/>
  <c r="I49" i="36"/>
  <c r="I21" i="36" s="1"/>
  <c r="I1111" i="36" s="1"/>
  <c r="I658" i="36"/>
  <c r="I721" i="36"/>
  <c r="H1082" i="36"/>
  <c r="J327" i="36"/>
  <c r="K658" i="36"/>
  <c r="E46" i="34"/>
  <c r="K327" i="36"/>
  <c r="L658" i="36"/>
  <c r="J397" i="36"/>
  <c r="I68" i="36"/>
  <c r="J43" i="36"/>
  <c r="I34" i="36"/>
  <c r="I66" i="36"/>
  <c r="H328" i="36"/>
  <c r="I355" i="36"/>
  <c r="J628" i="36"/>
  <c r="J627" i="36"/>
  <c r="M658" i="36"/>
  <c r="H45" i="36"/>
  <c r="F24" i="41" s="1"/>
  <c r="L49" i="36"/>
  <c r="L21" i="36" s="1"/>
  <c r="L1111" i="36" s="1"/>
  <c r="H657" i="36"/>
  <c r="O710" i="36"/>
  <c r="P710" i="36" s="1"/>
  <c r="Q710" i="36" s="1"/>
  <c r="R710" i="36" s="1"/>
  <c r="S710" i="36" s="1"/>
  <c r="K799" i="36"/>
  <c r="Q1017" i="36"/>
  <c r="I65" i="36"/>
  <c r="M49" i="36"/>
  <c r="M21" i="36" s="1"/>
  <c r="M1111" i="36" s="1"/>
  <c r="I657" i="36"/>
  <c r="O1027" i="36"/>
  <c r="AD727" i="36"/>
  <c r="O727" i="36" s="1"/>
  <c r="O1048" i="36"/>
  <c r="J34" i="36"/>
  <c r="L659" i="36"/>
  <c r="H64" i="36"/>
  <c r="M377" i="36"/>
  <c r="H626" i="36"/>
  <c r="H625" i="36"/>
  <c r="L649" i="36"/>
  <c r="U460" i="36"/>
  <c r="V460" i="36" s="1"/>
  <c r="W460" i="36" s="1"/>
  <c r="X460" i="36" s="1"/>
  <c r="Y460" i="36" s="1"/>
  <c r="Z460" i="36" s="1"/>
  <c r="N665" i="36"/>
  <c r="N671" i="36" s="1"/>
  <c r="K34" i="36"/>
  <c r="I35" i="36"/>
  <c r="I217" i="36"/>
  <c r="I250" i="36"/>
  <c r="L276" i="36"/>
  <c r="L302" i="36" s="1"/>
  <c r="O711" i="36"/>
  <c r="P711" i="36" s="1"/>
  <c r="O999" i="36"/>
  <c r="Q1007" i="36"/>
  <c r="J46" i="36"/>
  <c r="H33" i="41" s="1"/>
  <c r="L173" i="36"/>
  <c r="K31" i="36"/>
  <c r="L100" i="36"/>
  <c r="U100" i="36" s="1"/>
  <c r="V100" i="36" s="1"/>
  <c r="W100" i="36" s="1"/>
  <c r="X100" i="36" s="1"/>
  <c r="Y100" i="36" s="1"/>
  <c r="Z100" i="36" s="1"/>
  <c r="L174" i="36"/>
  <c r="I178" i="36"/>
  <c r="I472" i="36"/>
  <c r="M100" i="36"/>
  <c r="M177" i="36"/>
  <c r="I473" i="36"/>
  <c r="J930" i="36"/>
  <c r="K1098" i="36"/>
  <c r="K1100" i="36" s="1"/>
  <c r="M455" i="36"/>
  <c r="J68" i="36"/>
  <c r="K295" i="36"/>
  <c r="H325" i="36"/>
  <c r="J395" i="36"/>
  <c r="H46" i="34"/>
  <c r="K68" i="36"/>
  <c r="I325" i="36"/>
  <c r="I329" i="36"/>
  <c r="AK382" i="36"/>
  <c r="AL382" i="36" s="1"/>
  <c r="AM382" i="36" s="1"/>
  <c r="AN382" i="36" s="1"/>
  <c r="AO382" i="36" s="1"/>
  <c r="AP382" i="36" s="1"/>
  <c r="M395" i="36"/>
  <c r="K626" i="36"/>
  <c r="K798" i="36"/>
  <c r="O1017" i="36"/>
  <c r="M691" i="36"/>
  <c r="M685" i="36" s="1"/>
  <c r="M682" i="36" s="1"/>
  <c r="N682" i="36" s="1"/>
  <c r="N694" i="36" s="1"/>
  <c r="L685" i="36"/>
  <c r="L682" i="36" s="1"/>
  <c r="P1027" i="36"/>
  <c r="AF1027" i="36"/>
  <c r="AG1027" i="36" s="1"/>
  <c r="F46" i="34"/>
  <c r="J47" i="36"/>
  <c r="J100" i="36"/>
  <c r="O278" i="36"/>
  <c r="O302" i="36" s="1"/>
  <c r="K326" i="36"/>
  <c r="H47" i="36"/>
  <c r="L436" i="36"/>
  <c r="M476" i="36"/>
  <c r="I930" i="36"/>
  <c r="J1098" i="36"/>
  <c r="K47" i="36"/>
  <c r="K100" i="36"/>
  <c r="K174" i="36"/>
  <c r="J437" i="36"/>
  <c r="H35" i="36"/>
  <c r="J127" i="36"/>
  <c r="I133" i="36"/>
  <c r="M396" i="36"/>
  <c r="U421" i="36"/>
  <c r="V421" i="36" s="1"/>
  <c r="W421" i="36" s="1"/>
  <c r="X421" i="36" s="1"/>
  <c r="Y421" i="36" s="1"/>
  <c r="Z421" i="36" s="1"/>
  <c r="J455" i="36"/>
  <c r="G33" i="34"/>
  <c r="I533" i="36"/>
  <c r="P730" i="36"/>
  <c r="I1082" i="36"/>
  <c r="I439" i="36"/>
  <c r="F33" i="34"/>
  <c r="I494" i="36"/>
  <c r="F34" i="34"/>
  <c r="I137" i="36"/>
  <c r="H355" i="36"/>
  <c r="H398" i="36"/>
  <c r="H400" i="36"/>
  <c r="E32" i="34"/>
  <c r="J494" i="36"/>
  <c r="G34" i="34"/>
  <c r="L713" i="36"/>
  <c r="H758" i="36"/>
  <c r="K1082" i="36"/>
  <c r="N730" i="36"/>
  <c r="N736" i="36" s="1"/>
  <c r="AK421" i="36"/>
  <c r="AL421" i="36" s="1"/>
  <c r="AM421" i="36" s="1"/>
  <c r="AN421" i="36" s="1"/>
  <c r="AO421" i="36" s="1"/>
  <c r="AP421" i="36" s="1"/>
  <c r="J1082" i="36"/>
  <c r="J1084" i="36" s="1"/>
  <c r="K64" i="36"/>
  <c r="K35" i="36"/>
  <c r="H138" i="36"/>
  <c r="I416" i="36"/>
  <c r="F32" i="34"/>
  <c r="K494" i="36"/>
  <c r="H34" i="34"/>
  <c r="K32" i="36"/>
  <c r="K628" i="36"/>
  <c r="L760" i="36"/>
  <c r="H778" i="36"/>
  <c r="J969" i="36"/>
  <c r="H533" i="36"/>
  <c r="E35" i="34"/>
  <c r="K396" i="36"/>
  <c r="I64" i="36"/>
  <c r="H100" i="36"/>
  <c r="I138" i="36"/>
  <c r="J416" i="36"/>
  <c r="G32" i="34"/>
  <c r="K453" i="36"/>
  <c r="L494" i="36"/>
  <c r="I34" i="34"/>
  <c r="Q34" i="34" s="1"/>
  <c r="H629" i="36"/>
  <c r="M761" i="36"/>
  <c r="J924" i="36"/>
  <c r="J944" i="36"/>
  <c r="H1129" i="36"/>
  <c r="H1147" i="36" s="1"/>
  <c r="H455" i="36"/>
  <c r="E33" i="34"/>
  <c r="O730" i="36"/>
  <c r="J64" i="36"/>
  <c r="K69" i="36"/>
  <c r="H116" i="36"/>
  <c r="J138" i="36"/>
  <c r="I283" i="36"/>
  <c r="J318" i="36"/>
  <c r="J356" i="36"/>
  <c r="K416" i="36"/>
  <c r="H32" i="34"/>
  <c r="K455" i="36"/>
  <c r="M472" i="36"/>
  <c r="I762" i="36"/>
  <c r="H927" i="36"/>
  <c r="H946" i="36"/>
  <c r="H947" i="36" s="1"/>
  <c r="E85" i="34" s="1"/>
  <c r="I1129" i="36"/>
  <c r="I1147" i="36" s="1"/>
  <c r="H67" i="36"/>
  <c r="I116" i="36"/>
  <c r="I216" i="36"/>
  <c r="K325" i="36"/>
  <c r="O387" i="36"/>
  <c r="P387" i="36" s="1"/>
  <c r="L416" i="36"/>
  <c r="I32" i="34"/>
  <c r="K516" i="36"/>
  <c r="L675" i="36"/>
  <c r="H763" i="36"/>
  <c r="J928" i="36"/>
  <c r="I946" i="36"/>
  <c r="I947" i="36" s="1"/>
  <c r="F85" i="34" s="1"/>
  <c r="AE1005" i="36"/>
  <c r="P1005" i="36" s="1"/>
  <c r="P1017" i="36"/>
  <c r="J1129" i="36"/>
  <c r="J1147" i="36" s="1"/>
  <c r="K65" i="36"/>
  <c r="I46" i="36"/>
  <c r="G33" i="41" s="1"/>
  <c r="J116" i="36"/>
  <c r="I311" i="36"/>
  <c r="I34" i="5"/>
  <c r="F29" i="34" s="1"/>
  <c r="M416" i="36"/>
  <c r="L473" i="36"/>
  <c r="M675" i="36"/>
  <c r="K928" i="36"/>
  <c r="K1129" i="36"/>
  <c r="K1147" i="36" s="1"/>
  <c r="L116" i="36"/>
  <c r="AD142" i="36"/>
  <c r="O142" i="36" s="1"/>
  <c r="J328" i="36"/>
  <c r="L349" i="36"/>
  <c r="M473" i="36"/>
  <c r="J791" i="36"/>
  <c r="I929" i="36"/>
  <c r="R1017" i="36"/>
  <c r="H1098" i="36"/>
  <c r="L1129" i="36"/>
  <c r="L1147" i="36" s="1"/>
  <c r="J517" i="36"/>
  <c r="G35" i="34"/>
  <c r="I377" i="36"/>
  <c r="F31" i="34"/>
  <c r="J533" i="36"/>
  <c r="K95" i="36"/>
  <c r="K173" i="36"/>
  <c r="J326" i="36"/>
  <c r="K328" i="36"/>
  <c r="L433" i="36"/>
  <c r="K929" i="36"/>
  <c r="I1098" i="36"/>
  <c r="I1100" i="36" s="1"/>
  <c r="M1150" i="36"/>
  <c r="M1151" i="36" s="1"/>
  <c r="O423" i="36"/>
  <c r="P423" i="36" s="1"/>
  <c r="O347" i="36"/>
  <c r="P347" i="36" s="1"/>
  <c r="G114" i="34"/>
  <c r="M107" i="38"/>
  <c r="O104" i="38"/>
  <c r="K41" i="40" s="1"/>
  <c r="N104" i="38"/>
  <c r="M122" i="38"/>
  <c r="M26" i="38"/>
  <c r="N672" i="36"/>
  <c r="O346" i="36"/>
  <c r="P346" i="36" s="1"/>
  <c r="O463" i="36"/>
  <c r="P463" i="36" s="1"/>
  <c r="Q463" i="36" s="1"/>
  <c r="R463" i="36" s="1"/>
  <c r="O709" i="36"/>
  <c r="P709" i="36" s="1"/>
  <c r="Q709" i="36" s="1"/>
  <c r="N774" i="36"/>
  <c r="O161" i="36"/>
  <c r="P161" i="36" s="1"/>
  <c r="O975" i="36"/>
  <c r="M109" i="38"/>
  <c r="M11" i="38"/>
  <c r="O11" i="38" s="1"/>
  <c r="P11" i="38" s="1"/>
  <c r="Q11" i="38" s="1"/>
  <c r="R11" i="38" s="1"/>
  <c r="S11" i="38" s="1"/>
  <c r="T11" i="38" s="1"/>
  <c r="J26" i="38"/>
  <c r="K26" i="38"/>
  <c r="P264" i="38"/>
  <c r="O149" i="24" s="1"/>
  <c r="O41" i="24" s="1"/>
  <c r="I26" i="38"/>
  <c r="H39" i="24" s="1"/>
  <c r="N482" i="36"/>
  <c r="N488" i="36" s="1"/>
  <c r="AD482" i="36"/>
  <c r="N479" i="36"/>
  <c r="N485" i="36" s="1"/>
  <c r="AD479" i="36"/>
  <c r="O479" i="36" s="1"/>
  <c r="AD931" i="36"/>
  <c r="N931" i="36"/>
  <c r="N300" i="36"/>
  <c r="AD300" i="36"/>
  <c r="AE300" i="36" s="1"/>
  <c r="L439" i="36"/>
  <c r="U439" i="36" s="1"/>
  <c r="V439" i="36" s="1"/>
  <c r="W439" i="36" s="1"/>
  <c r="X439" i="36" s="1"/>
  <c r="Y439" i="36" s="1"/>
  <c r="Z439" i="36" s="1"/>
  <c r="L455" i="36"/>
  <c r="N932" i="36"/>
  <c r="AD932" i="36"/>
  <c r="J33" i="36"/>
  <c r="I67" i="36"/>
  <c r="I95" i="36"/>
  <c r="K99" i="36"/>
  <c r="K114" i="36"/>
  <c r="L136" i="36"/>
  <c r="L172" i="36"/>
  <c r="L178" i="36"/>
  <c r="H215" i="36"/>
  <c r="H439" i="36"/>
  <c r="I455" i="36"/>
  <c r="J478" i="36"/>
  <c r="H630" i="36"/>
  <c r="K629" i="36"/>
  <c r="J760" i="36"/>
  <c r="N401" i="36"/>
  <c r="N407" i="36" s="1"/>
  <c r="K33" i="36"/>
  <c r="I25" i="41" s="1"/>
  <c r="J67" i="36"/>
  <c r="J95" i="36"/>
  <c r="I100" i="36"/>
  <c r="M136" i="36"/>
  <c r="J173" i="36"/>
  <c r="H216" i="36"/>
  <c r="L478" i="36"/>
  <c r="U478" i="36" s="1"/>
  <c r="V478" i="36" s="1"/>
  <c r="W478" i="36" s="1"/>
  <c r="X478" i="36" s="1"/>
  <c r="Y478" i="36" s="1"/>
  <c r="Z478" i="36" s="1"/>
  <c r="K760" i="36"/>
  <c r="J798" i="36"/>
  <c r="O403" i="36"/>
  <c r="K217" i="36"/>
  <c r="I57" i="36"/>
  <c r="M96" i="36"/>
  <c r="J134" i="36"/>
  <c r="M138" i="36"/>
  <c r="L175" i="36"/>
  <c r="H211" i="36"/>
  <c r="J329" i="36"/>
  <c r="K356" i="36"/>
  <c r="AF401" i="36"/>
  <c r="AG401" i="36" s="1"/>
  <c r="I434" i="36"/>
  <c r="I474" i="36"/>
  <c r="I492" i="36"/>
  <c r="M659" i="36"/>
  <c r="I763" i="36"/>
  <c r="AK343" i="36"/>
  <c r="AL343" i="36" s="1"/>
  <c r="AM343" i="36" s="1"/>
  <c r="AN343" i="36" s="1"/>
  <c r="AO343" i="36" s="1"/>
  <c r="AP343" i="36" s="1"/>
  <c r="O401" i="36"/>
  <c r="K802" i="36"/>
  <c r="I44" i="36"/>
  <c r="G15" i="41" s="1"/>
  <c r="U82" i="36"/>
  <c r="V82" i="36" s="1"/>
  <c r="W82" i="36" s="1"/>
  <c r="X82" i="36" s="1"/>
  <c r="Y82" i="36" s="1"/>
  <c r="Z82" i="36" s="1"/>
  <c r="J97" i="36"/>
  <c r="M134" i="36"/>
  <c r="H139" i="36"/>
  <c r="I153" i="36"/>
  <c r="U160" i="36"/>
  <c r="V160" i="36" s="1"/>
  <c r="W160" i="36" s="1"/>
  <c r="X160" i="36" s="1"/>
  <c r="Y160" i="36" s="1"/>
  <c r="Z160" i="36" s="1"/>
  <c r="H212" i="36"/>
  <c r="I349" i="36"/>
  <c r="J359" i="36"/>
  <c r="K398" i="36"/>
  <c r="H414" i="36"/>
  <c r="K434" i="36"/>
  <c r="I475" i="36"/>
  <c r="L655" i="36"/>
  <c r="H660" i="36"/>
  <c r="H719" i="36"/>
  <c r="L763" i="36"/>
  <c r="AD907" i="36"/>
  <c r="O907" i="36" s="1"/>
  <c r="K924" i="36"/>
  <c r="AF664" i="36"/>
  <c r="Q664" i="36" s="1"/>
  <c r="K67" i="36"/>
  <c r="K44" i="36"/>
  <c r="I15" i="41" s="1"/>
  <c r="J69" i="36"/>
  <c r="H5" i="42" s="1"/>
  <c r="K97" i="36"/>
  <c r="I139" i="36"/>
  <c r="J153" i="36"/>
  <c r="L154" i="36" s="1"/>
  <c r="K176" i="36"/>
  <c r="I192" i="36"/>
  <c r="I205" i="36"/>
  <c r="I212" i="36"/>
  <c r="J295" i="36"/>
  <c r="H329" i="36"/>
  <c r="H326" i="36"/>
  <c r="J349" i="36"/>
  <c r="K359" i="36"/>
  <c r="J361" i="36"/>
  <c r="L398" i="36"/>
  <c r="M414" i="36"/>
  <c r="M434" i="36"/>
  <c r="M655" i="36"/>
  <c r="I660" i="36"/>
  <c r="I758" i="36"/>
  <c r="H764" i="36"/>
  <c r="I778" i="36"/>
  <c r="I925" i="36"/>
  <c r="J217" i="36"/>
  <c r="M97" i="36"/>
  <c r="I135" i="36"/>
  <c r="J139" i="36"/>
  <c r="M153" i="36"/>
  <c r="J177" i="36"/>
  <c r="AD179" i="36"/>
  <c r="AE179" i="36" s="1"/>
  <c r="K192" i="36"/>
  <c r="J205" i="36"/>
  <c r="J212" i="36"/>
  <c r="I289" i="36"/>
  <c r="I318" i="36"/>
  <c r="I330" i="36"/>
  <c r="G12" i="42" s="1"/>
  <c r="L399" i="36"/>
  <c r="H416" i="36"/>
  <c r="L435" i="36"/>
  <c r="I476" i="36"/>
  <c r="H618" i="36"/>
  <c r="H656" i="36"/>
  <c r="H661" i="36"/>
  <c r="L720" i="36"/>
  <c r="I759" i="36"/>
  <c r="I764" i="36"/>
  <c r="J778" i="36"/>
  <c r="K925" i="36"/>
  <c r="I96" i="36"/>
  <c r="K96" i="36"/>
  <c r="L133" i="36"/>
  <c r="J178" i="36"/>
  <c r="K175" i="36"/>
  <c r="I328" i="36"/>
  <c r="H46" i="36"/>
  <c r="F33" i="41" s="1"/>
  <c r="I32" i="36"/>
  <c r="G16" i="41" s="1"/>
  <c r="G18" i="41" s="1"/>
  <c r="H49" i="36"/>
  <c r="H21" i="36" s="1"/>
  <c r="H1111" i="36" s="1"/>
  <c r="J98" i="36"/>
  <c r="J135" i="36"/>
  <c r="K139" i="36"/>
  <c r="K177" i="36"/>
  <c r="I194" i="36"/>
  <c r="J213" i="36"/>
  <c r="J289" i="36"/>
  <c r="K360" i="36"/>
  <c r="J400" i="36"/>
  <c r="I436" i="36"/>
  <c r="I656" i="36"/>
  <c r="L661" i="36"/>
  <c r="AK661" i="36" s="1"/>
  <c r="AL661" i="36" s="1"/>
  <c r="AM661" i="36" s="1"/>
  <c r="AN661" i="36" s="1"/>
  <c r="AO661" i="36" s="1"/>
  <c r="AP661" i="36" s="1"/>
  <c r="H721" i="36"/>
  <c r="J764" i="36"/>
  <c r="I926" i="36"/>
  <c r="H944" i="36"/>
  <c r="J32" i="36"/>
  <c r="K98" i="36"/>
  <c r="K135" i="36"/>
  <c r="L139" i="36"/>
  <c r="U139" i="36" s="1"/>
  <c r="V139" i="36" s="1"/>
  <c r="W139" i="36" s="1"/>
  <c r="X139" i="36" s="1"/>
  <c r="Y139" i="36" s="1"/>
  <c r="Z139" i="36" s="1"/>
  <c r="J194" i="36"/>
  <c r="K213" i="36"/>
  <c r="J292" i="36"/>
  <c r="K400" i="36"/>
  <c r="M661" i="36"/>
  <c r="J926" i="36"/>
  <c r="I944" i="36"/>
  <c r="J65" i="36"/>
  <c r="J49" i="36"/>
  <c r="J21" i="36" s="1"/>
  <c r="J1140" i="36" s="1"/>
  <c r="I88" i="36"/>
  <c r="J94" i="36"/>
  <c r="H99" i="36"/>
  <c r="M135" i="36"/>
  <c r="M139" i="36"/>
  <c r="H214" i="36"/>
  <c r="H725" i="36"/>
  <c r="J96" i="36"/>
  <c r="U121" i="36"/>
  <c r="V121" i="36" s="1"/>
  <c r="W121" i="36" s="1"/>
  <c r="X121" i="36" s="1"/>
  <c r="Y121" i="36" s="1"/>
  <c r="Z121" i="36" s="1"/>
  <c r="N403" i="36"/>
  <c r="N409" i="36" s="1"/>
  <c r="H33" i="36"/>
  <c r="F25" i="41" s="1"/>
  <c r="F27" i="41" s="1"/>
  <c r="J88" i="36"/>
  <c r="I99" i="36"/>
  <c r="J136" i="36"/>
  <c r="I293" i="36"/>
  <c r="H394" i="36"/>
  <c r="L437" i="36"/>
  <c r="L453" i="36"/>
  <c r="K513" i="36"/>
  <c r="K517" i="36"/>
  <c r="M657" i="36"/>
  <c r="I725" i="36"/>
  <c r="H760" i="36"/>
  <c r="K944" i="36"/>
  <c r="M137" i="36"/>
  <c r="AD363" i="36"/>
  <c r="O363" i="36" s="1"/>
  <c r="L115" i="36"/>
  <c r="L96" i="36"/>
  <c r="L764" i="36"/>
  <c r="AK764" i="36" s="1"/>
  <c r="AL764" i="36" s="1"/>
  <c r="AM764" i="36" s="1"/>
  <c r="AN764" i="36" s="1"/>
  <c r="AO764" i="36" s="1"/>
  <c r="AP764" i="36" s="1"/>
  <c r="I47" i="36"/>
  <c r="I33" i="36"/>
  <c r="L88" i="36"/>
  <c r="H95" i="36"/>
  <c r="J99" i="36"/>
  <c r="K136" i="36"/>
  <c r="K178" i="36"/>
  <c r="J293" i="36"/>
  <c r="J377" i="36"/>
  <c r="O384" i="36"/>
  <c r="P384" i="36" s="1"/>
  <c r="Q384" i="36" s="1"/>
  <c r="R384" i="36" s="1"/>
  <c r="H395" i="36"/>
  <c r="L427" i="36"/>
  <c r="I478" i="36"/>
  <c r="K514" i="36"/>
  <c r="J629" i="36"/>
  <c r="H658" i="36"/>
  <c r="H675" i="36"/>
  <c r="I760" i="36"/>
  <c r="I928" i="36"/>
  <c r="O264" i="38"/>
  <c r="N149" i="24" s="1"/>
  <c r="O253" i="38"/>
  <c r="O241" i="38"/>
  <c r="O292" i="38"/>
  <c r="O280" i="38"/>
  <c r="O227" i="38"/>
  <c r="N124" i="24" s="1"/>
  <c r="O20" i="38"/>
  <c r="K6" i="40" s="1"/>
  <c r="K5" i="40" s="1"/>
  <c r="I22" i="38"/>
  <c r="H37" i="24" s="1"/>
  <c r="J20" i="38"/>
  <c r="J22" i="38" s="1"/>
  <c r="I37" i="24" s="1"/>
  <c r="K20" i="38"/>
  <c r="K22" i="38" s="1"/>
  <c r="J37" i="24" s="1"/>
  <c r="M20" i="38"/>
  <c r="M22" i="38" s="1"/>
  <c r="L37" i="24" s="1"/>
  <c r="O304" i="38"/>
  <c r="Q278" i="38"/>
  <c r="P280" i="38"/>
  <c r="Q229" i="38"/>
  <c r="O124" i="24"/>
  <c r="Q302" i="38"/>
  <c r="P304" i="38"/>
  <c r="Q251" i="38"/>
  <c r="Q253" i="38" s="1"/>
  <c r="P253" i="38"/>
  <c r="S247" i="38"/>
  <c r="P257" i="38"/>
  <c r="P296" i="38"/>
  <c r="P314" i="38"/>
  <c r="Q314" i="38" s="1"/>
  <c r="R314" i="38" s="1"/>
  <c r="P308" i="38"/>
  <c r="N109" i="36"/>
  <c r="N732" i="36"/>
  <c r="O162" i="36"/>
  <c r="P162" i="36" s="1"/>
  <c r="N735" i="36"/>
  <c r="N447" i="36"/>
  <c r="Q290" i="38"/>
  <c r="Q266" i="38"/>
  <c r="Q239" i="38"/>
  <c r="N264" i="36"/>
  <c r="O240" i="36"/>
  <c r="O264" i="36" s="1"/>
  <c r="O85" i="36"/>
  <c r="N487" i="36"/>
  <c r="N446" i="36"/>
  <c r="N772" i="36"/>
  <c r="N733" i="36"/>
  <c r="N669" i="36"/>
  <c r="N906" i="36"/>
  <c r="N905" i="36" s="1"/>
  <c r="N185" i="36"/>
  <c r="N160" i="36"/>
  <c r="N174" i="36" s="1"/>
  <c r="N267" i="36"/>
  <c r="O243" i="36"/>
  <c r="I45" i="36"/>
  <c r="G24" i="41" s="1"/>
  <c r="O126" i="36"/>
  <c r="N188" i="36"/>
  <c r="O164" i="36"/>
  <c r="AD259" i="36"/>
  <c r="N259" i="36"/>
  <c r="N82" i="36"/>
  <c r="N96" i="36" s="1"/>
  <c r="N107" i="36"/>
  <c r="N147" i="36"/>
  <c r="N149" i="36"/>
  <c r="O125" i="36"/>
  <c r="AD140" i="36"/>
  <c r="K256" i="36"/>
  <c r="M237" i="36"/>
  <c r="L237" i="36"/>
  <c r="H66" i="36"/>
  <c r="N111" i="36"/>
  <c r="O87" i="36"/>
  <c r="O122" i="36"/>
  <c r="N121" i="36"/>
  <c r="N138" i="36" s="1"/>
  <c r="N146" i="36"/>
  <c r="O165" i="36"/>
  <c r="J115" i="36"/>
  <c r="O444" i="36"/>
  <c r="AE444" i="36"/>
  <c r="K57" i="36"/>
  <c r="H57" i="36"/>
  <c r="H32" i="36"/>
  <c r="F16" i="41" s="1"/>
  <c r="F18" i="41" s="1"/>
  <c r="J66" i="36"/>
  <c r="J45" i="36"/>
  <c r="H24" i="41" s="1"/>
  <c r="N110" i="36"/>
  <c r="O86" i="36"/>
  <c r="O124" i="36"/>
  <c r="N148" i="36"/>
  <c r="J57" i="36"/>
  <c r="N299" i="36"/>
  <c r="AD299" i="36"/>
  <c r="K46" i="36"/>
  <c r="I33" i="41" s="1"/>
  <c r="I69" i="36"/>
  <c r="K66" i="36"/>
  <c r="K45" i="36"/>
  <c r="I24" i="41" s="1"/>
  <c r="O163" i="36"/>
  <c r="N187" i="36"/>
  <c r="AD180" i="36"/>
  <c r="N180" i="36"/>
  <c r="N186" i="36" s="1"/>
  <c r="K272" i="36"/>
  <c r="O83" i="36"/>
  <c r="AD144" i="36"/>
  <c r="N144" i="36"/>
  <c r="N150" i="36" s="1"/>
  <c r="N189" i="36"/>
  <c r="AD260" i="36"/>
  <c r="N260" i="36"/>
  <c r="N108" i="36"/>
  <c r="O84" i="36"/>
  <c r="O123" i="36"/>
  <c r="AD143" i="36"/>
  <c r="O348" i="36"/>
  <c r="N372" i="36"/>
  <c r="H69" i="36"/>
  <c r="F5" i="42" s="1"/>
  <c r="H65" i="36"/>
  <c r="H44" i="36"/>
  <c r="F15" i="41" s="1"/>
  <c r="AD141" i="36"/>
  <c r="M176" i="36"/>
  <c r="M173" i="36"/>
  <c r="M192" i="36"/>
  <c r="K255" i="36"/>
  <c r="K251" i="36"/>
  <c r="K270" i="36"/>
  <c r="K254" i="36"/>
  <c r="K252" i="36"/>
  <c r="N297" i="36"/>
  <c r="AD297" i="36"/>
  <c r="O464" i="36"/>
  <c r="H137" i="36"/>
  <c r="H133" i="36"/>
  <c r="H153" i="36"/>
  <c r="K253" i="36"/>
  <c r="AD298" i="36"/>
  <c r="N298" i="36"/>
  <c r="N404" i="36"/>
  <c r="N410" i="36" s="1"/>
  <c r="AD404" i="36"/>
  <c r="H94" i="36"/>
  <c r="L95" i="36"/>
  <c r="H98" i="36"/>
  <c r="L99" i="36"/>
  <c r="K116" i="36"/>
  <c r="L135" i="36"/>
  <c r="J174" i="36"/>
  <c r="N343" i="36"/>
  <c r="N360" i="36" s="1"/>
  <c r="N368" i="36"/>
  <c r="O344" i="36"/>
  <c r="AE402" i="36"/>
  <c r="O402" i="36"/>
  <c r="I94" i="36"/>
  <c r="M95" i="36"/>
  <c r="I98" i="36"/>
  <c r="M99" i="36"/>
  <c r="AK121" i="36"/>
  <c r="AL121" i="36" s="1"/>
  <c r="AM121" i="36" s="1"/>
  <c r="AN121" i="36" s="1"/>
  <c r="AO121" i="36" s="1"/>
  <c r="AP121" i="36" s="1"/>
  <c r="H134" i="36"/>
  <c r="K138" i="36"/>
  <c r="K153" i="36"/>
  <c r="I233" i="36"/>
  <c r="H318" i="36"/>
  <c r="O345" i="36"/>
  <c r="N402" i="36"/>
  <c r="N408" i="36" s="1"/>
  <c r="M116" i="36"/>
  <c r="I134" i="36"/>
  <c r="M172" i="36"/>
  <c r="H233" i="36"/>
  <c r="H217" i="36"/>
  <c r="O712" i="36"/>
  <c r="L138" i="36"/>
  <c r="L134" i="36"/>
  <c r="M174" i="36"/>
  <c r="O239" i="36"/>
  <c r="N263" i="36"/>
  <c r="K330" i="36"/>
  <c r="I12" i="42" s="1"/>
  <c r="J44" i="36"/>
  <c r="H15" i="41" s="1"/>
  <c r="L94" i="36"/>
  <c r="H97" i="36"/>
  <c r="L98" i="36"/>
  <c r="H114" i="36"/>
  <c r="I115" i="36" s="1"/>
  <c r="I127" i="36"/>
  <c r="K134" i="36"/>
  <c r="J137" i="36"/>
  <c r="AD182" i="36"/>
  <c r="I213" i="36"/>
  <c r="I231" i="36"/>
  <c r="I215" i="36"/>
  <c r="I211" i="36"/>
  <c r="AK82" i="36"/>
  <c r="AL82" i="36" s="1"/>
  <c r="AM82" i="36" s="1"/>
  <c r="AN82" i="36" s="1"/>
  <c r="AO82" i="36" s="1"/>
  <c r="AP82" i="36" s="1"/>
  <c r="M94" i="36"/>
  <c r="I97" i="36"/>
  <c r="K137" i="36"/>
  <c r="I174" i="36"/>
  <c r="I175" i="36"/>
  <c r="I172" i="36"/>
  <c r="AD181" i="36"/>
  <c r="J231" i="36"/>
  <c r="J215" i="36"/>
  <c r="J211" i="36"/>
  <c r="M198" i="36"/>
  <c r="L198" i="36"/>
  <c r="O385" i="36"/>
  <c r="L127" i="36"/>
  <c r="L137" i="36"/>
  <c r="J192" i="36"/>
  <c r="J172" i="36"/>
  <c r="J166" i="36"/>
  <c r="M178" i="36"/>
  <c r="M194" i="36"/>
  <c r="K231" i="36"/>
  <c r="K215" i="36"/>
  <c r="K211" i="36"/>
  <c r="H253" i="36"/>
  <c r="H254" i="36"/>
  <c r="H251" i="36"/>
  <c r="H256" i="36"/>
  <c r="H252" i="36"/>
  <c r="H255" i="36"/>
  <c r="H136" i="36"/>
  <c r="I251" i="36"/>
  <c r="I270" i="36"/>
  <c r="I256" i="36"/>
  <c r="I254" i="36"/>
  <c r="I252" i="36"/>
  <c r="I244" i="36"/>
  <c r="K250" i="36"/>
  <c r="I255" i="36"/>
  <c r="H270" i="36"/>
  <c r="H96" i="36"/>
  <c r="L97" i="36"/>
  <c r="L166" i="36"/>
  <c r="AK160" i="36"/>
  <c r="AL160" i="36" s="1"/>
  <c r="AM160" i="36" s="1"/>
  <c r="AN160" i="36" s="1"/>
  <c r="AO160" i="36" s="1"/>
  <c r="AP160" i="36" s="1"/>
  <c r="L176" i="36"/>
  <c r="I173" i="36"/>
  <c r="J175" i="36"/>
  <c r="I177" i="36"/>
  <c r="L192" i="36"/>
  <c r="K212" i="36"/>
  <c r="K214" i="36"/>
  <c r="J216" i="36"/>
  <c r="J250" i="36"/>
  <c r="J270" i="36"/>
  <c r="J256" i="36"/>
  <c r="J254" i="36"/>
  <c r="J252" i="36"/>
  <c r="J244" i="36"/>
  <c r="J253" i="36"/>
  <c r="J251" i="36"/>
  <c r="J255" i="36"/>
  <c r="K318" i="36"/>
  <c r="I514" i="36"/>
  <c r="I512" i="36"/>
  <c r="I517" i="36"/>
  <c r="I531" i="36"/>
  <c r="I511" i="36"/>
  <c r="I515" i="36"/>
  <c r="I513" i="36"/>
  <c r="N364" i="36"/>
  <c r="N370" i="36" s="1"/>
  <c r="AD364" i="36"/>
  <c r="AD481" i="36"/>
  <c r="H231" i="36"/>
  <c r="K291" i="36"/>
  <c r="K293" i="36"/>
  <c r="H356" i="36"/>
  <c r="H375" i="36"/>
  <c r="H359" i="36"/>
  <c r="H358" i="36"/>
  <c r="H357" i="36"/>
  <c r="J330" i="36"/>
  <c r="H12" i="42" s="1"/>
  <c r="N442" i="36"/>
  <c r="N448" i="36" s="1"/>
  <c r="AD442" i="36"/>
  <c r="K289" i="36"/>
  <c r="H295" i="36"/>
  <c r="N369" i="36"/>
  <c r="O383" i="36"/>
  <c r="N382" i="36"/>
  <c r="N399" i="36" s="1"/>
  <c r="J630" i="36"/>
  <c r="J36" i="5" s="1"/>
  <c r="G38" i="34" s="1"/>
  <c r="J625" i="36"/>
  <c r="K630" i="36"/>
  <c r="K36" i="5" s="1"/>
  <c r="H38" i="34" s="1"/>
  <c r="K625" i="36"/>
  <c r="L360" i="36"/>
  <c r="L358" i="36"/>
  <c r="L355" i="36"/>
  <c r="L356" i="36"/>
  <c r="L359" i="36"/>
  <c r="L357" i="36"/>
  <c r="L375" i="36"/>
  <c r="L376" i="36" s="1"/>
  <c r="N405" i="36"/>
  <c r="N411" i="36" s="1"/>
  <c r="AD405" i="36"/>
  <c r="N444" i="36"/>
  <c r="N450" i="36" s="1"/>
  <c r="H291" i="36"/>
  <c r="H293" i="36"/>
  <c r="H309" i="36"/>
  <c r="H294" i="36"/>
  <c r="M358" i="36"/>
  <c r="M357" i="36"/>
  <c r="M355" i="36"/>
  <c r="M356" i="36"/>
  <c r="M375" i="36"/>
  <c r="I516" i="36"/>
  <c r="I290" i="36"/>
  <c r="I291" i="36"/>
  <c r="N302" i="36"/>
  <c r="I294" i="36"/>
  <c r="H327" i="36"/>
  <c r="M360" i="36"/>
  <c r="J290" i="36"/>
  <c r="J283" i="36"/>
  <c r="J291" i="36"/>
  <c r="H290" i="36"/>
  <c r="H292" i="36"/>
  <c r="J294" i="36"/>
  <c r="I309" i="36"/>
  <c r="H311" i="36"/>
  <c r="I396" i="36"/>
  <c r="I399" i="36"/>
  <c r="I394" i="36"/>
  <c r="I398" i="36"/>
  <c r="I395" i="36"/>
  <c r="I400" i="36"/>
  <c r="I397" i="36"/>
  <c r="I388" i="36"/>
  <c r="I414" i="36"/>
  <c r="K290" i="36"/>
  <c r="I292" i="36"/>
  <c r="K294" i="36"/>
  <c r="H330" i="36"/>
  <c r="H361" i="36"/>
  <c r="H377" i="36"/>
  <c r="O462" i="36"/>
  <c r="H514" i="36"/>
  <c r="H512" i="36"/>
  <c r="H517" i="36"/>
  <c r="H511" i="36"/>
  <c r="H515" i="36"/>
  <c r="H513" i="36"/>
  <c r="H516" i="36"/>
  <c r="O386" i="36"/>
  <c r="O647" i="36"/>
  <c r="O425" i="36"/>
  <c r="N449" i="36"/>
  <c r="J439" i="36"/>
  <c r="I361" i="36"/>
  <c r="J399" i="36"/>
  <c r="J414" i="36"/>
  <c r="J396" i="36"/>
  <c r="J394" i="36"/>
  <c r="J325" i="36"/>
  <c r="I356" i="36"/>
  <c r="K394" i="36"/>
  <c r="K399" i="36"/>
  <c r="K397" i="36"/>
  <c r="J388" i="36"/>
  <c r="H437" i="36"/>
  <c r="H433" i="36"/>
  <c r="H453" i="36"/>
  <c r="I454" i="36" s="1"/>
  <c r="H438" i="36"/>
  <c r="O426" i="36"/>
  <c r="H435" i="36"/>
  <c r="N933" i="36"/>
  <c r="AD933" i="36"/>
  <c r="K377" i="36"/>
  <c r="K361" i="36"/>
  <c r="L414" i="36"/>
  <c r="L400" i="36"/>
  <c r="L394" i="36"/>
  <c r="L396" i="36"/>
  <c r="U382" i="36"/>
  <c r="V382" i="36" s="1"/>
  <c r="W382" i="36" s="1"/>
  <c r="X382" i="36" s="1"/>
  <c r="Y382" i="36" s="1"/>
  <c r="Z382" i="36" s="1"/>
  <c r="L397" i="36"/>
  <c r="L388" i="36"/>
  <c r="I437" i="36"/>
  <c r="I435" i="36"/>
  <c r="I427" i="36"/>
  <c r="I438" i="36"/>
  <c r="I433" i="36"/>
  <c r="N421" i="36"/>
  <c r="N438" i="36" s="1"/>
  <c r="O422" i="36"/>
  <c r="L377" i="36"/>
  <c r="L361" i="36"/>
  <c r="J438" i="36"/>
  <c r="J434" i="36"/>
  <c r="J453" i="36"/>
  <c r="J435" i="36"/>
  <c r="J427" i="36"/>
  <c r="J433" i="36"/>
  <c r="I618" i="36"/>
  <c r="M361" i="36"/>
  <c r="K435" i="36"/>
  <c r="K437" i="36"/>
  <c r="K438" i="36"/>
  <c r="K433" i="36"/>
  <c r="O424" i="36"/>
  <c r="O465" i="36"/>
  <c r="N486" i="36"/>
  <c r="M764" i="36"/>
  <c r="M780" i="36"/>
  <c r="M781" i="36" s="1"/>
  <c r="I357" i="36"/>
  <c r="I375" i="36"/>
  <c r="I360" i="36"/>
  <c r="N371" i="36"/>
  <c r="K395" i="36"/>
  <c r="M453" i="36"/>
  <c r="M438" i="36"/>
  <c r="M435" i="36"/>
  <c r="M433" i="36"/>
  <c r="M436" i="36"/>
  <c r="O461" i="36"/>
  <c r="N460" i="36"/>
  <c r="N476" i="36" s="1"/>
  <c r="AD480" i="36"/>
  <c r="J722" i="36"/>
  <c r="J720" i="36"/>
  <c r="J713" i="36"/>
  <c r="J723" i="36"/>
  <c r="J719" i="36"/>
  <c r="J739" i="36"/>
  <c r="J740" i="36" s="1"/>
  <c r="J724" i="36"/>
  <c r="J721" i="36"/>
  <c r="J360" i="36"/>
  <c r="J357" i="36"/>
  <c r="J358" i="36"/>
  <c r="I359" i="36"/>
  <c r="AD365" i="36"/>
  <c r="L395" i="36"/>
  <c r="P403" i="36"/>
  <c r="AF403" i="36"/>
  <c r="H436" i="36"/>
  <c r="O645" i="36"/>
  <c r="K375" i="36"/>
  <c r="K357" i="36"/>
  <c r="K358" i="36"/>
  <c r="J531" i="36"/>
  <c r="J516" i="36"/>
  <c r="J514" i="36"/>
  <c r="J512" i="36"/>
  <c r="J515" i="36"/>
  <c r="K533" i="36"/>
  <c r="P665" i="36"/>
  <c r="AF665" i="36"/>
  <c r="K722" i="36"/>
  <c r="K723" i="36"/>
  <c r="K719" i="36"/>
  <c r="K721" i="36"/>
  <c r="K739" i="36"/>
  <c r="N643" i="36"/>
  <c r="N659" i="36" s="1"/>
  <c r="O701" i="36"/>
  <c r="L723" i="36"/>
  <c r="L719" i="36"/>
  <c r="U707" i="36"/>
  <c r="V707" i="36" s="1"/>
  <c r="W707" i="36" s="1"/>
  <c r="X707" i="36" s="1"/>
  <c r="Y707" i="36" s="1"/>
  <c r="Z707" i="36" s="1"/>
  <c r="L722" i="36"/>
  <c r="AK707" i="36"/>
  <c r="AL707" i="36" s="1"/>
  <c r="AM707" i="36" s="1"/>
  <c r="AN707" i="36" s="1"/>
  <c r="AO707" i="36" s="1"/>
  <c r="AP707" i="36" s="1"/>
  <c r="L721" i="36"/>
  <c r="L739" i="36"/>
  <c r="N934" i="36"/>
  <c r="AD934" i="36"/>
  <c r="M394" i="36"/>
  <c r="M397" i="36"/>
  <c r="J511" i="36"/>
  <c r="O644" i="36"/>
  <c r="AF662" i="36"/>
  <c r="P662" i="36"/>
  <c r="M723" i="36"/>
  <c r="M719" i="36"/>
  <c r="M724" i="36"/>
  <c r="M720" i="36"/>
  <c r="M721" i="36"/>
  <c r="M739" i="36"/>
  <c r="M722" i="36"/>
  <c r="M725" i="36"/>
  <c r="J474" i="36"/>
  <c r="J492" i="36"/>
  <c r="J466" i="36"/>
  <c r="N662" i="36"/>
  <c r="N668" i="36" s="1"/>
  <c r="M399" i="36"/>
  <c r="L474" i="36"/>
  <c r="L492" i="36"/>
  <c r="L466" i="36"/>
  <c r="AK460" i="36"/>
  <c r="AL460" i="36" s="1"/>
  <c r="AM460" i="36" s="1"/>
  <c r="AN460" i="36" s="1"/>
  <c r="AO460" i="36" s="1"/>
  <c r="AP460" i="36" s="1"/>
  <c r="J472" i="36"/>
  <c r="J477" i="36"/>
  <c r="O662" i="36"/>
  <c r="I740" i="36"/>
  <c r="M474" i="36"/>
  <c r="M492" i="36"/>
  <c r="M477" i="36"/>
  <c r="L472" i="36"/>
  <c r="L477" i="36"/>
  <c r="K724" i="36"/>
  <c r="J475" i="36"/>
  <c r="I626" i="36"/>
  <c r="L724" i="36"/>
  <c r="AD728" i="36"/>
  <c r="N728" i="36"/>
  <c r="N734" i="36" s="1"/>
  <c r="O903" i="36"/>
  <c r="O902" i="36" s="1"/>
  <c r="AE903" i="36"/>
  <c r="L475" i="36"/>
  <c r="J505" i="36"/>
  <c r="J649" i="36"/>
  <c r="J660" i="36"/>
  <c r="J656" i="36"/>
  <c r="J675" i="36"/>
  <c r="J657" i="36"/>
  <c r="J658" i="36"/>
  <c r="J655" i="36"/>
  <c r="J473" i="36"/>
  <c r="P1015" i="36"/>
  <c r="K660" i="36"/>
  <c r="K656" i="36"/>
  <c r="K675" i="36"/>
  <c r="K661" i="36"/>
  <c r="K657" i="36"/>
  <c r="J626" i="36"/>
  <c r="L660" i="36"/>
  <c r="L656" i="36"/>
  <c r="K655" i="36"/>
  <c r="L657" i="36"/>
  <c r="O708" i="36"/>
  <c r="N707" i="36"/>
  <c r="AD726" i="36"/>
  <c r="J741" i="36"/>
  <c r="J742" i="36" s="1"/>
  <c r="J725" i="36"/>
  <c r="O750" i="36"/>
  <c r="O751" i="36"/>
  <c r="K741" i="36"/>
  <c r="K742" i="36" s="1"/>
  <c r="K725" i="36"/>
  <c r="O749" i="36"/>
  <c r="N773" i="36"/>
  <c r="O665" i="36"/>
  <c r="L725" i="36"/>
  <c r="H817" i="36"/>
  <c r="H801" i="36"/>
  <c r="H799" i="36"/>
  <c r="H800" i="36"/>
  <c r="H798" i="36"/>
  <c r="I800" i="36"/>
  <c r="I801" i="36"/>
  <c r="I797" i="36"/>
  <c r="I817" i="36"/>
  <c r="I799" i="36"/>
  <c r="I802" i="36"/>
  <c r="I791" i="36"/>
  <c r="H1112" i="36"/>
  <c r="H1142" i="36"/>
  <c r="J618" i="36"/>
  <c r="N664" i="36"/>
  <c r="N670" i="36" s="1"/>
  <c r="I677" i="36"/>
  <c r="I678" i="36" s="1"/>
  <c r="I661" i="36"/>
  <c r="AD729" i="36"/>
  <c r="N746" i="36"/>
  <c r="N759" i="36" s="1"/>
  <c r="J800" i="36"/>
  <c r="J801" i="36"/>
  <c r="J817" i="36"/>
  <c r="J799" i="36"/>
  <c r="J797" i="36"/>
  <c r="J802" i="36"/>
  <c r="K618" i="36"/>
  <c r="H627" i="36"/>
  <c r="O646" i="36"/>
  <c r="O664" i="36"/>
  <c r="J661" i="36"/>
  <c r="H722" i="36"/>
  <c r="H724" i="36"/>
  <c r="H720" i="36"/>
  <c r="H723" i="36"/>
  <c r="H397" i="36"/>
  <c r="I630" i="36"/>
  <c r="I36" i="5" s="1"/>
  <c r="F38" i="34" s="1"/>
  <c r="I627" i="36"/>
  <c r="U643" i="36"/>
  <c r="V643" i="36" s="1"/>
  <c r="W643" i="36" s="1"/>
  <c r="X643" i="36" s="1"/>
  <c r="Y643" i="36" s="1"/>
  <c r="Z643" i="36" s="1"/>
  <c r="I722" i="36"/>
  <c r="I723" i="36"/>
  <c r="I719" i="36"/>
  <c r="I724" i="36"/>
  <c r="I720" i="36"/>
  <c r="I713" i="36"/>
  <c r="L741" i="36"/>
  <c r="L742" i="36" s="1"/>
  <c r="L762" i="36"/>
  <c r="L758" i="36"/>
  <c r="AK746" i="36"/>
  <c r="AL746" i="36" s="1"/>
  <c r="AM746" i="36" s="1"/>
  <c r="AN746" i="36" s="1"/>
  <c r="AO746" i="36" s="1"/>
  <c r="AP746" i="36" s="1"/>
  <c r="L778" i="36"/>
  <c r="M762" i="36"/>
  <c r="M758" i="36"/>
  <c r="M763" i="36"/>
  <c r="L761" i="36"/>
  <c r="I675" i="36"/>
  <c r="N775" i="36"/>
  <c r="H762" i="36"/>
  <c r="K764" i="36"/>
  <c r="N771" i="36"/>
  <c r="M778" i="36"/>
  <c r="H819" i="36"/>
  <c r="H820" i="36" s="1"/>
  <c r="H803" i="36"/>
  <c r="O648" i="36"/>
  <c r="J819" i="36"/>
  <c r="J820" i="36" s="1"/>
  <c r="M760" i="36"/>
  <c r="K819" i="36"/>
  <c r="K820" i="36" s="1"/>
  <c r="N935" i="36"/>
  <c r="AD935" i="36"/>
  <c r="P1039" i="36"/>
  <c r="P1134" i="36"/>
  <c r="AD768" i="36"/>
  <c r="K511" i="36"/>
  <c r="I702" i="36"/>
  <c r="I703" i="36" s="1"/>
  <c r="I688" i="36"/>
  <c r="I752" i="36"/>
  <c r="I649" i="36"/>
  <c r="H655" i="36"/>
  <c r="J702" i="36"/>
  <c r="J703" i="36" s="1"/>
  <c r="J688" i="36"/>
  <c r="J763" i="36"/>
  <c r="J762" i="36"/>
  <c r="J758" i="36"/>
  <c r="J752" i="36"/>
  <c r="L13" i="37"/>
  <c r="L434" i="36"/>
  <c r="I655" i="36"/>
  <c r="M656" i="36"/>
  <c r="AG730" i="36"/>
  <c r="K763" i="36"/>
  <c r="K762" i="36"/>
  <c r="K758" i="36"/>
  <c r="K759" i="36"/>
  <c r="K778" i="36"/>
  <c r="O748" i="36"/>
  <c r="L752" i="36"/>
  <c r="H759" i="36"/>
  <c r="J761" i="36"/>
  <c r="R999" i="36"/>
  <c r="S999" i="36"/>
  <c r="K930" i="36"/>
  <c r="K946" i="36"/>
  <c r="K947" i="36" s="1"/>
  <c r="H85" i="34" s="1"/>
  <c r="L911" i="36"/>
  <c r="O989" i="36"/>
  <c r="K800" i="36"/>
  <c r="K817" i="36"/>
  <c r="M911" i="36"/>
  <c r="H926" i="36"/>
  <c r="H929" i="36"/>
  <c r="H924" i="36"/>
  <c r="I918" i="36"/>
  <c r="H925" i="36"/>
  <c r="K801" i="36"/>
  <c r="P999" i="36"/>
  <c r="Q999" i="36"/>
  <c r="L951" i="36"/>
  <c r="J43" i="41" s="1"/>
  <c r="J44" i="41" s="1"/>
  <c r="M956" i="36"/>
  <c r="M951" i="36" s="1"/>
  <c r="J11" i="37"/>
  <c r="L19" i="41" s="1"/>
  <c r="L1112" i="36"/>
  <c r="H930" i="36"/>
  <c r="M1142" i="36"/>
  <c r="M1112" i="36"/>
  <c r="M7" i="37"/>
  <c r="Q1029" i="36"/>
  <c r="AG1029" i="36"/>
  <c r="K18" i="37"/>
  <c r="J16" i="37"/>
  <c r="L28" i="41" s="1"/>
  <c r="I927" i="36"/>
  <c r="AE985" i="36"/>
  <c r="J929" i="36"/>
  <c r="J925" i="36"/>
  <c r="J927" i="36"/>
  <c r="I969" i="36"/>
  <c r="K927" i="36"/>
  <c r="AK956" i="36"/>
  <c r="AL956" i="36" s="1"/>
  <c r="AM956" i="36" s="1"/>
  <c r="AN956" i="36" s="1"/>
  <c r="AO956" i="36" s="1"/>
  <c r="AP956" i="36" s="1"/>
  <c r="O1003" i="36"/>
  <c r="K11" i="37"/>
  <c r="M19" i="41" s="1"/>
  <c r="M25" i="37"/>
  <c r="L12" i="37"/>
  <c r="P1142" i="36"/>
  <c r="L1150" i="36"/>
  <c r="L1151" i="36" s="1"/>
  <c r="J6" i="37"/>
  <c r="L10" i="41" s="1"/>
  <c r="N22" i="37"/>
  <c r="K8" i="37"/>
  <c r="G100" i="37"/>
  <c r="AE976" i="36"/>
  <c r="M9" i="37"/>
  <c r="L28" i="37"/>
  <c r="H100" i="37"/>
  <c r="P1041" i="36"/>
  <c r="K10" i="37"/>
  <c r="N23" i="37"/>
  <c r="F97" i="37"/>
  <c r="P1029" i="36"/>
  <c r="O19" i="37"/>
  <c r="G97" i="37"/>
  <c r="P1136" i="36"/>
  <c r="M15" i="37"/>
  <c r="K24" i="37"/>
  <c r="AE1001" i="36"/>
  <c r="Q1140" i="36"/>
  <c r="Q1144" i="36"/>
  <c r="L14" i="37"/>
  <c r="L30" i="37"/>
  <c r="K17" i="37"/>
  <c r="K20" i="37"/>
  <c r="L449" i="1"/>
  <c r="I339" i="2"/>
  <c r="N480" i="1"/>
  <c r="M394" i="1"/>
  <c r="Q392" i="1"/>
  <c r="J161" i="1"/>
  <c r="M41" i="1"/>
  <c r="J679" i="1"/>
  <c r="K679" i="1" s="1"/>
  <c r="L525" i="1"/>
  <c r="H13" i="34"/>
  <c r="L143" i="1"/>
  <c r="J145" i="3"/>
  <c r="J155" i="3" s="1"/>
  <c r="G13" i="34"/>
  <c r="L524" i="1"/>
  <c r="L509" i="1"/>
  <c r="AJ509" i="1" s="1"/>
  <c r="AK509" i="1" s="1"/>
  <c r="AL509" i="1" s="1"/>
  <c r="AM509" i="1" s="1"/>
  <c r="AN509" i="1" s="1"/>
  <c r="AO509" i="1" s="1"/>
  <c r="H490" i="1"/>
  <c r="O17" i="4"/>
  <c r="H9" i="17"/>
  <c r="C11" i="32" s="1"/>
  <c r="H61" i="34"/>
  <c r="E13" i="34"/>
  <c r="J342" i="2"/>
  <c r="H339" i="2"/>
  <c r="J224" i="2"/>
  <c r="I64" i="2"/>
  <c r="I465" i="1"/>
  <c r="R395" i="1"/>
  <c r="M64" i="1"/>
  <c r="H6" i="34"/>
  <c r="G6" i="34"/>
  <c r="L370" i="1"/>
  <c r="L122" i="1"/>
  <c r="L385" i="1"/>
  <c r="L422" i="1"/>
  <c r="R392" i="1"/>
  <c r="H12" i="2"/>
  <c r="I186" i="38" s="1"/>
  <c r="AD584" i="1"/>
  <c r="L476" i="1"/>
  <c r="H391" i="1"/>
  <c r="J243" i="1"/>
  <c r="O241" i="1"/>
  <c r="L168" i="1"/>
  <c r="R65" i="1"/>
  <c r="K64" i="1"/>
  <c r="P62" i="1"/>
  <c r="I132" i="3"/>
  <c r="L124" i="2"/>
  <c r="L559" i="1"/>
  <c r="H36" i="2"/>
  <c r="N395" i="1"/>
  <c r="K142" i="2"/>
  <c r="L12" i="4"/>
  <c r="R18" i="4"/>
  <c r="H72" i="34"/>
  <c r="J142" i="2"/>
  <c r="J550" i="1"/>
  <c r="L526" i="1"/>
  <c r="K395" i="1"/>
  <c r="P393" i="1"/>
  <c r="N242" i="1"/>
  <c r="I241" i="1"/>
  <c r="Q18" i="4"/>
  <c r="I350" i="2"/>
  <c r="I63" i="2"/>
  <c r="H395" i="1"/>
  <c r="Q391" i="1"/>
  <c r="N278" i="1"/>
  <c r="M242" i="1"/>
  <c r="Q240" i="1"/>
  <c r="J244" i="1"/>
  <c r="J252" i="1" s="1"/>
  <c r="J253" i="1" s="1"/>
  <c r="I18" i="17"/>
  <c r="F92" i="34" s="1"/>
  <c r="J46" i="5"/>
  <c r="G55" i="34"/>
  <c r="K751" i="2"/>
  <c r="I46" i="5"/>
  <c r="F55" i="34"/>
  <c r="K16" i="17"/>
  <c r="H91" i="34" s="1"/>
  <c r="L27" i="4"/>
  <c r="L15" i="4"/>
  <c r="H5" i="34"/>
  <c r="L95" i="1"/>
  <c r="K166" i="4"/>
  <c r="K168" i="4" s="1"/>
  <c r="I746" i="2"/>
  <c r="I429" i="1"/>
  <c r="I430" i="1" s="1"/>
  <c r="I415" i="1"/>
  <c r="R240" i="1"/>
  <c r="R42" i="1"/>
  <c r="H22" i="4"/>
  <c r="H17" i="4"/>
  <c r="F6" i="34"/>
  <c r="I26" i="5"/>
  <c r="L447" i="1"/>
  <c r="J166" i="4"/>
  <c r="J168" i="4" s="1"/>
  <c r="J9" i="17"/>
  <c r="E12" i="32" s="1"/>
  <c r="J14" i="17"/>
  <c r="G90" i="34" s="1"/>
  <c r="H429" i="1"/>
  <c r="H430" i="1" s="1"/>
  <c r="H415" i="1"/>
  <c r="I391" i="1"/>
  <c r="N353" i="1"/>
  <c r="AD353" i="1"/>
  <c r="O353" i="1" s="1"/>
  <c r="H313" i="1"/>
  <c r="K63" i="2"/>
  <c r="K23" i="2"/>
  <c r="K338" i="1"/>
  <c r="J23" i="3"/>
  <c r="J144" i="3"/>
  <c r="J102" i="3"/>
  <c r="L565" i="1"/>
  <c r="E55" i="34"/>
  <c r="H46" i="5"/>
  <c r="K11" i="17"/>
  <c r="I75" i="2"/>
  <c r="L459" i="1"/>
  <c r="AB459" i="1" s="1"/>
  <c r="AC459" i="1" s="1"/>
  <c r="I97" i="3"/>
  <c r="I144" i="3"/>
  <c r="I102" i="3"/>
  <c r="I161" i="1"/>
  <c r="H168" i="4"/>
  <c r="I340" i="2"/>
  <c r="I65" i="34"/>
  <c r="J649" i="1"/>
  <c r="J651" i="1" s="1"/>
  <c r="J465" i="1"/>
  <c r="L73" i="34"/>
  <c r="L557" i="1"/>
  <c r="K341" i="2"/>
  <c r="H465" i="1"/>
  <c r="O395" i="1"/>
  <c r="M392" i="1"/>
  <c r="L345" i="1"/>
  <c r="L119" i="1"/>
  <c r="P65" i="1"/>
  <c r="N62" i="1"/>
  <c r="H162" i="3"/>
  <c r="J499" i="2"/>
  <c r="I67" i="2"/>
  <c r="J665" i="1"/>
  <c r="K490" i="1"/>
  <c r="R393" i="1"/>
  <c r="N241" i="1"/>
  <c r="R41" i="1"/>
  <c r="H211" i="1"/>
  <c r="J111" i="1"/>
  <c r="H64" i="1"/>
  <c r="M62" i="1"/>
  <c r="J33" i="1"/>
  <c r="O20" i="4"/>
  <c r="Q17" i="4"/>
  <c r="E95" i="26"/>
  <c r="P17" i="4"/>
  <c r="M63" i="1"/>
  <c r="J394" i="1"/>
  <c r="I86" i="1"/>
  <c r="N18" i="4"/>
  <c r="H65" i="34"/>
  <c r="J12" i="2"/>
  <c r="S17" i="4"/>
  <c r="K665" i="1"/>
  <c r="I36" i="2"/>
  <c r="L472" i="1"/>
  <c r="M395" i="1"/>
  <c r="R63" i="1"/>
  <c r="I66" i="1"/>
  <c r="K45" i="17"/>
  <c r="H101" i="34" s="1"/>
  <c r="H350" i="2"/>
  <c r="H15" i="2"/>
  <c r="H665" i="1"/>
  <c r="L295" i="1"/>
  <c r="M65" i="1"/>
  <c r="J74" i="5"/>
  <c r="G89" i="34" s="1"/>
  <c r="K465" i="1"/>
  <c r="P392" i="1"/>
  <c r="O392" i="1"/>
  <c r="H751" i="2"/>
  <c r="I338" i="2"/>
  <c r="J490" i="1"/>
  <c r="J392" i="1"/>
  <c r="N65" i="1"/>
  <c r="I164" i="4"/>
  <c r="I9" i="17"/>
  <c r="D12" i="32" s="1"/>
  <c r="U481" i="2"/>
  <c r="V481" i="2" s="1"/>
  <c r="W481" i="2" s="1"/>
  <c r="X481" i="2" s="1"/>
  <c r="Y481" i="2" s="1"/>
  <c r="Z481" i="2" s="1"/>
  <c r="K339" i="2"/>
  <c r="J65" i="2"/>
  <c r="H392" i="1"/>
  <c r="N391" i="1"/>
  <c r="Q242" i="1"/>
  <c r="O239" i="1"/>
  <c r="L221" i="1"/>
  <c r="N17" i="4"/>
  <c r="S21" i="4"/>
  <c r="L94" i="1"/>
  <c r="K721" i="2"/>
  <c r="H97" i="34" s="1"/>
  <c r="H241" i="1"/>
  <c r="K14" i="17"/>
  <c r="H90" i="34" s="1"/>
  <c r="J721" i="2"/>
  <c r="G97" i="34" s="1"/>
  <c r="H65" i="1"/>
  <c r="I751" i="2"/>
  <c r="G113" i="34"/>
  <c r="G46" i="34"/>
  <c r="L93" i="1"/>
  <c r="Q393" i="1"/>
  <c r="H243" i="1"/>
  <c r="Q41" i="1"/>
  <c r="R62" i="1"/>
  <c r="J339" i="2"/>
  <c r="I65" i="2"/>
  <c r="N393" i="1"/>
  <c r="K33" i="1"/>
  <c r="I232" i="1"/>
  <c r="Q66" i="1"/>
  <c r="H62" i="1"/>
  <c r="Q32" i="1"/>
  <c r="K162" i="3"/>
  <c r="K132" i="3"/>
  <c r="H97" i="3"/>
  <c r="H23" i="3"/>
  <c r="I17" i="4"/>
  <c r="L575" i="1"/>
  <c r="O23" i="22"/>
  <c r="J36" i="2"/>
  <c r="I696" i="1"/>
  <c r="I714" i="1" s="1"/>
  <c r="L583" i="1"/>
  <c r="L582" i="1" s="1"/>
  <c r="J288" i="1"/>
  <c r="J302" i="1"/>
  <c r="J303" i="1" s="1"/>
  <c r="L257" i="1"/>
  <c r="T257" i="1" s="1"/>
  <c r="U257" i="1" s="1"/>
  <c r="V257" i="1" s="1"/>
  <c r="W257" i="1" s="1"/>
  <c r="X257" i="1" s="1"/>
  <c r="Y257" i="1" s="1"/>
  <c r="I31" i="1"/>
  <c r="L167" i="4"/>
  <c r="N167" i="4"/>
  <c r="K612" i="2"/>
  <c r="H20" i="34"/>
  <c r="U518" i="2"/>
  <c r="L206" i="2"/>
  <c r="I490" i="1"/>
  <c r="I504" i="1"/>
  <c r="I505" i="1" s="1"/>
  <c r="M44" i="1"/>
  <c r="O394" i="1"/>
  <c r="H96" i="34"/>
  <c r="K51" i="5"/>
  <c r="H20" i="5"/>
  <c r="I721" i="2"/>
  <c r="F97" i="34" s="1"/>
  <c r="Q42" i="1"/>
  <c r="J11" i="17"/>
  <c r="J51" i="5"/>
  <c r="I11" i="17"/>
  <c r="J84" i="5"/>
  <c r="J87" i="5" s="1"/>
  <c r="K101" i="2"/>
  <c r="H67" i="2"/>
  <c r="I394" i="1"/>
  <c r="I44" i="1"/>
  <c r="L328" i="1"/>
  <c r="O32" i="1"/>
  <c r="J44" i="1"/>
  <c r="K23" i="3"/>
  <c r="K102" i="3"/>
  <c r="K27" i="3"/>
  <c r="K28" i="3" s="1"/>
  <c r="K95" i="3"/>
  <c r="K19" i="3"/>
  <c r="J164" i="4"/>
  <c r="H672" i="2"/>
  <c r="L180" i="1"/>
  <c r="AB180" i="1" s="1"/>
  <c r="AC180" i="1" s="1"/>
  <c r="L195" i="1"/>
  <c r="I377" i="1"/>
  <c r="I378" i="1" s="1"/>
  <c r="I363" i="1"/>
  <c r="K44" i="1"/>
  <c r="I51" i="5"/>
  <c r="L282" i="1"/>
  <c r="AJ282" i="1" s="1"/>
  <c r="AK282" i="1" s="1"/>
  <c r="AL282" i="1" s="1"/>
  <c r="AM282" i="1" s="1"/>
  <c r="AN282" i="1" s="1"/>
  <c r="AO282" i="1" s="1"/>
  <c r="L78" i="3"/>
  <c r="L80" i="3" s="1"/>
  <c r="L81" i="3" s="1"/>
  <c r="AC77" i="3"/>
  <c r="AK77" i="3"/>
  <c r="AL77" i="3" s="1"/>
  <c r="AM77" i="3" s="1"/>
  <c r="AN77" i="3" s="1"/>
  <c r="AO77" i="3" s="1"/>
  <c r="AP77" i="3" s="1"/>
  <c r="K67" i="2"/>
  <c r="O480" i="1"/>
  <c r="I45" i="17"/>
  <c r="F101" i="34" s="1"/>
  <c r="I52" i="34"/>
  <c r="Q52" i="34" s="1"/>
  <c r="K9" i="17"/>
  <c r="H55" i="34"/>
  <c r="K95" i="5"/>
  <c r="K98" i="5" s="1"/>
  <c r="I84" i="5"/>
  <c r="I87" i="5" s="1"/>
  <c r="K50" i="5"/>
  <c r="I612" i="2"/>
  <c r="H65" i="2"/>
  <c r="H13" i="2"/>
  <c r="I200" i="38" s="1"/>
  <c r="J515" i="1"/>
  <c r="I240" i="1"/>
  <c r="N32" i="1"/>
  <c r="K232" i="1"/>
  <c r="H161" i="1"/>
  <c r="J27" i="3"/>
  <c r="J95" i="3"/>
  <c r="J97" i="3"/>
  <c r="J19" i="3"/>
  <c r="J119" i="3"/>
  <c r="H746" i="2"/>
  <c r="G20" i="34"/>
  <c r="J612" i="2"/>
  <c r="I709" i="1"/>
  <c r="I679" i="1"/>
  <c r="H709" i="1"/>
  <c r="H679" i="1"/>
  <c r="P480" i="1"/>
  <c r="AF480" i="1"/>
  <c r="I14" i="17"/>
  <c r="F90" i="34" s="1"/>
  <c r="H363" i="1"/>
  <c r="I111" i="1"/>
  <c r="I70" i="34"/>
  <c r="H293" i="5"/>
  <c r="H295" i="5" s="1"/>
  <c r="H49" i="5"/>
  <c r="H204" i="5"/>
  <c r="H206" i="5" s="1"/>
  <c r="P42" i="1"/>
  <c r="F96" i="34"/>
  <c r="H70" i="34"/>
  <c r="K13" i="2"/>
  <c r="H54" i="4"/>
  <c r="H55" i="4"/>
  <c r="H721" i="2"/>
  <c r="H84" i="5"/>
  <c r="H87" i="5" s="1"/>
  <c r="J50" i="5"/>
  <c r="U635" i="2"/>
  <c r="AL635" i="2"/>
  <c r="AM635" i="2" s="1"/>
  <c r="AN635" i="2" s="1"/>
  <c r="AO635" i="2" s="1"/>
  <c r="AP635" i="2" s="1"/>
  <c r="H612" i="2"/>
  <c r="I649" i="1"/>
  <c r="AD589" i="1"/>
  <c r="L425" i="1"/>
  <c r="AD378" i="1"/>
  <c r="H327" i="1"/>
  <c r="H328" i="1" s="1"/>
  <c r="R239" i="1"/>
  <c r="AD126" i="1"/>
  <c r="N126" i="1"/>
  <c r="N20" i="4"/>
  <c r="E10" i="32"/>
  <c r="J21" i="17"/>
  <c r="G93" i="34" s="1"/>
  <c r="I50" i="5"/>
  <c r="N66" i="1"/>
  <c r="K63" i="1"/>
  <c r="I166" i="4"/>
  <c r="I168" i="4" s="1"/>
  <c r="I393" i="1"/>
  <c r="H224" i="5"/>
  <c r="H50" i="5"/>
  <c r="J458" i="2"/>
  <c r="J471" i="2"/>
  <c r="L544" i="1"/>
  <c r="AJ544" i="1" s="1"/>
  <c r="AK544" i="1" s="1"/>
  <c r="AL544" i="1" s="1"/>
  <c r="AM544" i="1" s="1"/>
  <c r="AN544" i="1" s="1"/>
  <c r="AO544" i="1" s="1"/>
  <c r="L386" i="1"/>
  <c r="R242" i="1"/>
  <c r="P32" i="1"/>
  <c r="O687" i="2"/>
  <c r="O191" i="5" s="1"/>
  <c r="N191" i="5"/>
  <c r="G68" i="34"/>
  <c r="J353" i="2"/>
  <c r="J354" i="2" s="1"/>
  <c r="G66" i="34" s="1"/>
  <c r="N599" i="1"/>
  <c r="U599" i="1"/>
  <c r="AK599" i="1"/>
  <c r="K504" i="1"/>
  <c r="K505" i="1" s="1"/>
  <c r="L505" i="1" s="1"/>
  <c r="L409" i="1"/>
  <c r="T409" i="1" s="1"/>
  <c r="U409" i="1" s="1"/>
  <c r="V409" i="1" s="1"/>
  <c r="W409" i="1" s="1"/>
  <c r="X409" i="1" s="1"/>
  <c r="Y409" i="1" s="1"/>
  <c r="J313" i="1"/>
  <c r="K45" i="1"/>
  <c r="K66" i="1"/>
  <c r="K17" i="4"/>
  <c r="H18" i="17"/>
  <c r="E92" i="34" s="1"/>
  <c r="K672" i="2"/>
  <c r="K746" i="2"/>
  <c r="L83" i="2"/>
  <c r="J63" i="2"/>
  <c r="J27" i="2"/>
  <c r="L522" i="1"/>
  <c r="H504" i="1"/>
  <c r="H505" i="1" s="1"/>
  <c r="K454" i="1"/>
  <c r="K455" i="1" s="1"/>
  <c r="L455" i="1" s="1"/>
  <c r="K440" i="1"/>
  <c r="I338" i="1"/>
  <c r="I352" i="1"/>
  <c r="I353" i="1" s="1"/>
  <c r="I313" i="1"/>
  <c r="I327" i="1"/>
  <c r="I328" i="1" s="1"/>
  <c r="P242" i="1"/>
  <c r="L120" i="1"/>
  <c r="J100" i="1"/>
  <c r="J101" i="1" s="1"/>
  <c r="J675" i="1"/>
  <c r="J724" i="1" s="1"/>
  <c r="H63" i="1"/>
  <c r="H393" i="1"/>
  <c r="H384" i="1"/>
  <c r="J67" i="2"/>
  <c r="I16" i="17"/>
  <c r="F91" i="34" s="1"/>
  <c r="I27" i="5"/>
  <c r="J672" i="2"/>
  <c r="K529" i="1"/>
  <c r="K530" i="1" s="1"/>
  <c r="L530" i="1" s="1"/>
  <c r="K515" i="1"/>
  <c r="M391" i="1"/>
  <c r="H338" i="1"/>
  <c r="L145" i="1"/>
  <c r="I100" i="1"/>
  <c r="I101" i="1" s="1"/>
  <c r="I675" i="1"/>
  <c r="I724" i="1" s="1"/>
  <c r="H181" i="4"/>
  <c r="H182" i="4" s="1"/>
  <c r="I159" i="4"/>
  <c r="I31" i="17"/>
  <c r="I32" i="17" s="1"/>
  <c r="I47" i="1"/>
  <c r="I19" i="1" s="1"/>
  <c r="I678" i="1" s="1"/>
  <c r="K244" i="1"/>
  <c r="L14" i="4"/>
  <c r="L26" i="4"/>
  <c r="N394" i="1"/>
  <c r="K396" i="1"/>
  <c r="L349" i="1"/>
  <c r="L322" i="1"/>
  <c r="R29" i="1"/>
  <c r="H111" i="1"/>
  <c r="K86" i="1"/>
  <c r="H102" i="3"/>
  <c r="R17" i="4"/>
  <c r="H33" i="1"/>
  <c r="J86" i="1"/>
  <c r="Q62" i="1"/>
  <c r="H119" i="3"/>
  <c r="I342" i="2"/>
  <c r="K342" i="2"/>
  <c r="I30" i="2"/>
  <c r="K313" i="1"/>
  <c r="J47" i="1"/>
  <c r="J19" i="1" s="1"/>
  <c r="J707" i="1" s="1"/>
  <c r="M239" i="1"/>
  <c r="O29" i="1"/>
  <c r="N176" i="1"/>
  <c r="J64" i="1"/>
  <c r="H19" i="3"/>
  <c r="K102" i="4"/>
  <c r="I761" i="2"/>
  <c r="I763" i="2" s="1"/>
  <c r="K540" i="2"/>
  <c r="H340" i="2"/>
  <c r="J13" i="2"/>
  <c r="K306" i="2"/>
  <c r="K120" i="2"/>
  <c r="I392" i="1"/>
  <c r="Q395" i="1"/>
  <c r="K394" i="1"/>
  <c r="L348" i="1"/>
  <c r="R243" i="1"/>
  <c r="R66" i="1"/>
  <c r="H144" i="3"/>
  <c r="R21" i="4"/>
  <c r="H761" i="2"/>
  <c r="H763" i="2" s="1"/>
  <c r="K338" i="2"/>
  <c r="L558" i="1"/>
  <c r="J395" i="1"/>
  <c r="O393" i="1"/>
  <c r="P395" i="1"/>
  <c r="L56" i="1"/>
  <c r="L13" i="4"/>
  <c r="Q21" i="4"/>
  <c r="S18" i="4"/>
  <c r="N19" i="4"/>
  <c r="K24" i="2"/>
  <c r="I395" i="1"/>
  <c r="R391" i="1"/>
  <c r="N392" i="1"/>
  <c r="L346" i="1"/>
  <c r="L298" i="1"/>
  <c r="R241" i="1"/>
  <c r="J138" i="4"/>
  <c r="H265" i="2"/>
  <c r="M393" i="1"/>
  <c r="H394" i="1"/>
  <c r="L372" i="1"/>
  <c r="M243" i="1"/>
  <c r="Q241" i="1"/>
  <c r="O66" i="1"/>
  <c r="I138" i="4"/>
  <c r="J341" i="2"/>
  <c r="H338" i="2"/>
  <c r="L434" i="1"/>
  <c r="AD430" i="1"/>
  <c r="R394" i="1"/>
  <c r="P391" i="1"/>
  <c r="L371" i="1"/>
  <c r="L299" i="1"/>
  <c r="I244" i="1"/>
  <c r="I252" i="1" s="1"/>
  <c r="I253" i="1" s="1"/>
  <c r="J132" i="3"/>
  <c r="K153" i="4"/>
  <c r="K177" i="4" s="1"/>
  <c r="P18" i="4"/>
  <c r="K36" i="2"/>
  <c r="Q394" i="1"/>
  <c r="J393" i="1"/>
  <c r="O391" i="1"/>
  <c r="J363" i="1"/>
  <c r="L130" i="1"/>
  <c r="T130" i="1" s="1"/>
  <c r="U130" i="1" s="1"/>
  <c r="V130" i="1" s="1"/>
  <c r="W130" i="1" s="1"/>
  <c r="X130" i="1" s="1"/>
  <c r="Y130" i="1" s="1"/>
  <c r="P33" i="1"/>
  <c r="O18" i="4"/>
  <c r="F38" i="33"/>
  <c r="N626" i="2"/>
  <c r="N28" i="5" s="1"/>
  <c r="M579" i="1"/>
  <c r="M583" i="1" s="1"/>
  <c r="M582" i="1" s="1"/>
  <c r="H71" i="34"/>
  <c r="K32" i="22"/>
  <c r="L32" i="22"/>
  <c r="L30" i="22" s="1"/>
  <c r="G108" i="28"/>
  <c r="J32" i="22"/>
  <c r="J30" i="22" s="1"/>
  <c r="J28" i="22" s="1"/>
  <c r="AM243" i="2"/>
  <c r="F165" i="33"/>
  <c r="AL243" i="2"/>
  <c r="F179" i="33"/>
  <c r="F113" i="34"/>
  <c r="L399" i="2"/>
  <c r="G117" i="28"/>
  <c r="F45" i="28"/>
  <c r="G36" i="28"/>
  <c r="F48" i="28" s="1"/>
  <c r="F35" i="28"/>
  <c r="F37" i="28" s="1"/>
  <c r="K18" i="17"/>
  <c r="H92" i="34" s="1"/>
  <c r="K31" i="17"/>
  <c r="J18" i="17"/>
  <c r="G92" i="34" s="1"/>
  <c r="J31" i="17"/>
  <c r="E93" i="34"/>
  <c r="C10" i="32"/>
  <c r="J417" i="2"/>
  <c r="J430" i="2"/>
  <c r="F187" i="33"/>
  <c r="H45" i="17"/>
  <c r="E101" i="34" s="1"/>
  <c r="J30" i="5"/>
  <c r="J29" i="5" s="1"/>
  <c r="G5" i="34"/>
  <c r="K594" i="2"/>
  <c r="L594" i="2" s="1"/>
  <c r="M594" i="2" s="1"/>
  <c r="M587" i="2" s="1"/>
  <c r="K581" i="2"/>
  <c r="H11" i="17"/>
  <c r="G37" i="33"/>
  <c r="I46" i="17"/>
  <c r="G96" i="34"/>
  <c r="J45" i="17"/>
  <c r="G101" i="34" s="1"/>
  <c r="H14" i="17"/>
  <c r="E90" i="34" s="1"/>
  <c r="H30" i="5"/>
  <c r="H29" i="5" s="1"/>
  <c r="E5" i="34"/>
  <c r="J16" i="17"/>
  <c r="G91" i="34" s="1"/>
  <c r="AP659" i="2"/>
  <c r="N243" i="1"/>
  <c r="L7" i="2"/>
  <c r="I53" i="34"/>
  <c r="Q53" i="34" s="1"/>
  <c r="L51" i="5"/>
  <c r="G124" i="28"/>
  <c r="H16" i="17"/>
  <c r="E91" i="34" s="1"/>
  <c r="K23" i="22"/>
  <c r="Z659" i="2"/>
  <c r="H31" i="17"/>
  <c r="AK647" i="2"/>
  <c r="K73" i="34"/>
  <c r="D10" i="32"/>
  <c r="I21" i="17"/>
  <c r="F93" i="34" s="1"/>
  <c r="O762" i="2"/>
  <c r="P759" i="2"/>
  <c r="H63" i="2"/>
  <c r="H23" i="2"/>
  <c r="H25" i="2"/>
  <c r="I477" i="2"/>
  <c r="F69" i="34" s="1"/>
  <c r="I353" i="2"/>
  <c r="I354" i="2" s="1"/>
  <c r="F66" i="34" s="1"/>
  <c r="I243" i="2"/>
  <c r="F63" i="34" s="1"/>
  <c r="I78" i="2"/>
  <c r="I79" i="2" s="1"/>
  <c r="F59" i="34" s="1"/>
  <c r="H26" i="2"/>
  <c r="H66" i="2"/>
  <c r="L50" i="5"/>
  <c r="H42" i="1"/>
  <c r="H244" i="1"/>
  <c r="H240" i="1"/>
  <c r="F114" i="34"/>
  <c r="P85" i="5"/>
  <c r="P215" i="5" s="1"/>
  <c r="K20" i="5"/>
  <c r="K236" i="5" s="1"/>
  <c r="K49" i="5"/>
  <c r="L358" i="2"/>
  <c r="W600" i="2"/>
  <c r="AM600" i="2"/>
  <c r="J540" i="2"/>
  <c r="I529" i="1"/>
  <c r="I530" i="1" s="1"/>
  <c r="I515" i="1"/>
  <c r="L347" i="1"/>
  <c r="L235" i="1"/>
  <c r="H529" i="1"/>
  <c r="H530" i="1" s="1"/>
  <c r="H515" i="1"/>
  <c r="J751" i="2"/>
  <c r="H600" i="2"/>
  <c r="E72" i="34" s="1"/>
  <c r="H353" i="2"/>
  <c r="H354" i="2" s="1"/>
  <c r="E66" i="34" s="1"/>
  <c r="AK518" i="2"/>
  <c r="K512" i="2"/>
  <c r="N512" i="2" s="1"/>
  <c r="O512" i="2" s="1"/>
  <c r="P512" i="2" s="1"/>
  <c r="Q512" i="2" s="1"/>
  <c r="R512" i="2" s="1"/>
  <c r="S512" i="2" s="1"/>
  <c r="K343" i="2"/>
  <c r="T570" i="1"/>
  <c r="U570" i="1" s="1"/>
  <c r="V570" i="1" s="1"/>
  <c r="W570" i="1" s="1"/>
  <c r="X570" i="1" s="1"/>
  <c r="Y570" i="1" s="1"/>
  <c r="AB570" i="1"/>
  <c r="AJ570" i="1"/>
  <c r="AK570" i="1" s="1"/>
  <c r="AL570" i="1" s="1"/>
  <c r="AM570" i="1" s="1"/>
  <c r="AN570" i="1" s="1"/>
  <c r="AO570" i="1" s="1"/>
  <c r="J20" i="5"/>
  <c r="J49" i="5"/>
  <c r="J95" i="5"/>
  <c r="J98" i="5" s="1"/>
  <c r="I20" i="5"/>
  <c r="I49" i="5"/>
  <c r="I95" i="5"/>
  <c r="I98" i="5" s="1"/>
  <c r="V600" i="2"/>
  <c r="AL600" i="2"/>
  <c r="N565" i="1"/>
  <c r="AD565" i="1"/>
  <c r="H95" i="5"/>
  <c r="H98" i="5" s="1"/>
  <c r="H194" i="5"/>
  <c r="H196" i="5" s="1"/>
  <c r="K761" i="2"/>
  <c r="K763" i="2" s="1"/>
  <c r="K429" i="1"/>
  <c r="K430" i="1" s="1"/>
  <c r="L430" i="1" s="1"/>
  <c r="K415" i="1"/>
  <c r="J761" i="2"/>
  <c r="J763" i="2" s="1"/>
  <c r="K66" i="2"/>
  <c r="K26" i="2"/>
  <c r="J429" i="1"/>
  <c r="J430" i="1" s="1"/>
  <c r="J415" i="1"/>
  <c r="H78" i="2"/>
  <c r="H79" i="2" s="1"/>
  <c r="E59" i="34" s="1"/>
  <c r="K331" i="2"/>
  <c r="K389" i="2"/>
  <c r="I155" i="3"/>
  <c r="I160" i="3"/>
  <c r="J376" i="2"/>
  <c r="J389" i="2"/>
  <c r="J343" i="2"/>
  <c r="H454" i="1"/>
  <c r="H455" i="1" s="1"/>
  <c r="H440" i="1"/>
  <c r="K353" i="2"/>
  <c r="K354" i="2" s="1"/>
  <c r="H66" i="34" s="1"/>
  <c r="J25" i="2"/>
  <c r="J340" i="2"/>
  <c r="K243" i="2"/>
  <c r="H342" i="2"/>
  <c r="I243" i="1"/>
  <c r="I33" i="1"/>
  <c r="I22" i="2"/>
  <c r="H27" i="2"/>
  <c r="L592" i="1"/>
  <c r="L591" i="1" s="1"/>
  <c r="M593" i="1"/>
  <c r="N51" i="3"/>
  <c r="K39" i="3"/>
  <c r="L39" i="3" s="1"/>
  <c r="M39" i="3" s="1"/>
  <c r="K25" i="2"/>
  <c r="K340" i="2"/>
  <c r="J440" i="1"/>
  <c r="J39" i="3"/>
  <c r="AK325" i="2"/>
  <c r="J66" i="2"/>
  <c r="J26" i="2"/>
  <c r="E130" i="26"/>
  <c r="E131" i="26"/>
  <c r="E132" i="26"/>
  <c r="L165" i="2"/>
  <c r="J78" i="2"/>
  <c r="J79" i="2" s="1"/>
  <c r="G59" i="34" s="1"/>
  <c r="L535" i="1"/>
  <c r="M534" i="1"/>
  <c r="M538" i="1" s="1"/>
  <c r="M537" i="1" s="1"/>
  <c r="I454" i="1"/>
  <c r="I455" i="1" s="1"/>
  <c r="I440" i="1"/>
  <c r="L332" i="1"/>
  <c r="J265" i="2"/>
  <c r="K14" i="2"/>
  <c r="K11" i="2"/>
  <c r="K56" i="2"/>
  <c r="AD575" i="1"/>
  <c r="I288" i="1"/>
  <c r="I302" i="1"/>
  <c r="I303" i="1" s="1"/>
  <c r="L296" i="1"/>
  <c r="L222" i="1"/>
  <c r="H100" i="1"/>
  <c r="H101" i="1" s="1"/>
  <c r="H86" i="1"/>
  <c r="H675" i="1"/>
  <c r="H724" i="1" s="1"/>
  <c r="J183" i="2"/>
  <c r="K68" i="2"/>
  <c r="K75" i="2" s="1"/>
  <c r="J14" i="2"/>
  <c r="J11" i="2"/>
  <c r="H52" i="41" s="1"/>
  <c r="H54" i="41" s="1"/>
  <c r="J56" i="2"/>
  <c r="L571" i="1"/>
  <c r="T569" i="1"/>
  <c r="U569" i="1" s="1"/>
  <c r="V569" i="1" s="1"/>
  <c r="W569" i="1" s="1"/>
  <c r="X569" i="1" s="1"/>
  <c r="Y569" i="1" s="1"/>
  <c r="AJ569" i="1"/>
  <c r="AK569" i="1" s="1"/>
  <c r="AL569" i="1" s="1"/>
  <c r="AM569" i="1" s="1"/>
  <c r="AN569" i="1" s="1"/>
  <c r="AO569" i="1" s="1"/>
  <c r="AB569" i="1"/>
  <c r="H288" i="1"/>
  <c r="H302" i="1"/>
  <c r="H303" i="1" s="1"/>
  <c r="J331" i="2"/>
  <c r="H183" i="2"/>
  <c r="H196" i="2"/>
  <c r="J68" i="2"/>
  <c r="J75" i="2" s="1"/>
  <c r="J101" i="2"/>
  <c r="I56" i="2"/>
  <c r="I62" i="2" s="1"/>
  <c r="W599" i="1"/>
  <c r="AF599" i="1"/>
  <c r="AM599" i="1"/>
  <c r="P599" i="1"/>
  <c r="J232" i="1"/>
  <c r="J42" i="1"/>
  <c r="J67" i="1"/>
  <c r="J75" i="1" s="1"/>
  <c r="J76" i="1" s="1"/>
  <c r="J63" i="1"/>
  <c r="J338" i="2"/>
  <c r="I331" i="2"/>
  <c r="I337" i="2" s="1"/>
  <c r="H68" i="2"/>
  <c r="H101" i="2"/>
  <c r="H14" i="2"/>
  <c r="I214" i="38" s="1"/>
  <c r="H56" i="2"/>
  <c r="V599" i="1"/>
  <c r="AL599" i="1"/>
  <c r="O599" i="1"/>
  <c r="L234" i="1"/>
  <c r="P43" i="1"/>
  <c r="P64" i="1"/>
  <c r="I153" i="4"/>
  <c r="I177" i="4" s="1"/>
  <c r="H331" i="2"/>
  <c r="H337" i="2" s="1"/>
  <c r="H30" i="2"/>
  <c r="K30" i="2"/>
  <c r="L321" i="1"/>
  <c r="J45" i="1"/>
  <c r="J66" i="1"/>
  <c r="O43" i="1"/>
  <c r="O64" i="1"/>
  <c r="AK97" i="4"/>
  <c r="J30" i="2"/>
  <c r="I665" i="1"/>
  <c r="I667" i="1" s="1"/>
  <c r="L500" i="1"/>
  <c r="L496" i="1" s="1"/>
  <c r="L307" i="1"/>
  <c r="L320" i="1"/>
  <c r="N303" i="1"/>
  <c r="AD303" i="1"/>
  <c r="O176" i="1"/>
  <c r="AE176" i="1"/>
  <c r="K27" i="2"/>
  <c r="K15" i="2"/>
  <c r="K12" i="2"/>
  <c r="L538" i="1"/>
  <c r="L537" i="1" s="1"/>
  <c r="M241" i="1"/>
  <c r="I39" i="3"/>
  <c r="J24" i="2"/>
  <c r="J15" i="2"/>
  <c r="K384" i="1"/>
  <c r="R44" i="1"/>
  <c r="L59" i="1"/>
  <c r="L80" i="1"/>
  <c r="L96" i="1"/>
  <c r="I564" i="1"/>
  <c r="I565" i="1" s="1"/>
  <c r="I550" i="1"/>
  <c r="AD530" i="1"/>
  <c r="L475" i="1"/>
  <c r="AE278" i="1"/>
  <c r="M43" i="1"/>
  <c r="H24" i="2"/>
  <c r="H64" i="2"/>
  <c r="H564" i="1"/>
  <c r="H565" i="1" s="1"/>
  <c r="H550" i="1"/>
  <c r="I384" i="1"/>
  <c r="K47" i="1"/>
  <c r="K19" i="1" s="1"/>
  <c r="K78" i="2"/>
  <c r="K79" i="2" s="1"/>
  <c r="H59" i="34" s="1"/>
  <c r="H714" i="1"/>
  <c r="AD455" i="1"/>
  <c r="N455" i="1"/>
  <c r="L389" i="1"/>
  <c r="K30" i="1"/>
  <c r="P31" i="1"/>
  <c r="P241" i="1"/>
  <c r="J30" i="1"/>
  <c r="J240" i="1"/>
  <c r="J384" i="1"/>
  <c r="L357" i="1"/>
  <c r="H277" i="1"/>
  <c r="H278" i="1" s="1"/>
  <c r="H263" i="1"/>
  <c r="K243" i="1"/>
  <c r="AJ155" i="1"/>
  <c r="AK155" i="1" s="1"/>
  <c r="AL155" i="1" s="1"/>
  <c r="AM155" i="1" s="1"/>
  <c r="AN155" i="1" s="1"/>
  <c r="AO155" i="1" s="1"/>
  <c r="T155" i="1"/>
  <c r="U155" i="1" s="1"/>
  <c r="V155" i="1" s="1"/>
  <c r="W155" i="1" s="1"/>
  <c r="X155" i="1" s="1"/>
  <c r="Y155" i="1" s="1"/>
  <c r="L60" i="1"/>
  <c r="L97" i="1"/>
  <c r="Q85" i="3"/>
  <c r="J396" i="1"/>
  <c r="L233" i="1"/>
  <c r="H31" i="1"/>
  <c r="J504" i="1"/>
  <c r="J505" i="1" s="1"/>
  <c r="I396" i="1"/>
  <c r="K352" i="1"/>
  <c r="K353" i="1" s="1"/>
  <c r="J352" i="1"/>
  <c r="J353" i="1" s="1"/>
  <c r="J338" i="1"/>
  <c r="J41" i="1"/>
  <c r="J239" i="1"/>
  <c r="J31" i="1"/>
  <c r="J241" i="1"/>
  <c r="J150" i="1"/>
  <c r="J151" i="1" s="1"/>
  <c r="J136" i="1"/>
  <c r="I30" i="1"/>
  <c r="I63" i="1"/>
  <c r="AD535" i="1"/>
  <c r="L484" i="1"/>
  <c r="H396" i="1"/>
  <c r="N29" i="1"/>
  <c r="I150" i="1"/>
  <c r="I151" i="1" s="1"/>
  <c r="I136" i="1"/>
  <c r="O31" i="1"/>
  <c r="H30" i="1"/>
  <c r="L580" i="1"/>
  <c r="L578" i="1"/>
  <c r="O240" i="1"/>
  <c r="O42" i="1"/>
  <c r="L237" i="1"/>
  <c r="L374" i="1"/>
  <c r="P243" i="1"/>
  <c r="R43" i="1"/>
  <c r="R64" i="1"/>
  <c r="L373" i="1"/>
  <c r="O243" i="1"/>
  <c r="Q43" i="1"/>
  <c r="Q64" i="1"/>
  <c r="K42" i="1"/>
  <c r="K67" i="1"/>
  <c r="K75" i="1" s="1"/>
  <c r="K76" i="1" s="1"/>
  <c r="Q44" i="1"/>
  <c r="Q239" i="1"/>
  <c r="L219" i="1"/>
  <c r="J200" i="1"/>
  <c r="J201" i="1" s="1"/>
  <c r="J186" i="1"/>
  <c r="H150" i="1"/>
  <c r="H151" i="1" s="1"/>
  <c r="H136" i="1"/>
  <c r="P44" i="1"/>
  <c r="K43" i="1"/>
  <c r="P41" i="1"/>
  <c r="P239" i="1"/>
  <c r="L205" i="1"/>
  <c r="L218" i="1"/>
  <c r="I200" i="1"/>
  <c r="I201" i="1" s="1"/>
  <c r="I186" i="1"/>
  <c r="H200" i="1"/>
  <c r="H201" i="1" s="1"/>
  <c r="H186" i="1"/>
  <c r="I64" i="1"/>
  <c r="I43" i="1"/>
  <c r="O62" i="1"/>
  <c r="O41" i="1"/>
  <c r="K86" i="4"/>
  <c r="K87" i="4" s="1"/>
  <c r="K73" i="4"/>
  <c r="L387" i="1"/>
  <c r="N44" i="1"/>
  <c r="N41" i="1"/>
  <c r="N239" i="1"/>
  <c r="O65" i="1"/>
  <c r="O44" i="1"/>
  <c r="R30" i="1"/>
  <c r="J86" i="4"/>
  <c r="J87" i="4" s="1"/>
  <c r="J73" i="4"/>
  <c r="L324" i="1"/>
  <c r="K263" i="1"/>
  <c r="L273" i="1"/>
  <c r="L236" i="1"/>
  <c r="H43" i="1"/>
  <c r="H232" i="1"/>
  <c r="M32" i="1"/>
  <c r="Q30" i="1"/>
  <c r="K55" i="1"/>
  <c r="K29" i="1"/>
  <c r="I86" i="4"/>
  <c r="I87" i="4" s="1"/>
  <c r="I73" i="4"/>
  <c r="K62" i="4"/>
  <c r="K49" i="4"/>
  <c r="J263" i="1"/>
  <c r="L272" i="1"/>
  <c r="K241" i="1"/>
  <c r="R31" i="1"/>
  <c r="R33" i="1"/>
  <c r="K32" i="1"/>
  <c r="P30" i="1"/>
  <c r="J55" i="1"/>
  <c r="J29" i="1"/>
  <c r="J62" i="1"/>
  <c r="AK93" i="4"/>
  <c r="I263" i="1"/>
  <c r="K41" i="1"/>
  <c r="K239" i="1"/>
  <c r="Q31" i="1"/>
  <c r="L121" i="1"/>
  <c r="L105" i="1"/>
  <c r="Q33" i="1"/>
  <c r="J32" i="1"/>
  <c r="O30" i="1"/>
  <c r="O89" i="3"/>
  <c r="P89" i="3" s="1"/>
  <c r="Q89" i="3" s="1"/>
  <c r="R89" i="3" s="1"/>
  <c r="S89" i="3" s="1"/>
  <c r="N88" i="3"/>
  <c r="N87" i="3" s="1"/>
  <c r="N24" i="3" s="1"/>
  <c r="M29" i="1"/>
  <c r="K186" i="1"/>
  <c r="L172" i="1"/>
  <c r="AD101" i="1"/>
  <c r="L58" i="1"/>
  <c r="N31" i="1"/>
  <c r="H47" i="1"/>
  <c r="H19" i="1" s="1"/>
  <c r="K161" i="1"/>
  <c r="L171" i="1"/>
  <c r="K111" i="1"/>
  <c r="L57" i="1"/>
  <c r="Q63" i="1"/>
  <c r="K62" i="1"/>
  <c r="M31" i="1"/>
  <c r="I27" i="3"/>
  <c r="I169" i="3"/>
  <c r="AK95" i="4"/>
  <c r="AC95" i="4" s="1"/>
  <c r="AD95" i="4" s="1"/>
  <c r="AE95" i="4" s="1"/>
  <c r="AF95" i="4" s="1"/>
  <c r="AG95" i="4" s="1"/>
  <c r="AH95" i="4" s="1"/>
  <c r="L170" i="1"/>
  <c r="K136" i="1"/>
  <c r="K65" i="1"/>
  <c r="P63" i="1"/>
  <c r="J162" i="3"/>
  <c r="L86" i="3"/>
  <c r="L88" i="3" s="1"/>
  <c r="L89" i="3" s="1"/>
  <c r="H145" i="3"/>
  <c r="H27" i="3"/>
  <c r="H169" i="3"/>
  <c r="P66" i="1"/>
  <c r="J65" i="1"/>
  <c r="I41" i="1"/>
  <c r="I162" i="3"/>
  <c r="N42" i="1"/>
  <c r="H41" i="1"/>
  <c r="H67" i="1"/>
  <c r="N64" i="1"/>
  <c r="L25" i="4"/>
  <c r="J39" i="4"/>
  <c r="J110" i="4"/>
  <c r="J113" i="4" s="1"/>
  <c r="H44" i="1"/>
  <c r="M42" i="1"/>
  <c r="I45" i="1"/>
  <c r="N43" i="1"/>
  <c r="I42" i="1"/>
  <c r="O33" i="1"/>
  <c r="I32" i="1"/>
  <c r="N30" i="1"/>
  <c r="I55" i="1"/>
  <c r="I29" i="1"/>
  <c r="H45" i="1"/>
  <c r="N33" i="1"/>
  <c r="H32" i="1"/>
  <c r="M30" i="1"/>
  <c r="H55" i="1"/>
  <c r="H29" i="1"/>
  <c r="M33" i="1"/>
  <c r="J43" i="1"/>
  <c r="I62" i="1"/>
  <c r="I67" i="1"/>
  <c r="I75" i="1" s="1"/>
  <c r="I76" i="1" s="1"/>
  <c r="I23" i="3"/>
  <c r="I95" i="3"/>
  <c r="I119" i="3"/>
  <c r="H86" i="4"/>
  <c r="H87" i="4" s="1"/>
  <c r="H73" i="4"/>
  <c r="K31" i="1"/>
  <c r="Q29" i="1"/>
  <c r="L62" i="3"/>
  <c r="L64" i="3" s="1"/>
  <c r="L65" i="3" s="1"/>
  <c r="AC61" i="3"/>
  <c r="U61" i="3"/>
  <c r="V61" i="3" s="1"/>
  <c r="W61" i="3" s="1"/>
  <c r="X61" i="3" s="1"/>
  <c r="Y61" i="3" s="1"/>
  <c r="Z61" i="3" s="1"/>
  <c r="K10" i="4"/>
  <c r="J88" i="3"/>
  <c r="J89" i="3" s="1"/>
  <c r="S177" i="4"/>
  <c r="E112" i="26"/>
  <c r="E110" i="26" s="1"/>
  <c r="E109" i="26" s="1"/>
  <c r="E108" i="26" s="1"/>
  <c r="E106" i="26" s="1"/>
  <c r="E105" i="26" s="1"/>
  <c r="E104" i="26" s="1"/>
  <c r="E102" i="26" s="1"/>
  <c r="E101" i="26" s="1"/>
  <c r="E100" i="26" s="1"/>
  <c r="J10" i="4"/>
  <c r="J16" i="4" s="1"/>
  <c r="K138" i="4"/>
  <c r="I10" i="4"/>
  <c r="I16" i="4" s="1"/>
  <c r="P19" i="4"/>
  <c r="H10" i="4"/>
  <c r="O19" i="4"/>
  <c r="I110" i="4"/>
  <c r="I113" i="4" s="1"/>
  <c r="H110" i="4"/>
  <c r="H113" i="4" s="1"/>
  <c r="E133" i="26"/>
  <c r="J17" i="4"/>
  <c r="P21" i="4"/>
  <c r="O21" i="4"/>
  <c r="M35" i="1" l="1"/>
  <c r="L192" i="1"/>
  <c r="I37" i="1"/>
  <c r="H43" i="34"/>
  <c r="G43" i="34"/>
  <c r="N702" i="36"/>
  <c r="N703" i="36" s="1"/>
  <c r="K42" i="34"/>
  <c r="F43" i="34"/>
  <c r="Q33" i="34"/>
  <c r="AE226" i="1"/>
  <c r="P226" i="1" s="1"/>
  <c r="O580" i="1"/>
  <c r="L709" i="1"/>
  <c r="M709" i="1" s="1"/>
  <c r="N709" i="1" s="1"/>
  <c r="K223" i="5"/>
  <c r="K235" i="5" s="1"/>
  <c r="H100" i="34"/>
  <c r="H105" i="34" s="1"/>
  <c r="P35" i="1"/>
  <c r="L20" i="4"/>
  <c r="O52" i="25"/>
  <c r="P52" i="25" s="1"/>
  <c r="P27" i="25"/>
  <c r="G102" i="34"/>
  <c r="K163" i="3"/>
  <c r="G11" i="41"/>
  <c r="G12" i="41" s="1"/>
  <c r="K30" i="22"/>
  <c r="K28" i="22" s="1"/>
  <c r="F102" i="34"/>
  <c r="H223" i="5"/>
  <c r="H235" i="5" s="1"/>
  <c r="E100" i="34"/>
  <c r="E105" i="34" s="1"/>
  <c r="AE328" i="1"/>
  <c r="P328" i="1" s="1"/>
  <c r="AE151" i="1"/>
  <c r="P151" i="1" s="1"/>
  <c r="H722" i="2"/>
  <c r="E97" i="34"/>
  <c r="E102" i="34" s="1"/>
  <c r="J223" i="5"/>
  <c r="J235" i="5" s="1"/>
  <c r="G100" i="34"/>
  <c r="G105" i="34" s="1"/>
  <c r="H102" i="34"/>
  <c r="J71" i="38"/>
  <c r="J72" i="38" s="1"/>
  <c r="I223" i="5"/>
  <c r="I235" i="5" s="1"/>
  <c r="F100" i="34"/>
  <c r="F105" i="34" s="1"/>
  <c r="L378" i="36"/>
  <c r="I79" i="34" s="1"/>
  <c r="J40" i="42"/>
  <c r="J63" i="42" s="1"/>
  <c r="K378" i="36"/>
  <c r="H79" i="34" s="1"/>
  <c r="I40" i="42"/>
  <c r="I63" i="42" s="1"/>
  <c r="H312" i="36"/>
  <c r="E77" i="34" s="1"/>
  <c r="F38" i="42"/>
  <c r="F61" i="42" s="1"/>
  <c r="H417" i="36"/>
  <c r="E80" i="34" s="1"/>
  <c r="F41" i="42"/>
  <c r="F64" i="42" s="1"/>
  <c r="I456" i="36"/>
  <c r="F81" i="34" s="1"/>
  <c r="G42" i="42"/>
  <c r="G65" i="42" s="1"/>
  <c r="M378" i="36"/>
  <c r="J79" i="34" s="1"/>
  <c r="K40" i="42"/>
  <c r="K63" i="42" s="1"/>
  <c r="H378" i="36"/>
  <c r="E79" i="34" s="1"/>
  <c r="F40" i="42"/>
  <c r="F63" i="42" s="1"/>
  <c r="K456" i="36"/>
  <c r="H81" i="34" s="1"/>
  <c r="I42" i="42"/>
  <c r="I65" i="42" s="1"/>
  <c r="J495" i="36"/>
  <c r="G82" i="34" s="1"/>
  <c r="H43" i="42"/>
  <c r="I156" i="36"/>
  <c r="G34" i="42"/>
  <c r="G57" i="42" s="1"/>
  <c r="K417" i="36"/>
  <c r="H80" i="34" s="1"/>
  <c r="I41" i="42"/>
  <c r="I64" i="42" s="1"/>
  <c r="L117" i="36"/>
  <c r="J33" i="42"/>
  <c r="J56" i="42" s="1"/>
  <c r="M456" i="36"/>
  <c r="J81" i="34" s="1"/>
  <c r="K42" i="42"/>
  <c r="K65" i="42" s="1"/>
  <c r="K534" i="36"/>
  <c r="H83" i="34" s="1"/>
  <c r="I44" i="42"/>
  <c r="I378" i="36"/>
  <c r="F79" i="34" s="1"/>
  <c r="G40" i="42"/>
  <c r="G63" i="42" s="1"/>
  <c r="L417" i="36"/>
  <c r="I80" i="34" s="1"/>
  <c r="J41" i="42"/>
  <c r="J64" i="42" s="1"/>
  <c r="I417" i="36"/>
  <c r="F80" i="34" s="1"/>
  <c r="G41" i="42"/>
  <c r="G64" i="42" s="1"/>
  <c r="I273" i="36"/>
  <c r="G37" i="42"/>
  <c r="G60" i="42" s="1"/>
  <c r="M417" i="36"/>
  <c r="J80" i="34" s="1"/>
  <c r="K41" i="42"/>
  <c r="K64" i="42" s="1"/>
  <c r="J417" i="36"/>
  <c r="G80" i="34" s="1"/>
  <c r="H41" i="42"/>
  <c r="H64" i="42" s="1"/>
  <c r="L195" i="36"/>
  <c r="J35" i="42"/>
  <c r="J58" i="42" s="1"/>
  <c r="L156" i="36"/>
  <c r="J34" i="42"/>
  <c r="J57" i="42" s="1"/>
  <c r="J534" i="36"/>
  <c r="G83" i="34" s="1"/>
  <c r="H44" i="42"/>
  <c r="K495" i="36"/>
  <c r="H82" i="34" s="1"/>
  <c r="I43" i="42"/>
  <c r="J234" i="36"/>
  <c r="H36" i="42"/>
  <c r="H59" i="42" s="1"/>
  <c r="H234" i="36"/>
  <c r="F36" i="42"/>
  <c r="F59" i="42" s="1"/>
  <c r="M117" i="36"/>
  <c r="K33" i="42"/>
  <c r="K56" i="42" s="1"/>
  <c r="J195" i="36"/>
  <c r="H35" i="42"/>
  <c r="H58" i="42" s="1"/>
  <c r="I195" i="36"/>
  <c r="G35" i="42"/>
  <c r="G58" i="42" s="1"/>
  <c r="H117" i="36"/>
  <c r="F33" i="42"/>
  <c r="F56" i="42" s="1"/>
  <c r="I495" i="36"/>
  <c r="F82" i="34" s="1"/>
  <c r="G43" i="42"/>
  <c r="J273" i="36"/>
  <c r="H37" i="42"/>
  <c r="H60" i="42" s="1"/>
  <c r="H35" i="5"/>
  <c r="E30" i="34" s="1"/>
  <c r="F12" i="42"/>
  <c r="H703" i="36"/>
  <c r="F47" i="42"/>
  <c r="L495" i="36"/>
  <c r="I82" i="34" s="1"/>
  <c r="J43" i="42"/>
  <c r="I312" i="36"/>
  <c r="F77" i="34" s="1"/>
  <c r="G38" i="42"/>
  <c r="G61" i="42" s="1"/>
  <c r="K33" i="5"/>
  <c r="I5" i="42"/>
  <c r="J156" i="36"/>
  <c r="H34" i="42"/>
  <c r="H57" i="42" s="1"/>
  <c r="F11" i="41"/>
  <c r="F12" i="41" s="1"/>
  <c r="K156" i="36"/>
  <c r="I34" i="42"/>
  <c r="I57" i="42" s="1"/>
  <c r="J378" i="36"/>
  <c r="G79" i="34" s="1"/>
  <c r="H40" i="42"/>
  <c r="H63" i="42" s="1"/>
  <c r="J117" i="36"/>
  <c r="H33" i="42"/>
  <c r="H56" i="42" s="1"/>
  <c r="I117" i="36"/>
  <c r="G33" i="42"/>
  <c r="G56" i="42" s="1"/>
  <c r="J222" i="5"/>
  <c r="G98" i="34"/>
  <c r="H156" i="36"/>
  <c r="F34" i="42"/>
  <c r="F57" i="42" s="1"/>
  <c r="H273" i="36"/>
  <c r="F37" i="42"/>
  <c r="F60" i="42" s="1"/>
  <c r="M195" i="36"/>
  <c r="K35" i="42"/>
  <c r="K58" i="42" s="1"/>
  <c r="I33" i="5"/>
  <c r="G5" i="42"/>
  <c r="K234" i="36"/>
  <c r="I36" i="42"/>
  <c r="I59" i="42" s="1"/>
  <c r="I234" i="36"/>
  <c r="G36" i="42"/>
  <c r="G59" i="42" s="1"/>
  <c r="K117" i="36"/>
  <c r="I33" i="42"/>
  <c r="I56" i="42" s="1"/>
  <c r="J34" i="34"/>
  <c r="K16" i="42"/>
  <c r="K273" i="36"/>
  <c r="I37" i="42"/>
  <c r="I60" i="42" s="1"/>
  <c r="J312" i="36"/>
  <c r="G77" i="34" s="1"/>
  <c r="H38" i="42"/>
  <c r="H61" i="42" s="1"/>
  <c r="L456" i="36"/>
  <c r="I81" i="34" s="1"/>
  <c r="J42" i="42"/>
  <c r="J65" i="42" s="1"/>
  <c r="H456" i="36"/>
  <c r="E81" i="34" s="1"/>
  <c r="F42" i="42"/>
  <c r="F65" i="42" s="1"/>
  <c r="H534" i="36"/>
  <c r="E83" i="34" s="1"/>
  <c r="F44" i="42"/>
  <c r="I534" i="36"/>
  <c r="F83" i="34" s="1"/>
  <c r="G44" i="42"/>
  <c r="H36" i="5"/>
  <c r="E38" i="34" s="1"/>
  <c r="E43" i="34" s="1"/>
  <c r="F18" i="42"/>
  <c r="K312" i="36"/>
  <c r="H77" i="34" s="1"/>
  <c r="I38" i="42"/>
  <c r="I61" i="42" s="1"/>
  <c r="M156" i="36"/>
  <c r="K34" i="42"/>
  <c r="K57" i="42" s="1"/>
  <c r="J456" i="36"/>
  <c r="G81" i="34" s="1"/>
  <c r="H42" i="42"/>
  <c r="H65" i="42" s="1"/>
  <c r="K195" i="36"/>
  <c r="I35" i="42"/>
  <c r="I58" i="42" s="1"/>
  <c r="O35" i="1"/>
  <c r="H37" i="36"/>
  <c r="L193" i="36"/>
  <c r="T509" i="1"/>
  <c r="U509" i="1" s="1"/>
  <c r="V509" i="1" s="1"/>
  <c r="W509" i="1" s="1"/>
  <c r="X509" i="1" s="1"/>
  <c r="Y509" i="1" s="1"/>
  <c r="K39" i="1"/>
  <c r="Q505" i="1"/>
  <c r="O505" i="1"/>
  <c r="I71" i="38"/>
  <c r="I72" i="38" s="1"/>
  <c r="J160" i="3"/>
  <c r="I39" i="1"/>
  <c r="AE201" i="1"/>
  <c r="P201" i="1" s="1"/>
  <c r="L398" i="1"/>
  <c r="L392" i="1" s="1"/>
  <c r="AJ257" i="1"/>
  <c r="AK257" i="1" s="1"/>
  <c r="AL257" i="1" s="1"/>
  <c r="AM257" i="1" s="1"/>
  <c r="AN257" i="1" s="1"/>
  <c r="AO257" i="1" s="1"/>
  <c r="I415" i="36"/>
  <c r="AE539" i="1"/>
  <c r="AF539" i="1" s="1"/>
  <c r="L27" i="37"/>
  <c r="M27" i="37" s="1"/>
  <c r="R38" i="1"/>
  <c r="J150" i="24"/>
  <c r="R36" i="1"/>
  <c r="L68" i="1"/>
  <c r="K200" i="38"/>
  <c r="H70" i="41"/>
  <c r="H72" i="41" s="1"/>
  <c r="K214" i="38"/>
  <c r="H79" i="41"/>
  <c r="H81" i="41" s="1"/>
  <c r="AB509" i="1"/>
  <c r="L200" i="38"/>
  <c r="I70" i="41"/>
  <c r="L399" i="1"/>
  <c r="L393" i="1" s="1"/>
  <c r="L186" i="38"/>
  <c r="I61" i="41"/>
  <c r="M954" i="36"/>
  <c r="K43" i="41"/>
  <c r="K44" i="41" s="1"/>
  <c r="K181" i="4"/>
  <c r="K182" i="4" s="1"/>
  <c r="I150" i="24"/>
  <c r="H139" i="4"/>
  <c r="F8" i="41"/>
  <c r="P505" i="1"/>
  <c r="L214" i="38"/>
  <c r="I79" i="41"/>
  <c r="M459" i="1"/>
  <c r="L397" i="1"/>
  <c r="L391" i="1" s="1"/>
  <c r="J37" i="1"/>
  <c r="K186" i="38"/>
  <c r="H61" i="41"/>
  <c r="H63" i="41" s="1"/>
  <c r="H145" i="4"/>
  <c r="H146" i="4" s="1"/>
  <c r="L172" i="38"/>
  <c r="I52" i="41"/>
  <c r="J57" i="37"/>
  <c r="J80" i="37"/>
  <c r="J92" i="37" s="1"/>
  <c r="J100" i="37" s="1"/>
  <c r="J53" i="37"/>
  <c r="J56" i="37"/>
  <c r="F29" i="41"/>
  <c r="F30" i="41" s="1"/>
  <c r="G8" i="41"/>
  <c r="I1140" i="36"/>
  <c r="M305" i="36"/>
  <c r="M281" i="36" s="1"/>
  <c r="Q32" i="34"/>
  <c r="AE479" i="36"/>
  <c r="AF479" i="36" s="1"/>
  <c r="I26" i="41"/>
  <c r="L779" i="36"/>
  <c r="Q24" i="34"/>
  <c r="M494" i="36"/>
  <c r="M478" i="36"/>
  <c r="I110" i="38"/>
  <c r="I111" i="38" s="1"/>
  <c r="F34" i="41"/>
  <c r="M1140" i="36"/>
  <c r="K84" i="38"/>
  <c r="K85" i="38" s="1"/>
  <c r="H16" i="41"/>
  <c r="H18" i="41" s="1"/>
  <c r="H20" i="41" s="1"/>
  <c r="H21" i="41" s="1"/>
  <c r="K1140" i="36"/>
  <c r="L110" i="38"/>
  <c r="H44" i="40" s="1"/>
  <c r="I34" i="41"/>
  <c r="I35" i="41" s="1"/>
  <c r="L71" i="38"/>
  <c r="H23" i="40" s="1"/>
  <c r="I7" i="41"/>
  <c r="I8" i="41" s="1"/>
  <c r="F26" i="41"/>
  <c r="G20" i="41"/>
  <c r="G21" i="41" s="1"/>
  <c r="G17" i="41"/>
  <c r="AD980" i="36"/>
  <c r="N980" i="36"/>
  <c r="Q25" i="34"/>
  <c r="J37" i="36"/>
  <c r="H6" i="41"/>
  <c r="L84" i="38"/>
  <c r="H30" i="40" s="1"/>
  <c r="I16" i="41"/>
  <c r="I17" i="41" s="1"/>
  <c r="J41" i="36"/>
  <c r="J110" i="38"/>
  <c r="J111" i="38" s="1"/>
  <c r="G34" i="41"/>
  <c r="N483" i="36"/>
  <c r="N489" i="36" s="1"/>
  <c r="N484" i="36" s="1"/>
  <c r="L16" i="42" s="1"/>
  <c r="F20" i="41"/>
  <c r="F21" i="41" s="1"/>
  <c r="F17" i="41"/>
  <c r="J97" i="38"/>
  <c r="J98" i="38" s="1"/>
  <c r="G25" i="41"/>
  <c r="K110" i="38"/>
  <c r="K111" i="38" s="1"/>
  <c r="H34" i="41"/>
  <c r="K71" i="38"/>
  <c r="G23" i="40" s="1"/>
  <c r="H7" i="41"/>
  <c r="K97" i="38"/>
  <c r="K98" i="38" s="1"/>
  <c r="H25" i="41"/>
  <c r="I205" i="37"/>
  <c r="I204" i="37"/>
  <c r="J44" i="37"/>
  <c r="K40" i="37"/>
  <c r="J90" i="37"/>
  <c r="J98" i="37" s="1"/>
  <c r="J41" i="37"/>
  <c r="J55" i="37"/>
  <c r="K53" i="37"/>
  <c r="J75" i="37"/>
  <c r="K54" i="37"/>
  <c r="J48" i="37"/>
  <c r="K55" i="37"/>
  <c r="K56" i="37"/>
  <c r="K80" i="37"/>
  <c r="J51" i="37"/>
  <c r="J50" i="37"/>
  <c r="U65" i="3"/>
  <c r="V65" i="3"/>
  <c r="N65" i="3"/>
  <c r="AK65" i="3"/>
  <c r="I74" i="24"/>
  <c r="I77" i="24" s="1"/>
  <c r="I200" i="24" s="1"/>
  <c r="I198" i="24" s="1"/>
  <c r="I39" i="24"/>
  <c r="I42" i="24" s="1"/>
  <c r="I176" i="3"/>
  <c r="I177" i="3" s="1"/>
  <c r="I164" i="3"/>
  <c r="J38" i="1"/>
  <c r="R35" i="1"/>
  <c r="AE907" i="36"/>
  <c r="P907" i="36" s="1"/>
  <c r="L267" i="24"/>
  <c r="E163" i="24"/>
  <c r="P36" i="1"/>
  <c r="L446" i="1"/>
  <c r="L454" i="1" s="1"/>
  <c r="L453" i="1" s="1"/>
  <c r="J167" i="4"/>
  <c r="K164" i="3"/>
  <c r="K176" i="3"/>
  <c r="K177" i="3" s="1"/>
  <c r="M302" i="36"/>
  <c r="J152" i="3"/>
  <c r="J171" i="3"/>
  <c r="K38" i="36"/>
  <c r="J52" i="37"/>
  <c r="J40" i="37"/>
  <c r="H42" i="24"/>
  <c r="I37" i="36"/>
  <c r="J49" i="37"/>
  <c r="S67" i="38"/>
  <c r="O20" i="40"/>
  <c r="H667" i="1"/>
  <c r="L401" i="1"/>
  <c r="L395" i="1" s="1"/>
  <c r="M306" i="36"/>
  <c r="M282" i="36" s="1"/>
  <c r="L344" i="1"/>
  <c r="L338" i="1" s="1"/>
  <c r="J176" i="3"/>
  <c r="J177" i="3" s="1"/>
  <c r="J164" i="3"/>
  <c r="J238" i="1"/>
  <c r="L556" i="1"/>
  <c r="L564" i="1" s="1"/>
  <c r="L563" i="1" s="1"/>
  <c r="I722" i="2"/>
  <c r="I221" i="5"/>
  <c r="J738" i="2"/>
  <c r="J739" i="2" s="1"/>
  <c r="J221" i="5"/>
  <c r="M304" i="36"/>
  <c r="M280" i="36" s="1"/>
  <c r="R119" i="38"/>
  <c r="N48" i="40"/>
  <c r="E113" i="24"/>
  <c r="L222" i="24"/>
  <c r="T459" i="1"/>
  <c r="U459" i="1" s="1"/>
  <c r="V459" i="1" s="1"/>
  <c r="W459" i="1" s="1"/>
  <c r="X459" i="1" s="1"/>
  <c r="Y459" i="1" s="1"/>
  <c r="AJ459" i="1"/>
  <c r="AK459" i="1" s="1"/>
  <c r="AL459" i="1" s="1"/>
  <c r="AM459" i="1" s="1"/>
  <c r="AN459" i="1" s="1"/>
  <c r="AO459" i="1" s="1"/>
  <c r="L490" i="1"/>
  <c r="AB490" i="1" s="1"/>
  <c r="H164" i="3"/>
  <c r="M123" i="38"/>
  <c r="L954" i="36"/>
  <c r="L74" i="24"/>
  <c r="L77" i="24" s="1"/>
  <c r="L39" i="24"/>
  <c r="L42" i="24" s="1"/>
  <c r="K722" i="2"/>
  <c r="K221" i="5"/>
  <c r="R80" i="38"/>
  <c r="N27" i="40"/>
  <c r="M33" i="3"/>
  <c r="O44" i="19"/>
  <c r="P35" i="25"/>
  <c r="H152" i="3"/>
  <c r="H171" i="3"/>
  <c r="L69" i="1"/>
  <c r="I152" i="3"/>
  <c r="I163" i="3" s="1"/>
  <c r="I171" i="3"/>
  <c r="N106" i="38"/>
  <c r="N107" i="38" s="1"/>
  <c r="J41" i="40"/>
  <c r="L47" i="3"/>
  <c r="M47" i="3" s="1"/>
  <c r="L49" i="3"/>
  <c r="M49" i="3" s="1"/>
  <c r="L46" i="3"/>
  <c r="M46" i="3" s="1"/>
  <c r="L33" i="3"/>
  <c r="L48" i="3"/>
  <c r="M48" i="3" s="1"/>
  <c r="L50" i="3"/>
  <c r="M50" i="3" s="1"/>
  <c r="M38" i="1"/>
  <c r="N41" i="24"/>
  <c r="H42" i="36"/>
  <c r="J74" i="24"/>
  <c r="J77" i="24" s="1"/>
  <c r="J200" i="24" s="1"/>
  <c r="J198" i="24" s="1"/>
  <c r="J39" i="24"/>
  <c r="J42" i="24" s="1"/>
  <c r="L16" i="22"/>
  <c r="L17" i="22" s="1"/>
  <c r="J16" i="22"/>
  <c r="J17" i="22" s="1"/>
  <c r="I16" i="22"/>
  <c r="I125" i="24"/>
  <c r="I127" i="24"/>
  <c r="I245" i="24" s="1"/>
  <c r="I243" i="24" s="1"/>
  <c r="I244" i="24" s="1"/>
  <c r="L125" i="24"/>
  <c r="L127" i="24"/>
  <c r="J125" i="24"/>
  <c r="J127" i="24"/>
  <c r="J245" i="24" s="1"/>
  <c r="J243" i="24" s="1"/>
  <c r="J244" i="24" s="1"/>
  <c r="K13" i="25"/>
  <c r="K14" i="25" s="1"/>
  <c r="H159" i="5"/>
  <c r="H164" i="5" s="1"/>
  <c r="J236" i="5"/>
  <c r="I236" i="5"/>
  <c r="J159" i="5"/>
  <c r="J164" i="5" s="1"/>
  <c r="I159" i="5"/>
  <c r="I164" i="5" s="1"/>
  <c r="K159" i="5"/>
  <c r="K164" i="5" s="1"/>
  <c r="I317" i="5"/>
  <c r="Q11" i="5"/>
  <c r="P7" i="4"/>
  <c r="N317" i="5"/>
  <c r="O317" i="5" s="1"/>
  <c r="P317" i="5" s="1"/>
  <c r="Q317" i="5" s="1"/>
  <c r="R317" i="5" s="1"/>
  <c r="S317" i="5" s="1"/>
  <c r="D11" i="32"/>
  <c r="O51" i="3"/>
  <c r="P51" i="3" s="1"/>
  <c r="Q51" i="3" s="1"/>
  <c r="R51" i="3" s="1"/>
  <c r="S51" i="3" s="1"/>
  <c r="K38" i="4"/>
  <c r="M49" i="4"/>
  <c r="M10" i="4"/>
  <c r="M16" i="4" s="1"/>
  <c r="H317" i="5"/>
  <c r="M11" i="4"/>
  <c r="M17" i="4" s="1"/>
  <c r="L21" i="4"/>
  <c r="L19" i="4"/>
  <c r="AC67" i="4"/>
  <c r="N67" i="4" s="1"/>
  <c r="U67" i="4"/>
  <c r="V67" i="4" s="1"/>
  <c r="W67" i="4" s="1"/>
  <c r="X67" i="4" s="1"/>
  <c r="Y67" i="4" s="1"/>
  <c r="Z67" i="4" s="1"/>
  <c r="L416" i="2"/>
  <c r="L433" i="2"/>
  <c r="L415" i="2"/>
  <c r="L413" i="2"/>
  <c r="L414" i="2"/>
  <c r="L411" i="2"/>
  <c r="L412" i="2"/>
  <c r="L392" i="2"/>
  <c r="N393" i="2" s="1"/>
  <c r="L417" i="2"/>
  <c r="U417" i="2" s="1"/>
  <c r="V417" i="2" s="1"/>
  <c r="W417" i="2" s="1"/>
  <c r="X417" i="2" s="1"/>
  <c r="Y417" i="2" s="1"/>
  <c r="Z417" i="2" s="1"/>
  <c r="L405" i="2"/>
  <c r="L371" i="2"/>
  <c r="L364" i="2"/>
  <c r="L374" i="2"/>
  <c r="L370" i="2"/>
  <c r="L372" i="2"/>
  <c r="L375" i="2"/>
  <c r="L373" i="2"/>
  <c r="AF309" i="2"/>
  <c r="Q309" i="2" s="1"/>
  <c r="L240" i="2"/>
  <c r="L218" i="2"/>
  <c r="L223" i="2"/>
  <c r="L220" i="2"/>
  <c r="L219" i="2"/>
  <c r="L222" i="2"/>
  <c r="L221" i="2"/>
  <c r="L177" i="2"/>
  <c r="L179" i="2"/>
  <c r="L180" i="2"/>
  <c r="L199" i="2"/>
  <c r="L181" i="2"/>
  <c r="L182" i="2"/>
  <c r="L178" i="2"/>
  <c r="L212" i="2"/>
  <c r="L158" i="2"/>
  <c r="L171" i="2"/>
  <c r="L139" i="2"/>
  <c r="L137" i="2"/>
  <c r="L141" i="2"/>
  <c r="L140" i="2"/>
  <c r="L136" i="2"/>
  <c r="L138" i="2"/>
  <c r="L117" i="2"/>
  <c r="M562" i="2"/>
  <c r="AK124" i="2"/>
  <c r="AL124" i="2" s="1"/>
  <c r="AM124" i="2" s="1"/>
  <c r="AN124" i="2" s="1"/>
  <c r="AO124" i="2" s="1"/>
  <c r="AP124" i="2" s="1"/>
  <c r="L130" i="2"/>
  <c r="M343" i="2"/>
  <c r="M22" i="2" s="1"/>
  <c r="M75" i="2"/>
  <c r="M547" i="2"/>
  <c r="M550" i="2"/>
  <c r="M548" i="2"/>
  <c r="M549" i="2"/>
  <c r="M551" i="2"/>
  <c r="M315" i="2"/>
  <c r="M313" i="2"/>
  <c r="M317" i="2"/>
  <c r="M314" i="2"/>
  <c r="M316" i="2"/>
  <c r="X629" i="2"/>
  <c r="M73" i="34"/>
  <c r="W629" i="2"/>
  <c r="L100" i="2"/>
  <c r="L97" i="2"/>
  <c r="L95" i="2"/>
  <c r="L96" i="2"/>
  <c r="L98" i="2"/>
  <c r="L99" i="2"/>
  <c r="AM629" i="2"/>
  <c r="H766" i="2"/>
  <c r="H768" i="2"/>
  <c r="L89" i="2"/>
  <c r="K766" i="2"/>
  <c r="K768" i="2"/>
  <c r="I768" i="2"/>
  <c r="I766" i="2"/>
  <c r="H62" i="34"/>
  <c r="AM436" i="2"/>
  <c r="AN629" i="2"/>
  <c r="AO629" i="2"/>
  <c r="J21" i="2"/>
  <c r="L315" i="2"/>
  <c r="L291" i="2" s="1"/>
  <c r="L317" i="2"/>
  <c r="L293" i="2" s="1"/>
  <c r="L316" i="2"/>
  <c r="L292" i="2" s="1"/>
  <c r="L313" i="2"/>
  <c r="L289" i="2" s="1"/>
  <c r="L314" i="2"/>
  <c r="L290" i="2" s="1"/>
  <c r="K738" i="2"/>
  <c r="K739" i="2" s="1"/>
  <c r="H18" i="2"/>
  <c r="I100" i="24"/>
  <c r="I221" i="24"/>
  <c r="L549" i="2"/>
  <c r="L525" i="2" s="1"/>
  <c r="L550" i="2"/>
  <c r="L526" i="2" s="1"/>
  <c r="L551" i="2"/>
  <c r="L527" i="2" s="1"/>
  <c r="L548" i="2"/>
  <c r="L547" i="2"/>
  <c r="L523" i="2" s="1"/>
  <c r="N594" i="2"/>
  <c r="O594" i="2" s="1"/>
  <c r="P594" i="2" s="1"/>
  <c r="Q594" i="2" s="1"/>
  <c r="R594" i="2" s="1"/>
  <c r="S594" i="2" s="1"/>
  <c r="L587" i="2"/>
  <c r="L562" i="2" s="1"/>
  <c r="P747" i="36"/>
  <c r="Q747" i="36" s="1"/>
  <c r="L148" i="2"/>
  <c r="L142" i="2" s="1"/>
  <c r="U142" i="2" s="1"/>
  <c r="V142" i="2" s="1"/>
  <c r="W142" i="2" s="1"/>
  <c r="X142" i="2" s="1"/>
  <c r="Y142" i="2" s="1"/>
  <c r="Z142" i="2" s="1"/>
  <c r="P278" i="36"/>
  <c r="Q278" i="36" s="1"/>
  <c r="O109" i="36"/>
  <c r="O278" i="24"/>
  <c r="N278" i="24"/>
  <c r="S278" i="24"/>
  <c r="R278" i="24"/>
  <c r="Q278" i="24"/>
  <c r="P278" i="24"/>
  <c r="I167" i="4"/>
  <c r="H16" i="4"/>
  <c r="L73" i="4"/>
  <c r="U73" i="4" s="1"/>
  <c r="V73" i="4" s="1"/>
  <c r="W73" i="4" s="1"/>
  <c r="X73" i="4" s="1"/>
  <c r="Y73" i="4" s="1"/>
  <c r="Z73" i="4" s="1"/>
  <c r="K20" i="2"/>
  <c r="J17" i="2"/>
  <c r="K172" i="38"/>
  <c r="J214" i="38"/>
  <c r="H10" i="2"/>
  <c r="I172" i="38"/>
  <c r="O766" i="2"/>
  <c r="I15" i="34"/>
  <c r="Q15" i="34" s="1"/>
  <c r="AK481" i="2"/>
  <c r="AL481" i="2" s="1"/>
  <c r="AM481" i="2" s="1"/>
  <c r="AN481" i="2" s="1"/>
  <c r="AO481" i="2" s="1"/>
  <c r="AP481" i="2" s="1"/>
  <c r="I773" i="2"/>
  <c r="I774" i="2" s="1"/>
  <c r="AK395" i="2"/>
  <c r="H221" i="5"/>
  <c r="H233" i="5" s="1"/>
  <c r="I29" i="2"/>
  <c r="H19" i="2"/>
  <c r="J722" i="2"/>
  <c r="K41" i="36"/>
  <c r="L1140" i="36"/>
  <c r="H40" i="36"/>
  <c r="K37" i="36"/>
  <c r="J39" i="36"/>
  <c r="J1111" i="36"/>
  <c r="J1121" i="36" s="1"/>
  <c r="I324" i="36"/>
  <c r="U661" i="36"/>
  <c r="V661" i="36" s="1"/>
  <c r="W661" i="36" s="1"/>
  <c r="X661" i="36" s="1"/>
  <c r="Y661" i="36" s="1"/>
  <c r="Z661" i="36" s="1"/>
  <c r="O447" i="36"/>
  <c r="AE727" i="36"/>
  <c r="AF727" i="36" s="1"/>
  <c r="I676" i="36"/>
  <c r="H338" i="36"/>
  <c r="I40" i="36"/>
  <c r="J40" i="36"/>
  <c r="H638" i="36"/>
  <c r="L304" i="36"/>
  <c r="L280" i="36" s="1"/>
  <c r="L286" i="36" s="1"/>
  <c r="J779" i="36"/>
  <c r="J1100" i="36"/>
  <c r="P1048" i="36"/>
  <c r="K985" i="36"/>
  <c r="L306" i="36"/>
  <c r="L282" i="36" s="1"/>
  <c r="L305" i="36"/>
  <c r="L281" i="36" s="1"/>
  <c r="N281" i="36" s="1"/>
  <c r="N305" i="36" s="1"/>
  <c r="L303" i="36"/>
  <c r="L279" i="36" s="1"/>
  <c r="J193" i="36"/>
  <c r="K77" i="36"/>
  <c r="AE142" i="36"/>
  <c r="AF142" i="36" s="1"/>
  <c r="Q142" i="36" s="1"/>
  <c r="AF1005" i="36"/>
  <c r="Q1005" i="36" s="1"/>
  <c r="O682" i="36"/>
  <c r="O694" i="36" s="1"/>
  <c r="O733" i="36"/>
  <c r="I376" i="36"/>
  <c r="O736" i="36"/>
  <c r="AK139" i="36"/>
  <c r="AL139" i="36" s="1"/>
  <c r="AM139" i="36" s="1"/>
  <c r="AN139" i="36" s="1"/>
  <c r="AO139" i="36" s="1"/>
  <c r="AP139" i="36" s="1"/>
  <c r="AK478" i="36"/>
  <c r="AL478" i="36" s="1"/>
  <c r="AM478" i="36" s="1"/>
  <c r="AN478" i="36" s="1"/>
  <c r="AO478" i="36" s="1"/>
  <c r="AP478" i="36" s="1"/>
  <c r="Q1027" i="36"/>
  <c r="H624" i="36"/>
  <c r="K1107" i="36"/>
  <c r="K1155" i="36" s="1"/>
  <c r="K40" i="36"/>
  <c r="K63" i="36"/>
  <c r="I818" i="36"/>
  <c r="J63" i="36"/>
  <c r="I41" i="36"/>
  <c r="I30" i="36"/>
  <c r="J84" i="38"/>
  <c r="H77" i="36"/>
  <c r="H33" i="5"/>
  <c r="J324" i="36"/>
  <c r="J35" i="5"/>
  <c r="G30" i="34" s="1"/>
  <c r="I38" i="36"/>
  <c r="O906" i="36"/>
  <c r="O905" i="36" s="1"/>
  <c r="I945" i="36"/>
  <c r="I779" i="36"/>
  <c r="K324" i="36"/>
  <c r="K35" i="5"/>
  <c r="H30" i="34" s="1"/>
  <c r="H41" i="36"/>
  <c r="H39" i="36"/>
  <c r="I97" i="38"/>
  <c r="I338" i="36"/>
  <c r="I35" i="5"/>
  <c r="F30" i="34" s="1"/>
  <c r="H30" i="36"/>
  <c r="I84" i="38"/>
  <c r="K30" i="36"/>
  <c r="L97" i="38"/>
  <c r="H37" i="40" s="1"/>
  <c r="AE363" i="36"/>
  <c r="AF363" i="36" s="1"/>
  <c r="J77" i="36"/>
  <c r="J33" i="5"/>
  <c r="M968" i="36"/>
  <c r="N123" i="38"/>
  <c r="O408" i="36"/>
  <c r="N761" i="36"/>
  <c r="O300" i="36"/>
  <c r="L415" i="36"/>
  <c r="K338" i="36"/>
  <c r="AG664" i="36"/>
  <c r="R664" i="36" s="1"/>
  <c r="H1140" i="36"/>
  <c r="AE932" i="36"/>
  <c r="O932" i="36"/>
  <c r="O179" i="36"/>
  <c r="O185" i="36" s="1"/>
  <c r="AK439" i="36"/>
  <c r="AL439" i="36" s="1"/>
  <c r="AM439" i="36" s="1"/>
  <c r="AN439" i="36" s="1"/>
  <c r="AO439" i="36" s="1"/>
  <c r="AP439" i="36" s="1"/>
  <c r="J30" i="36"/>
  <c r="AE931" i="36"/>
  <c r="O931" i="36"/>
  <c r="Q401" i="36"/>
  <c r="J945" i="36"/>
  <c r="I154" i="36"/>
  <c r="J985" i="36"/>
  <c r="AK178" i="36"/>
  <c r="AL178" i="36" s="1"/>
  <c r="AM178" i="36" s="1"/>
  <c r="AN178" i="36" s="1"/>
  <c r="AO178" i="36" s="1"/>
  <c r="AP178" i="36" s="1"/>
  <c r="U178" i="36"/>
  <c r="V178" i="36" s="1"/>
  <c r="W178" i="36" s="1"/>
  <c r="X178" i="36" s="1"/>
  <c r="Y178" i="36" s="1"/>
  <c r="Z178" i="36" s="1"/>
  <c r="J493" i="36"/>
  <c r="O485" i="36"/>
  <c r="U764" i="36"/>
  <c r="V764" i="36" s="1"/>
  <c r="W764" i="36" s="1"/>
  <c r="X764" i="36" s="1"/>
  <c r="Y764" i="36" s="1"/>
  <c r="Z764" i="36" s="1"/>
  <c r="J1107" i="36"/>
  <c r="J1155" i="36" s="1"/>
  <c r="J154" i="36"/>
  <c r="O482" i="36"/>
  <c r="O488" i="36" s="1"/>
  <c r="AE482" i="36"/>
  <c r="O670" i="36"/>
  <c r="J271" i="36"/>
  <c r="R251" i="38"/>
  <c r="R253" i="38" s="1"/>
  <c r="R229" i="38"/>
  <c r="R227" i="38" s="1"/>
  <c r="Q124" i="24" s="1"/>
  <c r="Q227" i="38"/>
  <c r="P124" i="24" s="1"/>
  <c r="P20" i="38"/>
  <c r="L6" i="40" s="1"/>
  <c r="Q28" i="38"/>
  <c r="Q20" i="38" s="1"/>
  <c r="M6" i="40" s="1"/>
  <c r="Q304" i="38"/>
  <c r="R302" i="38"/>
  <c r="P316" i="38"/>
  <c r="Q316" i="38"/>
  <c r="Q296" i="38"/>
  <c r="P298" i="38"/>
  <c r="Q257" i="38"/>
  <c r="P259" i="38"/>
  <c r="R278" i="38"/>
  <c r="Q280" i="38"/>
  <c r="Q308" i="38"/>
  <c r="P310" i="38"/>
  <c r="N475" i="36"/>
  <c r="P85" i="36"/>
  <c r="N437" i="36"/>
  <c r="N398" i="36"/>
  <c r="Q292" i="38"/>
  <c r="R290" i="38"/>
  <c r="Q241" i="38"/>
  <c r="R239" i="38"/>
  <c r="R316" i="38"/>
  <c r="S314" i="38"/>
  <c r="P240" i="36"/>
  <c r="P264" i="36" s="1"/>
  <c r="S152" i="38"/>
  <c r="T152" i="38" s="1"/>
  <c r="Q264" i="38"/>
  <c r="P149" i="24" s="1"/>
  <c r="P41" i="24" s="1"/>
  <c r="R266" i="38"/>
  <c r="N356" i="36"/>
  <c r="N173" i="36"/>
  <c r="N435" i="36"/>
  <c r="N134" i="36"/>
  <c r="N445" i="36"/>
  <c r="L15" i="42" s="1"/>
  <c r="N184" i="36"/>
  <c r="L8" i="42" s="1"/>
  <c r="N358" i="36"/>
  <c r="N731" i="36"/>
  <c r="N406" i="36"/>
  <c r="L14" i="42" s="1"/>
  <c r="O671" i="36"/>
  <c r="R1140" i="36"/>
  <c r="R709" i="36"/>
  <c r="I624" i="36"/>
  <c r="I638" i="36"/>
  <c r="I639" i="36" s="1"/>
  <c r="F84" i="34" s="1"/>
  <c r="O726" i="36"/>
  <c r="O732" i="36" s="1"/>
  <c r="AE726" i="36"/>
  <c r="N667" i="36"/>
  <c r="U682" i="36"/>
  <c r="V682" i="36" s="1"/>
  <c r="W682" i="36" s="1"/>
  <c r="X682" i="36" s="1"/>
  <c r="Y682" i="36" s="1"/>
  <c r="Z682" i="36" s="1"/>
  <c r="L688" i="36"/>
  <c r="AK682" i="36"/>
  <c r="AL682" i="36" s="1"/>
  <c r="AM682" i="36" s="1"/>
  <c r="AN682" i="36" s="1"/>
  <c r="AO682" i="36" s="1"/>
  <c r="AP682" i="36" s="1"/>
  <c r="O409" i="36"/>
  <c r="N388" i="36"/>
  <c r="N394" i="36"/>
  <c r="N396" i="36"/>
  <c r="AF402" i="36"/>
  <c r="P402" i="36"/>
  <c r="P408" i="36" s="1"/>
  <c r="AE298" i="36"/>
  <c r="O298" i="36"/>
  <c r="O108" i="36"/>
  <c r="P84" i="36"/>
  <c r="P300" i="36"/>
  <c r="AF300" i="36"/>
  <c r="O299" i="36"/>
  <c r="AE299" i="36"/>
  <c r="K1127" i="36"/>
  <c r="K1121" i="36"/>
  <c r="L265" i="36"/>
  <c r="L241" i="36" s="1"/>
  <c r="L266" i="36"/>
  <c r="L242" i="36" s="1"/>
  <c r="N94" i="36"/>
  <c r="N97" i="36"/>
  <c r="N88" i="36"/>
  <c r="P126" i="36"/>
  <c r="N367" i="36"/>
  <c r="L13" i="42" s="1"/>
  <c r="O22" i="37"/>
  <c r="P985" i="36"/>
  <c r="AF985" i="36"/>
  <c r="R1029" i="36"/>
  <c r="AH1029" i="36"/>
  <c r="S1029" i="36" s="1"/>
  <c r="M13" i="37"/>
  <c r="O768" i="36"/>
  <c r="O774" i="36" s="1"/>
  <c r="AE768" i="36"/>
  <c r="N719" i="36"/>
  <c r="N713" i="36"/>
  <c r="N721" i="36"/>
  <c r="N720" i="36"/>
  <c r="P701" i="36"/>
  <c r="Q347" i="36"/>
  <c r="AK400" i="36"/>
  <c r="AL400" i="36" s="1"/>
  <c r="AM400" i="36" s="1"/>
  <c r="AN400" i="36" s="1"/>
  <c r="AO400" i="36" s="1"/>
  <c r="AP400" i="36" s="1"/>
  <c r="U400" i="36"/>
  <c r="V400" i="36" s="1"/>
  <c r="W400" i="36" s="1"/>
  <c r="X400" i="36" s="1"/>
  <c r="Y400" i="36" s="1"/>
  <c r="Z400" i="36" s="1"/>
  <c r="J310" i="36"/>
  <c r="I310" i="36"/>
  <c r="P383" i="36"/>
  <c r="O382" i="36"/>
  <c r="O407" i="36"/>
  <c r="N397" i="36"/>
  <c r="O368" i="36"/>
  <c r="O343" i="36"/>
  <c r="O360" i="36" s="1"/>
  <c r="P344" i="36"/>
  <c r="M265" i="36"/>
  <c r="M241" i="36" s="1"/>
  <c r="M266" i="36"/>
  <c r="M242" i="36" s="1"/>
  <c r="N166" i="36"/>
  <c r="N172" i="36"/>
  <c r="N177" i="36"/>
  <c r="M28" i="37"/>
  <c r="O707" i="36"/>
  <c r="O724" i="36" s="1"/>
  <c r="P708" i="36"/>
  <c r="P345" i="36"/>
  <c r="P179" i="36"/>
  <c r="P185" i="36" s="1"/>
  <c r="AF179" i="36"/>
  <c r="N9" i="37"/>
  <c r="P648" i="36"/>
  <c r="O180" i="36"/>
  <c r="O186" i="36" s="1"/>
  <c r="AE180" i="36"/>
  <c r="L1127" i="36"/>
  <c r="L1121" i="36"/>
  <c r="N15" i="37"/>
  <c r="L10" i="37"/>
  <c r="N7" i="37"/>
  <c r="O935" i="36"/>
  <c r="AE935" i="36"/>
  <c r="Q711" i="36"/>
  <c r="J818" i="36"/>
  <c r="O773" i="36"/>
  <c r="P749" i="36"/>
  <c r="O668" i="36"/>
  <c r="R401" i="36"/>
  <c r="AH401" i="36"/>
  <c r="S401" i="36" s="1"/>
  <c r="N427" i="36"/>
  <c r="N433" i="36"/>
  <c r="N434" i="36"/>
  <c r="P647" i="36"/>
  <c r="P671" i="36" s="1"/>
  <c r="AE405" i="36"/>
  <c r="O405" i="36"/>
  <c r="O411" i="36" s="1"/>
  <c r="P239" i="36"/>
  <c r="O263" i="36"/>
  <c r="N127" i="36"/>
  <c r="N136" i="36"/>
  <c r="N133" i="36"/>
  <c r="P125" i="36"/>
  <c r="P165" i="36"/>
  <c r="O189" i="36"/>
  <c r="AE141" i="36"/>
  <c r="O141" i="36"/>
  <c r="O147" i="36" s="1"/>
  <c r="O23" i="37"/>
  <c r="P903" i="36"/>
  <c r="P902" i="36" s="1"/>
  <c r="AF903" i="36"/>
  <c r="J532" i="36"/>
  <c r="O421" i="36"/>
  <c r="O436" i="36" s="1"/>
  <c r="P422" i="36"/>
  <c r="O446" i="36"/>
  <c r="O260" i="36"/>
  <c r="AE260" i="36"/>
  <c r="Q1041" i="36"/>
  <c r="P976" i="36"/>
  <c r="P975" i="36" s="1"/>
  <c r="AF976" i="36"/>
  <c r="J45" i="37"/>
  <c r="J65" i="37"/>
  <c r="J88" i="37"/>
  <c r="J96" i="37" s="1"/>
  <c r="J38" i="37"/>
  <c r="J42" i="37"/>
  <c r="J39" i="37"/>
  <c r="P748" i="36"/>
  <c r="O746" i="36"/>
  <c r="O762" i="36" s="1"/>
  <c r="O772" i="36"/>
  <c r="N723" i="36"/>
  <c r="O480" i="36"/>
  <c r="O486" i="36" s="1"/>
  <c r="AE480" i="36"/>
  <c r="S384" i="36"/>
  <c r="AE442" i="36"/>
  <c r="O442" i="36"/>
  <c r="O448" i="36" s="1"/>
  <c r="O481" i="36"/>
  <c r="O487" i="36" s="1"/>
  <c r="AE481" i="36"/>
  <c r="I232" i="36"/>
  <c r="H1107" i="36"/>
  <c r="H1155" i="36" s="1"/>
  <c r="H985" i="36"/>
  <c r="H63" i="36"/>
  <c r="P163" i="36"/>
  <c r="P444" i="36"/>
  <c r="AF444" i="36"/>
  <c r="H1121" i="36"/>
  <c r="H1127" i="36"/>
  <c r="AG662" i="36"/>
  <c r="Q662" i="36"/>
  <c r="P386" i="36"/>
  <c r="O449" i="36"/>
  <c r="P425" i="36"/>
  <c r="Q1142" i="36"/>
  <c r="L18" i="37"/>
  <c r="Q1039" i="36"/>
  <c r="Q1015" i="36"/>
  <c r="O933" i="36"/>
  <c r="AE933" i="36"/>
  <c r="J376" i="36"/>
  <c r="K624" i="36"/>
  <c r="K638" i="36"/>
  <c r="K639" i="36" s="1"/>
  <c r="H84" i="34" s="1"/>
  <c r="H38" i="36"/>
  <c r="I39" i="36"/>
  <c r="I42" i="36"/>
  <c r="G4" i="42" s="1"/>
  <c r="K65" i="37"/>
  <c r="K88" i="37"/>
  <c r="K38" i="37"/>
  <c r="K42" i="37"/>
  <c r="N29" i="37"/>
  <c r="O934" i="36"/>
  <c r="AE934" i="36"/>
  <c r="AE365" i="36"/>
  <c r="O365" i="36"/>
  <c r="O371" i="36" s="1"/>
  <c r="N466" i="36"/>
  <c r="N472" i="36"/>
  <c r="N473" i="36"/>
  <c r="Q423" i="36"/>
  <c r="P447" i="36"/>
  <c r="P426" i="36"/>
  <c r="J415" i="36"/>
  <c r="O369" i="36"/>
  <c r="S463" i="36"/>
  <c r="L228" i="36"/>
  <c r="L204" i="36" s="1"/>
  <c r="L227" i="36"/>
  <c r="L221" i="36" s="1"/>
  <c r="L226" i="36"/>
  <c r="L220" i="36" s="1"/>
  <c r="L224" i="36"/>
  <c r="L218" i="36" s="1"/>
  <c r="L225" i="36"/>
  <c r="L219" i="36" s="1"/>
  <c r="N175" i="36"/>
  <c r="O450" i="36"/>
  <c r="O121" i="36"/>
  <c r="O137" i="36" s="1"/>
  <c r="P122" i="36"/>
  <c r="N137" i="36"/>
  <c r="P1025" i="36"/>
  <c r="P385" i="36"/>
  <c r="P409" i="36" s="1"/>
  <c r="AE259" i="36"/>
  <c r="O259" i="36"/>
  <c r="O483" i="36"/>
  <c r="O489" i="36" s="1"/>
  <c r="AE483" i="36"/>
  <c r="Q1136" i="36"/>
  <c r="U951" i="36"/>
  <c r="V951" i="36" s="1"/>
  <c r="W951" i="36" s="1"/>
  <c r="X951" i="36" s="1"/>
  <c r="Y951" i="36" s="1"/>
  <c r="Z951" i="36" s="1"/>
  <c r="L968" i="36"/>
  <c r="L969" i="36" s="1"/>
  <c r="AK951" i="36"/>
  <c r="AL951" i="36" s="1"/>
  <c r="AM951" i="36" s="1"/>
  <c r="AN951" i="36" s="1"/>
  <c r="AO951" i="36" s="1"/>
  <c r="AP951" i="36" s="1"/>
  <c r="N722" i="36"/>
  <c r="O728" i="36"/>
  <c r="O734" i="36" s="1"/>
  <c r="AE728" i="36"/>
  <c r="O460" i="36"/>
  <c r="O477" i="36" s="1"/>
  <c r="P461" i="36"/>
  <c r="Q346" i="36"/>
  <c r="O364" i="36"/>
  <c r="O370" i="36" s="1"/>
  <c r="AE364" i="36"/>
  <c r="N357" i="36"/>
  <c r="M226" i="36"/>
  <c r="M220" i="36" s="1"/>
  <c r="AC220" i="36" s="1"/>
  <c r="M225" i="36"/>
  <c r="M219" i="36" s="1"/>
  <c r="AC219" i="36" s="1"/>
  <c r="M224" i="36"/>
  <c r="M218" i="36" s="1"/>
  <c r="AC218" i="36" s="1"/>
  <c r="M227" i="36"/>
  <c r="M221" i="36" s="1"/>
  <c r="AC221" i="36" s="1"/>
  <c r="M228" i="36"/>
  <c r="AE182" i="36"/>
  <c r="O182" i="36"/>
  <c r="O188" i="36" s="1"/>
  <c r="P464" i="36"/>
  <c r="AE144" i="36"/>
  <c r="O144" i="36"/>
  <c r="O150" i="36" s="1"/>
  <c r="K39" i="36"/>
  <c r="K42" i="36"/>
  <c r="I4" i="42" s="1"/>
  <c r="N99" i="36"/>
  <c r="Q161" i="36"/>
  <c r="L20" i="37"/>
  <c r="P989" i="36"/>
  <c r="U725" i="36"/>
  <c r="V725" i="36" s="1"/>
  <c r="W725" i="36" s="1"/>
  <c r="X725" i="36" s="1"/>
  <c r="Y725" i="36" s="1"/>
  <c r="Z725" i="36" s="1"/>
  <c r="AK725" i="36"/>
  <c r="AL725" i="36" s="1"/>
  <c r="AM725" i="36" s="1"/>
  <c r="AN725" i="36" s="1"/>
  <c r="AO725" i="36" s="1"/>
  <c r="AP725" i="36" s="1"/>
  <c r="L740" i="36"/>
  <c r="O672" i="36"/>
  <c r="Q387" i="36"/>
  <c r="I271" i="36"/>
  <c r="Q162" i="36"/>
  <c r="O297" i="36"/>
  <c r="AE297" i="36"/>
  <c r="P124" i="36"/>
  <c r="O148" i="36"/>
  <c r="P87" i="36"/>
  <c r="O111" i="36"/>
  <c r="J36" i="37"/>
  <c r="J33" i="37"/>
  <c r="J60" i="37"/>
  <c r="J87" i="37"/>
  <c r="J95" i="37" s="1"/>
  <c r="P1001" i="36"/>
  <c r="AF1001" i="36"/>
  <c r="O643" i="36"/>
  <c r="O656" i="36" s="1"/>
  <c r="P644" i="36"/>
  <c r="P668" i="36" s="1"/>
  <c r="Q1134" i="36"/>
  <c r="N760" i="36"/>
  <c r="N758" i="36"/>
  <c r="N752" i="36"/>
  <c r="N763" i="36"/>
  <c r="L17" i="37"/>
  <c r="K16" i="37"/>
  <c r="M28" i="41" s="1"/>
  <c r="J47" i="37"/>
  <c r="K39" i="37"/>
  <c r="AE729" i="36"/>
  <c r="O729" i="36"/>
  <c r="O735" i="36" s="1"/>
  <c r="O775" i="36"/>
  <c r="P751" i="36"/>
  <c r="P462" i="36"/>
  <c r="P712" i="36"/>
  <c r="O372" i="36"/>
  <c r="P348" i="36"/>
  <c r="I1107" i="36"/>
  <c r="I1155" i="36" s="1"/>
  <c r="I985" i="36"/>
  <c r="I63" i="36"/>
  <c r="I77" i="36"/>
  <c r="O110" i="36"/>
  <c r="P86" i="36"/>
  <c r="N135" i="36"/>
  <c r="J38" i="36"/>
  <c r="J42" i="36"/>
  <c r="H4" i="42" s="1"/>
  <c r="P164" i="36"/>
  <c r="J89" i="37"/>
  <c r="J97" i="37" s="1"/>
  <c r="J70" i="37"/>
  <c r="J46" i="37"/>
  <c r="J43" i="37"/>
  <c r="M939" i="36"/>
  <c r="M915" i="36" s="1"/>
  <c r="M941" i="36"/>
  <c r="M917" i="36" s="1"/>
  <c r="M938" i="36"/>
  <c r="M914" i="36" s="1"/>
  <c r="M937" i="36"/>
  <c r="M913" i="36" s="1"/>
  <c r="M940" i="36"/>
  <c r="M916" i="36" s="1"/>
  <c r="N355" i="36"/>
  <c r="N349" i="36"/>
  <c r="N359" i="36"/>
  <c r="L24" i="37"/>
  <c r="K21" i="37"/>
  <c r="M37" i="41" s="1"/>
  <c r="O140" i="36"/>
  <c r="O146" i="36" s="1"/>
  <c r="AE140" i="36"/>
  <c r="M30" i="37"/>
  <c r="K41" i="37"/>
  <c r="M12" i="37"/>
  <c r="L11" i="37"/>
  <c r="N19" i="41" s="1"/>
  <c r="L940" i="36"/>
  <c r="L916" i="36" s="1"/>
  <c r="L938" i="36"/>
  <c r="L914" i="36" s="1"/>
  <c r="L939" i="36"/>
  <c r="L915" i="36" s="1"/>
  <c r="L941" i="36"/>
  <c r="L917" i="36" s="1"/>
  <c r="L937" i="36"/>
  <c r="L913" i="36" s="1"/>
  <c r="P750" i="36"/>
  <c r="L493" i="36"/>
  <c r="P465" i="36"/>
  <c r="L454" i="36"/>
  <c r="J454" i="36"/>
  <c r="N474" i="36"/>
  <c r="J232" i="36"/>
  <c r="N724" i="36"/>
  <c r="AE143" i="36"/>
  <c r="O143" i="36"/>
  <c r="O149" i="36" s="1"/>
  <c r="O160" i="36"/>
  <c r="O175" i="36" s="1"/>
  <c r="M14" i="37"/>
  <c r="J37" i="37"/>
  <c r="R730" i="36"/>
  <c r="AH730" i="36"/>
  <c r="S730" i="36" s="1"/>
  <c r="N770" i="36"/>
  <c r="N762" i="36"/>
  <c r="AG665" i="36"/>
  <c r="Q665" i="36"/>
  <c r="O669" i="36"/>
  <c r="P645" i="36"/>
  <c r="J338" i="36"/>
  <c r="N477" i="36"/>
  <c r="O181" i="36"/>
  <c r="O187" i="36" s="1"/>
  <c r="AE181" i="36"/>
  <c r="AE404" i="36"/>
  <c r="O404" i="36"/>
  <c r="O410" i="36" s="1"/>
  <c r="P123" i="36"/>
  <c r="N98" i="36"/>
  <c r="N106" i="36"/>
  <c r="N660" i="36"/>
  <c r="N649" i="36"/>
  <c r="N655" i="36"/>
  <c r="N656" i="36"/>
  <c r="R1144" i="36"/>
  <c r="N658" i="36"/>
  <c r="J676" i="36"/>
  <c r="L676" i="36"/>
  <c r="N657" i="36"/>
  <c r="N436" i="36"/>
  <c r="J624" i="36"/>
  <c r="J638" i="36"/>
  <c r="J639" i="36" s="1"/>
  <c r="G84" i="34" s="1"/>
  <c r="O107" i="36"/>
  <c r="O82" i="36"/>
  <c r="O99" i="36" s="1"/>
  <c r="P83" i="36"/>
  <c r="N95" i="36"/>
  <c r="J34" i="37"/>
  <c r="J35" i="37"/>
  <c r="Q403" i="36"/>
  <c r="AG403" i="36"/>
  <c r="N145" i="36"/>
  <c r="L7" i="42" s="1"/>
  <c r="K6" i="37"/>
  <c r="M10" i="41" s="1"/>
  <c r="L8" i="37"/>
  <c r="N25" i="37"/>
  <c r="P1003" i="36"/>
  <c r="AH1027" i="36"/>
  <c r="S1027" i="36" s="1"/>
  <c r="R1027" i="36"/>
  <c r="P646" i="36"/>
  <c r="P424" i="36"/>
  <c r="AK361" i="36"/>
  <c r="AL361" i="36" s="1"/>
  <c r="AM361" i="36" s="1"/>
  <c r="AN361" i="36" s="1"/>
  <c r="AO361" i="36" s="1"/>
  <c r="AP361" i="36" s="1"/>
  <c r="U361" i="36"/>
  <c r="V361" i="36" s="1"/>
  <c r="W361" i="36" s="1"/>
  <c r="X361" i="36" s="1"/>
  <c r="Y361" i="36" s="1"/>
  <c r="Z361" i="36" s="1"/>
  <c r="H324" i="36"/>
  <c r="N395" i="36"/>
  <c r="M1127" i="36"/>
  <c r="M1121" i="36"/>
  <c r="I1121" i="36"/>
  <c r="I1127" i="36"/>
  <c r="N176" i="36"/>
  <c r="P243" i="36"/>
  <c r="O267" i="36"/>
  <c r="AB282" i="1"/>
  <c r="AC282" i="1" s="1"/>
  <c r="O584" i="1"/>
  <c r="AE584" i="1"/>
  <c r="H186" i="5"/>
  <c r="AB544" i="1"/>
  <c r="M544" i="1" s="1"/>
  <c r="J19" i="2"/>
  <c r="C12" i="32"/>
  <c r="L421" i="1"/>
  <c r="L415" i="1" s="1"/>
  <c r="L471" i="1"/>
  <c r="L465" i="1" s="1"/>
  <c r="P38" i="1"/>
  <c r="AJ409" i="1"/>
  <c r="AK409" i="1" s="1"/>
  <c r="AL409" i="1" s="1"/>
  <c r="AM409" i="1" s="1"/>
  <c r="AN409" i="1" s="1"/>
  <c r="AO409" i="1" s="1"/>
  <c r="T544" i="1"/>
  <c r="U544" i="1" s="1"/>
  <c r="V544" i="1" s="1"/>
  <c r="W544" i="1" s="1"/>
  <c r="X544" i="1" s="1"/>
  <c r="Y544" i="1" s="1"/>
  <c r="K762" i="2"/>
  <c r="AB409" i="1"/>
  <c r="AC409" i="1" s="1"/>
  <c r="K186" i="5"/>
  <c r="N186" i="5" s="1"/>
  <c r="O186" i="5" s="1"/>
  <c r="P186" i="5" s="1"/>
  <c r="Q186" i="5" s="1"/>
  <c r="R186" i="5" s="1"/>
  <c r="S186" i="5" s="1"/>
  <c r="U124" i="2"/>
  <c r="V124" i="2" s="1"/>
  <c r="W124" i="2" s="1"/>
  <c r="X124" i="2" s="1"/>
  <c r="Y124" i="2" s="1"/>
  <c r="Z124" i="2" s="1"/>
  <c r="L248" i="1"/>
  <c r="L242" i="1" s="1"/>
  <c r="I38" i="1"/>
  <c r="L247" i="1"/>
  <c r="L241" i="1" s="1"/>
  <c r="AB257" i="1"/>
  <c r="AC257" i="1" s="1"/>
  <c r="K64" i="5"/>
  <c r="K75" i="5" s="1"/>
  <c r="H88" i="34" s="1"/>
  <c r="J36" i="1"/>
  <c r="J317" i="5"/>
  <c r="L245" i="1"/>
  <c r="I38" i="2"/>
  <c r="T282" i="1"/>
  <c r="U282" i="1" s="1"/>
  <c r="V282" i="1" s="1"/>
  <c r="W282" i="1" s="1"/>
  <c r="X282" i="1" s="1"/>
  <c r="Y282" i="1" s="1"/>
  <c r="K18" i="2"/>
  <c r="L142" i="1"/>
  <c r="L136" i="1" s="1"/>
  <c r="AJ136" i="1" s="1"/>
  <c r="AK136" i="1" s="1"/>
  <c r="AL136" i="1" s="1"/>
  <c r="AM136" i="1" s="1"/>
  <c r="AN136" i="1" s="1"/>
  <c r="AO136" i="1" s="1"/>
  <c r="L521" i="1"/>
  <c r="L515" i="1" s="1"/>
  <c r="E11" i="32"/>
  <c r="AK206" i="2"/>
  <c r="AL206" i="2" s="1"/>
  <c r="AM206" i="2" s="1"/>
  <c r="AN206" i="2" s="1"/>
  <c r="AO206" i="2" s="1"/>
  <c r="AP206" i="2" s="1"/>
  <c r="K38" i="1"/>
  <c r="L230" i="2"/>
  <c r="L237" i="2" s="1"/>
  <c r="N237" i="2" s="1"/>
  <c r="O237" i="2" s="1"/>
  <c r="P237" i="2" s="1"/>
  <c r="Q237" i="2" s="1"/>
  <c r="R237" i="2" s="1"/>
  <c r="S237" i="2" s="1"/>
  <c r="J667" i="1"/>
  <c r="L92" i="1"/>
  <c r="L675" i="1" s="1"/>
  <c r="L720" i="1" s="1"/>
  <c r="L117" i="1"/>
  <c r="L111" i="1" s="1"/>
  <c r="I29" i="5"/>
  <c r="H17" i="2"/>
  <c r="L24" i="4"/>
  <c r="L18" i="4" s="1"/>
  <c r="J39" i="1"/>
  <c r="L31" i="1"/>
  <c r="J18" i="2"/>
  <c r="AM395" i="2"/>
  <c r="L249" i="1"/>
  <c r="L243" i="1" s="1"/>
  <c r="J186" i="5"/>
  <c r="H738" i="2"/>
  <c r="H739" i="2" s="1"/>
  <c r="H176" i="3"/>
  <c r="H177" i="3" s="1"/>
  <c r="J139" i="4"/>
  <c r="H21" i="2"/>
  <c r="I186" i="5"/>
  <c r="O38" i="1"/>
  <c r="L384" i="1"/>
  <c r="L246" i="1"/>
  <c r="L240" i="1" s="1"/>
  <c r="AL395" i="2"/>
  <c r="E87" i="26"/>
  <c r="E86" i="26" s="1"/>
  <c r="E85" i="26" s="1"/>
  <c r="E84" i="26" s="1"/>
  <c r="E83" i="26" s="1"/>
  <c r="E82" i="26" s="1"/>
  <c r="E81" i="26" s="1"/>
  <c r="E80" i="26" s="1"/>
  <c r="E79" i="26" s="1"/>
  <c r="E78" i="26" s="1"/>
  <c r="E77" i="26" s="1"/>
  <c r="E76" i="26" s="1"/>
  <c r="E74" i="26" s="1"/>
  <c r="E73" i="26" s="1"/>
  <c r="E72" i="26" s="1"/>
  <c r="E71" i="26" s="1"/>
  <c r="E69" i="26" s="1"/>
  <c r="E68" i="26" s="1"/>
  <c r="E67" i="26" s="1"/>
  <c r="E66" i="26" s="1"/>
  <c r="E63" i="26" s="1"/>
  <c r="E61" i="26" s="1"/>
  <c r="E54" i="26" s="1"/>
  <c r="E52" i="26" s="1"/>
  <c r="E25" i="26" s="1"/>
  <c r="E22" i="26" s="1"/>
  <c r="E17" i="26" s="1"/>
  <c r="E12" i="26" s="1"/>
  <c r="E9" i="26" s="1"/>
  <c r="E8" i="26" s="1"/>
  <c r="E3" i="26" s="1"/>
  <c r="K17" i="2"/>
  <c r="I69" i="34"/>
  <c r="I64" i="34"/>
  <c r="J145" i="4"/>
  <c r="J146" i="4" s="1"/>
  <c r="K390" i="1"/>
  <c r="L167" i="1"/>
  <c r="L161" i="1" s="1"/>
  <c r="AE353" i="1"/>
  <c r="AF353" i="1" s="1"/>
  <c r="K404" i="1"/>
  <c r="K405" i="1" s="1"/>
  <c r="I146" i="3"/>
  <c r="I173" i="3" s="1"/>
  <c r="Q36" i="1"/>
  <c r="Q38" i="1"/>
  <c r="J181" i="4"/>
  <c r="J182" i="4" s="1"/>
  <c r="N35" i="1"/>
  <c r="Q35" i="1"/>
  <c r="I738" i="2"/>
  <c r="I739" i="2" s="1"/>
  <c r="I28" i="1"/>
  <c r="K36" i="1"/>
  <c r="K238" i="1"/>
  <c r="L33" i="1"/>
  <c r="V518" i="2"/>
  <c r="AE378" i="1"/>
  <c r="O378" i="1"/>
  <c r="N37" i="1"/>
  <c r="L369" i="1"/>
  <c r="L363" i="1" s="1"/>
  <c r="L186" i="1"/>
  <c r="AJ186" i="1" s="1"/>
  <c r="AK186" i="1" s="1"/>
  <c r="AL186" i="1" s="1"/>
  <c r="AM186" i="1" s="1"/>
  <c r="AN186" i="1" s="1"/>
  <c r="AO186" i="1" s="1"/>
  <c r="H20" i="2"/>
  <c r="P687" i="2"/>
  <c r="P191" i="5" s="1"/>
  <c r="AD77" i="3"/>
  <c r="N77" i="3"/>
  <c r="N78" i="3" s="1"/>
  <c r="H236" i="5"/>
  <c r="O126" i="1"/>
  <c r="AE126" i="1"/>
  <c r="L72" i="1"/>
  <c r="L66" i="1" s="1"/>
  <c r="AJ130" i="1"/>
  <c r="AK130" i="1" s="1"/>
  <c r="AL130" i="1" s="1"/>
  <c r="AM130" i="1" s="1"/>
  <c r="AN130" i="1" s="1"/>
  <c r="AO130" i="1" s="1"/>
  <c r="AL518" i="2"/>
  <c r="O589" i="1"/>
  <c r="AE589" i="1"/>
  <c r="AB130" i="1"/>
  <c r="AC130" i="1" s="1"/>
  <c r="I707" i="1"/>
  <c r="L200" i="1"/>
  <c r="L199" i="1" s="1"/>
  <c r="AM518" i="2"/>
  <c r="T434" i="1"/>
  <c r="U434" i="1" s="1"/>
  <c r="V434" i="1" s="1"/>
  <c r="W434" i="1" s="1"/>
  <c r="X434" i="1" s="1"/>
  <c r="Y434" i="1" s="1"/>
  <c r="AB434" i="1"/>
  <c r="AJ434" i="1"/>
  <c r="AK434" i="1" s="1"/>
  <c r="AL434" i="1" s="1"/>
  <c r="AM434" i="1" s="1"/>
  <c r="AN434" i="1" s="1"/>
  <c r="AO434" i="1" s="1"/>
  <c r="AJ180" i="1"/>
  <c r="AK180" i="1" s="1"/>
  <c r="AL180" i="1" s="1"/>
  <c r="AM180" i="1" s="1"/>
  <c r="AN180" i="1" s="1"/>
  <c r="AO180" i="1" s="1"/>
  <c r="I181" i="4"/>
  <c r="I182" i="4" s="1"/>
  <c r="K21" i="2"/>
  <c r="F49" i="28"/>
  <c r="O430" i="1"/>
  <c r="AE430" i="1"/>
  <c r="H28" i="1"/>
  <c r="L29" i="1"/>
  <c r="Q480" i="1"/>
  <c r="AG480" i="1"/>
  <c r="R480" i="1" s="1"/>
  <c r="I238" i="1"/>
  <c r="K16" i="4"/>
  <c r="H37" i="1"/>
  <c r="L269" i="1"/>
  <c r="L263" i="1" s="1"/>
  <c r="K19" i="2"/>
  <c r="L294" i="1"/>
  <c r="L302" i="1" s="1"/>
  <c r="L301" i="1" s="1"/>
  <c r="J678" i="1"/>
  <c r="J688" i="1" s="1"/>
  <c r="I35" i="17"/>
  <c r="I40" i="17" s="1"/>
  <c r="I217" i="5" s="1"/>
  <c r="K667" i="1"/>
  <c r="K10" i="2"/>
  <c r="H38" i="1"/>
  <c r="T180" i="1"/>
  <c r="U180" i="1" s="1"/>
  <c r="V180" i="1" s="1"/>
  <c r="W180" i="1" s="1"/>
  <c r="X180" i="1" s="1"/>
  <c r="Y180" i="1" s="1"/>
  <c r="N38" i="1"/>
  <c r="H773" i="2"/>
  <c r="H774" i="2" s="1"/>
  <c r="I139" i="4"/>
  <c r="I145" i="4"/>
  <c r="I146" i="4" s="1"/>
  <c r="U83" i="2"/>
  <c r="V83" i="2" s="1"/>
  <c r="W83" i="2" s="1"/>
  <c r="X83" i="2" s="1"/>
  <c r="Y83" i="2" s="1"/>
  <c r="Z83" i="2" s="1"/>
  <c r="AK83" i="2"/>
  <c r="AL83" i="2" s="1"/>
  <c r="AM83" i="2" s="1"/>
  <c r="AN83" i="2" s="1"/>
  <c r="AO83" i="2" s="1"/>
  <c r="AP83" i="2" s="1"/>
  <c r="Q37" i="1"/>
  <c r="M180" i="1"/>
  <c r="J48" i="17"/>
  <c r="J10" i="22" s="1"/>
  <c r="E54" i="34"/>
  <c r="E104" i="34" s="1"/>
  <c r="H53" i="5"/>
  <c r="H52" i="5" s="1"/>
  <c r="H39" i="1"/>
  <c r="L107" i="2"/>
  <c r="L114" i="2" s="1"/>
  <c r="N114" i="2" s="1"/>
  <c r="O114" i="2" s="1"/>
  <c r="P114" i="2" s="1"/>
  <c r="Q114" i="2" s="1"/>
  <c r="R114" i="2" s="1"/>
  <c r="S114" i="2" s="1"/>
  <c r="K252" i="1"/>
  <c r="K253" i="1" s="1"/>
  <c r="H60" i="34"/>
  <c r="J28" i="3"/>
  <c r="J64" i="5"/>
  <c r="J75" i="5" s="1"/>
  <c r="G88" i="34" s="1"/>
  <c r="J104" i="3"/>
  <c r="G37" i="28"/>
  <c r="AK247" i="2"/>
  <c r="AL247" i="2" s="1"/>
  <c r="AM247" i="2" s="1"/>
  <c r="AN247" i="2" s="1"/>
  <c r="AO247" i="2" s="1"/>
  <c r="AP247" i="2" s="1"/>
  <c r="H49" i="4"/>
  <c r="H62" i="4"/>
  <c r="H63" i="4" s="1"/>
  <c r="N628" i="2"/>
  <c r="N627" i="2" s="1"/>
  <c r="N579" i="1"/>
  <c r="M578" i="1"/>
  <c r="H68" i="34"/>
  <c r="H117" i="4"/>
  <c r="H213" i="5" s="1"/>
  <c r="H115" i="4"/>
  <c r="AB332" i="1"/>
  <c r="AJ332" i="1"/>
  <c r="AK332" i="1" s="1"/>
  <c r="AL332" i="1" s="1"/>
  <c r="AM332" i="1" s="1"/>
  <c r="AN332" i="1" s="1"/>
  <c r="AO332" i="1" s="1"/>
  <c r="T332" i="1"/>
  <c r="U332" i="1" s="1"/>
  <c r="V332" i="1" s="1"/>
  <c r="W332" i="1" s="1"/>
  <c r="X332" i="1" s="1"/>
  <c r="Y332" i="1" s="1"/>
  <c r="K773" i="2"/>
  <c r="K774" i="2" s="1"/>
  <c r="K35" i="1"/>
  <c r="K40" i="1"/>
  <c r="R85" i="3"/>
  <c r="Q88" i="3"/>
  <c r="Q87" i="3" s="1"/>
  <c r="Q24" i="3" s="1"/>
  <c r="J337" i="2"/>
  <c r="J350" i="2"/>
  <c r="I53" i="5"/>
  <c r="I52" i="5" s="1"/>
  <c r="F54" i="34"/>
  <c r="F104" i="34" s="1"/>
  <c r="N73" i="34"/>
  <c r="H61" i="1"/>
  <c r="H589" i="1"/>
  <c r="H674" i="1"/>
  <c r="H722" i="1" s="1"/>
  <c r="F50" i="33"/>
  <c r="F51" i="33" s="1"/>
  <c r="G38" i="33"/>
  <c r="F164" i="33"/>
  <c r="H35" i="1"/>
  <c r="H40" i="1"/>
  <c r="AE455" i="1"/>
  <c r="O455" i="1"/>
  <c r="J62" i="2"/>
  <c r="J22" i="2"/>
  <c r="J20" i="2"/>
  <c r="K350" i="2"/>
  <c r="K337" i="2"/>
  <c r="K48" i="17"/>
  <c r="K10" i="22" s="1"/>
  <c r="H32" i="17"/>
  <c r="H35" i="17"/>
  <c r="H48" i="17"/>
  <c r="I117" i="4"/>
  <c r="I213" i="5" s="1"/>
  <c r="I171" i="4"/>
  <c r="I115" i="4"/>
  <c r="K63" i="4"/>
  <c r="H116" i="26"/>
  <c r="E135" i="26" s="1"/>
  <c r="E134" i="26" s="1"/>
  <c r="N36" i="1"/>
  <c r="K38" i="2"/>
  <c r="N534" i="1"/>
  <c r="H54" i="34"/>
  <c r="H104" i="34" s="1"/>
  <c r="K53" i="5"/>
  <c r="K52" i="5" s="1"/>
  <c r="J32" i="17"/>
  <c r="J35" i="17"/>
  <c r="H38" i="2"/>
  <c r="G109" i="28"/>
  <c r="L62" i="1"/>
  <c r="P88" i="3"/>
  <c r="P87" i="3" s="1"/>
  <c r="P24" i="3" s="1"/>
  <c r="T357" i="1"/>
  <c r="U357" i="1" s="1"/>
  <c r="V357" i="1" s="1"/>
  <c r="W357" i="1" s="1"/>
  <c r="X357" i="1" s="1"/>
  <c r="Y357" i="1" s="1"/>
  <c r="AJ357" i="1"/>
  <c r="AK357" i="1" s="1"/>
  <c r="AL357" i="1" s="1"/>
  <c r="AM357" i="1" s="1"/>
  <c r="AN357" i="1" s="1"/>
  <c r="AO357" i="1" s="1"/>
  <c r="AB357" i="1"/>
  <c r="AB307" i="1"/>
  <c r="AJ307" i="1"/>
  <c r="AK307" i="1" s="1"/>
  <c r="AL307" i="1" s="1"/>
  <c r="AM307" i="1" s="1"/>
  <c r="AN307" i="1" s="1"/>
  <c r="AO307" i="1" s="1"/>
  <c r="T307" i="1"/>
  <c r="U307" i="1" s="1"/>
  <c r="V307" i="1" s="1"/>
  <c r="W307" i="1" s="1"/>
  <c r="X307" i="1" s="1"/>
  <c r="Y307" i="1" s="1"/>
  <c r="O101" i="1"/>
  <c r="AE101" i="1"/>
  <c r="AC155" i="1"/>
  <c r="M155" i="1"/>
  <c r="K37" i="1"/>
  <c r="J10" i="2"/>
  <c r="I46" i="34"/>
  <c r="Q46" i="34" s="1"/>
  <c r="I48" i="17"/>
  <c r="I10" i="22" s="1"/>
  <c r="M36" i="1"/>
  <c r="L30" i="1"/>
  <c r="AL93" i="4"/>
  <c r="AM93" i="4" s="1"/>
  <c r="AN93" i="4" s="1"/>
  <c r="AO93" i="4" s="1"/>
  <c r="AP93" i="4" s="1"/>
  <c r="AC93" i="4"/>
  <c r="J38" i="2"/>
  <c r="K62" i="2"/>
  <c r="K22" i="2"/>
  <c r="AN243" i="2"/>
  <c r="AC97" i="4"/>
  <c r="AL97" i="4"/>
  <c r="AM97" i="4" s="1"/>
  <c r="AN97" i="4" s="1"/>
  <c r="AO97" i="4" s="1"/>
  <c r="AP97" i="4" s="1"/>
  <c r="J773" i="2"/>
  <c r="J774" i="2" s="1"/>
  <c r="I35" i="1"/>
  <c r="I40" i="1"/>
  <c r="X599" i="1"/>
  <c r="AG599" i="1"/>
  <c r="Q599" i="1"/>
  <c r="AN599" i="1"/>
  <c r="K35" i="17"/>
  <c r="K32" i="17"/>
  <c r="I71" i="34"/>
  <c r="AL95" i="4"/>
  <c r="AM95" i="4" s="1"/>
  <c r="AN95" i="4" s="1"/>
  <c r="AO95" i="4" s="1"/>
  <c r="AP95" i="4" s="1"/>
  <c r="J28" i="1"/>
  <c r="P176" i="1"/>
  <c r="AF176" i="1"/>
  <c r="H22" i="2"/>
  <c r="H75" i="2"/>
  <c r="H62" i="2"/>
  <c r="H36" i="1"/>
  <c r="Q759" i="2"/>
  <c r="P762" i="2"/>
  <c r="AB484" i="1"/>
  <c r="AJ484" i="1"/>
  <c r="AK484" i="1" s="1"/>
  <c r="AL484" i="1" s="1"/>
  <c r="AM484" i="1" s="1"/>
  <c r="AN484" i="1" s="1"/>
  <c r="AO484" i="1" s="1"/>
  <c r="T484" i="1"/>
  <c r="U484" i="1" s="1"/>
  <c r="V484" i="1" s="1"/>
  <c r="W484" i="1" s="1"/>
  <c r="X484" i="1" s="1"/>
  <c r="Y484" i="1" s="1"/>
  <c r="M37" i="1"/>
  <c r="AC569" i="1"/>
  <c r="M569" i="1"/>
  <c r="G54" i="34"/>
  <c r="G104" i="34" s="1"/>
  <c r="J53" i="5"/>
  <c r="J52" i="5" s="1"/>
  <c r="AK358" i="2"/>
  <c r="AL358" i="2" s="1"/>
  <c r="AM358" i="2" s="1"/>
  <c r="AN358" i="2" s="1"/>
  <c r="AO358" i="2" s="1"/>
  <c r="AP358" i="2" s="1"/>
  <c r="L55" i="1"/>
  <c r="L400" i="1"/>
  <c r="L394" i="1" s="1"/>
  <c r="P278" i="1"/>
  <c r="AF278" i="1"/>
  <c r="O37" i="1"/>
  <c r="P164" i="4"/>
  <c r="O167" i="4"/>
  <c r="AK399" i="2"/>
  <c r="AL399" i="2" s="1"/>
  <c r="AM399" i="2" s="1"/>
  <c r="AN399" i="2" s="1"/>
  <c r="AO399" i="2" s="1"/>
  <c r="AP399" i="2" s="1"/>
  <c r="U399" i="2"/>
  <c r="V399" i="2" s="1"/>
  <c r="W399" i="2" s="1"/>
  <c r="X399" i="2" s="1"/>
  <c r="Y399" i="2" s="1"/>
  <c r="Z399" i="2" s="1"/>
  <c r="Q85" i="5"/>
  <c r="Q215" i="5" s="1"/>
  <c r="L189" i="2"/>
  <c r="AE565" i="1"/>
  <c r="O565" i="1"/>
  <c r="AL647" i="2"/>
  <c r="AM647" i="2" s="1"/>
  <c r="AN647" i="2" s="1"/>
  <c r="AO647" i="2" s="1"/>
  <c r="AP647" i="2" s="1"/>
  <c r="O36" i="1"/>
  <c r="I694" i="1"/>
  <c r="I688" i="1"/>
  <c r="O575" i="1"/>
  <c r="AE575" i="1"/>
  <c r="L382" i="2"/>
  <c r="K707" i="1"/>
  <c r="K678" i="1"/>
  <c r="L232" i="1"/>
  <c r="AK440" i="2"/>
  <c r="AL440" i="2" s="1"/>
  <c r="AM440" i="2" s="1"/>
  <c r="AN440" i="2" s="1"/>
  <c r="AO440" i="2" s="1"/>
  <c r="AP440" i="2" s="1"/>
  <c r="U440" i="2"/>
  <c r="V440" i="2" s="1"/>
  <c r="W440" i="2" s="1"/>
  <c r="X440" i="2" s="1"/>
  <c r="Y440" i="2" s="1"/>
  <c r="Z440" i="2" s="1"/>
  <c r="N7" i="2"/>
  <c r="O9" i="5"/>
  <c r="K52" i="34"/>
  <c r="N7" i="22"/>
  <c r="O7" i="22" s="1"/>
  <c r="N193" i="5"/>
  <c r="N194" i="5"/>
  <c r="H146" i="3"/>
  <c r="H173" i="3" s="1"/>
  <c r="U81" i="3"/>
  <c r="N81" i="3"/>
  <c r="AK81" i="3"/>
  <c r="I18" i="34"/>
  <c r="Q18" i="34" s="1"/>
  <c r="L504" i="1"/>
  <c r="L503" i="1" s="1"/>
  <c r="K28" i="1"/>
  <c r="J35" i="1"/>
  <c r="J40" i="1"/>
  <c r="AK165" i="2"/>
  <c r="AL165" i="2" s="1"/>
  <c r="AM165" i="2" s="1"/>
  <c r="AN165" i="2" s="1"/>
  <c r="AO165" i="2" s="1"/>
  <c r="AP165" i="2" s="1"/>
  <c r="U165" i="2"/>
  <c r="V165" i="2" s="1"/>
  <c r="W165" i="2" s="1"/>
  <c r="X165" i="2" s="1"/>
  <c r="Y165" i="2" s="1"/>
  <c r="Z165" i="2" s="1"/>
  <c r="N61" i="3"/>
  <c r="AD61" i="3"/>
  <c r="I36" i="1"/>
  <c r="J115" i="4"/>
  <c r="J117" i="4"/>
  <c r="J213" i="5" s="1"/>
  <c r="J171" i="4"/>
  <c r="H28" i="3"/>
  <c r="H104" i="3"/>
  <c r="H64" i="5"/>
  <c r="H75" i="5" s="1"/>
  <c r="E88" i="34" s="1"/>
  <c r="H707" i="1"/>
  <c r="H678" i="1"/>
  <c r="K61" i="1"/>
  <c r="K589" i="1"/>
  <c r="K674" i="1"/>
  <c r="K722" i="1" s="1"/>
  <c r="AE535" i="1"/>
  <c r="O535" i="1"/>
  <c r="J404" i="1"/>
  <c r="J405" i="1" s="1"/>
  <c r="J390" i="1"/>
  <c r="L71" i="1"/>
  <c r="AE303" i="1"/>
  <c r="O303" i="1"/>
  <c r="N593" i="1"/>
  <c r="AN600" i="2"/>
  <c r="X600" i="2"/>
  <c r="O626" i="2"/>
  <c r="L20" i="34"/>
  <c r="U39" i="3"/>
  <c r="V39" i="3" s="1"/>
  <c r="W39" i="3" s="1"/>
  <c r="X39" i="3" s="1"/>
  <c r="Y39" i="3" s="1"/>
  <c r="Z39" i="3" s="1"/>
  <c r="AC39" i="3"/>
  <c r="AK39" i="3"/>
  <c r="AL39" i="3" s="1"/>
  <c r="AM39" i="3" s="1"/>
  <c r="AN39" i="3" s="1"/>
  <c r="AO39" i="3" s="1"/>
  <c r="AP39" i="3" s="1"/>
  <c r="I61" i="1"/>
  <c r="I589" i="1"/>
  <c r="I674" i="1"/>
  <c r="I722" i="1" s="1"/>
  <c r="O88" i="3"/>
  <c r="O87" i="3" s="1"/>
  <c r="O24" i="3" s="1"/>
  <c r="H390" i="1"/>
  <c r="H404" i="1"/>
  <c r="H405" i="1" s="1"/>
  <c r="L70" i="1"/>
  <c r="AK202" i="2"/>
  <c r="U202" i="2"/>
  <c r="H238" i="1"/>
  <c r="H252" i="1"/>
  <c r="H253" i="1" s="1"/>
  <c r="AJ105" i="1"/>
  <c r="AK105" i="1" s="1"/>
  <c r="AL105" i="1" s="1"/>
  <c r="AM105" i="1" s="1"/>
  <c r="AN105" i="1" s="1"/>
  <c r="AO105" i="1" s="1"/>
  <c r="T105" i="1"/>
  <c r="U105" i="1" s="1"/>
  <c r="V105" i="1" s="1"/>
  <c r="W105" i="1" s="1"/>
  <c r="X105" i="1" s="1"/>
  <c r="Y105" i="1" s="1"/>
  <c r="AB105" i="1"/>
  <c r="H160" i="3"/>
  <c r="H155" i="3"/>
  <c r="AD180" i="1"/>
  <c r="N180" i="1"/>
  <c r="L217" i="1"/>
  <c r="R37" i="1"/>
  <c r="L353" i="1"/>
  <c r="AJ80" i="1"/>
  <c r="AK80" i="1" s="1"/>
  <c r="AL80" i="1" s="1"/>
  <c r="AM80" i="1" s="1"/>
  <c r="AN80" i="1" s="1"/>
  <c r="AO80" i="1" s="1"/>
  <c r="T80" i="1"/>
  <c r="U80" i="1" s="1"/>
  <c r="V80" i="1" s="1"/>
  <c r="W80" i="1" s="1"/>
  <c r="X80" i="1" s="1"/>
  <c r="Y80" i="1" s="1"/>
  <c r="AB80" i="1"/>
  <c r="P37" i="1"/>
  <c r="L574" i="1"/>
  <c r="L573" i="1" s="1"/>
  <c r="L568" i="1"/>
  <c r="I47" i="34"/>
  <c r="I50" i="34" s="1"/>
  <c r="H63" i="34"/>
  <c r="AK161" i="2"/>
  <c r="N459" i="1"/>
  <c r="AD459" i="1"/>
  <c r="AC570" i="1"/>
  <c r="M570" i="1"/>
  <c r="G125" i="28"/>
  <c r="AK477" i="2"/>
  <c r="K139" i="4"/>
  <c r="K145" i="4"/>
  <c r="K146" i="4" s="1"/>
  <c r="I28" i="3"/>
  <c r="I64" i="5"/>
  <c r="I75" i="5" s="1"/>
  <c r="F88" i="34" s="1"/>
  <c r="H75" i="1"/>
  <c r="H76" i="1" s="1"/>
  <c r="T205" i="1"/>
  <c r="U205" i="1" s="1"/>
  <c r="V205" i="1" s="1"/>
  <c r="W205" i="1" s="1"/>
  <c r="X205" i="1" s="1"/>
  <c r="Y205" i="1" s="1"/>
  <c r="AJ205" i="1"/>
  <c r="AK205" i="1" s="1"/>
  <c r="AL205" i="1" s="1"/>
  <c r="AM205" i="1" s="1"/>
  <c r="AN205" i="1" s="1"/>
  <c r="AO205" i="1" s="1"/>
  <c r="AB205" i="1"/>
  <c r="M45" i="1"/>
  <c r="M39" i="1" s="1"/>
  <c r="I390" i="1"/>
  <c r="I404" i="1"/>
  <c r="I405" i="1" s="1"/>
  <c r="AF580" i="1"/>
  <c r="P580" i="1"/>
  <c r="O530" i="1"/>
  <c r="AE530" i="1"/>
  <c r="L32" i="1"/>
  <c r="L319" i="1"/>
  <c r="J61" i="1"/>
  <c r="J589" i="1"/>
  <c r="J674" i="1"/>
  <c r="J722" i="1" s="1"/>
  <c r="AF151" i="1" l="1"/>
  <c r="AG151" i="1" s="1"/>
  <c r="R151" i="1" s="1"/>
  <c r="AF226" i="1"/>
  <c r="L550" i="1"/>
  <c r="AF328" i="1"/>
  <c r="Q328" i="1" s="1"/>
  <c r="P86" i="38"/>
  <c r="P221" i="38"/>
  <c r="N764" i="36"/>
  <c r="N778" i="36" s="1"/>
  <c r="N779" i="36" s="1"/>
  <c r="K41" i="34"/>
  <c r="N725" i="36"/>
  <c r="N739" i="36" s="1"/>
  <c r="N738" i="36" s="1"/>
  <c r="N741" i="36" s="1"/>
  <c r="N742" i="36" s="1"/>
  <c r="K40" i="34"/>
  <c r="O702" i="36"/>
  <c r="O703" i="36" s="1"/>
  <c r="L42" i="34"/>
  <c r="O58" i="19"/>
  <c r="F23" i="40"/>
  <c r="P19" i="25"/>
  <c r="J78" i="36"/>
  <c r="G76" i="34" s="1"/>
  <c r="H32" i="42"/>
  <c r="H55" i="42" s="1"/>
  <c r="H14" i="36"/>
  <c r="F4" i="42"/>
  <c r="K24" i="34"/>
  <c r="L6" i="42"/>
  <c r="I339" i="36"/>
  <c r="F78" i="34" s="1"/>
  <c r="G39" i="42"/>
  <c r="G62" i="42" s="1"/>
  <c r="K339" i="36"/>
  <c r="H78" i="34" s="1"/>
  <c r="I39" i="42"/>
  <c r="I62" i="42" s="1"/>
  <c r="H339" i="36"/>
  <c r="E78" i="34" s="1"/>
  <c r="F39" i="42"/>
  <c r="F62" i="42" s="1"/>
  <c r="E23" i="40"/>
  <c r="J339" i="36"/>
  <c r="G78" i="34" s="1"/>
  <c r="H39" i="42"/>
  <c r="H62" i="42" s="1"/>
  <c r="H78" i="36"/>
  <c r="E76" i="34" s="1"/>
  <c r="F32" i="42"/>
  <c r="F55" i="42" s="1"/>
  <c r="H639" i="36"/>
  <c r="E84" i="34" s="1"/>
  <c r="F45" i="42"/>
  <c r="K78" i="36"/>
  <c r="H76" i="34" s="1"/>
  <c r="I32" i="42"/>
  <c r="I55" i="42" s="1"/>
  <c r="M495" i="36"/>
  <c r="J82" i="34" s="1"/>
  <c r="K43" i="42"/>
  <c r="I78" i="36"/>
  <c r="F76" i="34" s="1"/>
  <c r="G32" i="42"/>
  <c r="G55" i="42" s="1"/>
  <c r="P539" i="1"/>
  <c r="AF201" i="1"/>
  <c r="AG201" i="1" s="1"/>
  <c r="R201" i="1" s="1"/>
  <c r="J163" i="3"/>
  <c r="P134" i="38"/>
  <c r="L12" i="40" s="1"/>
  <c r="L26" i="37"/>
  <c r="L54" i="37" s="1"/>
  <c r="L42" i="1"/>
  <c r="L36" i="1" s="1"/>
  <c r="T490" i="1"/>
  <c r="U490" i="1" s="1"/>
  <c r="V490" i="1" s="1"/>
  <c r="W490" i="1" s="1"/>
  <c r="X490" i="1" s="1"/>
  <c r="Y490" i="1" s="1"/>
  <c r="AJ490" i="1"/>
  <c r="AK490" i="1" s="1"/>
  <c r="AL490" i="1" s="1"/>
  <c r="AM490" i="1" s="1"/>
  <c r="AN490" i="1" s="1"/>
  <c r="AO490" i="1" s="1"/>
  <c r="K92" i="37"/>
  <c r="K100" i="37" s="1"/>
  <c r="AD969" i="36"/>
  <c r="O969" i="36" s="1"/>
  <c r="L100" i="1"/>
  <c r="L99" i="1" s="1"/>
  <c r="L63" i="1"/>
  <c r="L429" i="1"/>
  <c r="L428" i="1" s="1"/>
  <c r="L41" i="1"/>
  <c r="L35" i="1" s="1"/>
  <c r="P479" i="36"/>
  <c r="P485" i="36" s="1"/>
  <c r="M409" i="1"/>
  <c r="L239" i="1"/>
  <c r="M959" i="36"/>
  <c r="AC959" i="36" s="1"/>
  <c r="AC954" i="36"/>
  <c r="O65" i="3"/>
  <c r="AD221" i="36"/>
  <c r="N221" i="36"/>
  <c r="AL65" i="3"/>
  <c r="N218" i="36"/>
  <c r="AD218" i="36"/>
  <c r="P65" i="3"/>
  <c r="N219" i="36"/>
  <c r="AD219" i="36"/>
  <c r="AC509" i="1"/>
  <c r="M509" i="1"/>
  <c r="N220" i="36"/>
  <c r="AD220" i="36"/>
  <c r="L440" i="1"/>
  <c r="T440" i="1" s="1"/>
  <c r="U440" i="1" s="1"/>
  <c r="V440" i="1" s="1"/>
  <c r="W440" i="1" s="1"/>
  <c r="X440" i="1" s="1"/>
  <c r="Y440" i="1" s="1"/>
  <c r="K1" i="37"/>
  <c r="L48" i="34"/>
  <c r="L49" i="34"/>
  <c r="F44" i="40"/>
  <c r="G26" i="41"/>
  <c r="G27" i="41"/>
  <c r="G29" i="41" s="1"/>
  <c r="G30" i="41" s="1"/>
  <c r="G35" i="41"/>
  <c r="G36" i="41"/>
  <c r="G38" i="41" s="1"/>
  <c r="G39" i="41" s="1"/>
  <c r="H26" i="41"/>
  <c r="H27" i="41"/>
  <c r="H29" i="41" s="1"/>
  <c r="H30" i="41" s="1"/>
  <c r="F35" i="41"/>
  <c r="F36" i="41"/>
  <c r="F38" i="41" s="1"/>
  <c r="F39" i="41" s="1"/>
  <c r="H35" i="41"/>
  <c r="H36" i="41"/>
  <c r="H38" i="41" s="1"/>
  <c r="H39" i="41" s="1"/>
  <c r="P363" i="36"/>
  <c r="P369" i="36" s="1"/>
  <c r="E44" i="40"/>
  <c r="P727" i="36"/>
  <c r="P733" i="36" s="1"/>
  <c r="K72" i="38"/>
  <c r="G37" i="40"/>
  <c r="Q47" i="34"/>
  <c r="Q50" i="34"/>
  <c r="G30" i="40"/>
  <c r="G44" i="40"/>
  <c r="K87" i="34"/>
  <c r="N979" i="36"/>
  <c r="N978" i="36" s="1"/>
  <c r="H17" i="41"/>
  <c r="M277" i="36"/>
  <c r="M292" i="36" s="1"/>
  <c r="O980" i="36"/>
  <c r="AE980" i="36"/>
  <c r="F37" i="40"/>
  <c r="H9" i="41"/>
  <c r="H11" i="41" s="1"/>
  <c r="H12" i="41" s="1"/>
  <c r="H8" i="41"/>
  <c r="N661" i="36"/>
  <c r="N675" i="36" s="1"/>
  <c r="N674" i="36" s="1"/>
  <c r="K39" i="34"/>
  <c r="N139" i="36"/>
  <c r="N153" i="36" s="1"/>
  <c r="N154" i="36" s="1"/>
  <c r="K25" i="34"/>
  <c r="N178" i="36"/>
  <c r="N192" i="36" s="1"/>
  <c r="N191" i="36" s="1"/>
  <c r="N194" i="36" s="1"/>
  <c r="K26" i="34"/>
  <c r="K45" i="37"/>
  <c r="L41" i="37"/>
  <c r="Q113" i="24"/>
  <c r="O113" i="24"/>
  <c r="R113" i="24"/>
  <c r="S113" i="24"/>
  <c r="N113" i="24"/>
  <c r="P113" i="24"/>
  <c r="E277" i="24"/>
  <c r="L265" i="24"/>
  <c r="H163" i="3"/>
  <c r="P36" i="25"/>
  <c r="U33" i="3"/>
  <c r="V33" i="3" s="1"/>
  <c r="W33" i="3" s="1"/>
  <c r="X33" i="3" s="1"/>
  <c r="Y33" i="3" s="1"/>
  <c r="Z33" i="3" s="1"/>
  <c r="AC33" i="3"/>
  <c r="AK33" i="3"/>
  <c r="AL33" i="3" s="1"/>
  <c r="AM33" i="3" s="1"/>
  <c r="AN33" i="3" s="1"/>
  <c r="AO33" i="3" s="1"/>
  <c r="AP33" i="3" s="1"/>
  <c r="M282" i="1"/>
  <c r="L287" i="36"/>
  <c r="I227" i="5"/>
  <c r="I233" i="5"/>
  <c r="I98" i="38"/>
  <c r="E37" i="40"/>
  <c r="N29" i="40"/>
  <c r="S78" i="38"/>
  <c r="O22" i="40"/>
  <c r="T65" i="38"/>
  <c r="L959" i="36"/>
  <c r="AF907" i="36"/>
  <c r="AG907" i="36" s="1"/>
  <c r="N109" i="38"/>
  <c r="J43" i="40"/>
  <c r="K227" i="5"/>
  <c r="K233" i="5"/>
  <c r="M257" i="1"/>
  <c r="AC544" i="1"/>
  <c r="AD544" i="1" s="1"/>
  <c r="I85" i="38"/>
  <c r="E30" i="40"/>
  <c r="N124" i="38"/>
  <c r="J51" i="40"/>
  <c r="S316" i="38"/>
  <c r="T314" i="38"/>
  <c r="T316" i="38" s="1"/>
  <c r="O61" i="19"/>
  <c r="O87" i="19" s="1"/>
  <c r="P53" i="25"/>
  <c r="J85" i="38"/>
  <c r="F30" i="40"/>
  <c r="J233" i="5"/>
  <c r="J227" i="5"/>
  <c r="M124" i="38"/>
  <c r="I51" i="40"/>
  <c r="N50" i="40"/>
  <c r="S117" i="38"/>
  <c r="L220" i="24"/>
  <c r="E232" i="24"/>
  <c r="Q163" i="24"/>
  <c r="P163" i="24"/>
  <c r="S163" i="24"/>
  <c r="R163" i="24"/>
  <c r="O163" i="24"/>
  <c r="N163" i="24"/>
  <c r="L245" i="24"/>
  <c r="E138" i="24"/>
  <c r="H329" i="5"/>
  <c r="H274" i="5"/>
  <c r="H120" i="5"/>
  <c r="O117" i="5"/>
  <c r="O116" i="5"/>
  <c r="H153" i="5"/>
  <c r="I38" i="17"/>
  <c r="D6" i="32" s="1"/>
  <c r="P188" i="38"/>
  <c r="L13" i="40" s="1"/>
  <c r="P216" i="38"/>
  <c r="P202" i="38"/>
  <c r="P174" i="38"/>
  <c r="R11" i="5"/>
  <c r="Q7" i="4"/>
  <c r="O192" i="5"/>
  <c r="O41" i="5"/>
  <c r="I36" i="17"/>
  <c r="AD67" i="4"/>
  <c r="O67" i="4" s="1"/>
  <c r="AC73" i="4"/>
  <c r="AD73" i="4" s="1"/>
  <c r="AK73" i="4"/>
  <c r="AL73" i="4" s="1"/>
  <c r="AM73" i="4" s="1"/>
  <c r="AN73" i="4" s="1"/>
  <c r="AO73" i="4" s="1"/>
  <c r="AP73" i="4" s="1"/>
  <c r="N525" i="2"/>
  <c r="N523" i="2"/>
  <c r="N526" i="2"/>
  <c r="N527" i="2"/>
  <c r="L532" i="2"/>
  <c r="L531" i="2"/>
  <c r="L533" i="2"/>
  <c r="L529" i="2"/>
  <c r="N487" i="2"/>
  <c r="N434" i="2"/>
  <c r="L434" i="2"/>
  <c r="N290" i="2"/>
  <c r="N292" i="2"/>
  <c r="N289" i="2"/>
  <c r="N293" i="2"/>
  <c r="N291" i="2"/>
  <c r="AG309" i="2"/>
  <c r="R309" i="2" s="1"/>
  <c r="L58" i="2"/>
  <c r="L60" i="2"/>
  <c r="L61" i="2"/>
  <c r="L59" i="2"/>
  <c r="L241" i="2"/>
  <c r="N241" i="2"/>
  <c r="L200" i="2"/>
  <c r="N200" i="2"/>
  <c r="L159" i="2"/>
  <c r="N159" i="2"/>
  <c r="M29" i="2"/>
  <c r="M292" i="2"/>
  <c r="M72" i="2"/>
  <c r="M290" i="2"/>
  <c r="M70" i="2"/>
  <c r="M589" i="2"/>
  <c r="M565" i="2" s="1"/>
  <c r="M590" i="2"/>
  <c r="M566" i="2" s="1"/>
  <c r="M591" i="2"/>
  <c r="M567" i="2" s="1"/>
  <c r="M592" i="2"/>
  <c r="M568" i="2" s="1"/>
  <c r="M588" i="2"/>
  <c r="M564" i="2" s="1"/>
  <c r="M293" i="2"/>
  <c r="M73" i="2"/>
  <c r="M289" i="2"/>
  <c r="M69" i="2"/>
  <c r="L118" i="2"/>
  <c r="N118" i="2"/>
  <c r="M523" i="2"/>
  <c r="M291" i="2"/>
  <c r="M71" i="2"/>
  <c r="M350" i="2"/>
  <c r="M527" i="2"/>
  <c r="N130" i="2"/>
  <c r="M525" i="2"/>
  <c r="M524" i="2"/>
  <c r="M526" i="2"/>
  <c r="Y629" i="2"/>
  <c r="O73" i="34"/>
  <c r="AN436" i="2"/>
  <c r="AP629" i="2"/>
  <c r="N89" i="2"/>
  <c r="P766" i="2"/>
  <c r="V635" i="2"/>
  <c r="W518" i="2"/>
  <c r="I39" i="2"/>
  <c r="L589" i="2"/>
  <c r="L565" i="2" s="1"/>
  <c r="L590" i="2"/>
  <c r="L566" i="2" s="1"/>
  <c r="L591" i="2"/>
  <c r="L567" i="2" s="1"/>
  <c r="L592" i="2"/>
  <c r="L568" i="2" s="1"/>
  <c r="L588" i="2"/>
  <c r="H16" i="2"/>
  <c r="L288" i="2"/>
  <c r="L57" i="2"/>
  <c r="J100" i="24"/>
  <c r="J221" i="24"/>
  <c r="L183" i="2"/>
  <c r="U183" i="2" s="1"/>
  <c r="V183" i="2" s="1"/>
  <c r="W183" i="2" s="1"/>
  <c r="X183" i="2" s="1"/>
  <c r="Y183" i="2" s="1"/>
  <c r="Z183" i="2" s="1"/>
  <c r="L196" i="2"/>
  <c r="N196" i="2" s="1"/>
  <c r="O196" i="2" s="1"/>
  <c r="P196" i="2" s="1"/>
  <c r="Q196" i="2" s="1"/>
  <c r="R196" i="2" s="1"/>
  <c r="S196" i="2" s="1"/>
  <c r="L376" i="2"/>
  <c r="U376" i="2" s="1"/>
  <c r="V376" i="2" s="1"/>
  <c r="W376" i="2" s="1"/>
  <c r="X376" i="2" s="1"/>
  <c r="Y376" i="2" s="1"/>
  <c r="Z376" i="2" s="1"/>
  <c r="L389" i="2"/>
  <c r="N389" i="2" s="1"/>
  <c r="L524" i="2"/>
  <c r="P771" i="36"/>
  <c r="I10" i="34"/>
  <c r="Q10" i="34" s="1"/>
  <c r="L224" i="2"/>
  <c r="L155" i="2"/>
  <c r="N155" i="2" s="1"/>
  <c r="O155" i="2" s="1"/>
  <c r="P155" i="2" s="1"/>
  <c r="Q155" i="2" s="1"/>
  <c r="R155" i="2" s="1"/>
  <c r="S155" i="2" s="1"/>
  <c r="L101" i="2"/>
  <c r="P302" i="36"/>
  <c r="Q85" i="36"/>
  <c r="Q109" i="36" s="1"/>
  <c r="E88" i="24"/>
  <c r="L200" i="24"/>
  <c r="J29" i="2"/>
  <c r="Q687" i="2"/>
  <c r="R687" i="2" s="1"/>
  <c r="J1127" i="36"/>
  <c r="K47" i="37"/>
  <c r="Q1048" i="36"/>
  <c r="R1048" i="36" s="1"/>
  <c r="P682" i="36"/>
  <c r="Q682" i="36" s="1"/>
  <c r="N280" i="36"/>
  <c r="N304" i="36" s="1"/>
  <c r="L277" i="36"/>
  <c r="L293" i="36" s="1"/>
  <c r="AG142" i="36"/>
  <c r="AH142" i="36" s="1"/>
  <c r="S142" i="36" s="1"/>
  <c r="L285" i="36"/>
  <c r="N279" i="36"/>
  <c r="P142" i="36"/>
  <c r="P148" i="36" s="1"/>
  <c r="N282" i="36"/>
  <c r="L288" i="36"/>
  <c r="P109" i="36"/>
  <c r="AG1005" i="36"/>
  <c r="AH1005" i="36" s="1"/>
  <c r="S1005" i="36" s="1"/>
  <c r="AH664" i="36"/>
  <c r="S664" i="36" s="1"/>
  <c r="N439" i="36"/>
  <c r="N453" i="36" s="1"/>
  <c r="N454" i="36" s="1"/>
  <c r="K33" i="34"/>
  <c r="N478" i="36"/>
  <c r="N492" i="36" s="1"/>
  <c r="N491" i="36" s="1"/>
  <c r="N494" i="36" s="1"/>
  <c r="K34" i="34"/>
  <c r="N361" i="36"/>
  <c r="N375" i="36" s="1"/>
  <c r="N376" i="36" s="1"/>
  <c r="K31" i="34"/>
  <c r="O135" i="36"/>
  <c r="O476" i="36"/>
  <c r="N400" i="36"/>
  <c r="N414" i="36" s="1"/>
  <c r="N415" i="36" s="1"/>
  <c r="K32" i="34"/>
  <c r="O37" i="5"/>
  <c r="L9" i="40"/>
  <c r="P112" i="38"/>
  <c r="P125" i="38"/>
  <c r="L11" i="40" s="1"/>
  <c r="P73" i="38"/>
  <c r="O473" i="36"/>
  <c r="S251" i="38"/>
  <c r="S229" i="38"/>
  <c r="P160" i="36"/>
  <c r="P173" i="36" s="1"/>
  <c r="AF931" i="36"/>
  <c r="P931" i="36"/>
  <c r="AF932" i="36"/>
  <c r="P932" i="36"/>
  <c r="Q240" i="36"/>
  <c r="Q264" i="36" s="1"/>
  <c r="P482" i="36"/>
  <c r="P488" i="36" s="1"/>
  <c r="AF482" i="36"/>
  <c r="R28" i="38"/>
  <c r="R257" i="38"/>
  <c r="Q259" i="38"/>
  <c r="S278" i="38"/>
  <c r="R280" i="38"/>
  <c r="Q310" i="38"/>
  <c r="R308" i="38"/>
  <c r="Q298" i="38"/>
  <c r="R296" i="38"/>
  <c r="R304" i="38"/>
  <c r="S302" i="38"/>
  <c r="P746" i="36"/>
  <c r="P763" i="36" s="1"/>
  <c r="O657" i="36"/>
  <c r="O770" i="36"/>
  <c r="O658" i="36"/>
  <c r="O660" i="36"/>
  <c r="O474" i="36"/>
  <c r="O659" i="36"/>
  <c r="R292" i="38"/>
  <c r="S290" i="38"/>
  <c r="O98" i="36"/>
  <c r="O731" i="36"/>
  <c r="S266" i="38"/>
  <c r="R264" i="38"/>
  <c r="Q149" i="24" s="1"/>
  <c r="Q41" i="24" s="1"/>
  <c r="S239" i="38"/>
  <c r="R241" i="38"/>
  <c r="O184" i="36"/>
  <c r="M8" i="42" s="1"/>
  <c r="O356" i="36"/>
  <c r="O763" i="36"/>
  <c r="O136" i="36"/>
  <c r="O760" i="36"/>
  <c r="O145" i="36"/>
  <c r="M7" i="42" s="1"/>
  <c r="O134" i="36"/>
  <c r="O484" i="36"/>
  <c r="M16" i="42" s="1"/>
  <c r="O357" i="36"/>
  <c r="Q425" i="36"/>
  <c r="P449" i="36"/>
  <c r="Q646" i="36"/>
  <c r="P670" i="36"/>
  <c r="L88" i="37"/>
  <c r="L96" i="37" s="1"/>
  <c r="L38" i="37"/>
  <c r="L65" i="37"/>
  <c r="L42" i="37"/>
  <c r="Q363" i="36"/>
  <c r="AG363" i="36"/>
  <c r="N213" i="38"/>
  <c r="M73" i="36"/>
  <c r="P728" i="36"/>
  <c r="P734" i="36" s="1"/>
  <c r="AF728" i="36"/>
  <c r="M619" i="36"/>
  <c r="M213" i="38"/>
  <c r="I87" i="40" s="1"/>
  <c r="L73" i="36"/>
  <c r="P934" i="36"/>
  <c r="AF934" i="36"/>
  <c r="M18" i="37"/>
  <c r="O434" i="36"/>
  <c r="O719" i="36"/>
  <c r="O721" i="36"/>
  <c r="O713" i="36"/>
  <c r="O722" i="36"/>
  <c r="O723" i="36"/>
  <c r="AG402" i="36"/>
  <c r="Q402" i="36"/>
  <c r="Q408" i="36" s="1"/>
  <c r="O437" i="36"/>
  <c r="N80" i="3"/>
  <c r="N79" i="3" s="1"/>
  <c r="M319" i="36"/>
  <c r="M11" i="37"/>
  <c r="O19" i="41" s="1"/>
  <c r="N12" i="37"/>
  <c r="Q348" i="36"/>
  <c r="P372" i="36"/>
  <c r="M621" i="36"/>
  <c r="Q87" i="36"/>
  <c r="P111" i="36"/>
  <c r="R387" i="36"/>
  <c r="M70" i="36"/>
  <c r="N171" i="38"/>
  <c r="L74" i="36"/>
  <c r="H36" i="36"/>
  <c r="H50" i="36"/>
  <c r="P421" i="36"/>
  <c r="P436" i="36" s="1"/>
  <c r="Q422" i="36"/>
  <c r="P446" i="36"/>
  <c r="AF405" i="36"/>
  <c r="P405" i="36"/>
  <c r="P411" i="36" s="1"/>
  <c r="P180" i="36"/>
  <c r="P186" i="36" s="1"/>
  <c r="AF180" i="36"/>
  <c r="O406" i="36"/>
  <c r="M14" i="42" s="1"/>
  <c r="L248" i="36"/>
  <c r="N242" i="36"/>
  <c r="P726" i="36"/>
  <c r="P732" i="36" s="1"/>
  <c r="AF726" i="36"/>
  <c r="O394" i="36"/>
  <c r="O388" i="36"/>
  <c r="O396" i="36"/>
  <c r="O399" i="36"/>
  <c r="N30" i="37"/>
  <c r="P382" i="36"/>
  <c r="P395" i="36" s="1"/>
  <c r="Q383" i="36"/>
  <c r="P407" i="36"/>
  <c r="Q1025" i="36"/>
  <c r="O395" i="36"/>
  <c r="L792" i="36"/>
  <c r="L619" i="36"/>
  <c r="AF299" i="36"/>
  <c r="P299" i="36"/>
  <c r="O438" i="36"/>
  <c r="Q123" i="36"/>
  <c r="AF729" i="36"/>
  <c r="P729" i="36"/>
  <c r="P735" i="36" s="1"/>
  <c r="Q426" i="36"/>
  <c r="O29" i="37"/>
  <c r="AG479" i="36"/>
  <c r="Q479" i="36"/>
  <c r="AG976" i="36"/>
  <c r="Q976" i="36"/>
  <c r="Q975" i="36" s="1"/>
  <c r="O9" i="37"/>
  <c r="AG300" i="36"/>
  <c r="Q300" i="36"/>
  <c r="R278" i="36"/>
  <c r="Q302" i="36"/>
  <c r="M321" i="36"/>
  <c r="O25" i="37"/>
  <c r="P107" i="36"/>
  <c r="Q83" i="36"/>
  <c r="P82" i="36"/>
  <c r="P96" i="36" s="1"/>
  <c r="N917" i="36"/>
  <c r="L923" i="36"/>
  <c r="M24" i="37"/>
  <c r="L21" i="37"/>
  <c r="N37" i="41" s="1"/>
  <c r="AF297" i="36"/>
  <c r="P297" i="36"/>
  <c r="P933" i="36"/>
  <c r="AF933" i="36"/>
  <c r="Q386" i="36"/>
  <c r="Q179" i="36"/>
  <c r="Q185" i="36" s="1"/>
  <c r="AG179" i="36"/>
  <c r="M622" i="36"/>
  <c r="P480" i="36"/>
  <c r="P486" i="36" s="1"/>
  <c r="AF480" i="36"/>
  <c r="N241" i="36"/>
  <c r="L247" i="36"/>
  <c r="L238" i="36"/>
  <c r="L253" i="36" s="1"/>
  <c r="R161" i="36"/>
  <c r="P140" i="36"/>
  <c r="P146" i="36" s="1"/>
  <c r="AF140" i="36"/>
  <c r="Q125" i="36"/>
  <c r="M322" i="36"/>
  <c r="AF483" i="36"/>
  <c r="P483" i="36"/>
  <c r="P489" i="36" s="1"/>
  <c r="K75" i="37"/>
  <c r="K48" i="37"/>
  <c r="K90" i="37"/>
  <c r="K49" i="37"/>
  <c r="K50" i="37"/>
  <c r="K52" i="37"/>
  <c r="R1134" i="36"/>
  <c r="P121" i="36"/>
  <c r="P135" i="36" s="1"/>
  <c r="Q122" i="36"/>
  <c r="O398" i="36"/>
  <c r="S709" i="36"/>
  <c r="P267" i="36"/>
  <c r="Q243" i="36"/>
  <c r="M8" i="37"/>
  <c r="L6" i="37"/>
  <c r="N10" i="41" s="1"/>
  <c r="O94" i="36"/>
  <c r="O88" i="36"/>
  <c r="O97" i="36"/>
  <c r="Q465" i="36"/>
  <c r="L921" i="36"/>
  <c r="N915" i="36"/>
  <c r="K51" i="37"/>
  <c r="P110" i="36"/>
  <c r="Q86" i="36"/>
  <c r="P144" i="36"/>
  <c r="P150" i="36" s="1"/>
  <c r="AF144" i="36"/>
  <c r="O127" i="36"/>
  <c r="O133" i="36"/>
  <c r="R423" i="36"/>
  <c r="Q447" i="36"/>
  <c r="AF141" i="36"/>
  <c r="P141" i="36"/>
  <c r="P147" i="36" s="1"/>
  <c r="O7" i="37"/>
  <c r="M238" i="36"/>
  <c r="M254" i="36" s="1"/>
  <c r="O96" i="36"/>
  <c r="K60" i="37"/>
  <c r="K33" i="37"/>
  <c r="K87" i="37"/>
  <c r="K36" i="37"/>
  <c r="K34" i="37"/>
  <c r="O172" i="36"/>
  <c r="O166" i="36"/>
  <c r="O173" i="36"/>
  <c r="O174" i="36"/>
  <c r="L920" i="36"/>
  <c r="N914" i="36"/>
  <c r="Q164" i="36"/>
  <c r="AF259" i="36"/>
  <c r="P259" i="36"/>
  <c r="AH662" i="36"/>
  <c r="S662" i="36" s="1"/>
  <c r="R662" i="36"/>
  <c r="R1041" i="36"/>
  <c r="P768" i="36"/>
  <c r="P774" i="36" s="1"/>
  <c r="AF768" i="36"/>
  <c r="Q126" i="36"/>
  <c r="P108" i="36"/>
  <c r="Q84" i="36"/>
  <c r="S1140" i="36"/>
  <c r="M71" i="36"/>
  <c r="N185" i="38"/>
  <c r="P935" i="36"/>
  <c r="AF935" i="36"/>
  <c r="R346" i="36"/>
  <c r="K35" i="37"/>
  <c r="P404" i="36"/>
  <c r="P410" i="36" s="1"/>
  <c r="AF404" i="36"/>
  <c r="AH665" i="36"/>
  <c r="S665" i="36" s="1"/>
  <c r="R665" i="36"/>
  <c r="L922" i="36"/>
  <c r="N916" i="36"/>
  <c r="Q462" i="36"/>
  <c r="Q989" i="36"/>
  <c r="Q464" i="36"/>
  <c r="O281" i="36"/>
  <c r="O305" i="36" s="1"/>
  <c r="L795" i="36"/>
  <c r="L622" i="36"/>
  <c r="K37" i="37"/>
  <c r="O138" i="36"/>
  <c r="N14" i="37"/>
  <c r="P906" i="36"/>
  <c r="P905" i="36" s="1"/>
  <c r="Q903" i="36"/>
  <c r="Q902" i="36" s="1"/>
  <c r="AG903" i="36"/>
  <c r="M620" i="36"/>
  <c r="Q1001" i="36"/>
  <c r="AG1001" i="36"/>
  <c r="P364" i="36"/>
  <c r="P370" i="36" s="1"/>
  <c r="AF364" i="36"/>
  <c r="N913" i="36"/>
  <c r="L912" i="36"/>
  <c r="L919" i="36"/>
  <c r="O106" i="36"/>
  <c r="Q424" i="36"/>
  <c r="O95" i="36"/>
  <c r="AF181" i="36"/>
  <c r="P181" i="36"/>
  <c r="P187" i="36" s="1"/>
  <c r="O176" i="36"/>
  <c r="K89" i="37"/>
  <c r="K97" i="37" s="1"/>
  <c r="K70" i="37"/>
  <c r="K43" i="37"/>
  <c r="K46" i="37"/>
  <c r="R162" i="36"/>
  <c r="N27" i="37"/>
  <c r="M26" i="37"/>
  <c r="Q385" i="36"/>
  <c r="K96" i="37"/>
  <c r="S1015" i="36"/>
  <c r="R1015" i="36"/>
  <c r="P481" i="36"/>
  <c r="P487" i="36" s="1"/>
  <c r="AF481" i="36"/>
  <c r="P260" i="36"/>
  <c r="AF260" i="36"/>
  <c r="O177" i="36"/>
  <c r="M10" i="37"/>
  <c r="Q345" i="36"/>
  <c r="P368" i="36"/>
  <c r="Q344" i="36"/>
  <c r="P343" i="36"/>
  <c r="P360" i="36" s="1"/>
  <c r="N13" i="37"/>
  <c r="R1142" i="36"/>
  <c r="Q647" i="36"/>
  <c r="Q671" i="36" s="1"/>
  <c r="AG985" i="36"/>
  <c r="Q985" i="36"/>
  <c r="N199" i="38"/>
  <c r="M72" i="36"/>
  <c r="Q163" i="36"/>
  <c r="R711" i="36"/>
  <c r="N1108" i="36"/>
  <c r="N1153" i="36" s="1"/>
  <c r="N100" i="36"/>
  <c r="N114" i="36" s="1"/>
  <c r="Q727" i="36"/>
  <c r="Q733" i="36" s="1"/>
  <c r="AG727" i="36"/>
  <c r="AF143" i="36"/>
  <c r="P143" i="36"/>
  <c r="P149" i="36" s="1"/>
  <c r="M17" i="37"/>
  <c r="L16" i="37"/>
  <c r="N28" i="41" s="1"/>
  <c r="P643" i="36"/>
  <c r="P658" i="36" s="1"/>
  <c r="Q644" i="36"/>
  <c r="Q461" i="36"/>
  <c r="P460" i="36"/>
  <c r="P474" i="36" s="1"/>
  <c r="O397" i="36"/>
  <c r="L71" i="36"/>
  <c r="M185" i="38"/>
  <c r="I69" i="40" s="1"/>
  <c r="Q239" i="36"/>
  <c r="P263" i="36"/>
  <c r="O667" i="36"/>
  <c r="O15" i="37"/>
  <c r="L40" i="37"/>
  <c r="AK688" i="36"/>
  <c r="AL688" i="36" s="1"/>
  <c r="AM688" i="36" s="1"/>
  <c r="AN688" i="36" s="1"/>
  <c r="AO688" i="36" s="1"/>
  <c r="AP688" i="36" s="1"/>
  <c r="U688" i="36"/>
  <c r="V688" i="36" s="1"/>
  <c r="W688" i="36" s="1"/>
  <c r="X688" i="36" s="1"/>
  <c r="Y688" i="36" s="1"/>
  <c r="Z688" i="36" s="1"/>
  <c r="M912" i="36"/>
  <c r="M925" i="36" s="1"/>
  <c r="Q648" i="36"/>
  <c r="P672" i="36"/>
  <c r="Q712" i="36"/>
  <c r="P736" i="36"/>
  <c r="R747" i="36"/>
  <c r="Q771" i="36"/>
  <c r="L793" i="36"/>
  <c r="L620" i="36"/>
  <c r="Q1003" i="36"/>
  <c r="K36" i="36"/>
  <c r="K50" i="36"/>
  <c r="K14" i="36"/>
  <c r="S1144" i="36"/>
  <c r="J14" i="36"/>
  <c r="J1034" i="36" s="1"/>
  <c r="J36" i="36"/>
  <c r="J50" i="36"/>
  <c r="L506" i="36"/>
  <c r="L319" i="36"/>
  <c r="K44" i="37"/>
  <c r="AF182" i="36"/>
  <c r="P182" i="36"/>
  <c r="P188" i="36" s="1"/>
  <c r="O472" i="36"/>
  <c r="O466" i="36"/>
  <c r="O475" i="36"/>
  <c r="R1136" i="36"/>
  <c r="M171" i="38"/>
  <c r="I60" i="40" s="1"/>
  <c r="L70" i="36"/>
  <c r="I36" i="36"/>
  <c r="I14" i="36"/>
  <c r="I50" i="36"/>
  <c r="R1039" i="36"/>
  <c r="Q444" i="36"/>
  <c r="AG444" i="36"/>
  <c r="O758" i="36"/>
  <c r="O752" i="36"/>
  <c r="O759" i="36"/>
  <c r="Q165" i="36"/>
  <c r="P189" i="36"/>
  <c r="Q749" i="36"/>
  <c r="P773" i="36"/>
  <c r="O720" i="36"/>
  <c r="O349" i="36"/>
  <c r="O355" i="36"/>
  <c r="O358" i="36"/>
  <c r="O359" i="36"/>
  <c r="R347" i="36"/>
  <c r="P298" i="36"/>
  <c r="AF298" i="36"/>
  <c r="O433" i="36"/>
  <c r="O427" i="36"/>
  <c r="O435" i="36"/>
  <c r="M320" i="36"/>
  <c r="N28" i="37"/>
  <c r="L508" i="36"/>
  <c r="L321" i="36"/>
  <c r="P775" i="36"/>
  <c r="Q751" i="36"/>
  <c r="Q124" i="36"/>
  <c r="Q645" i="36"/>
  <c r="P669" i="36"/>
  <c r="R403" i="36"/>
  <c r="AH403" i="36"/>
  <c r="S403" i="36" s="1"/>
  <c r="Q750" i="36"/>
  <c r="L39" i="37"/>
  <c r="O655" i="36"/>
  <c r="O649" i="36"/>
  <c r="M20" i="37"/>
  <c r="M74" i="36"/>
  <c r="M199" i="38"/>
  <c r="I78" i="40" s="1"/>
  <c r="L72" i="36"/>
  <c r="AF365" i="36"/>
  <c r="P365" i="36"/>
  <c r="P371" i="36" s="1"/>
  <c r="P450" i="36"/>
  <c r="P442" i="36"/>
  <c r="P448" i="36" s="1"/>
  <c r="AF442" i="36"/>
  <c r="Q748" i="36"/>
  <c r="P772" i="36"/>
  <c r="O445" i="36"/>
  <c r="M15" i="42" s="1"/>
  <c r="O761" i="36"/>
  <c r="P707" i="36"/>
  <c r="P720" i="36" s="1"/>
  <c r="Q708" i="36"/>
  <c r="O367" i="36"/>
  <c r="M13" i="42" s="1"/>
  <c r="Q701" i="36"/>
  <c r="M571" i="1"/>
  <c r="M568" i="1" s="1"/>
  <c r="N51" i="5"/>
  <c r="L22" i="4"/>
  <c r="T136" i="1"/>
  <c r="U136" i="1" s="1"/>
  <c r="V136" i="1" s="1"/>
  <c r="W136" i="1" s="1"/>
  <c r="X136" i="1" s="1"/>
  <c r="Y136" i="1" s="1"/>
  <c r="L86" i="1"/>
  <c r="T86" i="1" s="1"/>
  <c r="U86" i="1" s="1"/>
  <c r="V86" i="1" s="1"/>
  <c r="W86" i="1" s="1"/>
  <c r="X86" i="1" s="1"/>
  <c r="Y86" i="1" s="1"/>
  <c r="P584" i="1"/>
  <c r="AF584" i="1"/>
  <c r="L529" i="1"/>
  <c r="L528" i="1" s="1"/>
  <c r="L479" i="1"/>
  <c r="L478" i="1" s="1"/>
  <c r="AB136" i="1"/>
  <c r="M136" i="1" s="1"/>
  <c r="L396" i="1"/>
  <c r="L390" i="1" s="1"/>
  <c r="AJ415" i="1"/>
  <c r="AK415" i="1" s="1"/>
  <c r="AL415" i="1" s="1"/>
  <c r="AM415" i="1" s="1"/>
  <c r="AN415" i="1" s="1"/>
  <c r="AO415" i="1" s="1"/>
  <c r="T415" i="1"/>
  <c r="U415" i="1" s="1"/>
  <c r="V415" i="1" s="1"/>
  <c r="W415" i="1" s="1"/>
  <c r="X415" i="1" s="1"/>
  <c r="Y415" i="1" s="1"/>
  <c r="AB415" i="1"/>
  <c r="L150" i="1"/>
  <c r="L149" i="1" s="1"/>
  <c r="L175" i="1"/>
  <c r="L174" i="1" s="1"/>
  <c r="J694" i="1"/>
  <c r="M130" i="1"/>
  <c r="L125" i="1"/>
  <c r="L124" i="1" s="1"/>
  <c r="P353" i="1"/>
  <c r="L288" i="1"/>
  <c r="T288" i="1" s="1"/>
  <c r="U288" i="1" s="1"/>
  <c r="V288" i="1" s="1"/>
  <c r="W288" i="1" s="1"/>
  <c r="X288" i="1" s="1"/>
  <c r="Y288" i="1" s="1"/>
  <c r="H29" i="2"/>
  <c r="I104" i="3"/>
  <c r="I108" i="3" s="1"/>
  <c r="Q151" i="1"/>
  <c r="U284" i="2"/>
  <c r="AK284" i="2"/>
  <c r="L377" i="1"/>
  <c r="L376" i="1" s="1"/>
  <c r="L45" i="1"/>
  <c r="L39" i="1" s="1"/>
  <c r="P126" i="1"/>
  <c r="AF126" i="1"/>
  <c r="I60" i="34"/>
  <c r="J146" i="3"/>
  <c r="J173" i="3" s="1"/>
  <c r="AB186" i="1"/>
  <c r="M186" i="1" s="1"/>
  <c r="M192" i="1" s="1"/>
  <c r="M200" i="1" s="1"/>
  <c r="M199" i="1" s="1"/>
  <c r="P378" i="1"/>
  <c r="AF378" i="1"/>
  <c r="T186" i="1"/>
  <c r="U186" i="1" s="1"/>
  <c r="V186" i="1" s="1"/>
  <c r="W186" i="1" s="1"/>
  <c r="X186" i="1" s="1"/>
  <c r="Y186" i="1" s="1"/>
  <c r="AE77" i="3"/>
  <c r="O77" i="3"/>
  <c r="O78" i="3" s="1"/>
  <c r="L244" i="1"/>
  <c r="L238" i="1" s="1"/>
  <c r="J105" i="3"/>
  <c r="J108" i="3"/>
  <c r="J167" i="3" s="1"/>
  <c r="L277" i="1"/>
  <c r="L276" i="1" s="1"/>
  <c r="K16" i="2"/>
  <c r="P430" i="1"/>
  <c r="AF430" i="1"/>
  <c r="K146" i="3"/>
  <c r="K173" i="3" s="1"/>
  <c r="K104" i="3"/>
  <c r="M434" i="1"/>
  <c r="AC434" i="1"/>
  <c r="AF589" i="1"/>
  <c r="P589" i="1"/>
  <c r="AJ515" i="1"/>
  <c r="AK515" i="1" s="1"/>
  <c r="AL515" i="1" s="1"/>
  <c r="AM515" i="1" s="1"/>
  <c r="AN515" i="1" s="1"/>
  <c r="AO515" i="1" s="1"/>
  <c r="T515" i="1"/>
  <c r="U515" i="1" s="1"/>
  <c r="V515" i="1" s="1"/>
  <c r="W515" i="1" s="1"/>
  <c r="X515" i="1" s="1"/>
  <c r="Y515" i="1" s="1"/>
  <c r="AB515" i="1"/>
  <c r="O579" i="1"/>
  <c r="N583" i="1"/>
  <c r="N582" i="1" s="1"/>
  <c r="L352" i="1"/>
  <c r="L351" i="1" s="1"/>
  <c r="H34" i="1"/>
  <c r="H12" i="1"/>
  <c r="H48" i="1"/>
  <c r="H49" i="1" s="1"/>
  <c r="O7" i="2"/>
  <c r="P9" i="5"/>
  <c r="O193" i="5"/>
  <c r="P7" i="22"/>
  <c r="O194" i="5"/>
  <c r="AK499" i="2"/>
  <c r="AL499" i="2" s="1"/>
  <c r="AM499" i="2" s="1"/>
  <c r="AN499" i="2" s="1"/>
  <c r="AO499" i="2" s="1"/>
  <c r="AP499" i="2" s="1"/>
  <c r="Q278" i="1"/>
  <c r="AG278" i="1"/>
  <c r="R278" i="1" s="1"/>
  <c r="S278" i="1" s="1"/>
  <c r="J39" i="2"/>
  <c r="I19" i="34"/>
  <c r="Q19" i="34" s="1"/>
  <c r="AL202" i="2"/>
  <c r="V202" i="2"/>
  <c r="U647" i="2"/>
  <c r="U93" i="4"/>
  <c r="V93" i="4" s="1"/>
  <c r="W93" i="4" s="1"/>
  <c r="X93" i="4" s="1"/>
  <c r="Y93" i="4" s="1"/>
  <c r="Z93" i="4" s="1"/>
  <c r="N93" i="4"/>
  <c r="AD93" i="4"/>
  <c r="AF530" i="1"/>
  <c r="P530" i="1"/>
  <c r="L15" i="3"/>
  <c r="L49" i="5"/>
  <c r="L343" i="2"/>
  <c r="AD569" i="1"/>
  <c r="N569" i="1"/>
  <c r="N409" i="1"/>
  <c r="AD409" i="1"/>
  <c r="AF535" i="1"/>
  <c r="P535" i="1"/>
  <c r="AE61" i="3"/>
  <c r="O61" i="3"/>
  <c r="N155" i="1"/>
  <c r="AD155" i="1"/>
  <c r="AK142" i="2"/>
  <c r="AL142" i="2" s="1"/>
  <c r="AM142" i="2" s="1"/>
  <c r="AN142" i="2" s="1"/>
  <c r="AO142" i="2" s="1"/>
  <c r="AP142" i="2" s="1"/>
  <c r="I12" i="34"/>
  <c r="Q12" i="34" s="1"/>
  <c r="AD39" i="3"/>
  <c r="N39" i="3"/>
  <c r="K38" i="5"/>
  <c r="K43" i="5" s="1"/>
  <c r="H23" i="34"/>
  <c r="N62" i="3"/>
  <c r="N64" i="3"/>
  <c r="N63" i="3" s="1"/>
  <c r="N50" i="5"/>
  <c r="P626" i="2"/>
  <c r="M20" i="34"/>
  <c r="N87" i="4"/>
  <c r="AK87" i="4"/>
  <c r="AL87" i="4" s="1"/>
  <c r="AM87" i="4" s="1"/>
  <c r="AN87" i="4" s="1"/>
  <c r="AO87" i="4" s="1"/>
  <c r="AP87" i="4" s="1"/>
  <c r="AD87" i="4"/>
  <c r="U87" i="4"/>
  <c r="V87" i="4" s="1"/>
  <c r="W87" i="4" s="1"/>
  <c r="X87" i="4" s="1"/>
  <c r="Y87" i="4" s="1"/>
  <c r="Z87" i="4" s="1"/>
  <c r="K40" i="17"/>
  <c r="K38" i="17"/>
  <c r="K36" i="17"/>
  <c r="AF101" i="1"/>
  <c r="P101" i="1"/>
  <c r="O534" i="1"/>
  <c r="N538" i="1"/>
  <c r="N537" i="1" s="1"/>
  <c r="N45" i="1"/>
  <c r="N39" i="1" s="1"/>
  <c r="J16" i="2"/>
  <c r="I8" i="34"/>
  <c r="Q8" i="34" s="1"/>
  <c r="I68" i="34"/>
  <c r="L65" i="1"/>
  <c r="L44" i="1"/>
  <c r="L38" i="1" s="1"/>
  <c r="Q539" i="1"/>
  <c r="AG539" i="1"/>
  <c r="R539" i="1" s="1"/>
  <c r="AG353" i="1"/>
  <c r="R353" i="1" s="1"/>
  <c r="Q353" i="1"/>
  <c r="G110" i="28"/>
  <c r="N95" i="4"/>
  <c r="U95" i="4"/>
  <c r="AK417" i="2"/>
  <c r="AL417" i="2" s="1"/>
  <c r="AM417" i="2" s="1"/>
  <c r="AN417" i="2" s="1"/>
  <c r="AO417" i="2" s="1"/>
  <c r="AP417" i="2" s="1"/>
  <c r="AC357" i="1"/>
  <c r="M357" i="1"/>
  <c r="AF565" i="1"/>
  <c r="P565" i="1"/>
  <c r="AK559" i="2"/>
  <c r="U559" i="2"/>
  <c r="O7" i="19"/>
  <c r="P7" i="19"/>
  <c r="Q7" i="19" s="1"/>
  <c r="R7" i="19" s="1"/>
  <c r="S7" i="19" s="1"/>
  <c r="T7" i="19" s="1"/>
  <c r="U7" i="19" s="1"/>
  <c r="AB338" i="1"/>
  <c r="T338" i="1"/>
  <c r="U338" i="1" s="1"/>
  <c r="V338" i="1" s="1"/>
  <c r="W338" i="1" s="1"/>
  <c r="X338" i="1" s="1"/>
  <c r="Y338" i="1" s="1"/>
  <c r="AJ338" i="1"/>
  <c r="AK338" i="1" s="1"/>
  <c r="AL338" i="1" s="1"/>
  <c r="AM338" i="1" s="1"/>
  <c r="AN338" i="1" s="1"/>
  <c r="AO338" i="1" s="1"/>
  <c r="Y599" i="1"/>
  <c r="R599" i="1"/>
  <c r="AO599" i="1"/>
  <c r="K29" i="2"/>
  <c r="AC490" i="1"/>
  <c r="M490" i="1"/>
  <c r="AJ363" i="1"/>
  <c r="AK363" i="1" s="1"/>
  <c r="AL363" i="1" s="1"/>
  <c r="AM363" i="1" s="1"/>
  <c r="AN363" i="1" s="1"/>
  <c r="AO363" i="1" s="1"/>
  <c r="T363" i="1"/>
  <c r="U363" i="1" s="1"/>
  <c r="V363" i="1" s="1"/>
  <c r="W363" i="1" s="1"/>
  <c r="X363" i="1" s="1"/>
  <c r="Y363" i="1" s="1"/>
  <c r="AB363" i="1"/>
  <c r="Q164" i="4"/>
  <c r="P167" i="4"/>
  <c r="Q226" i="1"/>
  <c r="AG226" i="1"/>
  <c r="R226" i="1" s="1"/>
  <c r="H38" i="5"/>
  <c r="H43" i="5" s="1"/>
  <c r="E23" i="34"/>
  <c r="AL477" i="2"/>
  <c r="H105" i="3"/>
  <c r="H108" i="3"/>
  <c r="AC307" i="1"/>
  <c r="M307" i="1"/>
  <c r="O81" i="3"/>
  <c r="AL81" i="3"/>
  <c r="V81" i="3"/>
  <c r="L313" i="1"/>
  <c r="L327" i="1"/>
  <c r="L326" i="1" s="1"/>
  <c r="F23" i="34"/>
  <c r="I38" i="5"/>
  <c r="I43" i="5" s="1"/>
  <c r="AB263" i="1"/>
  <c r="AJ263" i="1"/>
  <c r="AK263" i="1" s="1"/>
  <c r="AL263" i="1" s="1"/>
  <c r="AM263" i="1" s="1"/>
  <c r="AN263" i="1" s="1"/>
  <c r="AO263" i="1" s="1"/>
  <c r="T263" i="1"/>
  <c r="U263" i="1" s="1"/>
  <c r="V263" i="1" s="1"/>
  <c r="W263" i="1" s="1"/>
  <c r="X263" i="1" s="1"/>
  <c r="Y263" i="1" s="1"/>
  <c r="J34" i="1"/>
  <c r="J12" i="1"/>
  <c r="J48" i="1"/>
  <c r="J49" i="1" s="1"/>
  <c r="I34" i="1"/>
  <c r="I12" i="1"/>
  <c r="I48" i="1"/>
  <c r="I49" i="1" s="1"/>
  <c r="AG580" i="1"/>
  <c r="R580" i="1" s="1"/>
  <c r="Q580" i="1"/>
  <c r="AC80" i="1"/>
  <c r="M80" i="1"/>
  <c r="K688" i="1"/>
  <c r="K694" i="1"/>
  <c r="AO243" i="2"/>
  <c r="J38" i="5"/>
  <c r="J43" i="5" s="1"/>
  <c r="G23" i="34"/>
  <c r="I16" i="34"/>
  <c r="Q16" i="34" s="1"/>
  <c r="H694" i="1"/>
  <c r="H688" i="1"/>
  <c r="I686" i="2"/>
  <c r="I689" i="2" s="1"/>
  <c r="I50" i="2"/>
  <c r="I61" i="5"/>
  <c r="I745" i="2"/>
  <c r="R85" i="5"/>
  <c r="R215" i="5" s="1"/>
  <c r="N97" i="4"/>
  <c r="AD97" i="4"/>
  <c r="U97" i="4"/>
  <c r="V97" i="4" s="1"/>
  <c r="W97" i="4" s="1"/>
  <c r="X97" i="4" s="1"/>
  <c r="Y97" i="4" s="1"/>
  <c r="Z97" i="4" s="1"/>
  <c r="O709" i="1"/>
  <c r="AF455" i="1"/>
  <c r="P455" i="1"/>
  <c r="S85" i="3"/>
  <c r="S88" i="3" s="1"/>
  <c r="S87" i="3" s="1"/>
  <c r="S24" i="3" s="1"/>
  <c r="R88" i="3"/>
  <c r="R87" i="3" s="1"/>
  <c r="R24" i="3" s="1"/>
  <c r="O28" i="5"/>
  <c r="O628" i="2"/>
  <c r="O627" i="2" s="1"/>
  <c r="I17" i="34"/>
  <c r="Q17" i="34" s="1"/>
  <c r="L211" i="1"/>
  <c r="I29" i="34"/>
  <c r="Q29" i="34" s="1"/>
  <c r="L225" i="1"/>
  <c r="L224" i="1" s="1"/>
  <c r="T550" i="1"/>
  <c r="U550" i="1" s="1"/>
  <c r="V550" i="1" s="1"/>
  <c r="W550" i="1" s="1"/>
  <c r="X550" i="1" s="1"/>
  <c r="Y550" i="1" s="1"/>
  <c r="AJ550" i="1"/>
  <c r="AK550" i="1" s="1"/>
  <c r="AL550" i="1" s="1"/>
  <c r="AM550" i="1" s="1"/>
  <c r="AN550" i="1" s="1"/>
  <c r="AO550" i="1" s="1"/>
  <c r="AB550" i="1"/>
  <c r="L43" i="1"/>
  <c r="L37" i="1" s="1"/>
  <c r="L64" i="1"/>
  <c r="R759" i="2"/>
  <c r="Q762" i="2"/>
  <c r="J38" i="17"/>
  <c r="E6" i="32" s="1"/>
  <c r="J40" i="17"/>
  <c r="J36" i="17"/>
  <c r="O768" i="2"/>
  <c r="O459" i="1"/>
  <c r="AE459" i="1"/>
  <c r="P575" i="1"/>
  <c r="AF575" i="1"/>
  <c r="O593" i="1"/>
  <c r="AC332" i="1"/>
  <c r="M332" i="1"/>
  <c r="W635" i="2"/>
  <c r="AK458" i="2"/>
  <c r="AL458" i="2" s="1"/>
  <c r="AM458" i="2" s="1"/>
  <c r="AN458" i="2" s="1"/>
  <c r="AO458" i="2" s="1"/>
  <c r="AP458" i="2" s="1"/>
  <c r="N257" i="1"/>
  <c r="AD257" i="1"/>
  <c r="L707" i="1"/>
  <c r="K34" i="1"/>
  <c r="K12" i="1"/>
  <c r="K48" i="1"/>
  <c r="K49" i="1" s="1"/>
  <c r="AJ465" i="1"/>
  <c r="AK465" i="1" s="1"/>
  <c r="AL465" i="1" s="1"/>
  <c r="AM465" i="1" s="1"/>
  <c r="AN465" i="1" s="1"/>
  <c r="AO465" i="1" s="1"/>
  <c r="AB465" i="1"/>
  <c r="T465" i="1"/>
  <c r="U465" i="1" s="1"/>
  <c r="V465" i="1" s="1"/>
  <c r="W465" i="1" s="1"/>
  <c r="X465" i="1" s="1"/>
  <c r="Y465" i="1" s="1"/>
  <c r="AJ161" i="1"/>
  <c r="AK161" i="1" s="1"/>
  <c r="AL161" i="1" s="1"/>
  <c r="AM161" i="1" s="1"/>
  <c r="AN161" i="1" s="1"/>
  <c r="AO161" i="1" s="1"/>
  <c r="AB161" i="1"/>
  <c r="T161" i="1"/>
  <c r="U161" i="1" s="1"/>
  <c r="V161" i="1" s="1"/>
  <c r="W161" i="1" s="1"/>
  <c r="X161" i="1" s="1"/>
  <c r="Y161" i="1" s="1"/>
  <c r="I63" i="34"/>
  <c r="I41" i="17"/>
  <c r="F95" i="34" s="1"/>
  <c r="D5" i="32"/>
  <c r="F94" i="34"/>
  <c r="I9" i="22"/>
  <c r="I12" i="22" s="1"/>
  <c r="I7" i="34"/>
  <c r="Q7" i="34" s="1"/>
  <c r="AD282" i="1"/>
  <c r="N282" i="1"/>
  <c r="AE180" i="1"/>
  <c r="O180" i="1"/>
  <c r="H39" i="2"/>
  <c r="AD570" i="1"/>
  <c r="N570" i="1"/>
  <c r="L28" i="1"/>
  <c r="M105" i="1"/>
  <c r="AC105" i="1"/>
  <c r="AC484" i="1"/>
  <c r="M484" i="1"/>
  <c r="K39" i="2"/>
  <c r="M205" i="1"/>
  <c r="AC205" i="1"/>
  <c r="AL161" i="2"/>
  <c r="AL325" i="2"/>
  <c r="V325" i="2"/>
  <c r="P303" i="1"/>
  <c r="AF303" i="1"/>
  <c r="Q176" i="1"/>
  <c r="AG176" i="1"/>
  <c r="R176" i="1" s="1"/>
  <c r="L67" i="1"/>
  <c r="K36" i="4"/>
  <c r="K39" i="4"/>
  <c r="K110" i="4"/>
  <c r="K113" i="4" s="1"/>
  <c r="K171" i="4" s="1"/>
  <c r="K63" i="5"/>
  <c r="K74" i="5" s="1"/>
  <c r="H89" i="34" s="1"/>
  <c r="H40" i="17"/>
  <c r="H36" i="17"/>
  <c r="H38" i="17"/>
  <c r="C6" i="32" s="1"/>
  <c r="AD130" i="1"/>
  <c r="N130" i="1"/>
  <c r="AJ111" i="1"/>
  <c r="AK111" i="1" s="1"/>
  <c r="AL111" i="1" s="1"/>
  <c r="AM111" i="1" s="1"/>
  <c r="AN111" i="1" s="1"/>
  <c r="AO111" i="1" s="1"/>
  <c r="AB111" i="1"/>
  <c r="T111" i="1"/>
  <c r="U111" i="1" s="1"/>
  <c r="V111" i="1" s="1"/>
  <c r="W111" i="1" s="1"/>
  <c r="X111" i="1" s="1"/>
  <c r="Y111" i="1" s="1"/>
  <c r="AG328" i="1" l="1"/>
  <c r="R328" i="1" s="1"/>
  <c r="L80" i="37"/>
  <c r="AE969" i="36" s="1"/>
  <c r="P969" i="36" s="1"/>
  <c r="N740" i="36"/>
  <c r="L55" i="37"/>
  <c r="AC960" i="36"/>
  <c r="N960" i="36" s="1"/>
  <c r="N965" i="36" s="1"/>
  <c r="K51" i="34" s="1"/>
  <c r="N959" i="36"/>
  <c r="AD959" i="36"/>
  <c r="P157" i="38"/>
  <c r="P150" i="38" s="1"/>
  <c r="O99" i="24" s="1"/>
  <c r="L14" i="40"/>
  <c r="Q221" i="38"/>
  <c r="N777" i="36"/>
  <c r="N780" i="36" s="1"/>
  <c r="N781" i="36" s="1"/>
  <c r="AK863" i="36"/>
  <c r="AL863" i="36" s="1"/>
  <c r="AM863" i="36" s="1"/>
  <c r="AN863" i="36" s="1"/>
  <c r="AO863" i="36" s="1"/>
  <c r="AP863" i="36" s="1"/>
  <c r="U863" i="36"/>
  <c r="V863" i="36" s="1"/>
  <c r="W863" i="36" s="1"/>
  <c r="X863" i="36" s="1"/>
  <c r="Y863" i="36" s="1"/>
  <c r="Z863" i="36" s="1"/>
  <c r="AK577" i="36"/>
  <c r="AL577" i="36" s="1"/>
  <c r="AM577" i="36" s="1"/>
  <c r="AN577" i="36" s="1"/>
  <c r="AO577" i="36" s="1"/>
  <c r="AP577" i="36" s="1"/>
  <c r="U577" i="36"/>
  <c r="V577" i="36" s="1"/>
  <c r="W577" i="36" s="1"/>
  <c r="X577" i="36" s="1"/>
  <c r="Y577" i="36" s="1"/>
  <c r="Z577" i="36" s="1"/>
  <c r="O725" i="36"/>
  <c r="L40" i="34"/>
  <c r="O764" i="36"/>
  <c r="L41" i="34"/>
  <c r="Q201" i="1"/>
  <c r="AJ288" i="1"/>
  <c r="AK288" i="1" s="1"/>
  <c r="AL288" i="1" s="1"/>
  <c r="AM288" i="1" s="1"/>
  <c r="AN288" i="1" s="1"/>
  <c r="AO288" i="1" s="1"/>
  <c r="J51" i="36"/>
  <c r="G75" i="34" s="1"/>
  <c r="H31" i="42"/>
  <c r="H54" i="42" s="1"/>
  <c r="I51" i="36"/>
  <c r="F75" i="34" s="1"/>
  <c r="G31" i="42"/>
  <c r="G54" i="42" s="1"/>
  <c r="K18" i="5"/>
  <c r="K234" i="5" s="1"/>
  <c r="K1034" i="36"/>
  <c r="K51" i="36"/>
  <c r="H75" i="34" s="1"/>
  <c r="I31" i="42"/>
  <c r="I54" i="42" s="1"/>
  <c r="H51" i="36"/>
  <c r="E75" i="34" s="1"/>
  <c r="F31" i="42"/>
  <c r="F54" i="42" s="1"/>
  <c r="N195" i="36"/>
  <c r="L35" i="42"/>
  <c r="L58" i="42" s="1"/>
  <c r="N495" i="36"/>
  <c r="K82" i="34" s="1"/>
  <c r="L43" i="42"/>
  <c r="H18" i="5"/>
  <c r="H22" i="5" s="1"/>
  <c r="H56" i="5" s="1"/>
  <c r="H57" i="5" s="1"/>
  <c r="H1034" i="36"/>
  <c r="I199" i="24"/>
  <c r="I1034" i="36"/>
  <c r="L24" i="34"/>
  <c r="M6" i="42"/>
  <c r="P38" i="25"/>
  <c r="P55" i="25"/>
  <c r="N73" i="4"/>
  <c r="N79" i="4" s="1"/>
  <c r="N86" i="4" s="1"/>
  <c r="N85" i="4" s="1"/>
  <c r="AJ440" i="1"/>
  <c r="AK440" i="1" s="1"/>
  <c r="AL440" i="1" s="1"/>
  <c r="AM440" i="1" s="1"/>
  <c r="AN440" i="1" s="1"/>
  <c r="AO440" i="1" s="1"/>
  <c r="AB440" i="1"/>
  <c r="AC440" i="1" s="1"/>
  <c r="Q134" i="38"/>
  <c r="M12" i="40" s="1"/>
  <c r="L8" i="40"/>
  <c r="L56" i="37"/>
  <c r="L53" i="37"/>
  <c r="L57" i="37"/>
  <c r="AC186" i="1"/>
  <c r="AD186" i="1" s="1"/>
  <c r="AE67" i="4"/>
  <c r="AF67" i="4" s="1"/>
  <c r="L403" i="1"/>
  <c r="L404" i="1" s="1"/>
  <c r="L405" i="1" s="1"/>
  <c r="N544" i="1"/>
  <c r="I78" i="41"/>
  <c r="I80" i="41" s="1"/>
  <c r="I51" i="41"/>
  <c r="I53" i="41" s="1"/>
  <c r="I69" i="41"/>
  <c r="I71" i="41" s="1"/>
  <c r="I60" i="41"/>
  <c r="I62" i="41" s="1"/>
  <c r="H69" i="41"/>
  <c r="H78" i="41"/>
  <c r="H60" i="41"/>
  <c r="H51" i="41"/>
  <c r="O218" i="36"/>
  <c r="AE218" i="36"/>
  <c r="O219" i="36"/>
  <c r="AE219" i="36"/>
  <c r="AB288" i="1"/>
  <c r="AC288" i="1" s="1"/>
  <c r="W65" i="3"/>
  <c r="AM65" i="3"/>
  <c r="AE221" i="36"/>
  <c r="O221" i="36"/>
  <c r="Q188" i="38"/>
  <c r="M13" i="40" s="1"/>
  <c r="L1" i="37"/>
  <c r="M49" i="34"/>
  <c r="M48" i="34"/>
  <c r="O220" i="36"/>
  <c r="AE220" i="36"/>
  <c r="AC136" i="1"/>
  <c r="N136" i="1" s="1"/>
  <c r="N142" i="1" s="1"/>
  <c r="N150" i="1" s="1"/>
  <c r="N149" i="1" s="1"/>
  <c r="AD509" i="1"/>
  <c r="N509" i="1"/>
  <c r="M293" i="36"/>
  <c r="L507" i="36"/>
  <c r="P694" i="36"/>
  <c r="M309" i="36"/>
  <c r="U277" i="36"/>
  <c r="V277" i="36" s="1"/>
  <c r="W277" i="36" s="1"/>
  <c r="X277" i="36" s="1"/>
  <c r="Y277" i="36" s="1"/>
  <c r="Z277" i="36" s="1"/>
  <c r="L292" i="36"/>
  <c r="L309" i="36"/>
  <c r="L310" i="36" s="1"/>
  <c r="M291" i="36"/>
  <c r="L283" i="36"/>
  <c r="M295" i="36"/>
  <c r="L290" i="36"/>
  <c r="AF980" i="36"/>
  <c r="P980" i="36"/>
  <c r="M294" i="36"/>
  <c r="AK277" i="36"/>
  <c r="AL277" i="36" s="1"/>
  <c r="AM277" i="36" s="1"/>
  <c r="AN277" i="36" s="1"/>
  <c r="AO277" i="36" s="1"/>
  <c r="AP277" i="36" s="1"/>
  <c r="Q907" i="36"/>
  <c r="Q906" i="36" s="1"/>
  <c r="Q905" i="36" s="1"/>
  <c r="M289" i="36"/>
  <c r="L87" i="34"/>
  <c r="O979" i="36"/>
  <c r="O978" i="36" s="1"/>
  <c r="L294" i="36"/>
  <c r="L289" i="36"/>
  <c r="L291" i="36"/>
  <c r="L295" i="36"/>
  <c r="U295" i="36" s="1"/>
  <c r="V295" i="36" s="1"/>
  <c r="W295" i="36" s="1"/>
  <c r="X295" i="36" s="1"/>
  <c r="Y295" i="36" s="1"/>
  <c r="Z295" i="36" s="1"/>
  <c r="M290" i="36"/>
  <c r="N152" i="36"/>
  <c r="N155" i="36" s="1"/>
  <c r="N676" i="36"/>
  <c r="O178" i="36"/>
  <c r="L26" i="34"/>
  <c r="O661" i="36"/>
  <c r="L39" i="34"/>
  <c r="N193" i="36"/>
  <c r="AD115" i="36"/>
  <c r="O115" i="36" s="1"/>
  <c r="O114" i="36" s="1"/>
  <c r="K95" i="37"/>
  <c r="K98" i="37"/>
  <c r="L45" i="37"/>
  <c r="M57" i="37"/>
  <c r="L37" i="37"/>
  <c r="M41" i="37"/>
  <c r="M39" i="37"/>
  <c r="O139" i="36"/>
  <c r="L25" i="34"/>
  <c r="S264" i="38"/>
  <c r="R149" i="24" s="1"/>
  <c r="T266" i="38"/>
  <c r="T264" i="38" s="1"/>
  <c r="S149" i="24" s="1"/>
  <c r="S41" i="24" s="1"/>
  <c r="L320" i="36"/>
  <c r="S280" i="38"/>
  <c r="T278" i="38"/>
  <c r="T280" i="38" s="1"/>
  <c r="S119" i="38"/>
  <c r="O48" i="40"/>
  <c r="T67" i="38"/>
  <c r="P22" i="40" s="1"/>
  <c r="P20" i="40"/>
  <c r="N568" i="2"/>
  <c r="N336" i="2" s="1"/>
  <c r="R277" i="24"/>
  <c r="O277" i="24"/>
  <c r="S277" i="24"/>
  <c r="N277" i="24"/>
  <c r="N267" i="24" s="1"/>
  <c r="N268" i="24" s="1"/>
  <c r="N34" i="24" s="1"/>
  <c r="Q277" i="24"/>
  <c r="P277" i="24"/>
  <c r="N232" i="24"/>
  <c r="P232" i="24"/>
  <c r="S232" i="24"/>
  <c r="R232" i="24"/>
  <c r="Q232" i="24"/>
  <c r="O232" i="24"/>
  <c r="N567" i="2"/>
  <c r="N335" i="2" s="1"/>
  <c r="S80" i="38"/>
  <c r="O27" i="40"/>
  <c r="L322" i="36"/>
  <c r="J78" i="40"/>
  <c r="N566" i="2"/>
  <c r="Q50" i="25"/>
  <c r="N33" i="3"/>
  <c r="N45" i="3" s="1"/>
  <c r="N54" i="3" s="1"/>
  <c r="N15" i="3" s="1"/>
  <c r="AD33" i="3"/>
  <c r="J69" i="40"/>
  <c r="AD954" i="36"/>
  <c r="N954" i="36"/>
  <c r="L509" i="36"/>
  <c r="J60" i="40"/>
  <c r="S227" i="38"/>
  <c r="R124" i="24" s="1"/>
  <c r="T229" i="38"/>
  <c r="T227" i="38" s="1"/>
  <c r="S124" i="24" s="1"/>
  <c r="N565" i="2"/>
  <c r="S292" i="38"/>
  <c r="T290" i="38"/>
  <c r="T292" i="38" s="1"/>
  <c r="P61" i="19"/>
  <c r="P69" i="19" s="1"/>
  <c r="O69" i="19"/>
  <c r="O70" i="19" s="1"/>
  <c r="S241" i="38"/>
  <c r="T239" i="38"/>
  <c r="T241" i="38" s="1"/>
  <c r="S304" i="38"/>
  <c r="T302" i="38"/>
  <c r="T304" i="38" s="1"/>
  <c r="L20" i="5"/>
  <c r="L159" i="5" s="1"/>
  <c r="L164" i="5" s="1"/>
  <c r="N164" i="5" s="1"/>
  <c r="O164" i="5" s="1"/>
  <c r="P164" i="5" s="1"/>
  <c r="Q164" i="5" s="1"/>
  <c r="R164" i="5" s="1"/>
  <c r="S164" i="5" s="1"/>
  <c r="L97" i="3"/>
  <c r="AK97" i="3" s="1"/>
  <c r="L102" i="3"/>
  <c r="N102" i="3" s="1"/>
  <c r="O102" i="3" s="1"/>
  <c r="P102" i="3" s="1"/>
  <c r="Q102" i="3" s="1"/>
  <c r="R102" i="3" s="1"/>
  <c r="S102" i="3" s="1"/>
  <c r="L95" i="3"/>
  <c r="AK95" i="3" s="1"/>
  <c r="L74" i="1"/>
  <c r="L75" i="1" s="1"/>
  <c r="L76" i="1" s="1"/>
  <c r="Q33" i="25"/>
  <c r="J87" i="40"/>
  <c r="R1005" i="36"/>
  <c r="L47" i="37"/>
  <c r="S138" i="24"/>
  <c r="N138" i="24"/>
  <c r="Q138" i="24"/>
  <c r="P138" i="24"/>
  <c r="R138" i="24"/>
  <c r="O138" i="24"/>
  <c r="E255" i="24"/>
  <c r="L243" i="24"/>
  <c r="L244" i="24" s="1"/>
  <c r="S253" i="38"/>
  <c r="T251" i="38"/>
  <c r="T253" i="38" s="1"/>
  <c r="L52" i="34"/>
  <c r="J217" i="5"/>
  <c r="J9" i="22"/>
  <c r="J12" i="22" s="1"/>
  <c r="K217" i="5"/>
  <c r="K9" i="22"/>
  <c r="K12" i="22" s="1"/>
  <c r="P117" i="5"/>
  <c r="P116" i="5"/>
  <c r="P192" i="5"/>
  <c r="R7" i="4"/>
  <c r="S11" i="5"/>
  <c r="Q202" i="38"/>
  <c r="Q216" i="38"/>
  <c r="Q174" i="38"/>
  <c r="P41" i="5"/>
  <c r="J18" i="5"/>
  <c r="J75" i="24"/>
  <c r="I18" i="5"/>
  <c r="I75" i="24"/>
  <c r="J199" i="24"/>
  <c r="L27" i="3"/>
  <c r="L23" i="3"/>
  <c r="L119" i="3"/>
  <c r="L150" i="24"/>
  <c r="L266" i="24"/>
  <c r="L335" i="2"/>
  <c r="L14" i="2" s="1"/>
  <c r="L334" i="2"/>
  <c r="L13" i="2" s="1"/>
  <c r="L336" i="2"/>
  <c r="L15" i="2" s="1"/>
  <c r="O527" i="2"/>
  <c r="N551" i="2"/>
  <c r="N524" i="2"/>
  <c r="N550" i="2"/>
  <c r="O526" i="2"/>
  <c r="O523" i="2"/>
  <c r="N547" i="2"/>
  <c r="N549" i="2"/>
  <c r="O525" i="2"/>
  <c r="L530" i="2"/>
  <c r="M345" i="2"/>
  <c r="M24" i="2" s="1"/>
  <c r="K60" i="41" s="1"/>
  <c r="O487" i="2"/>
  <c r="N446" i="2"/>
  <c r="N405" i="2"/>
  <c r="M335" i="2"/>
  <c r="O389" i="2"/>
  <c r="P389" i="2" s="1"/>
  <c r="Q389" i="2" s="1"/>
  <c r="R389" i="2" s="1"/>
  <c r="S389" i="2" s="1"/>
  <c r="N390" i="2"/>
  <c r="N394" i="2" s="1"/>
  <c r="N395" i="2" s="1"/>
  <c r="K67" i="34" s="1"/>
  <c r="L300" i="2"/>
  <c r="L322" i="2"/>
  <c r="M333" i="2"/>
  <c r="L303" i="2"/>
  <c r="N317" i="2"/>
  <c r="N73" i="2" s="1"/>
  <c r="O293" i="2"/>
  <c r="N61" i="2"/>
  <c r="L305" i="2"/>
  <c r="N313" i="2"/>
  <c r="N69" i="2" s="1"/>
  <c r="O289" i="2"/>
  <c r="N288" i="2"/>
  <c r="N302" i="2" s="1"/>
  <c r="N57" i="2"/>
  <c r="L301" i="2"/>
  <c r="N316" i="2"/>
  <c r="N72" i="2" s="1"/>
  <c r="O292" i="2"/>
  <c r="N60" i="2"/>
  <c r="L304" i="2"/>
  <c r="AH309" i="2"/>
  <c r="S309" i="2" s="1"/>
  <c r="O291" i="2"/>
  <c r="N315" i="2"/>
  <c r="N59" i="2"/>
  <c r="O290" i="2"/>
  <c r="N314" i="2"/>
  <c r="N70" i="2" s="1"/>
  <c r="N58" i="2"/>
  <c r="L302" i="2"/>
  <c r="M58" i="2"/>
  <c r="M64" i="2" s="1"/>
  <c r="M59" i="2"/>
  <c r="M65" i="2" s="1"/>
  <c r="M60" i="2"/>
  <c r="M66" i="2" s="1"/>
  <c r="M61" i="2"/>
  <c r="M67" i="2" s="1"/>
  <c r="AK224" i="2"/>
  <c r="AL224" i="2" s="1"/>
  <c r="AM224" i="2" s="1"/>
  <c r="AN224" i="2" s="1"/>
  <c r="AO224" i="2" s="1"/>
  <c r="AP224" i="2" s="1"/>
  <c r="U224" i="2"/>
  <c r="V224" i="2" s="1"/>
  <c r="W224" i="2" s="1"/>
  <c r="X224" i="2" s="1"/>
  <c r="Y224" i="2" s="1"/>
  <c r="Z224" i="2" s="1"/>
  <c r="N253" i="2"/>
  <c r="O212" i="2"/>
  <c r="N212" i="2"/>
  <c r="P73" i="34"/>
  <c r="R73" i="34" s="1"/>
  <c r="M346" i="2"/>
  <c r="M25" i="2" s="1"/>
  <c r="K69" i="41" s="1"/>
  <c r="N171" i="2"/>
  <c r="M334" i="2"/>
  <c r="AN518" i="2"/>
  <c r="X518" i="2"/>
  <c r="M348" i="2"/>
  <c r="M27" i="2" s="1"/>
  <c r="M344" i="2"/>
  <c r="M23" i="2" s="1"/>
  <c r="K51" i="41" s="1"/>
  <c r="M563" i="2"/>
  <c r="M576" i="2" s="1"/>
  <c r="M336" i="2"/>
  <c r="M288" i="2"/>
  <c r="M57" i="2"/>
  <c r="M63" i="2" s="1"/>
  <c r="Z629" i="2"/>
  <c r="M522" i="2"/>
  <c r="M332" i="2"/>
  <c r="M347" i="2"/>
  <c r="L348" i="2"/>
  <c r="AK101" i="2"/>
  <c r="AL101" i="2" s="1"/>
  <c r="AM101" i="2" s="1"/>
  <c r="AN101" i="2" s="1"/>
  <c r="AO101" i="2" s="1"/>
  <c r="AP101" i="2" s="1"/>
  <c r="U101" i="2"/>
  <c r="V101" i="2" s="1"/>
  <c r="W101" i="2" s="1"/>
  <c r="X101" i="2" s="1"/>
  <c r="Y101" i="2" s="1"/>
  <c r="Z101" i="2" s="1"/>
  <c r="Q766" i="2"/>
  <c r="O89" i="2"/>
  <c r="O88" i="24"/>
  <c r="Q88" i="24"/>
  <c r="P88" i="24"/>
  <c r="R88" i="24"/>
  <c r="N88" i="24"/>
  <c r="S88" i="24"/>
  <c r="L333" i="2"/>
  <c r="L12" i="2" s="1"/>
  <c r="L346" i="2"/>
  <c r="L345" i="2"/>
  <c r="L347" i="2"/>
  <c r="Q191" i="5"/>
  <c r="L564" i="2"/>
  <c r="L344" i="2"/>
  <c r="L522" i="2"/>
  <c r="L556" i="2" s="1"/>
  <c r="L557" i="2" s="1"/>
  <c r="L306" i="2"/>
  <c r="U306" i="2" s="1"/>
  <c r="V306" i="2" s="1"/>
  <c r="W306" i="2" s="1"/>
  <c r="X306" i="2" s="1"/>
  <c r="Y306" i="2" s="1"/>
  <c r="Z306" i="2" s="1"/>
  <c r="L56" i="2"/>
  <c r="U288" i="2"/>
  <c r="V288" i="2" s="1"/>
  <c r="W288" i="2" s="1"/>
  <c r="X288" i="2" s="1"/>
  <c r="Y288" i="2" s="1"/>
  <c r="Z288" i="2" s="1"/>
  <c r="AK288" i="2"/>
  <c r="AL288" i="2" s="1"/>
  <c r="AM288" i="2" s="1"/>
  <c r="AN288" i="2" s="1"/>
  <c r="AO288" i="2" s="1"/>
  <c r="AP288" i="2" s="1"/>
  <c r="R85" i="36"/>
  <c r="R109" i="36" s="1"/>
  <c r="N277" i="36"/>
  <c r="N294" i="36" s="1"/>
  <c r="O280" i="36"/>
  <c r="P280" i="36" s="1"/>
  <c r="M574" i="1"/>
  <c r="M573" i="1" s="1"/>
  <c r="L198" i="24"/>
  <c r="E210" i="24"/>
  <c r="I105" i="3"/>
  <c r="AN395" i="2"/>
  <c r="M40" i="37"/>
  <c r="P752" i="36"/>
  <c r="R142" i="36"/>
  <c r="P758" i="36"/>
  <c r="M929" i="36"/>
  <c r="P760" i="36"/>
  <c r="O282" i="36"/>
  <c r="N306" i="36"/>
  <c r="N452" i="36"/>
  <c r="N455" i="36" s="1"/>
  <c r="O279" i="36"/>
  <c r="N303" i="36"/>
  <c r="N493" i="36"/>
  <c r="N374" i="36"/>
  <c r="N377" i="36" s="1"/>
  <c r="M253" i="36"/>
  <c r="M926" i="36"/>
  <c r="S1048" i="36"/>
  <c r="N413" i="36"/>
  <c r="N416" i="36" s="1"/>
  <c r="O439" i="36"/>
  <c r="L33" i="34"/>
  <c r="P177" i="36"/>
  <c r="O478" i="36"/>
  <c r="L34" i="34"/>
  <c r="O361" i="36"/>
  <c r="L31" i="34"/>
  <c r="O400" i="36"/>
  <c r="L32" i="34"/>
  <c r="P175" i="36"/>
  <c r="P37" i="5"/>
  <c r="Q86" i="38"/>
  <c r="M9" i="40" s="1"/>
  <c r="Q112" i="38"/>
  <c r="Q125" i="38"/>
  <c r="M11" i="40" s="1"/>
  <c r="Q73" i="38"/>
  <c r="I17" i="22"/>
  <c r="P166" i="36"/>
  <c r="P172" i="36"/>
  <c r="P174" i="36"/>
  <c r="P176" i="36"/>
  <c r="S28" i="38"/>
  <c r="S20" i="38" s="1"/>
  <c r="O6" i="40" s="1"/>
  <c r="R20" i="38"/>
  <c r="N6" i="40" s="1"/>
  <c r="L254" i="36"/>
  <c r="Q932" i="36"/>
  <c r="AG932" i="36"/>
  <c r="P759" i="36"/>
  <c r="R240" i="36"/>
  <c r="S240" i="36" s="1"/>
  <c r="Q482" i="36"/>
  <c r="Q488" i="36" s="1"/>
  <c r="AG482" i="36"/>
  <c r="Q369" i="36"/>
  <c r="AG931" i="36"/>
  <c r="Q931" i="36"/>
  <c r="P761" i="36"/>
  <c r="L794" i="36"/>
  <c r="L621" i="36"/>
  <c r="R298" i="38"/>
  <c r="S296" i="38"/>
  <c r="R310" i="38"/>
  <c r="S308" i="38"/>
  <c r="S257" i="38"/>
  <c r="R259" i="38"/>
  <c r="P770" i="36"/>
  <c r="P762" i="36"/>
  <c r="P477" i="36"/>
  <c r="AD493" i="36"/>
  <c r="O493" i="36" s="1"/>
  <c r="O492" i="36" s="1"/>
  <c r="O491" i="36" s="1"/>
  <c r="O494" i="36" s="1"/>
  <c r="P397" i="36"/>
  <c r="Q485" i="36"/>
  <c r="AD779" i="36"/>
  <c r="O779" i="36" s="1"/>
  <c r="O778" i="36" s="1"/>
  <c r="O777" i="36" s="1"/>
  <c r="O780" i="36" s="1"/>
  <c r="O781" i="36" s="1"/>
  <c r="P98" i="36"/>
  <c r="AD154" i="36"/>
  <c r="O154" i="36" s="1"/>
  <c r="O153" i="36" s="1"/>
  <c r="O152" i="36" s="1"/>
  <c r="O155" i="36" s="1"/>
  <c r="Q450" i="36"/>
  <c r="P438" i="36"/>
  <c r="AD454" i="36"/>
  <c r="O454" i="36" s="1"/>
  <c r="O453" i="36" s="1"/>
  <c r="O452" i="36" s="1"/>
  <c r="O455" i="36" s="1"/>
  <c r="P357" i="36"/>
  <c r="P660" i="36"/>
  <c r="P473" i="36"/>
  <c r="Q746" i="36"/>
  <c r="Q763" i="36" s="1"/>
  <c r="P659" i="36"/>
  <c r="P95" i="36"/>
  <c r="P667" i="36"/>
  <c r="P437" i="36"/>
  <c r="AD376" i="36"/>
  <c r="O376" i="36" s="1"/>
  <c r="O375" i="36" s="1"/>
  <c r="O374" i="36" s="1"/>
  <c r="P356" i="36"/>
  <c r="P476" i="36"/>
  <c r="P484" i="36"/>
  <c r="N16" i="42" s="1"/>
  <c r="P434" i="36"/>
  <c r="P657" i="36"/>
  <c r="P656" i="36"/>
  <c r="P184" i="36"/>
  <c r="N8" i="42" s="1"/>
  <c r="AG297" i="36"/>
  <c r="Q297" i="36"/>
  <c r="R84" i="36"/>
  <c r="Q108" i="36"/>
  <c r="N677" i="36"/>
  <c r="N678" i="36" s="1"/>
  <c r="R165" i="36"/>
  <c r="Q189" i="36"/>
  <c r="J1136" i="36"/>
  <c r="J1027" i="36"/>
  <c r="J1134" i="36"/>
  <c r="J1015" i="36"/>
  <c r="J1013" i="36"/>
  <c r="J1106" i="36"/>
  <c r="J1118" i="36" s="1"/>
  <c r="J1130" i="36" s="1"/>
  <c r="J1062" i="36"/>
  <c r="J1017" i="36"/>
  <c r="J1045" i="36"/>
  <c r="J1039" i="36"/>
  <c r="J1025" i="36"/>
  <c r="J997" i="36"/>
  <c r="J1041" i="36"/>
  <c r="J1003" i="36"/>
  <c r="J1029" i="36"/>
  <c r="J1023" i="36"/>
  <c r="J1138" i="36"/>
  <c r="J1001" i="36"/>
  <c r="J999" i="36"/>
  <c r="J1037" i="36"/>
  <c r="J1021" i="36"/>
  <c r="J1011" i="36"/>
  <c r="J1043" i="36"/>
  <c r="J1009" i="36"/>
  <c r="J995" i="36"/>
  <c r="J1005" i="36"/>
  <c r="J1007" i="36"/>
  <c r="J23" i="36"/>
  <c r="J62" i="5" s="1"/>
  <c r="J19" i="36"/>
  <c r="J13" i="36"/>
  <c r="J1148" i="36"/>
  <c r="J1031" i="36"/>
  <c r="J1019" i="36"/>
  <c r="J1131" i="36"/>
  <c r="J1085" i="36"/>
  <c r="J1101" i="36"/>
  <c r="P355" i="36"/>
  <c r="P349" i="36"/>
  <c r="P359" i="36"/>
  <c r="P358" i="36"/>
  <c r="AK912" i="36"/>
  <c r="AL912" i="36" s="1"/>
  <c r="AM912" i="36" s="1"/>
  <c r="AN912" i="36" s="1"/>
  <c r="AO912" i="36" s="1"/>
  <c r="AP912" i="36" s="1"/>
  <c r="L944" i="36"/>
  <c r="L945" i="36" s="1"/>
  <c r="U912" i="36"/>
  <c r="V912" i="36" s="1"/>
  <c r="W912" i="36" s="1"/>
  <c r="X912" i="36" s="1"/>
  <c r="Y912" i="36" s="1"/>
  <c r="Z912" i="36" s="1"/>
  <c r="L930" i="36"/>
  <c r="L918" i="36"/>
  <c r="L924" i="36"/>
  <c r="S1041" i="36"/>
  <c r="L926" i="36"/>
  <c r="L927" i="36"/>
  <c r="Q121" i="36"/>
  <c r="Q135" i="36" s="1"/>
  <c r="R122" i="36"/>
  <c r="Q107" i="36"/>
  <c r="R83" i="36"/>
  <c r="Q82" i="36"/>
  <c r="Q98" i="36" s="1"/>
  <c r="R383" i="36"/>
  <c r="Q382" i="36"/>
  <c r="Q398" i="36" s="1"/>
  <c r="Q407" i="36"/>
  <c r="P731" i="36"/>
  <c r="R87" i="36"/>
  <c r="Q111" i="36"/>
  <c r="Q298" i="36"/>
  <c r="AG298" i="36"/>
  <c r="Q460" i="36"/>
  <c r="Q473" i="36" s="1"/>
  <c r="R461" i="36"/>
  <c r="Q368" i="36"/>
  <c r="R344" i="36"/>
  <c r="Q343" i="36"/>
  <c r="Q357" i="36" s="1"/>
  <c r="N912" i="36"/>
  <c r="N926" i="36" s="1"/>
  <c r="O913" i="36"/>
  <c r="N937" i="36"/>
  <c r="O14" i="37"/>
  <c r="P281" i="36"/>
  <c r="P305" i="36" s="1"/>
  <c r="O914" i="36"/>
  <c r="N938" i="36"/>
  <c r="S423" i="36"/>
  <c r="R447" i="36"/>
  <c r="P145" i="36"/>
  <c r="N7" i="42" s="1"/>
  <c r="AG483" i="36"/>
  <c r="Q483" i="36"/>
  <c r="Q489" i="36" s="1"/>
  <c r="P106" i="36"/>
  <c r="AH976" i="36"/>
  <c r="S976" i="36" s="1"/>
  <c r="R976" i="36"/>
  <c r="R975" i="36" s="1"/>
  <c r="P394" i="36"/>
  <c r="P388" i="36"/>
  <c r="P396" i="36"/>
  <c r="P399" i="36"/>
  <c r="O242" i="36"/>
  <c r="N266" i="36"/>
  <c r="R646" i="36"/>
  <c r="Q670" i="36"/>
  <c r="AG365" i="36"/>
  <c r="Q365" i="36"/>
  <c r="Q371" i="36" s="1"/>
  <c r="R444" i="36"/>
  <c r="AH444" i="36"/>
  <c r="S444" i="36" s="1"/>
  <c r="R385" i="36"/>
  <c r="AG182" i="36"/>
  <c r="Q182" i="36"/>
  <c r="Q188" i="36" s="1"/>
  <c r="AD193" i="36"/>
  <c r="O193" i="36" s="1"/>
  <c r="O192" i="36" s="1"/>
  <c r="R345" i="36"/>
  <c r="R125" i="36"/>
  <c r="Q259" i="36"/>
  <c r="AG259" i="36"/>
  <c r="P136" i="36"/>
  <c r="M55" i="37"/>
  <c r="S1039" i="36"/>
  <c r="Q263" i="36"/>
  <c r="R239" i="36"/>
  <c r="P655" i="36"/>
  <c r="P649" i="36"/>
  <c r="S1142" i="36"/>
  <c r="M54" i="37"/>
  <c r="R1001" i="36"/>
  <c r="AH1001" i="36"/>
  <c r="S1001" i="36" s="1"/>
  <c r="R464" i="36"/>
  <c r="R126" i="36"/>
  <c r="L33" i="37"/>
  <c r="L60" i="37"/>
  <c r="L87" i="37"/>
  <c r="L34" i="37"/>
  <c r="L36" i="37"/>
  <c r="N24" i="37"/>
  <c r="M21" i="37"/>
  <c r="O37" i="41" s="1"/>
  <c r="O30" i="37"/>
  <c r="M928" i="36"/>
  <c r="S347" i="36"/>
  <c r="AG181" i="36"/>
  <c r="Q181" i="36"/>
  <c r="Q187" i="36" s="1"/>
  <c r="L92" i="37"/>
  <c r="L100" i="37" s="1"/>
  <c r="M255" i="36"/>
  <c r="M256" i="36"/>
  <c r="M252" i="36"/>
  <c r="M250" i="36"/>
  <c r="M270" i="36"/>
  <c r="M251" i="36"/>
  <c r="L48" i="37"/>
  <c r="L90" i="37"/>
  <c r="L75" i="37"/>
  <c r="L49" i="37"/>
  <c r="L52" i="37"/>
  <c r="L50" i="37"/>
  <c r="R426" i="36"/>
  <c r="R124" i="36"/>
  <c r="Q148" i="36"/>
  <c r="S747" i="36"/>
  <c r="R771" i="36"/>
  <c r="L89" i="37"/>
  <c r="L97" i="37" s="1"/>
  <c r="L70" i="37"/>
  <c r="L46" i="37"/>
  <c r="L43" i="37"/>
  <c r="N10" i="37"/>
  <c r="P138" i="36"/>
  <c r="N8" i="37"/>
  <c r="M6" i="37"/>
  <c r="O10" i="41" s="1"/>
  <c r="R179" i="36"/>
  <c r="R185" i="36" s="1"/>
  <c r="AH179" i="36"/>
  <c r="S179" i="36" s="1"/>
  <c r="L51" i="37"/>
  <c r="Q180" i="36"/>
  <c r="Q186" i="36" s="1"/>
  <c r="AG180" i="36"/>
  <c r="N11" i="37"/>
  <c r="P19" i="41" s="1"/>
  <c r="O12" i="37"/>
  <c r="R907" i="36"/>
  <c r="AH907" i="36"/>
  <c r="S907" i="36" s="1"/>
  <c r="Q934" i="36"/>
  <c r="AG934" i="36"/>
  <c r="R465" i="36"/>
  <c r="M61" i="36"/>
  <c r="M34" i="36" s="1"/>
  <c r="R985" i="36"/>
  <c r="AH985" i="36"/>
  <c r="S985" i="36" s="1"/>
  <c r="AG404" i="36"/>
  <c r="Q404" i="36"/>
  <c r="Q410" i="36" s="1"/>
  <c r="P134" i="36"/>
  <c r="R648" i="36"/>
  <c r="Q672" i="36"/>
  <c r="AG144" i="36"/>
  <c r="Q144" i="36"/>
  <c r="Q150" i="36" s="1"/>
  <c r="N620" i="36"/>
  <c r="Q449" i="36"/>
  <c r="R425" i="36"/>
  <c r="I1138" i="36"/>
  <c r="I1136" i="36"/>
  <c r="I1027" i="36"/>
  <c r="I1134" i="36"/>
  <c r="I1015" i="36"/>
  <c r="I1013" i="36"/>
  <c r="I1106" i="36"/>
  <c r="I1118" i="36" s="1"/>
  <c r="I1130" i="36" s="1"/>
  <c r="I1045" i="36"/>
  <c r="I1009" i="36"/>
  <c r="I999" i="36"/>
  <c r="I1062" i="36"/>
  <c r="I1017" i="36"/>
  <c r="I1039" i="36"/>
  <c r="I1085" i="36"/>
  <c r="I1005" i="36"/>
  <c r="I1025" i="36"/>
  <c r="I997" i="36"/>
  <c r="I1041" i="36"/>
  <c r="I1003" i="36"/>
  <c r="I1029" i="36"/>
  <c r="I1023" i="36"/>
  <c r="I995" i="36"/>
  <c r="I1001" i="36"/>
  <c r="I1037" i="36"/>
  <c r="I1021" i="36"/>
  <c r="I1011" i="36"/>
  <c r="I1043" i="36"/>
  <c r="I13" i="36"/>
  <c r="I19" i="36"/>
  <c r="I23" i="36"/>
  <c r="I62" i="5" s="1"/>
  <c r="I1031" i="36"/>
  <c r="I1131" i="36"/>
  <c r="I1019" i="36"/>
  <c r="I1007" i="36"/>
  <c r="I1148" i="36"/>
  <c r="I1101" i="36"/>
  <c r="N17" i="37"/>
  <c r="M16" i="37"/>
  <c r="O28" i="41" s="1"/>
  <c r="S711" i="36"/>
  <c r="R424" i="36"/>
  <c r="M927" i="36"/>
  <c r="R989" i="36"/>
  <c r="AG935" i="36"/>
  <c r="Q935" i="36"/>
  <c r="L35" i="37"/>
  <c r="AG140" i="36"/>
  <c r="Q140" i="36"/>
  <c r="Q146" i="36" s="1"/>
  <c r="O241" i="36"/>
  <c r="N238" i="36"/>
  <c r="N265" i="36"/>
  <c r="L929" i="36"/>
  <c r="AG729" i="36"/>
  <c r="Q729" i="36"/>
  <c r="Q735" i="36" s="1"/>
  <c r="M58" i="36"/>
  <c r="M64" i="36" s="1"/>
  <c r="R647" i="36"/>
  <c r="R671" i="36" s="1"/>
  <c r="M80" i="37"/>
  <c r="AF969" i="36" s="1"/>
  <c r="Q969" i="36" s="1"/>
  <c r="M53" i="37"/>
  <c r="M56" i="37"/>
  <c r="P713" i="36"/>
  <c r="P719" i="36"/>
  <c r="P721" i="36"/>
  <c r="P722" i="36"/>
  <c r="P723" i="36"/>
  <c r="N18" i="37"/>
  <c r="N20" i="37"/>
  <c r="AD740" i="36"/>
  <c r="O740" i="36" s="1"/>
  <c r="O739" i="36" s="1"/>
  <c r="L44" i="37"/>
  <c r="S162" i="36"/>
  <c r="Q768" i="36"/>
  <c r="Q774" i="36" s="1"/>
  <c r="AG768" i="36"/>
  <c r="Q110" i="36"/>
  <c r="R86" i="36"/>
  <c r="Q267" i="36"/>
  <c r="R243" i="36"/>
  <c r="Q480" i="36"/>
  <c r="Q486" i="36" s="1"/>
  <c r="AG480" i="36"/>
  <c r="S278" i="36"/>
  <c r="R302" i="36"/>
  <c r="R123" i="36"/>
  <c r="AD415" i="36"/>
  <c r="O415" i="36" s="1"/>
  <c r="O414" i="36" s="1"/>
  <c r="M69" i="36"/>
  <c r="K5" i="42" s="1"/>
  <c r="M38" i="37"/>
  <c r="M88" i="37"/>
  <c r="M96" i="37" s="1"/>
  <c r="M65" i="37"/>
  <c r="M42" i="37"/>
  <c r="AH479" i="36"/>
  <c r="S479" i="36" s="1"/>
  <c r="R479" i="36"/>
  <c r="O28" i="37"/>
  <c r="K1134" i="36"/>
  <c r="K1106" i="36"/>
  <c r="K1118" i="36" s="1"/>
  <c r="K1130" i="36" s="1"/>
  <c r="K1045" i="36"/>
  <c r="K1085" i="36"/>
  <c r="K1043" i="36"/>
  <c r="K1039" i="36"/>
  <c r="K1136" i="36"/>
  <c r="K1041" i="36"/>
  <c r="K1037" i="36"/>
  <c r="K1021" i="36"/>
  <c r="K1009" i="36"/>
  <c r="K995" i="36"/>
  <c r="K1138" i="36"/>
  <c r="K1062" i="36"/>
  <c r="K23" i="36"/>
  <c r="K62" i="5" s="1"/>
  <c r="K19" i="36"/>
  <c r="K13" i="36"/>
  <c r="K1131" i="36"/>
  <c r="K1148" i="36"/>
  <c r="K1101" i="36"/>
  <c r="M930" i="36"/>
  <c r="M944" i="36"/>
  <c r="M924" i="36"/>
  <c r="L59" i="36"/>
  <c r="N201" i="36"/>
  <c r="O185" i="38" s="1"/>
  <c r="K69" i="40" s="1"/>
  <c r="L207" i="36"/>
  <c r="AH727" i="36"/>
  <c r="S727" i="36" s="1"/>
  <c r="S733" i="36" s="1"/>
  <c r="R727" i="36"/>
  <c r="R733" i="36" s="1"/>
  <c r="O1108" i="36"/>
  <c r="O1153" i="36" s="1"/>
  <c r="O100" i="36"/>
  <c r="AG141" i="36"/>
  <c r="Q141" i="36"/>
  <c r="Q147" i="36" s="1"/>
  <c r="P398" i="36"/>
  <c r="O917" i="36"/>
  <c r="N941" i="36"/>
  <c r="AG405" i="36"/>
  <c r="Q405" i="36"/>
  <c r="Q411" i="36" s="1"/>
  <c r="S387" i="36"/>
  <c r="R682" i="36"/>
  <c r="Q694" i="36"/>
  <c r="R402" i="36"/>
  <c r="R408" i="36" s="1"/>
  <c r="AH402" i="36"/>
  <c r="S402" i="36" s="1"/>
  <c r="S408" i="36" s="1"/>
  <c r="L61" i="36"/>
  <c r="L67" i="36" s="1"/>
  <c r="L209" i="36"/>
  <c r="N203" i="36"/>
  <c r="O213" i="38" s="1"/>
  <c r="K87" i="40" s="1"/>
  <c r="R644" i="36"/>
  <c r="R668" i="36" s="1"/>
  <c r="Q643" i="36"/>
  <c r="Q658" i="36" s="1"/>
  <c r="S346" i="36"/>
  <c r="L255" i="36"/>
  <c r="L256" i="36"/>
  <c r="U238" i="36"/>
  <c r="V238" i="36" s="1"/>
  <c r="W238" i="36" s="1"/>
  <c r="X238" i="36" s="1"/>
  <c r="Y238" i="36" s="1"/>
  <c r="Z238" i="36" s="1"/>
  <c r="L252" i="36"/>
  <c r="L244" i="36"/>
  <c r="L250" i="36"/>
  <c r="L251" i="36"/>
  <c r="L270" i="36"/>
  <c r="L271" i="36" s="1"/>
  <c r="AK238" i="36"/>
  <c r="AL238" i="36" s="1"/>
  <c r="AM238" i="36" s="1"/>
  <c r="AN238" i="36" s="1"/>
  <c r="AO238" i="36" s="1"/>
  <c r="AP238" i="36" s="1"/>
  <c r="L69" i="36"/>
  <c r="J5" i="42" s="1"/>
  <c r="R163" i="36"/>
  <c r="AG260" i="36"/>
  <c r="Q260" i="36"/>
  <c r="AD676" i="36"/>
  <c r="O676" i="36" s="1"/>
  <c r="O675" i="36" s="1"/>
  <c r="R903" i="36"/>
  <c r="R902" i="36" s="1"/>
  <c r="AH903" i="36"/>
  <c r="S903" i="36" s="1"/>
  <c r="R462" i="36"/>
  <c r="Q668" i="36"/>
  <c r="R386" i="36"/>
  <c r="R300" i="36"/>
  <c r="AH300" i="36"/>
  <c r="S300" i="36" s="1"/>
  <c r="P445" i="36"/>
  <c r="N15" i="42" s="1"/>
  <c r="AG299" i="36"/>
  <c r="Q299" i="36"/>
  <c r="R645" i="36"/>
  <c r="Q669" i="36"/>
  <c r="N202" i="36"/>
  <c r="O199" i="38" s="1"/>
  <c r="K78" i="40" s="1"/>
  <c r="L208" i="36"/>
  <c r="L60" i="36"/>
  <c r="N619" i="36"/>
  <c r="O27" i="37"/>
  <c r="N26" i="37"/>
  <c r="R748" i="36"/>
  <c r="Q772" i="36"/>
  <c r="R749" i="36"/>
  <c r="Q773" i="36"/>
  <c r="L58" i="36"/>
  <c r="L64" i="36" s="1"/>
  <c r="L206" i="36"/>
  <c r="N200" i="36"/>
  <c r="O171" i="38" s="1"/>
  <c r="K60" i="40" s="1"/>
  <c r="R712" i="36"/>
  <c r="Q736" i="36"/>
  <c r="O13" i="37"/>
  <c r="N622" i="36"/>
  <c r="M59" i="36"/>
  <c r="M32" i="36" s="1"/>
  <c r="S161" i="36"/>
  <c r="Q933" i="36"/>
  <c r="AG933" i="36"/>
  <c r="R1025" i="36"/>
  <c r="S1025" i="36"/>
  <c r="R750" i="36"/>
  <c r="R363" i="36"/>
  <c r="AH363" i="36"/>
  <c r="S363" i="36" s="1"/>
  <c r="AG364" i="36"/>
  <c r="Q364" i="36"/>
  <c r="Q370" i="36" s="1"/>
  <c r="S1134" i="36"/>
  <c r="Q372" i="36"/>
  <c r="R348" i="36"/>
  <c r="Q775" i="36"/>
  <c r="R751" i="36"/>
  <c r="S1136" i="36"/>
  <c r="P724" i="36"/>
  <c r="M60" i="36"/>
  <c r="M33" i="36" s="1"/>
  <c r="Q481" i="36"/>
  <c r="Q487" i="36" s="1"/>
  <c r="AG481" i="36"/>
  <c r="L928" i="36"/>
  <c r="R164" i="36"/>
  <c r="O915" i="36"/>
  <c r="N939" i="36"/>
  <c r="Q160" i="36"/>
  <c r="Q177" i="36" s="1"/>
  <c r="Q421" i="36"/>
  <c r="Q434" i="36" s="1"/>
  <c r="R422" i="36"/>
  <c r="Q446" i="36"/>
  <c r="Q409" i="36"/>
  <c r="R701" i="36"/>
  <c r="R1003" i="36"/>
  <c r="S1003" i="36"/>
  <c r="AG143" i="36"/>
  <c r="Q143" i="36"/>
  <c r="Q149" i="36" s="1"/>
  <c r="P127" i="36"/>
  <c r="P133" i="36"/>
  <c r="P367" i="36"/>
  <c r="N13" i="42" s="1"/>
  <c r="H1062" i="36"/>
  <c r="H1003" i="36"/>
  <c r="H1138" i="36"/>
  <c r="H1136" i="36"/>
  <c r="H1027" i="36"/>
  <c r="H1134" i="36"/>
  <c r="H1015" i="36"/>
  <c r="H995" i="36"/>
  <c r="H1009" i="36"/>
  <c r="H999" i="36"/>
  <c r="H1045" i="36"/>
  <c r="H1017" i="36"/>
  <c r="H1039" i="36"/>
  <c r="H1005" i="36"/>
  <c r="H1025" i="36"/>
  <c r="H997" i="36"/>
  <c r="H1041" i="36"/>
  <c r="H1023" i="36"/>
  <c r="H1001" i="36"/>
  <c r="H1106" i="36"/>
  <c r="H1118" i="36" s="1"/>
  <c r="H1130" i="36" s="1"/>
  <c r="H1021" i="36"/>
  <c r="H1011" i="36"/>
  <c r="H1043" i="36"/>
  <c r="H1013" i="36"/>
  <c r="H1029" i="36"/>
  <c r="H23" i="36"/>
  <c r="H62" i="5" s="1"/>
  <c r="H19" i="36"/>
  <c r="H13" i="36"/>
  <c r="H1131" i="36"/>
  <c r="H1037" i="36"/>
  <c r="H1007" i="36"/>
  <c r="H1031" i="36"/>
  <c r="H1019" i="36"/>
  <c r="H1148" i="36"/>
  <c r="R708" i="36"/>
  <c r="Q707" i="36"/>
  <c r="Q720" i="36" s="1"/>
  <c r="N115" i="36"/>
  <c r="N113" i="36"/>
  <c r="P137" i="36"/>
  <c r="Q442" i="36"/>
  <c r="Q448" i="36" s="1"/>
  <c r="AG442" i="36"/>
  <c r="P472" i="36"/>
  <c r="P466" i="36"/>
  <c r="P475" i="36"/>
  <c r="L925" i="36"/>
  <c r="O916" i="36"/>
  <c r="N940" i="36"/>
  <c r="P94" i="36"/>
  <c r="P88" i="36"/>
  <c r="P97" i="36"/>
  <c r="P406" i="36"/>
  <c r="N14" i="42" s="1"/>
  <c r="Q726" i="36"/>
  <c r="Q732" i="36" s="1"/>
  <c r="AG726" i="36"/>
  <c r="P433" i="36"/>
  <c r="P427" i="36"/>
  <c r="P435" i="36"/>
  <c r="P99" i="36"/>
  <c r="AG728" i="36"/>
  <c r="Q728" i="36"/>
  <c r="Q734" i="36" s="1"/>
  <c r="M142" i="1"/>
  <c r="M150" i="1" s="1"/>
  <c r="M149" i="1" s="1"/>
  <c r="M415" i="1"/>
  <c r="M421" i="1" s="1"/>
  <c r="AC415" i="1"/>
  <c r="M384" i="1"/>
  <c r="Q584" i="1"/>
  <c r="AG584" i="1"/>
  <c r="R584" i="1" s="1"/>
  <c r="O80" i="3"/>
  <c r="O79" i="3" s="1"/>
  <c r="AB86" i="1"/>
  <c r="M86" i="1" s="1"/>
  <c r="M92" i="1" s="1"/>
  <c r="L251" i="1"/>
  <c r="L252" i="1" s="1"/>
  <c r="L253" i="1" s="1"/>
  <c r="AJ86" i="1"/>
  <c r="AK86" i="1" s="1"/>
  <c r="AL86" i="1" s="1"/>
  <c r="AM86" i="1" s="1"/>
  <c r="AN86" i="1" s="1"/>
  <c r="AO86" i="1" s="1"/>
  <c r="AL284" i="2"/>
  <c r="V284" i="2"/>
  <c r="J110" i="3"/>
  <c r="J112" i="3"/>
  <c r="J214" i="5" s="1"/>
  <c r="Q126" i="1"/>
  <c r="AG126" i="1"/>
  <c r="R126" i="1" s="1"/>
  <c r="K105" i="3"/>
  <c r="K108" i="3"/>
  <c r="K167" i="3" s="1"/>
  <c r="P77" i="3"/>
  <c r="P78" i="3" s="1"/>
  <c r="AF77" i="3"/>
  <c r="AG430" i="1"/>
  <c r="R430" i="1" s="1"/>
  <c r="Q430" i="1"/>
  <c r="O51" i="5"/>
  <c r="AK120" i="2"/>
  <c r="U120" i="2"/>
  <c r="M515" i="1"/>
  <c r="M521" i="1" s="1"/>
  <c r="M529" i="1" s="1"/>
  <c r="M528" i="1" s="1"/>
  <c r="AC515" i="1"/>
  <c r="Q378" i="1"/>
  <c r="AG378" i="1"/>
  <c r="R378" i="1" s="1"/>
  <c r="Q589" i="1"/>
  <c r="AG589" i="1"/>
  <c r="R589" i="1" s="1"/>
  <c r="N434" i="1"/>
  <c r="AD434" i="1"/>
  <c r="N571" i="1"/>
  <c r="O583" i="1"/>
  <c r="O582" i="1" s="1"/>
  <c r="P579" i="1"/>
  <c r="P583" i="1" s="1"/>
  <c r="P582" i="1" s="1"/>
  <c r="N105" i="1"/>
  <c r="AD105" i="1"/>
  <c r="P459" i="1"/>
  <c r="AF459" i="1"/>
  <c r="R164" i="4"/>
  <c r="Q167" i="4"/>
  <c r="AG565" i="1"/>
  <c r="R565" i="1" s="1"/>
  <c r="Q565" i="1"/>
  <c r="AE569" i="1"/>
  <c r="O569" i="1"/>
  <c r="N205" i="1"/>
  <c r="AD205" i="1"/>
  <c r="AF180" i="1"/>
  <c r="P180" i="1"/>
  <c r="AE544" i="1"/>
  <c r="O544" i="1"/>
  <c r="AG303" i="1"/>
  <c r="R303" i="1" s="1"/>
  <c r="Q303" i="1"/>
  <c r="X635" i="2"/>
  <c r="P768" i="2"/>
  <c r="S85" i="5"/>
  <c r="AC263" i="1"/>
  <c r="M263" i="1"/>
  <c r="M269" i="1" s="1"/>
  <c r="H112" i="3"/>
  <c r="H167" i="3"/>
  <c r="H110" i="3"/>
  <c r="AD357" i="1"/>
  <c r="N357" i="1"/>
  <c r="AK376" i="2"/>
  <c r="AL376" i="2" s="1"/>
  <c r="AM376" i="2" s="1"/>
  <c r="AN376" i="2" s="1"/>
  <c r="AO376" i="2" s="1"/>
  <c r="AP376" i="2" s="1"/>
  <c r="O93" i="4"/>
  <c r="AE93" i="4"/>
  <c r="L54" i="1"/>
  <c r="L61" i="1"/>
  <c r="L40" i="1"/>
  <c r="L589" i="1"/>
  <c r="L674" i="1"/>
  <c r="L719" i="1" s="1"/>
  <c r="K21" i="1"/>
  <c r="K17" i="1"/>
  <c r="K11" i="1"/>
  <c r="K703" i="1"/>
  <c r="K705" i="1"/>
  <c r="K701" i="1"/>
  <c r="K629" i="1"/>
  <c r="K599" i="1"/>
  <c r="L599" i="1" s="1"/>
  <c r="K603" i="1"/>
  <c r="L603" i="1" s="1"/>
  <c r="K608" i="1"/>
  <c r="L608" i="1" s="1"/>
  <c r="K601" i="1"/>
  <c r="L601" i="1" s="1"/>
  <c r="K673" i="1"/>
  <c r="K685" i="1" s="1"/>
  <c r="K697" i="1" s="1"/>
  <c r="K715" i="1"/>
  <c r="K698" i="1"/>
  <c r="K652" i="1"/>
  <c r="K668" i="1"/>
  <c r="F22" i="34"/>
  <c r="W81" i="3"/>
  <c r="P81" i="3"/>
  <c r="AM81" i="3"/>
  <c r="AC363" i="1"/>
  <c r="M363" i="1"/>
  <c r="M369" i="1" s="1"/>
  <c r="P28" i="5"/>
  <c r="P628" i="2"/>
  <c r="P627" i="2" s="1"/>
  <c r="N20" i="34"/>
  <c r="Q626" i="2"/>
  <c r="L351" i="2"/>
  <c r="I14" i="34"/>
  <c r="Q14" i="34" s="1"/>
  <c r="P7" i="2"/>
  <c r="Q9" i="5"/>
  <c r="Q7" i="22"/>
  <c r="P194" i="5"/>
  <c r="P193" i="5"/>
  <c r="M55" i="1"/>
  <c r="AM202" i="2"/>
  <c r="W202" i="2"/>
  <c r="I9" i="34"/>
  <c r="Q9" i="34" s="1"/>
  <c r="O87" i="4"/>
  <c r="AE87" i="4"/>
  <c r="M465" i="1"/>
  <c r="M471" i="1" s="1"/>
  <c r="AC465" i="1"/>
  <c r="AM477" i="2"/>
  <c r="M707" i="1"/>
  <c r="P534" i="1"/>
  <c r="O538" i="1"/>
  <c r="O537" i="1" s="1"/>
  <c r="O45" i="1"/>
  <c r="O39" i="1" s="1"/>
  <c r="O62" i="3"/>
  <c r="O64" i="3"/>
  <c r="O63" i="3" s="1"/>
  <c r="O50" i="5"/>
  <c r="V647" i="2"/>
  <c r="M496" i="1"/>
  <c r="AG455" i="1"/>
  <c r="R455" i="1" s="1"/>
  <c r="Q455" i="1"/>
  <c r="AE130" i="1"/>
  <c r="O130" i="1"/>
  <c r="AE257" i="1"/>
  <c r="O257" i="1"/>
  <c r="AD80" i="1"/>
  <c r="N80" i="1"/>
  <c r="AK183" i="2"/>
  <c r="AL183" i="2" s="1"/>
  <c r="AM183" i="2" s="1"/>
  <c r="AN183" i="2" s="1"/>
  <c r="AO183" i="2" s="1"/>
  <c r="AP183" i="2" s="1"/>
  <c r="K50" i="2"/>
  <c r="K686" i="2"/>
  <c r="K689" i="2" s="1"/>
  <c r="K61" i="5"/>
  <c r="AD63" i="4"/>
  <c r="AK63" i="4"/>
  <c r="AL63" i="4" s="1"/>
  <c r="AM63" i="4" s="1"/>
  <c r="AN63" i="4" s="1"/>
  <c r="AO63" i="4" s="1"/>
  <c r="AP63" i="4" s="1"/>
  <c r="N63" i="4"/>
  <c r="AB313" i="1"/>
  <c r="AJ313" i="1"/>
  <c r="AK313" i="1" s="1"/>
  <c r="AL313" i="1" s="1"/>
  <c r="AM313" i="1" s="1"/>
  <c r="AN313" i="1" s="1"/>
  <c r="AO313" i="1" s="1"/>
  <c r="T313" i="1"/>
  <c r="U313" i="1" s="1"/>
  <c r="V313" i="1" s="1"/>
  <c r="W313" i="1" s="1"/>
  <c r="X313" i="1" s="1"/>
  <c r="Y313" i="1" s="1"/>
  <c r="AD490" i="1"/>
  <c r="N490" i="1"/>
  <c r="I21" i="1"/>
  <c r="I17" i="1"/>
  <c r="I11" i="1"/>
  <c r="I705" i="1"/>
  <c r="I629" i="1"/>
  <c r="I599" i="1"/>
  <c r="I603" i="1"/>
  <c r="I601" i="1"/>
  <c r="I652" i="1"/>
  <c r="I673" i="1"/>
  <c r="I685" i="1" s="1"/>
  <c r="I697" i="1" s="1"/>
  <c r="I701" i="1"/>
  <c r="I703" i="1"/>
  <c r="I608" i="1"/>
  <c r="I698" i="1"/>
  <c r="I668" i="1"/>
  <c r="I715" i="1"/>
  <c r="AC338" i="1"/>
  <c r="M338" i="1"/>
  <c r="M344" i="1" s="1"/>
  <c r="AG530" i="1"/>
  <c r="R530" i="1" s="1"/>
  <c r="Q530" i="1"/>
  <c r="AE73" i="4"/>
  <c r="O73" i="4"/>
  <c r="O79" i="4" s="1"/>
  <c r="AD307" i="1"/>
  <c r="N307" i="1"/>
  <c r="V559" i="2"/>
  <c r="AL559" i="2"/>
  <c r="O155" i="1"/>
  <c r="AE155" i="1"/>
  <c r="E94" i="34"/>
  <c r="C5" i="32"/>
  <c r="H41" i="17"/>
  <c r="E95" i="34" s="1"/>
  <c r="H217" i="5"/>
  <c r="AE570" i="1"/>
  <c r="O570" i="1"/>
  <c r="P593" i="1"/>
  <c r="S759" i="2"/>
  <c r="S762" i="2" s="1"/>
  <c r="R762" i="2"/>
  <c r="H22" i="34"/>
  <c r="I754" i="2"/>
  <c r="I759" i="2"/>
  <c r="AD332" i="1"/>
  <c r="N332" i="1"/>
  <c r="M550" i="1"/>
  <c r="M556" i="1" s="1"/>
  <c r="AC550" i="1"/>
  <c r="M232" i="1"/>
  <c r="V95" i="4"/>
  <c r="O95" i="4"/>
  <c r="I693" i="2"/>
  <c r="I211" i="5" s="1"/>
  <c r="I691" i="2"/>
  <c r="L144" i="3"/>
  <c r="E22" i="34"/>
  <c r="AJ211" i="1"/>
  <c r="AK211" i="1" s="1"/>
  <c r="AL211" i="1" s="1"/>
  <c r="AM211" i="1" s="1"/>
  <c r="AN211" i="1" s="1"/>
  <c r="AO211" i="1" s="1"/>
  <c r="T211" i="1"/>
  <c r="U211" i="1" s="1"/>
  <c r="V211" i="1" s="1"/>
  <c r="W211" i="1" s="1"/>
  <c r="X211" i="1" s="1"/>
  <c r="Y211" i="1" s="1"/>
  <c r="AB211" i="1"/>
  <c r="AE409" i="1"/>
  <c r="O409" i="1"/>
  <c r="S687" i="2"/>
  <c r="S191" i="5" s="1"/>
  <c r="R191" i="5"/>
  <c r="P709" i="1"/>
  <c r="M161" i="1"/>
  <c r="M167" i="1" s="1"/>
  <c r="M175" i="1" s="1"/>
  <c r="M174" i="1" s="1"/>
  <c r="AC161" i="1"/>
  <c r="J21" i="1"/>
  <c r="J17" i="1"/>
  <c r="J11" i="1"/>
  <c r="J705" i="1"/>
  <c r="J629" i="1"/>
  <c r="J701" i="1"/>
  <c r="J599" i="1"/>
  <c r="J603" i="1"/>
  <c r="J608" i="1"/>
  <c r="J601" i="1"/>
  <c r="J673" i="1"/>
  <c r="J685" i="1" s="1"/>
  <c r="J697" i="1" s="1"/>
  <c r="J703" i="1"/>
  <c r="J652" i="1"/>
  <c r="J698" i="1"/>
  <c r="J715" i="1"/>
  <c r="J668" i="1"/>
  <c r="AN65" i="3"/>
  <c r="Q65" i="3"/>
  <c r="X65" i="3"/>
  <c r="H94" i="34"/>
  <c r="K41" i="17"/>
  <c r="H95" i="34" s="1"/>
  <c r="G94" i="34"/>
  <c r="E5" i="32"/>
  <c r="J41" i="17"/>
  <c r="G95" i="34" s="1"/>
  <c r="I72" i="5"/>
  <c r="F58" i="34" s="1"/>
  <c r="J50" i="2"/>
  <c r="J686" i="2"/>
  <c r="J689" i="2" s="1"/>
  <c r="J61" i="5"/>
  <c r="J745" i="2"/>
  <c r="M111" i="1"/>
  <c r="M117" i="1" s="1"/>
  <c r="M125" i="1" s="1"/>
  <c r="M124" i="1" s="1"/>
  <c r="AC111" i="1"/>
  <c r="H17" i="1"/>
  <c r="H11" i="1"/>
  <c r="H629" i="1"/>
  <c r="H599" i="1"/>
  <c r="H603" i="1"/>
  <c r="H21" i="1"/>
  <c r="H673" i="1"/>
  <c r="H685" i="1" s="1"/>
  <c r="H697" i="1" s="1"/>
  <c r="H705" i="1"/>
  <c r="H701" i="1"/>
  <c r="H703" i="1"/>
  <c r="H608" i="1"/>
  <c r="H601" i="1"/>
  <c r="H652" i="1"/>
  <c r="H698" i="1"/>
  <c r="H668" i="1"/>
  <c r="H715" i="1"/>
  <c r="AE282" i="1"/>
  <c r="O282" i="1"/>
  <c r="P61" i="3"/>
  <c r="AF61" i="3"/>
  <c r="AD484" i="1"/>
  <c r="N484" i="1"/>
  <c r="AO518" i="2"/>
  <c r="Y518" i="2"/>
  <c r="AG101" i="1"/>
  <c r="R101" i="1" s="1"/>
  <c r="Q101" i="1"/>
  <c r="AG535" i="1"/>
  <c r="R535" i="1" s="1"/>
  <c r="Q535" i="1"/>
  <c r="K117" i="4"/>
  <c r="K213" i="5" s="1"/>
  <c r="K115" i="4"/>
  <c r="AM161" i="2"/>
  <c r="H50" i="2"/>
  <c r="H745" i="2"/>
  <c r="H686" i="2"/>
  <c r="H689" i="2" s="1"/>
  <c r="Q575" i="1"/>
  <c r="AG575" i="1"/>
  <c r="R575" i="1" s="1"/>
  <c r="AE97" i="4"/>
  <c r="O97" i="4"/>
  <c r="G22" i="34"/>
  <c r="AE39" i="3"/>
  <c r="O39" i="3"/>
  <c r="I112" i="3"/>
  <c r="I214" i="5" s="1"/>
  <c r="I167" i="3"/>
  <c r="I110" i="3"/>
  <c r="P67" i="4" l="1"/>
  <c r="Q157" i="38"/>
  <c r="Q150" i="38" s="1"/>
  <c r="P99" i="24" s="1"/>
  <c r="M14" i="40"/>
  <c r="R221" i="38"/>
  <c r="N14" i="40" s="1"/>
  <c r="AE959" i="36"/>
  <c r="AE960" i="36" s="1"/>
  <c r="P960" i="36" s="1"/>
  <c r="O959" i="36"/>
  <c r="AD960" i="36"/>
  <c r="O960" i="36" s="1"/>
  <c r="O965" i="36" s="1"/>
  <c r="L51" i="34" s="1"/>
  <c r="P868" i="36"/>
  <c r="O863" i="36"/>
  <c r="O892" i="36"/>
  <c r="U881" i="36"/>
  <c r="V881" i="36" s="1"/>
  <c r="W881" i="36" s="1"/>
  <c r="X881" i="36" s="1"/>
  <c r="Y881" i="36" s="1"/>
  <c r="Z881" i="36" s="1"/>
  <c r="AK881" i="36"/>
  <c r="AL881" i="36" s="1"/>
  <c r="AM881" i="36" s="1"/>
  <c r="AN881" i="36" s="1"/>
  <c r="AO881" i="36" s="1"/>
  <c r="AP881" i="36" s="1"/>
  <c r="AK595" i="36"/>
  <c r="AL595" i="36" s="1"/>
  <c r="AM595" i="36" s="1"/>
  <c r="AN595" i="36" s="1"/>
  <c r="AO595" i="36" s="1"/>
  <c r="AP595" i="36" s="1"/>
  <c r="U595" i="36"/>
  <c r="V595" i="36" s="1"/>
  <c r="W595" i="36" s="1"/>
  <c r="X595" i="36" s="1"/>
  <c r="Y595" i="36" s="1"/>
  <c r="Z595" i="36" s="1"/>
  <c r="P582" i="36"/>
  <c r="O577" i="36"/>
  <c r="O606" i="36"/>
  <c r="P764" i="36"/>
  <c r="M41" i="34"/>
  <c r="P702" i="36"/>
  <c r="P703" i="36" s="1"/>
  <c r="M42" i="34"/>
  <c r="P725" i="36"/>
  <c r="M40" i="34"/>
  <c r="Q702" i="36"/>
  <c r="Q703" i="36" s="1"/>
  <c r="N42" i="34"/>
  <c r="M288" i="1"/>
  <c r="M294" i="1" s="1"/>
  <c r="M302" i="1" s="1"/>
  <c r="M301" i="1" s="1"/>
  <c r="K22" i="5"/>
  <c r="K56" i="5" s="1"/>
  <c r="K57" i="5" s="1"/>
  <c r="O83" i="19"/>
  <c r="O85" i="19" s="1"/>
  <c r="AD136" i="1"/>
  <c r="O136" i="1" s="1"/>
  <c r="O142" i="1" s="1"/>
  <c r="O150" i="1" s="1"/>
  <c r="O149" i="1" s="1"/>
  <c r="N417" i="36"/>
  <c r="K80" i="34" s="1"/>
  <c r="L41" i="42"/>
  <c r="L64" i="42" s="1"/>
  <c r="O456" i="36"/>
  <c r="L81" i="34" s="1"/>
  <c r="M42" i="42"/>
  <c r="M65" i="42" s="1"/>
  <c r="N378" i="36"/>
  <c r="K79" i="34" s="1"/>
  <c r="L40" i="42"/>
  <c r="L63" i="42" s="1"/>
  <c r="O156" i="36"/>
  <c r="M34" i="42"/>
  <c r="M57" i="42" s="1"/>
  <c r="N156" i="36"/>
  <c r="L34" i="42"/>
  <c r="L57" i="42" s="1"/>
  <c r="M24" i="34"/>
  <c r="N6" i="42"/>
  <c r="N456" i="36"/>
  <c r="K81" i="34" s="1"/>
  <c r="L42" i="42"/>
  <c r="L65" i="42" s="1"/>
  <c r="O495" i="36"/>
  <c r="L82" i="34" s="1"/>
  <c r="M43" i="42"/>
  <c r="Q35" i="25"/>
  <c r="Q19" i="25" s="1"/>
  <c r="O264" i="24"/>
  <c r="N186" i="1"/>
  <c r="N192" i="1" s="1"/>
  <c r="N200" i="1" s="1"/>
  <c r="N199" i="1" s="1"/>
  <c r="M440" i="1"/>
  <c r="M446" i="1" s="1"/>
  <c r="M396" i="1" s="1"/>
  <c r="R134" i="38"/>
  <c r="N12" i="40" s="1"/>
  <c r="M8" i="40"/>
  <c r="L47" i="1"/>
  <c r="L19" i="1" s="1"/>
  <c r="L678" i="1" s="1"/>
  <c r="L706" i="1" s="1"/>
  <c r="AF220" i="36"/>
  <c r="P220" i="36"/>
  <c r="AF218" i="36"/>
  <c r="P218" i="36"/>
  <c r="AF221" i="36"/>
  <c r="P221" i="36"/>
  <c r="H71" i="41"/>
  <c r="H74" i="41"/>
  <c r="H75" i="41" s="1"/>
  <c r="H56" i="41"/>
  <c r="H57" i="41" s="1"/>
  <c r="H53" i="41"/>
  <c r="H62" i="41"/>
  <c r="H65" i="41"/>
  <c r="H66" i="41" s="1"/>
  <c r="H80" i="41"/>
  <c r="H83" i="41"/>
  <c r="H84" i="41" s="1"/>
  <c r="M186" i="38"/>
  <c r="J61" i="41"/>
  <c r="J63" i="41" s="1"/>
  <c r="M200" i="38"/>
  <c r="J70" i="41"/>
  <c r="AF219" i="36"/>
  <c r="P219" i="36"/>
  <c r="M214" i="38"/>
  <c r="J79" i="41"/>
  <c r="J81" i="41" s="1"/>
  <c r="O509" i="1"/>
  <c r="AE509" i="1"/>
  <c r="R188" i="38"/>
  <c r="N13" i="40" s="1"/>
  <c r="M1" i="37"/>
  <c r="N49" i="34"/>
  <c r="N48" i="34"/>
  <c r="Q53" i="25"/>
  <c r="AK295" i="36"/>
  <c r="AL295" i="36" s="1"/>
  <c r="AM295" i="36" s="1"/>
  <c r="AN295" i="36" s="1"/>
  <c r="AO295" i="36" s="1"/>
  <c r="AP295" i="36" s="1"/>
  <c r="L32" i="36"/>
  <c r="M84" i="38" s="1"/>
  <c r="M85" i="38" s="1"/>
  <c r="M87" i="34"/>
  <c r="P979" i="36"/>
  <c r="P978" i="36" s="1"/>
  <c r="AG980" i="36"/>
  <c r="Q980" i="36"/>
  <c r="N84" i="38"/>
  <c r="J30" i="40" s="1"/>
  <c r="K16" i="41"/>
  <c r="N97" i="38"/>
  <c r="N98" i="38" s="1"/>
  <c r="K25" i="41"/>
  <c r="N110" i="38"/>
  <c r="J44" i="40" s="1"/>
  <c r="K34" i="41"/>
  <c r="L34" i="36"/>
  <c r="P661" i="36"/>
  <c r="M39" i="34"/>
  <c r="P178" i="36"/>
  <c r="M26" i="34"/>
  <c r="L98" i="37"/>
  <c r="M51" i="37"/>
  <c r="M35" i="37"/>
  <c r="M47" i="37"/>
  <c r="N54" i="37"/>
  <c r="N41" i="37"/>
  <c r="P139" i="36"/>
  <c r="M25" i="34"/>
  <c r="N20" i="5"/>
  <c r="N328" i="5" s="1"/>
  <c r="N49" i="5"/>
  <c r="S259" i="38"/>
  <c r="T257" i="38"/>
  <c r="T259" i="38" s="1"/>
  <c r="S310" i="38"/>
  <c r="T308" i="38"/>
  <c r="T310" i="38" s="1"/>
  <c r="M580" i="2"/>
  <c r="O33" i="3"/>
  <c r="O45" i="3" s="1"/>
  <c r="O54" i="3" s="1"/>
  <c r="O15" i="3" s="1"/>
  <c r="AE33" i="3"/>
  <c r="L171" i="3"/>
  <c r="N171" i="3" s="1"/>
  <c r="O171" i="3" s="1"/>
  <c r="P171" i="3" s="1"/>
  <c r="Q171" i="3" s="1"/>
  <c r="R171" i="3" s="1"/>
  <c r="L152" i="3"/>
  <c r="E139" i="24" a="1"/>
  <c r="M575" i="2"/>
  <c r="M597" i="2"/>
  <c r="N597" i="2" s="1"/>
  <c r="N590" i="2"/>
  <c r="N346" i="2" s="1"/>
  <c r="O566" i="2"/>
  <c r="O334" i="2" s="1"/>
  <c r="AL97" i="3"/>
  <c r="AM97" i="3" s="1"/>
  <c r="AN97" i="3" s="1"/>
  <c r="AO97" i="3" s="1"/>
  <c r="AP97" i="3" s="1"/>
  <c r="M579" i="2"/>
  <c r="R41" i="24"/>
  <c r="E164" i="24" a="1"/>
  <c r="M578" i="2"/>
  <c r="N589" i="2"/>
  <c r="O565" i="2"/>
  <c r="O23" i="3"/>
  <c r="P23" i="3" s="1"/>
  <c r="Q23" i="3" s="1"/>
  <c r="R23" i="3" s="1"/>
  <c r="O50" i="40"/>
  <c r="T117" i="38"/>
  <c r="N334" i="2"/>
  <c r="N13" i="2" s="1"/>
  <c r="L64" i="5"/>
  <c r="L75" i="5" s="1"/>
  <c r="L104" i="3"/>
  <c r="N114" i="5"/>
  <c r="N564" i="2"/>
  <c r="N964" i="36"/>
  <c r="N961" i="36" s="1"/>
  <c r="N951" i="36"/>
  <c r="O29" i="40"/>
  <c r="T78" i="38"/>
  <c r="AC95" i="3"/>
  <c r="AL95" i="3"/>
  <c r="AM95" i="3" s="1"/>
  <c r="AN95" i="3" s="1"/>
  <c r="AO95" i="3" s="1"/>
  <c r="AP95" i="3" s="1"/>
  <c r="AC86" i="1"/>
  <c r="N86" i="1" s="1"/>
  <c r="N92" i="1" s="1"/>
  <c r="AE954" i="36"/>
  <c r="O954" i="36"/>
  <c r="O567" i="2"/>
  <c r="O335" i="2" s="1"/>
  <c r="N591" i="2"/>
  <c r="N347" i="2" s="1"/>
  <c r="N341" i="2" s="1"/>
  <c r="M577" i="2"/>
  <c r="S298" i="38"/>
  <c r="T296" i="38"/>
  <c r="T298" i="38" s="1"/>
  <c r="L341" i="2"/>
  <c r="O568" i="2"/>
  <c r="O336" i="2" s="1"/>
  <c r="N592" i="2"/>
  <c r="N348" i="2" s="1"/>
  <c r="N27" i="2" s="1"/>
  <c r="N39" i="37"/>
  <c r="R255" i="24"/>
  <c r="Q255" i="24"/>
  <c r="S255" i="24"/>
  <c r="P255" i="24"/>
  <c r="O255" i="24"/>
  <c r="N255" i="24"/>
  <c r="N210" i="24"/>
  <c r="O210" i="24"/>
  <c r="M52" i="34"/>
  <c r="I22" i="5"/>
  <c r="I56" i="5" s="1"/>
  <c r="I57" i="5" s="1"/>
  <c r="I234" i="5"/>
  <c r="J22" i="5"/>
  <c r="J56" i="5" s="1"/>
  <c r="J57" i="5" s="1"/>
  <c r="J234" i="5"/>
  <c r="S215" i="5"/>
  <c r="K120" i="5"/>
  <c r="J120" i="5"/>
  <c r="I120" i="5"/>
  <c r="Q117" i="5"/>
  <c r="Q116" i="5"/>
  <c r="J153" i="5"/>
  <c r="K153" i="5"/>
  <c r="I153" i="5"/>
  <c r="S7" i="4"/>
  <c r="R202" i="38"/>
  <c r="R216" i="38"/>
  <c r="R174" i="38"/>
  <c r="Q192" i="5"/>
  <c r="Q41" i="5"/>
  <c r="N15" i="2"/>
  <c r="L342" i="2"/>
  <c r="M534" i="2"/>
  <c r="M556" i="2"/>
  <c r="N556" i="2" s="1"/>
  <c r="L340" i="2"/>
  <c r="M581" i="2"/>
  <c r="M539" i="2"/>
  <c r="M537" i="2"/>
  <c r="M538" i="2"/>
  <c r="M536" i="2"/>
  <c r="M535" i="2"/>
  <c r="L534" i="2"/>
  <c r="L537" i="2"/>
  <c r="L535" i="2"/>
  <c r="L538" i="2"/>
  <c r="L539" i="2"/>
  <c r="N548" i="2"/>
  <c r="O524" i="2"/>
  <c r="N333" i="2"/>
  <c r="N12" i="2" s="1"/>
  <c r="O549" i="2"/>
  <c r="P525" i="2"/>
  <c r="L536" i="2"/>
  <c r="M341" i="2"/>
  <c r="M339" i="2"/>
  <c r="P523" i="2"/>
  <c r="O547" i="2"/>
  <c r="O550" i="2"/>
  <c r="P526" i="2"/>
  <c r="N14" i="2"/>
  <c r="N522" i="2"/>
  <c r="N536" i="2" s="1"/>
  <c r="O551" i="2"/>
  <c r="P527" i="2"/>
  <c r="M540" i="2"/>
  <c r="L528" i="2"/>
  <c r="O446" i="2"/>
  <c r="O405" i="2"/>
  <c r="N304" i="2"/>
  <c r="M300" i="2"/>
  <c r="M322" i="2"/>
  <c r="N322" i="2" s="1"/>
  <c r="M305" i="2"/>
  <c r="N303" i="2"/>
  <c r="N301" i="2"/>
  <c r="M14" i="2"/>
  <c r="M13" i="2"/>
  <c r="K70" i="41" s="1"/>
  <c r="M12" i="2"/>
  <c r="K61" i="41" s="1"/>
  <c r="O314" i="2"/>
  <c r="O70" i="2" s="1"/>
  <c r="P290" i="2"/>
  <c r="O58" i="2"/>
  <c r="O288" i="2"/>
  <c r="O305" i="2" s="1"/>
  <c r="P289" i="2"/>
  <c r="O313" i="2"/>
  <c r="O57" i="2"/>
  <c r="N312" i="2"/>
  <c r="N71" i="2"/>
  <c r="N63" i="2"/>
  <c r="P291" i="2"/>
  <c r="O59" i="2"/>
  <c r="O315" i="2"/>
  <c r="O71" i="2" s="1"/>
  <c r="M302" i="2"/>
  <c r="O317" i="2"/>
  <c r="O73" i="2" s="1"/>
  <c r="P293" i="2"/>
  <c r="O61" i="2"/>
  <c r="O316" i="2"/>
  <c r="O72" i="2" s="1"/>
  <c r="P292" i="2"/>
  <c r="O60" i="2"/>
  <c r="M301" i="2"/>
  <c r="N67" i="2"/>
  <c r="N305" i="2"/>
  <c r="N300" i="2"/>
  <c r="M304" i="2"/>
  <c r="N66" i="2"/>
  <c r="N64" i="2"/>
  <c r="M303" i="2"/>
  <c r="O253" i="2"/>
  <c r="P212" i="2"/>
  <c r="M340" i="2"/>
  <c r="M331" i="2"/>
  <c r="M337" i="2" s="1"/>
  <c r="O171" i="2"/>
  <c r="M338" i="2"/>
  <c r="M342" i="2"/>
  <c r="L339" i="2"/>
  <c r="M26" i="2"/>
  <c r="K78" i="41" s="1"/>
  <c r="O130" i="2"/>
  <c r="M306" i="2"/>
  <c r="M56" i="2"/>
  <c r="M15" i="2"/>
  <c r="M21" i="2" s="1"/>
  <c r="M11" i="2"/>
  <c r="K52" i="41" s="1"/>
  <c r="K54" i="41" s="1"/>
  <c r="K56" i="41" s="1"/>
  <c r="K57" i="41" s="1"/>
  <c r="P89" i="2"/>
  <c r="R766" i="2"/>
  <c r="AO395" i="2"/>
  <c r="S85" i="36"/>
  <c r="S109" i="36" s="1"/>
  <c r="AK306" i="2"/>
  <c r="AL306" i="2" s="1"/>
  <c r="AM306" i="2" s="1"/>
  <c r="AN306" i="2" s="1"/>
  <c r="AO306" i="2" s="1"/>
  <c r="AP306" i="2" s="1"/>
  <c r="L563" i="2"/>
  <c r="L576" i="2" s="1"/>
  <c r="L332" i="2"/>
  <c r="L11" i="2" s="1"/>
  <c r="U522" i="2"/>
  <c r="V522" i="2" s="1"/>
  <c r="W522" i="2" s="1"/>
  <c r="X522" i="2" s="1"/>
  <c r="Y522" i="2" s="1"/>
  <c r="Z522" i="2" s="1"/>
  <c r="AK522" i="2"/>
  <c r="AL522" i="2" s="1"/>
  <c r="AM522" i="2" s="1"/>
  <c r="AN522" i="2" s="1"/>
  <c r="AO522" i="2" s="1"/>
  <c r="AP522" i="2" s="1"/>
  <c r="L540" i="2"/>
  <c r="U540" i="2" s="1"/>
  <c r="V540" i="2" s="1"/>
  <c r="W540" i="2" s="1"/>
  <c r="X540" i="2" s="1"/>
  <c r="Y540" i="2" s="1"/>
  <c r="Z540" i="2" s="1"/>
  <c r="O304" i="36"/>
  <c r="N292" i="36"/>
  <c r="N293" i="36"/>
  <c r="N290" i="36"/>
  <c r="N291" i="36"/>
  <c r="N283" i="36"/>
  <c r="N289" i="36"/>
  <c r="N927" i="36"/>
  <c r="R264" i="36"/>
  <c r="O277" i="36"/>
  <c r="O293" i="36" s="1"/>
  <c r="Q210" i="24"/>
  <c r="S210" i="24"/>
  <c r="P210" i="24"/>
  <c r="R210" i="24"/>
  <c r="M37" i="37"/>
  <c r="N40" i="37"/>
  <c r="M45" i="37"/>
  <c r="R160" i="36"/>
  <c r="R176" i="36" s="1"/>
  <c r="N301" i="36"/>
  <c r="L11" i="42" s="1"/>
  <c r="P279" i="36"/>
  <c r="O303" i="36"/>
  <c r="O306" i="36"/>
  <c r="P282" i="36"/>
  <c r="Q395" i="36"/>
  <c r="L65" i="36"/>
  <c r="L33" i="5"/>
  <c r="I23" i="34" s="1"/>
  <c r="Q23" i="34" s="1"/>
  <c r="M33" i="5"/>
  <c r="J23" i="34" s="1"/>
  <c r="Q360" i="36"/>
  <c r="P361" i="36"/>
  <c r="M31" i="34"/>
  <c r="P478" i="36"/>
  <c r="M34" i="34"/>
  <c r="P400" i="36"/>
  <c r="M32" i="34"/>
  <c r="P439" i="36"/>
  <c r="M33" i="34"/>
  <c r="Q37" i="5"/>
  <c r="R112" i="38"/>
  <c r="R86" i="38"/>
  <c r="N9" i="40" s="1"/>
  <c r="R73" i="38"/>
  <c r="R125" i="38"/>
  <c r="N11" i="40" s="1"/>
  <c r="T28" i="38"/>
  <c r="T20" i="38" s="1"/>
  <c r="P6" i="40" s="1"/>
  <c r="Q136" i="36"/>
  <c r="AE779" i="36"/>
  <c r="P779" i="36" s="1"/>
  <c r="P778" i="36" s="1"/>
  <c r="P777" i="36" s="1"/>
  <c r="P780" i="36" s="1"/>
  <c r="P781" i="36" s="1"/>
  <c r="R485" i="36"/>
  <c r="AH931" i="36"/>
  <c r="S931" i="36" s="1"/>
  <c r="R931" i="36"/>
  <c r="L33" i="36"/>
  <c r="R482" i="36"/>
  <c r="R488" i="36" s="1"/>
  <c r="AH482" i="36"/>
  <c r="S482" i="36" s="1"/>
  <c r="Q137" i="36"/>
  <c r="N621" i="36"/>
  <c r="AH932" i="36"/>
  <c r="S932" i="36" s="1"/>
  <c r="R932" i="36"/>
  <c r="Q476" i="36"/>
  <c r="Q477" i="36"/>
  <c r="Q474" i="36"/>
  <c r="N262" i="36"/>
  <c r="L10" i="42" s="1"/>
  <c r="N929" i="36"/>
  <c r="Q99" i="36"/>
  <c r="Q759" i="36"/>
  <c r="Q752" i="36"/>
  <c r="AE676" i="36"/>
  <c r="P676" i="36" s="1"/>
  <c r="P675" i="36" s="1"/>
  <c r="Q758" i="36"/>
  <c r="Q762" i="36"/>
  <c r="AE454" i="36"/>
  <c r="P454" i="36" s="1"/>
  <c r="P453" i="36" s="1"/>
  <c r="P452" i="36" s="1"/>
  <c r="P455" i="36" s="1"/>
  <c r="AE376" i="36"/>
  <c r="P376" i="36" s="1"/>
  <c r="P375" i="36" s="1"/>
  <c r="P374" i="36" s="1"/>
  <c r="AE740" i="36"/>
  <c r="P740" i="36" s="1"/>
  <c r="P739" i="36" s="1"/>
  <c r="Q761" i="36"/>
  <c r="Q760" i="36"/>
  <c r="Q138" i="36"/>
  <c r="N928" i="36"/>
  <c r="R746" i="36"/>
  <c r="R761" i="36" s="1"/>
  <c r="Q659" i="36"/>
  <c r="AE154" i="36"/>
  <c r="P154" i="36" s="1"/>
  <c r="P153" i="36" s="1"/>
  <c r="P152" i="36" s="1"/>
  <c r="P155" i="36" s="1"/>
  <c r="AE115" i="36"/>
  <c r="P115" i="36" s="1"/>
  <c r="P114" i="36" s="1"/>
  <c r="Q95" i="36"/>
  <c r="Q184" i="36"/>
  <c r="O8" i="42" s="1"/>
  <c r="Q397" i="36"/>
  <c r="Q96" i="36"/>
  <c r="Q437" i="36"/>
  <c r="R450" i="36"/>
  <c r="Q770" i="36"/>
  <c r="Q724" i="36"/>
  <c r="S902" i="36"/>
  <c r="S906" i="36" s="1"/>
  <c r="S905" i="36" s="1"/>
  <c r="AE493" i="36"/>
  <c r="P493" i="36" s="1"/>
  <c r="P492" i="36" s="1"/>
  <c r="P491" i="36" s="1"/>
  <c r="P494" i="36" s="1"/>
  <c r="Q484" i="36"/>
  <c r="O16" i="42" s="1"/>
  <c r="R369" i="36"/>
  <c r="AE415" i="36"/>
  <c r="P415" i="36" s="1"/>
  <c r="P414" i="36" s="1"/>
  <c r="S975" i="36"/>
  <c r="S708" i="36"/>
  <c r="R707" i="36"/>
  <c r="R720" i="36" s="1"/>
  <c r="Q175" i="36"/>
  <c r="S123" i="36"/>
  <c r="S424" i="36"/>
  <c r="S648" i="36"/>
  <c r="R672" i="36"/>
  <c r="AH182" i="36"/>
  <c r="S182" i="36" s="1"/>
  <c r="R182" i="36"/>
  <c r="R188" i="36" s="1"/>
  <c r="R343" i="36"/>
  <c r="R360" i="36" s="1"/>
  <c r="S344" i="36"/>
  <c r="R368" i="36"/>
  <c r="Q145" i="36"/>
  <c r="O7" i="42" s="1"/>
  <c r="Q280" i="36"/>
  <c r="Q304" i="36" s="1"/>
  <c r="S185" i="36"/>
  <c r="S712" i="36"/>
  <c r="R736" i="36"/>
  <c r="S163" i="36"/>
  <c r="AK256" i="36"/>
  <c r="AL256" i="36" s="1"/>
  <c r="AM256" i="36" s="1"/>
  <c r="AN256" i="36" s="1"/>
  <c r="AO256" i="36" s="1"/>
  <c r="AP256" i="36" s="1"/>
  <c r="U256" i="36"/>
  <c r="V256" i="36" s="1"/>
  <c r="W256" i="36" s="1"/>
  <c r="X256" i="36" s="1"/>
  <c r="Y256" i="36" s="1"/>
  <c r="Z256" i="36" s="1"/>
  <c r="K1047" i="36"/>
  <c r="K1050" i="36" s="1"/>
  <c r="K24" i="36"/>
  <c r="R768" i="36"/>
  <c r="R774" i="36" s="1"/>
  <c r="AH768" i="36"/>
  <c r="S768" i="36" s="1"/>
  <c r="AH729" i="36"/>
  <c r="S729" i="36" s="1"/>
  <c r="S735" i="36" s="1"/>
  <c r="R729" i="36"/>
  <c r="R735" i="36" s="1"/>
  <c r="Q436" i="36"/>
  <c r="I1047" i="36"/>
  <c r="I1050" i="36" s="1"/>
  <c r="I24" i="36"/>
  <c r="S239" i="36"/>
  <c r="R263" i="36"/>
  <c r="R259" i="36"/>
  <c r="AH259" i="36"/>
  <c r="S259" i="36" s="1"/>
  <c r="S385" i="36"/>
  <c r="P914" i="36"/>
  <c r="O938" i="36"/>
  <c r="Q367" i="36"/>
  <c r="O13" i="42" s="1"/>
  <c r="Q127" i="36"/>
  <c r="Q133" i="36"/>
  <c r="Q172" i="36"/>
  <c r="Q166" i="36"/>
  <c r="Q173" i="36"/>
  <c r="Q174" i="36"/>
  <c r="S748" i="36"/>
  <c r="R772" i="36"/>
  <c r="S682" i="36"/>
  <c r="S694" i="36" s="1"/>
  <c r="R694" i="36"/>
  <c r="S125" i="36"/>
  <c r="P915" i="36"/>
  <c r="O939" i="36"/>
  <c r="N244" i="36"/>
  <c r="N250" i="36"/>
  <c r="N255" i="36"/>
  <c r="N252" i="36"/>
  <c r="N251" i="36"/>
  <c r="S84" i="36"/>
  <c r="R108" i="36"/>
  <c r="AH442" i="36"/>
  <c r="S442" i="36" s="1"/>
  <c r="R442" i="36"/>
  <c r="R448" i="36" s="1"/>
  <c r="AH364" i="36"/>
  <c r="S364" i="36" s="1"/>
  <c r="S370" i="36" s="1"/>
  <c r="R364" i="36"/>
  <c r="R370" i="36" s="1"/>
  <c r="Q655" i="36"/>
  <c r="Q649" i="36"/>
  <c r="N253" i="36"/>
  <c r="Q388" i="36"/>
  <c r="Q394" i="36"/>
  <c r="Q396" i="36"/>
  <c r="Q399" i="36"/>
  <c r="Q176" i="36"/>
  <c r="S645" i="36"/>
  <c r="R669" i="36"/>
  <c r="Q656" i="36"/>
  <c r="AH405" i="36"/>
  <c r="S405" i="36" s="1"/>
  <c r="S411" i="36" s="1"/>
  <c r="R405" i="36"/>
  <c r="R411" i="36" s="1"/>
  <c r="AH480" i="36"/>
  <c r="S480" i="36" s="1"/>
  <c r="R480" i="36"/>
  <c r="R486" i="36" s="1"/>
  <c r="L66" i="36"/>
  <c r="P241" i="36"/>
  <c r="O238" i="36"/>
  <c r="O253" i="36" s="1"/>
  <c r="O265" i="36"/>
  <c r="O17" i="37"/>
  <c r="N16" i="37"/>
  <c r="P28" i="41" s="1"/>
  <c r="AH404" i="36"/>
  <c r="S404" i="36" s="1"/>
  <c r="R404" i="36"/>
  <c r="R410" i="36" s="1"/>
  <c r="S464" i="36"/>
  <c r="S345" i="36"/>
  <c r="S369" i="36" s="1"/>
  <c r="P304" i="36"/>
  <c r="P1108" i="36"/>
  <c r="P1153" i="36" s="1"/>
  <c r="P100" i="36"/>
  <c r="S461" i="36"/>
  <c r="S485" i="36" s="1"/>
  <c r="R460" i="36"/>
  <c r="R477" i="36" s="1"/>
  <c r="S383" i="36"/>
  <c r="R382" i="36"/>
  <c r="R397" i="36" s="1"/>
  <c r="R407" i="36"/>
  <c r="S647" i="36"/>
  <c r="S425" i="36"/>
  <c r="R449" i="36"/>
  <c r="S126" i="36"/>
  <c r="S302" i="36"/>
  <c r="M89" i="37"/>
  <c r="M97" i="37" s="1"/>
  <c r="M70" i="37"/>
  <c r="M43" i="37"/>
  <c r="M46" i="37"/>
  <c r="AH728" i="36"/>
  <c r="S728" i="36" s="1"/>
  <c r="S734" i="36" s="1"/>
  <c r="R728" i="36"/>
  <c r="R734" i="36" s="1"/>
  <c r="S751" i="36"/>
  <c r="R775" i="36"/>
  <c r="R933" i="36"/>
  <c r="AH933" i="36"/>
  <c r="S933" i="36" s="1"/>
  <c r="O622" i="36"/>
  <c r="N80" i="37"/>
  <c r="AG969" i="36" s="1"/>
  <c r="R969" i="36" s="1"/>
  <c r="N53" i="37"/>
  <c r="N56" i="37"/>
  <c r="Q667" i="36"/>
  <c r="L1107" i="36"/>
  <c r="L1155" i="36" s="1"/>
  <c r="L985" i="36"/>
  <c r="L77" i="36"/>
  <c r="M44" i="37"/>
  <c r="N38" i="37"/>
  <c r="N88" i="37"/>
  <c r="N96" i="37" s="1"/>
  <c r="N65" i="37"/>
  <c r="N42" i="37"/>
  <c r="Q438" i="36"/>
  <c r="N57" i="37"/>
  <c r="N936" i="36"/>
  <c r="Q472" i="36"/>
  <c r="Q466" i="36"/>
  <c r="Q475" i="36"/>
  <c r="S750" i="36"/>
  <c r="O202" i="36"/>
  <c r="P199" i="38" s="1"/>
  <c r="L78" i="40" s="1"/>
  <c r="N60" i="36"/>
  <c r="N226" i="36"/>
  <c r="N72" i="36" s="1"/>
  <c r="O20" i="37"/>
  <c r="S771" i="36"/>
  <c r="S646" i="36"/>
  <c r="R670" i="36"/>
  <c r="J1047" i="36"/>
  <c r="J1050" i="36" s="1"/>
  <c r="J24" i="36"/>
  <c r="R906" i="36"/>
  <c r="R905" i="36" s="1"/>
  <c r="M504" i="1"/>
  <c r="M503" i="1" s="1"/>
  <c r="S164" i="36"/>
  <c r="S386" i="36"/>
  <c r="O201" i="36"/>
  <c r="P185" i="38" s="1"/>
  <c r="L69" i="40" s="1"/>
  <c r="N59" i="36"/>
  <c r="N225" i="36"/>
  <c r="N71" i="36" s="1"/>
  <c r="O11" i="37"/>
  <c r="Q19" i="41" s="1"/>
  <c r="N116" i="36"/>
  <c r="O26" i="37"/>
  <c r="Q657" i="36"/>
  <c r="S462" i="36"/>
  <c r="R643" i="36"/>
  <c r="R660" i="36" s="1"/>
  <c r="S644" i="36"/>
  <c r="S243" i="36"/>
  <c r="R267" i="36"/>
  <c r="AH140" i="36"/>
  <c r="S140" i="36" s="1"/>
  <c r="R140" i="36"/>
  <c r="R146" i="36" s="1"/>
  <c r="O620" i="36"/>
  <c r="R180" i="36"/>
  <c r="R186" i="36" s="1"/>
  <c r="AH180" i="36"/>
  <c r="S180" i="36" s="1"/>
  <c r="S186" i="36" s="1"/>
  <c r="O10" i="37"/>
  <c r="S426" i="36"/>
  <c r="M48" i="37"/>
  <c r="M90" i="37"/>
  <c r="M75" i="37"/>
  <c r="M50" i="37"/>
  <c r="M49" i="37"/>
  <c r="M52" i="37"/>
  <c r="P913" i="36"/>
  <c r="O912" i="36"/>
  <c r="O929" i="36" s="1"/>
  <c r="O937" i="36"/>
  <c r="Q88" i="36"/>
  <c r="Q94" i="36"/>
  <c r="Q97" i="36"/>
  <c r="S87" i="36"/>
  <c r="R111" i="36"/>
  <c r="M429" i="1"/>
  <c r="M428" i="1" s="1"/>
  <c r="O113" i="36"/>
  <c r="O200" i="36"/>
  <c r="P171" i="38" s="1"/>
  <c r="L60" i="40" s="1"/>
  <c r="N58" i="36"/>
  <c r="N224" i="36"/>
  <c r="P917" i="36"/>
  <c r="O941" i="36"/>
  <c r="O24" i="37"/>
  <c r="N21" i="37"/>
  <c r="P37" i="41" s="1"/>
  <c r="M67" i="36"/>
  <c r="N918" i="36"/>
  <c r="N924" i="36"/>
  <c r="R107" i="36"/>
  <c r="S83" i="36"/>
  <c r="R82" i="36"/>
  <c r="R98" i="36" s="1"/>
  <c r="S701" i="36"/>
  <c r="P916" i="36"/>
  <c r="O940" i="36"/>
  <c r="H1047" i="36"/>
  <c r="H1050" i="36" s="1"/>
  <c r="H24" i="36"/>
  <c r="R143" i="36"/>
  <c r="R149" i="36" s="1"/>
  <c r="AH143" i="36"/>
  <c r="S143" i="36" s="1"/>
  <c r="Q445" i="36"/>
  <c r="O15" i="42" s="1"/>
  <c r="M65" i="36"/>
  <c r="AH299" i="36"/>
  <c r="S299" i="36" s="1"/>
  <c r="R299" i="36"/>
  <c r="R181" i="36"/>
  <c r="R187" i="36" s="1"/>
  <c r="AH181" i="36"/>
  <c r="S181" i="36" s="1"/>
  <c r="AH483" i="36"/>
  <c r="S483" i="36" s="1"/>
  <c r="R483" i="36"/>
  <c r="R489" i="36" s="1"/>
  <c r="N925" i="36"/>
  <c r="R298" i="36"/>
  <c r="AH298" i="36"/>
  <c r="S298" i="36" s="1"/>
  <c r="Q106" i="36"/>
  <c r="AK930" i="36"/>
  <c r="AL930" i="36" s="1"/>
  <c r="AM930" i="36" s="1"/>
  <c r="AN930" i="36" s="1"/>
  <c r="AO930" i="36" s="1"/>
  <c r="AP930" i="36" s="1"/>
  <c r="U930" i="36"/>
  <c r="V930" i="36" s="1"/>
  <c r="W930" i="36" s="1"/>
  <c r="X930" i="36" s="1"/>
  <c r="Y930" i="36" s="1"/>
  <c r="Z930" i="36" s="1"/>
  <c r="Q406" i="36"/>
  <c r="O14" i="42" s="1"/>
  <c r="Q281" i="36"/>
  <c r="Q305" i="36" s="1"/>
  <c r="S422" i="36"/>
  <c r="R421" i="36"/>
  <c r="R434" i="36" s="1"/>
  <c r="R446" i="36"/>
  <c r="L31" i="36"/>
  <c r="J7" i="41" s="1"/>
  <c r="O203" i="36"/>
  <c r="P213" i="38" s="1"/>
  <c r="L87" i="40" s="1"/>
  <c r="N61" i="36"/>
  <c r="N227" i="36"/>
  <c r="N73" i="36" s="1"/>
  <c r="M1107" i="36"/>
  <c r="M1155" i="36" s="1"/>
  <c r="M77" i="36"/>
  <c r="AH935" i="36"/>
  <c r="S935" i="36" s="1"/>
  <c r="R935" i="36"/>
  <c r="AH144" i="36"/>
  <c r="S144" i="36" s="1"/>
  <c r="R144" i="36"/>
  <c r="R150" i="36" s="1"/>
  <c r="R372" i="36"/>
  <c r="S348" i="36"/>
  <c r="O674" i="36"/>
  <c r="N55" i="37"/>
  <c r="M31" i="36"/>
  <c r="S989" i="36"/>
  <c r="S465" i="36"/>
  <c r="N254" i="36"/>
  <c r="Q355" i="36"/>
  <c r="Q349" i="36"/>
  <c r="Q359" i="36"/>
  <c r="Q358" i="36"/>
  <c r="R297" i="36"/>
  <c r="AH297" i="36"/>
  <c r="S297" i="36" s="1"/>
  <c r="O18" i="37"/>
  <c r="AH726" i="36"/>
  <c r="S726" i="36" s="1"/>
  <c r="R726" i="36"/>
  <c r="R732" i="36" s="1"/>
  <c r="Q433" i="36"/>
  <c r="Q427" i="36"/>
  <c r="Q435" i="36"/>
  <c r="R481" i="36"/>
  <c r="R487" i="36" s="1"/>
  <c r="AH481" i="36"/>
  <c r="S481" i="36" s="1"/>
  <c r="S487" i="36" s="1"/>
  <c r="M66" i="36"/>
  <c r="R110" i="36"/>
  <c r="S86" i="36"/>
  <c r="M92" i="37"/>
  <c r="M100" i="37" s="1"/>
  <c r="M60" i="37"/>
  <c r="M33" i="37"/>
  <c r="M87" i="37"/>
  <c r="M95" i="37" s="1"/>
  <c r="M34" i="37"/>
  <c r="M36" i="37"/>
  <c r="L95" i="37"/>
  <c r="AE193" i="36"/>
  <c r="P193" i="36" s="1"/>
  <c r="P192" i="36" s="1"/>
  <c r="R409" i="36"/>
  <c r="O191" i="36"/>
  <c r="O194" i="36" s="1"/>
  <c r="P242" i="36"/>
  <c r="O266" i="36"/>
  <c r="S447" i="36"/>
  <c r="R121" i="36"/>
  <c r="R135" i="36" s="1"/>
  <c r="S122" i="36"/>
  <c r="O377" i="36"/>
  <c r="AH934" i="36"/>
  <c r="S934" i="36" s="1"/>
  <c r="R934" i="36"/>
  <c r="S264" i="36"/>
  <c r="S124" i="36"/>
  <c r="R148" i="36"/>
  <c r="M479" i="1"/>
  <c r="M478" i="1" s="1"/>
  <c r="Q731" i="36"/>
  <c r="Q713" i="36"/>
  <c r="Q719" i="36"/>
  <c r="Q722" i="36"/>
  <c r="Q721" i="36"/>
  <c r="Q723" i="36"/>
  <c r="S749" i="36"/>
  <c r="R773" i="36"/>
  <c r="O619" i="36"/>
  <c r="AH260" i="36"/>
  <c r="S260" i="36" s="1"/>
  <c r="R260" i="36"/>
  <c r="AH141" i="36"/>
  <c r="S141" i="36" s="1"/>
  <c r="R141" i="36"/>
  <c r="R147" i="36" s="1"/>
  <c r="O413" i="36"/>
  <c r="O416" i="36" s="1"/>
  <c r="O738" i="36"/>
  <c r="O741" i="36" s="1"/>
  <c r="O742" i="36" s="1"/>
  <c r="Q660" i="36"/>
  <c r="O8" i="37"/>
  <c r="N6" i="37"/>
  <c r="P10" i="41" s="1"/>
  <c r="AH365" i="36"/>
  <c r="S365" i="36" s="1"/>
  <c r="S371" i="36" s="1"/>
  <c r="R365" i="36"/>
  <c r="R371" i="36" s="1"/>
  <c r="Q356" i="36"/>
  <c r="Q134" i="36"/>
  <c r="S165" i="36"/>
  <c r="R189" i="36"/>
  <c r="N415" i="1"/>
  <c r="N421" i="1" s="1"/>
  <c r="N429" i="1" s="1"/>
  <c r="N428" i="1" s="1"/>
  <c r="AD415" i="1"/>
  <c r="L705" i="1"/>
  <c r="M705" i="1" s="1"/>
  <c r="N574" i="1"/>
  <c r="N573" i="1" s="1"/>
  <c r="L703" i="1"/>
  <c r="M703" i="1" s="1"/>
  <c r="L701" i="1"/>
  <c r="AM284" i="2"/>
  <c r="W284" i="2"/>
  <c r="AG77" i="3"/>
  <c r="Q77" i="3"/>
  <c r="AD515" i="1"/>
  <c r="N515" i="1"/>
  <c r="N521" i="1" s="1"/>
  <c r="N529" i="1" s="1"/>
  <c r="N528" i="1" s="1"/>
  <c r="K110" i="3"/>
  <c r="K112" i="3"/>
  <c r="K214" i="5" s="1"/>
  <c r="N440" i="1"/>
  <c r="N446" i="1" s="1"/>
  <c r="N454" i="1" s="1"/>
  <c r="N453" i="1" s="1"/>
  <c r="AD440" i="1"/>
  <c r="AL120" i="2"/>
  <c r="V120" i="2"/>
  <c r="P51" i="5"/>
  <c r="O434" i="1"/>
  <c r="AE434" i="1"/>
  <c r="J113" i="3"/>
  <c r="P80" i="3"/>
  <c r="P79" i="3" s="1"/>
  <c r="N496" i="1"/>
  <c r="N504" i="1" s="1"/>
  <c r="N503" i="1" s="1"/>
  <c r="Q579" i="1"/>
  <c r="M67" i="1"/>
  <c r="M100" i="1"/>
  <c r="M99" i="1" s="1"/>
  <c r="M74" i="1" s="1"/>
  <c r="M675" i="1"/>
  <c r="M720" i="1" s="1"/>
  <c r="L145" i="3"/>
  <c r="AD111" i="1"/>
  <c r="N111" i="1"/>
  <c r="N117" i="1" s="1"/>
  <c r="N125" i="1" s="1"/>
  <c r="N124" i="1" s="1"/>
  <c r="L350" i="2"/>
  <c r="L27" i="5"/>
  <c r="I13" i="34"/>
  <c r="Q13" i="34" s="1"/>
  <c r="I762" i="2"/>
  <c r="AF73" i="4"/>
  <c r="P73" i="4"/>
  <c r="P79" i="4" s="1"/>
  <c r="N465" i="1"/>
  <c r="N471" i="1" s="1"/>
  <c r="N479" i="1" s="1"/>
  <c r="N478" i="1" s="1"/>
  <c r="AD465" i="1"/>
  <c r="L27" i="1"/>
  <c r="L34" i="1"/>
  <c r="L12" i="1"/>
  <c r="L602" i="1" s="1"/>
  <c r="L48" i="1"/>
  <c r="L49" i="1" s="1"/>
  <c r="H22" i="1"/>
  <c r="H614" i="1"/>
  <c r="H617" i="1" s="1"/>
  <c r="H73" i="5"/>
  <c r="E74" i="34" s="1"/>
  <c r="P64" i="3"/>
  <c r="P63" i="3" s="1"/>
  <c r="P62" i="3"/>
  <c r="P50" i="5"/>
  <c r="M28" i="1"/>
  <c r="O307" i="1"/>
  <c r="AE307" i="1"/>
  <c r="L629" i="1"/>
  <c r="O105" i="1"/>
  <c r="AE105" i="1"/>
  <c r="AF39" i="3"/>
  <c r="P39" i="3"/>
  <c r="N550" i="1"/>
  <c r="N556" i="1" s="1"/>
  <c r="AD550" i="1"/>
  <c r="K22" i="1"/>
  <c r="K614" i="1"/>
  <c r="K617" i="1" s="1"/>
  <c r="K73" i="5"/>
  <c r="H74" i="34" s="1"/>
  <c r="S164" i="4"/>
  <c r="S167" i="4" s="1"/>
  <c r="R167" i="4"/>
  <c r="AE357" i="1"/>
  <c r="O357" i="1"/>
  <c r="P544" i="1"/>
  <c r="AF544" i="1"/>
  <c r="AF257" i="1"/>
  <c r="P257" i="1"/>
  <c r="W647" i="2"/>
  <c r="R626" i="2"/>
  <c r="O20" i="34"/>
  <c r="L690" i="1"/>
  <c r="L687" i="1"/>
  <c r="AP518" i="2"/>
  <c r="Z518" i="2"/>
  <c r="W559" i="2"/>
  <c r="AM559" i="2"/>
  <c r="AG459" i="1"/>
  <c r="R459" i="1" s="1"/>
  <c r="Q459" i="1"/>
  <c r="J754" i="2"/>
  <c r="J759" i="2"/>
  <c r="M352" i="1"/>
  <c r="M351" i="1" s="1"/>
  <c r="AP395" i="2"/>
  <c r="I113" i="3"/>
  <c r="O173" i="4"/>
  <c r="M564" i="1"/>
  <c r="M563" i="1" s="1"/>
  <c r="L91" i="4"/>
  <c r="AN202" i="2"/>
  <c r="X202" i="2"/>
  <c r="Q768" i="2"/>
  <c r="H113" i="3"/>
  <c r="H214" i="5"/>
  <c r="R65" i="3"/>
  <c r="AO65" i="3"/>
  <c r="Y65" i="3"/>
  <c r="I22" i="1"/>
  <c r="I614" i="1"/>
  <c r="I617" i="1" s="1"/>
  <c r="AD363" i="1"/>
  <c r="N363" i="1"/>
  <c r="N369" i="1" s="1"/>
  <c r="P20" i="34"/>
  <c r="R20" i="34" s="1"/>
  <c r="S626" i="2"/>
  <c r="L605" i="1"/>
  <c r="L625" i="1" s="1"/>
  <c r="AE186" i="1"/>
  <c r="O186" i="1"/>
  <c r="O192" i="1" s="1"/>
  <c r="O200" i="1" s="1"/>
  <c r="O199" i="1" s="1"/>
  <c r="O571" i="1"/>
  <c r="AE332" i="1"/>
  <c r="O332" i="1"/>
  <c r="P155" i="1"/>
  <c r="AF155" i="1"/>
  <c r="N55" i="1"/>
  <c r="Q7" i="2"/>
  <c r="R7" i="22"/>
  <c r="Q193" i="5"/>
  <c r="Q194" i="5"/>
  <c r="R9" i="5"/>
  <c r="P569" i="1"/>
  <c r="AF569" i="1"/>
  <c r="H66" i="5"/>
  <c r="H72" i="5"/>
  <c r="E58" i="34" s="1"/>
  <c r="J72" i="5"/>
  <c r="G58" i="34" s="1"/>
  <c r="L39" i="4"/>
  <c r="I89" i="34"/>
  <c r="J693" i="2"/>
  <c r="J211" i="5" s="1"/>
  <c r="J691" i="2"/>
  <c r="Q709" i="1"/>
  <c r="P87" i="4"/>
  <c r="AF87" i="4"/>
  <c r="O86" i="4"/>
  <c r="O85" i="4" s="1"/>
  <c r="AD263" i="1"/>
  <c r="N263" i="1"/>
  <c r="N269" i="1" s="1"/>
  <c r="AF409" i="1"/>
  <c r="P409" i="1"/>
  <c r="Q67" i="4"/>
  <c r="AG67" i="4"/>
  <c r="AD161" i="1"/>
  <c r="N161" i="1"/>
  <c r="N167" i="1" s="1"/>
  <c r="N175" i="1" s="1"/>
  <c r="N174" i="1" s="1"/>
  <c r="W325" i="2"/>
  <c r="AM325" i="2"/>
  <c r="AE63" i="4"/>
  <c r="V63" i="4"/>
  <c r="O63" i="4"/>
  <c r="AE80" i="1"/>
  <c r="O80" i="1"/>
  <c r="H21" i="34"/>
  <c r="H103" i="34" s="1"/>
  <c r="M701" i="1"/>
  <c r="AC313" i="1"/>
  <c r="M313" i="1"/>
  <c r="M319" i="1" s="1"/>
  <c r="H691" i="2"/>
  <c r="H693" i="2"/>
  <c r="L46" i="5"/>
  <c r="I55" i="34"/>
  <c r="AE205" i="1"/>
  <c r="O205" i="1"/>
  <c r="Q61" i="3"/>
  <c r="AG61" i="3"/>
  <c r="W95" i="4"/>
  <c r="P95" i="4"/>
  <c r="Y635" i="2"/>
  <c r="N707" i="1"/>
  <c r="AD338" i="1"/>
  <c r="N338" i="1"/>
  <c r="N344" i="1" s="1"/>
  <c r="M277" i="1"/>
  <c r="M276" i="1" s="1"/>
  <c r="AF282" i="1"/>
  <c r="P282" i="1"/>
  <c r="I54" i="34"/>
  <c r="L53" i="5"/>
  <c r="L52" i="5" s="1"/>
  <c r="AF130" i="1"/>
  <c r="P130" i="1"/>
  <c r="J22" i="1"/>
  <c r="J614" i="1"/>
  <c r="J617" i="1" s="1"/>
  <c r="J73" i="5"/>
  <c r="G74" i="34" s="1"/>
  <c r="AN161" i="2"/>
  <c r="AF97" i="4"/>
  <c r="P97" i="4"/>
  <c r="E21" i="34"/>
  <c r="U358" i="2"/>
  <c r="G21" i="34"/>
  <c r="G103" i="34" s="1"/>
  <c r="M211" i="1"/>
  <c r="M217" i="1" s="1"/>
  <c r="AC211" i="1"/>
  <c r="N288" i="1"/>
  <c r="N294" i="1" s="1"/>
  <c r="AD288" i="1"/>
  <c r="Q593" i="1"/>
  <c r="F21" i="34"/>
  <c r="F103" i="34" s="1"/>
  <c r="AE490" i="1"/>
  <c r="O490" i="1"/>
  <c r="K693" i="2"/>
  <c r="K211" i="5" s="1"/>
  <c r="K691" i="2"/>
  <c r="M608" i="1"/>
  <c r="Q28" i="5"/>
  <c r="Q628" i="2"/>
  <c r="Q627" i="2" s="1"/>
  <c r="AG180" i="1"/>
  <c r="R180" i="1" s="1"/>
  <c r="Q180" i="1"/>
  <c r="AE484" i="1"/>
  <c r="O484" i="1"/>
  <c r="AF570" i="1"/>
  <c r="P570" i="1"/>
  <c r="H754" i="2"/>
  <c r="H759" i="2"/>
  <c r="P93" i="4"/>
  <c r="AF93" i="4"/>
  <c r="M377" i="1"/>
  <c r="M376" i="1" s="1"/>
  <c r="N384" i="1"/>
  <c r="I694" i="2"/>
  <c r="N232" i="1"/>
  <c r="K72" i="5"/>
  <c r="H58" i="34" s="1"/>
  <c r="Q534" i="1"/>
  <c r="P45" i="1"/>
  <c r="P39" i="1" s="1"/>
  <c r="P538" i="1"/>
  <c r="P537" i="1" s="1"/>
  <c r="AN477" i="2"/>
  <c r="L353" i="2"/>
  <c r="L354" i="2" s="1"/>
  <c r="I66" i="34" s="1"/>
  <c r="L352" i="2"/>
  <c r="Q81" i="3"/>
  <c r="X81" i="3"/>
  <c r="AN81" i="3"/>
  <c r="AE136" i="1" l="1"/>
  <c r="AD86" i="1"/>
  <c r="R157" i="38"/>
  <c r="P959" i="36"/>
  <c r="AF959" i="36"/>
  <c r="L42" i="41"/>
  <c r="N956" i="36"/>
  <c r="N968" i="36" s="1"/>
  <c r="P965" i="36"/>
  <c r="M51" i="34" s="1"/>
  <c r="O876" i="36"/>
  <c r="O875" i="36"/>
  <c r="O877" i="36"/>
  <c r="O880" i="36"/>
  <c r="O878" i="36"/>
  <c r="O879" i="36"/>
  <c r="Q868" i="36"/>
  <c r="P863" i="36"/>
  <c r="P892" i="36"/>
  <c r="O592" i="36"/>
  <c r="O594" i="36"/>
  <c r="O590" i="36"/>
  <c r="O589" i="36"/>
  <c r="O591" i="36"/>
  <c r="O593" i="36"/>
  <c r="Q582" i="36"/>
  <c r="P577" i="36"/>
  <c r="P606" i="36"/>
  <c r="R702" i="36"/>
  <c r="R703" i="36" s="1"/>
  <c r="O42" i="34"/>
  <c r="Q725" i="36"/>
  <c r="N40" i="34"/>
  <c r="Q764" i="36"/>
  <c r="N41" i="34"/>
  <c r="K239" i="5"/>
  <c r="M454" i="1"/>
  <c r="M453" i="1" s="1"/>
  <c r="N24" i="34"/>
  <c r="O6" i="42"/>
  <c r="M78" i="36"/>
  <c r="J76" i="34" s="1"/>
  <c r="K32" i="42"/>
  <c r="K55" i="42" s="1"/>
  <c r="P495" i="36"/>
  <c r="M82" i="34" s="1"/>
  <c r="N43" i="42"/>
  <c r="O417" i="36"/>
  <c r="L80" i="34" s="1"/>
  <c r="M41" i="42"/>
  <c r="M64" i="42" s="1"/>
  <c r="O195" i="36"/>
  <c r="M35" i="42"/>
  <c r="M58" i="42" s="1"/>
  <c r="N117" i="36"/>
  <c r="L33" i="42"/>
  <c r="L56" i="42" s="1"/>
  <c r="O378" i="36"/>
  <c r="L79" i="34" s="1"/>
  <c r="M40" i="42"/>
  <c r="M63" i="42" s="1"/>
  <c r="P456" i="36"/>
  <c r="M81" i="34" s="1"/>
  <c r="N42" i="42"/>
  <c r="N65" i="42" s="1"/>
  <c r="P156" i="36"/>
  <c r="N34" i="42"/>
  <c r="N57" i="42" s="1"/>
  <c r="L78" i="36"/>
  <c r="I76" i="34" s="1"/>
  <c r="J32" i="42"/>
  <c r="J55" i="42" s="1"/>
  <c r="Q55" i="34"/>
  <c r="Q54" i="34"/>
  <c r="Q36" i="25"/>
  <c r="Q55" i="25"/>
  <c r="R50" i="25"/>
  <c r="R53" i="25" s="1"/>
  <c r="N8" i="40"/>
  <c r="N111" i="38"/>
  <c r="J72" i="41"/>
  <c r="S188" i="38"/>
  <c r="O13" i="40" s="1"/>
  <c r="N1" i="37"/>
  <c r="O49" i="34"/>
  <c r="O48" i="34"/>
  <c r="K62" i="41"/>
  <c r="K63" i="41"/>
  <c r="K65" i="41" s="1"/>
  <c r="K66" i="41" s="1"/>
  <c r="AG221" i="36"/>
  <c r="Q221" i="36"/>
  <c r="AG219" i="36"/>
  <c r="Q219" i="36"/>
  <c r="K71" i="41"/>
  <c r="K72" i="41"/>
  <c r="K74" i="41" s="1"/>
  <c r="K75" i="41" s="1"/>
  <c r="M172" i="38"/>
  <c r="J52" i="41"/>
  <c r="J54" i="41" s="1"/>
  <c r="N214" i="38"/>
  <c r="H206" i="38" s="1"/>
  <c r="J86" i="40" s="1"/>
  <c r="J88" i="40" s="1"/>
  <c r="K79" i="41"/>
  <c r="K81" i="41" s="1"/>
  <c r="K83" i="41" s="1"/>
  <c r="K84" i="41" s="1"/>
  <c r="AF509" i="1"/>
  <c r="P509" i="1"/>
  <c r="K53" i="41"/>
  <c r="Q218" i="36"/>
  <c r="AG218" i="36"/>
  <c r="Q61" i="19"/>
  <c r="Q69" i="19" s="1"/>
  <c r="J16" i="41"/>
  <c r="AG220" i="36"/>
  <c r="Q220" i="36"/>
  <c r="O200" i="38"/>
  <c r="L70" i="41"/>
  <c r="L72" i="41" s="1"/>
  <c r="O186" i="38"/>
  <c r="L61" i="41"/>
  <c r="L63" i="41" s="1"/>
  <c r="O214" i="38"/>
  <c r="L79" i="41"/>
  <c r="L81" i="41" s="1"/>
  <c r="O123" i="38"/>
  <c r="O121" i="38" s="1"/>
  <c r="L43" i="41"/>
  <c r="K36" i="41"/>
  <c r="K27" i="41"/>
  <c r="J37" i="40"/>
  <c r="AH980" i="36"/>
  <c r="S980" i="36" s="1"/>
  <c r="P87" i="34" s="1"/>
  <c r="R87" i="34" s="1"/>
  <c r="R980" i="36"/>
  <c r="K18" i="41"/>
  <c r="N85" i="38"/>
  <c r="I30" i="40"/>
  <c r="N87" i="34"/>
  <c r="Q979" i="36"/>
  <c r="Q978" i="36" s="1"/>
  <c r="M97" i="38"/>
  <c r="M98" i="38" s="1"/>
  <c r="J25" i="41"/>
  <c r="M110" i="38"/>
  <c r="J34" i="41"/>
  <c r="N71" i="38"/>
  <c r="N72" i="38" s="1"/>
  <c r="K7" i="41"/>
  <c r="J9" i="41"/>
  <c r="N150" i="24"/>
  <c r="N101" i="3"/>
  <c r="N256" i="36"/>
  <c r="N270" i="36" s="1"/>
  <c r="N269" i="36" s="1"/>
  <c r="N272" i="36" s="1"/>
  <c r="K28" i="34"/>
  <c r="Q178" i="36"/>
  <c r="N26" i="34"/>
  <c r="Q661" i="36"/>
  <c r="N39" i="34"/>
  <c r="M98" i="37"/>
  <c r="O57" i="37"/>
  <c r="O39" i="37"/>
  <c r="N51" i="37"/>
  <c r="N47" i="37"/>
  <c r="N37" i="37"/>
  <c r="O40" i="37"/>
  <c r="Q139" i="36"/>
  <c r="N25" i="34"/>
  <c r="N144" i="3"/>
  <c r="N340" i="2"/>
  <c r="N342" i="2"/>
  <c r="N345" i="2"/>
  <c r="N24" i="2" s="1"/>
  <c r="N18" i="2" s="1"/>
  <c r="N22" i="3"/>
  <c r="O49" i="5"/>
  <c r="O20" i="5"/>
  <c r="O328" i="5" s="1"/>
  <c r="U97" i="3"/>
  <c r="N97" i="3"/>
  <c r="N96" i="3" s="1"/>
  <c r="N95" i="5" s="1"/>
  <c r="M17" i="2"/>
  <c r="N172" i="38"/>
  <c r="P568" i="2"/>
  <c r="O592" i="2"/>
  <c r="O348" i="2" s="1"/>
  <c r="T119" i="38"/>
  <c r="P50" i="40" s="1"/>
  <c r="P48" i="40"/>
  <c r="O41" i="37"/>
  <c r="O591" i="2"/>
  <c r="O347" i="2" s="1"/>
  <c r="P567" i="2"/>
  <c r="P335" i="2" s="1"/>
  <c r="L105" i="3"/>
  <c r="L108" i="3"/>
  <c r="P565" i="2"/>
  <c r="O589" i="2"/>
  <c r="O564" i="2"/>
  <c r="N588" i="2"/>
  <c r="N563" i="2"/>
  <c r="N576" i="2" s="1"/>
  <c r="N332" i="2"/>
  <c r="N11" i="2" s="1"/>
  <c r="L597" i="2"/>
  <c r="N598" i="2" s="1"/>
  <c r="L575" i="2"/>
  <c r="L579" i="2"/>
  <c r="L578" i="2"/>
  <c r="L577" i="2"/>
  <c r="L580" i="2"/>
  <c r="O964" i="36"/>
  <c r="O961" i="36" s="1"/>
  <c r="M42" i="41" s="1"/>
  <c r="O951" i="36"/>
  <c r="R143" i="24"/>
  <c r="Q140" i="24"/>
  <c r="R141" i="24"/>
  <c r="P141" i="24"/>
  <c r="E139" i="24"/>
  <c r="S142" i="24"/>
  <c r="S143" i="24"/>
  <c r="R140" i="24"/>
  <c r="S141" i="24"/>
  <c r="O140" i="24"/>
  <c r="S144" i="24"/>
  <c r="P140" i="24"/>
  <c r="S140" i="24"/>
  <c r="Q141" i="24"/>
  <c r="Q142" i="24"/>
  <c r="R142" i="24"/>
  <c r="P33" i="3"/>
  <c r="P45" i="3" s="1"/>
  <c r="P54" i="3" s="1"/>
  <c r="P15" i="3" s="1"/>
  <c r="AF33" i="3"/>
  <c r="N40" i="5"/>
  <c r="AF954" i="36"/>
  <c r="P954" i="36"/>
  <c r="P566" i="2"/>
  <c r="P334" i="2" s="1"/>
  <c r="O590" i="2"/>
  <c r="O346" i="2" s="1"/>
  <c r="L160" i="3"/>
  <c r="L155" i="3"/>
  <c r="L169" i="3"/>
  <c r="N169" i="3" s="1"/>
  <c r="O169" i="3" s="1"/>
  <c r="P169" i="3" s="1"/>
  <c r="Q169" i="3" s="1"/>
  <c r="R169" i="3" s="1"/>
  <c r="S169" i="3" s="1"/>
  <c r="M18" i="2"/>
  <c r="N186" i="38"/>
  <c r="E164" i="24"/>
  <c r="S167" i="24"/>
  <c r="R166" i="24"/>
  <c r="P166" i="24"/>
  <c r="O165" i="24"/>
  <c r="S169" i="24"/>
  <c r="S166" i="24"/>
  <c r="Q165" i="24"/>
  <c r="Q166" i="24"/>
  <c r="S168" i="24"/>
  <c r="Q167" i="24"/>
  <c r="R165" i="24"/>
  <c r="S165" i="24"/>
  <c r="R168" i="24"/>
  <c r="R167" i="24"/>
  <c r="P165" i="24"/>
  <c r="T80" i="38"/>
  <c r="P29" i="40" s="1"/>
  <c r="P27" i="40"/>
  <c r="L110" i="4"/>
  <c r="L113" i="4" s="1"/>
  <c r="L153" i="4"/>
  <c r="L177" i="4" s="1"/>
  <c r="M19" i="2"/>
  <c r="N200" i="38"/>
  <c r="AD95" i="3"/>
  <c r="U95" i="3"/>
  <c r="V95" i="3" s="1"/>
  <c r="W95" i="3" s="1"/>
  <c r="X95" i="3" s="1"/>
  <c r="Y95" i="3" s="1"/>
  <c r="Z95" i="3" s="1"/>
  <c r="N95" i="3"/>
  <c r="N94" i="3" s="1"/>
  <c r="N84" i="5" s="1"/>
  <c r="J329" i="5"/>
  <c r="I329" i="5"/>
  <c r="N52" i="34"/>
  <c r="J239" i="5"/>
  <c r="J274" i="5"/>
  <c r="I239" i="5"/>
  <c r="I274" i="5"/>
  <c r="R117" i="5"/>
  <c r="R116" i="5"/>
  <c r="R41" i="5"/>
  <c r="R150" i="38"/>
  <c r="Q99" i="24" s="1"/>
  <c r="S202" i="38"/>
  <c r="S216" i="38"/>
  <c r="S174" i="38"/>
  <c r="R192" i="5"/>
  <c r="N546" i="2"/>
  <c r="O13" i="2"/>
  <c r="M70" i="41" s="1"/>
  <c r="N21" i="2"/>
  <c r="N555" i="2"/>
  <c r="N557" i="2"/>
  <c r="L331" i="2"/>
  <c r="L337" i="2" s="1"/>
  <c r="O14" i="2"/>
  <c r="M79" i="41" s="1"/>
  <c r="O548" i="2"/>
  <c r="P524" i="2"/>
  <c r="P522" i="2" s="1"/>
  <c r="O333" i="2"/>
  <c r="O12" i="2" s="1"/>
  <c r="P550" i="2"/>
  <c r="Q526" i="2"/>
  <c r="N26" i="2"/>
  <c r="N20" i="2" s="1"/>
  <c r="P549" i="2"/>
  <c r="Q525" i="2"/>
  <c r="O15" i="2"/>
  <c r="Q523" i="2"/>
  <c r="P547" i="2"/>
  <c r="P551" i="2"/>
  <c r="Q527" i="2"/>
  <c r="O522" i="2"/>
  <c r="N537" i="2"/>
  <c r="N534" i="2"/>
  <c r="N539" i="2"/>
  <c r="N535" i="2"/>
  <c r="N538" i="2"/>
  <c r="P487" i="2"/>
  <c r="Q487" i="2"/>
  <c r="P446" i="2"/>
  <c r="O301" i="2"/>
  <c r="P405" i="2"/>
  <c r="M20" i="2"/>
  <c r="O304" i="2"/>
  <c r="N364" i="2"/>
  <c r="O300" i="2"/>
  <c r="N321" i="2"/>
  <c r="N323" i="2"/>
  <c r="O303" i="2"/>
  <c r="O312" i="2"/>
  <c r="O69" i="2"/>
  <c r="P317" i="2"/>
  <c r="P73" i="2" s="1"/>
  <c r="Q293" i="2"/>
  <c r="P61" i="2"/>
  <c r="O67" i="2"/>
  <c r="Q291" i="2"/>
  <c r="P59" i="2"/>
  <c r="P315" i="2"/>
  <c r="P71" i="2" s="1"/>
  <c r="Q292" i="2"/>
  <c r="P316" i="2"/>
  <c r="P72" i="2" s="1"/>
  <c r="P60" i="2"/>
  <c r="O66" i="2"/>
  <c r="P314" i="2"/>
  <c r="P70" i="2" s="1"/>
  <c r="Q290" i="2"/>
  <c r="P58" i="2"/>
  <c r="N25" i="2"/>
  <c r="N19" i="2" s="1"/>
  <c r="N65" i="2"/>
  <c r="P288" i="2"/>
  <c r="Q289" i="2"/>
  <c r="P313" i="2"/>
  <c r="P57" i="2"/>
  <c r="O302" i="2"/>
  <c r="O65" i="2"/>
  <c r="O64" i="2"/>
  <c r="N56" i="2"/>
  <c r="N294" i="2"/>
  <c r="P253" i="2"/>
  <c r="Q212" i="2"/>
  <c r="P171" i="2"/>
  <c r="P130" i="2"/>
  <c r="M10" i="2"/>
  <c r="M16" i="2" s="1"/>
  <c r="M62" i="2"/>
  <c r="Q89" i="2"/>
  <c r="S766" i="2"/>
  <c r="L338" i="2"/>
  <c r="AK540" i="2"/>
  <c r="AL540" i="2" s="1"/>
  <c r="AM540" i="2" s="1"/>
  <c r="AN540" i="2" s="1"/>
  <c r="AO540" i="2" s="1"/>
  <c r="AP540" i="2" s="1"/>
  <c r="L581" i="2"/>
  <c r="U581" i="2" s="1"/>
  <c r="V581" i="2" s="1"/>
  <c r="W581" i="2" s="1"/>
  <c r="X581" i="2" s="1"/>
  <c r="Y581" i="2" s="1"/>
  <c r="Z581" i="2" s="1"/>
  <c r="U563" i="2"/>
  <c r="V563" i="2" s="1"/>
  <c r="W563" i="2" s="1"/>
  <c r="X563" i="2" s="1"/>
  <c r="Y563" i="2" s="1"/>
  <c r="Z563" i="2" s="1"/>
  <c r="AK563" i="2"/>
  <c r="AL563" i="2" s="1"/>
  <c r="AM563" i="2" s="1"/>
  <c r="AN563" i="2" s="1"/>
  <c r="AO563" i="2" s="1"/>
  <c r="AP563" i="2" s="1"/>
  <c r="O291" i="36"/>
  <c r="O290" i="36"/>
  <c r="O283" i="36"/>
  <c r="O289" i="36"/>
  <c r="O292" i="36"/>
  <c r="O301" i="36"/>
  <c r="R656" i="36"/>
  <c r="R173" i="36"/>
  <c r="R172" i="36"/>
  <c r="R174" i="36"/>
  <c r="R177" i="36"/>
  <c r="R166" i="36"/>
  <c r="R175" i="36"/>
  <c r="O294" i="36"/>
  <c r="O20" i="24"/>
  <c r="N35" i="37"/>
  <c r="N44" i="37"/>
  <c r="N45" i="37"/>
  <c r="O55" i="37"/>
  <c r="Q282" i="36"/>
  <c r="P306" i="36"/>
  <c r="Q279" i="36"/>
  <c r="P303" i="36"/>
  <c r="N34" i="5"/>
  <c r="K29" i="34" s="1"/>
  <c r="N295" i="36"/>
  <c r="N309" i="36" s="1"/>
  <c r="P277" i="36"/>
  <c r="P293" i="36" s="1"/>
  <c r="M71" i="38"/>
  <c r="Q478" i="36"/>
  <c r="N34" i="34"/>
  <c r="Q361" i="36"/>
  <c r="N31" i="34"/>
  <c r="R398" i="36"/>
  <c r="O254" i="36"/>
  <c r="Q400" i="36"/>
  <c r="N32" i="34"/>
  <c r="Q439" i="36"/>
  <c r="N33" i="34"/>
  <c r="R762" i="36"/>
  <c r="N930" i="36"/>
  <c r="N944" i="36" s="1"/>
  <c r="N945" i="36" s="1"/>
  <c r="N39" i="5"/>
  <c r="K46" i="34" s="1"/>
  <c r="R760" i="36"/>
  <c r="R763" i="36"/>
  <c r="R37" i="5"/>
  <c r="S112" i="38"/>
  <c r="S86" i="38"/>
  <c r="O9" i="40" s="1"/>
  <c r="S73" i="38"/>
  <c r="S125" i="38"/>
  <c r="O11" i="40" s="1"/>
  <c r="R474" i="36"/>
  <c r="O112" i="38"/>
  <c r="O106" i="38"/>
  <c r="R476" i="36"/>
  <c r="O621" i="36"/>
  <c r="R137" i="36"/>
  <c r="M403" i="1"/>
  <c r="M404" i="1" s="1"/>
  <c r="M405" i="1" s="1"/>
  <c r="R759" i="36"/>
  <c r="R752" i="36"/>
  <c r="R758" i="36"/>
  <c r="AF779" i="36"/>
  <c r="Q779" i="36" s="1"/>
  <c r="Q778" i="36" s="1"/>
  <c r="Q777" i="36" s="1"/>
  <c r="Q780" i="36" s="1"/>
  <c r="Q781" i="36" s="1"/>
  <c r="AF115" i="36"/>
  <c r="Q115" i="36" s="1"/>
  <c r="Q114" i="36" s="1"/>
  <c r="R356" i="36"/>
  <c r="AF415" i="36"/>
  <c r="Q415" i="36" s="1"/>
  <c r="Q414" i="36" s="1"/>
  <c r="R136" i="36"/>
  <c r="R438" i="36"/>
  <c r="R436" i="36"/>
  <c r="S746" i="36"/>
  <c r="S759" i="36" s="1"/>
  <c r="S732" i="36"/>
  <c r="O927" i="36"/>
  <c r="R437" i="36"/>
  <c r="R731" i="36"/>
  <c r="O928" i="36"/>
  <c r="R658" i="36"/>
  <c r="AF454" i="36"/>
  <c r="Q454" i="36" s="1"/>
  <c r="Q453" i="36" s="1"/>
  <c r="Q452" i="36" s="1"/>
  <c r="Q455" i="36" s="1"/>
  <c r="AF740" i="36"/>
  <c r="Q740" i="36" s="1"/>
  <c r="Q739" i="36" s="1"/>
  <c r="O262" i="36"/>
  <c r="M10" i="42" s="1"/>
  <c r="R659" i="36"/>
  <c r="R445" i="36"/>
  <c r="P15" i="42" s="1"/>
  <c r="S160" i="36"/>
  <c r="S172" i="36" s="1"/>
  <c r="R134" i="36"/>
  <c r="S702" i="36"/>
  <c r="S703" i="36" s="1"/>
  <c r="R770" i="36"/>
  <c r="R357" i="36"/>
  <c r="R484" i="36"/>
  <c r="P16" i="42" s="1"/>
  <c r="R184" i="36"/>
  <c r="P8" i="42" s="1"/>
  <c r="O6" i="37"/>
  <c r="Q10" i="41" s="1"/>
  <c r="Q242" i="36"/>
  <c r="P266" i="36"/>
  <c r="S421" i="36"/>
  <c r="S438" i="36" s="1"/>
  <c r="S446" i="36"/>
  <c r="P200" i="36"/>
  <c r="Q171" i="38" s="1"/>
  <c r="M60" i="40" s="1"/>
  <c r="O224" i="36"/>
  <c r="O58" i="36"/>
  <c r="S670" i="36"/>
  <c r="S108" i="36"/>
  <c r="S263" i="36"/>
  <c r="K1052" i="36"/>
  <c r="K1144" i="36"/>
  <c r="K1054" i="36"/>
  <c r="K212" i="5" s="1"/>
  <c r="N67" i="36"/>
  <c r="H1054" i="36"/>
  <c r="H1144" i="36"/>
  <c r="H1052" i="36"/>
  <c r="S267" i="36"/>
  <c r="O244" i="36"/>
  <c r="O250" i="36"/>
  <c r="O252" i="36"/>
  <c r="O251" i="36"/>
  <c r="O255" i="36"/>
  <c r="P674" i="36"/>
  <c r="S775" i="36"/>
  <c r="P619" i="36"/>
  <c r="O677" i="36"/>
  <c r="O678" i="36" s="1"/>
  <c r="O21" i="37"/>
  <c r="Q37" i="41" s="1"/>
  <c r="Q913" i="36"/>
  <c r="P912" i="36"/>
  <c r="P926" i="36" s="1"/>
  <c r="P937" i="36"/>
  <c r="R655" i="36"/>
  <c r="R649" i="36"/>
  <c r="O38" i="37"/>
  <c r="O65" i="37"/>
  <c r="O88" i="37"/>
  <c r="O96" i="37" s="1"/>
  <c r="O42" i="37"/>
  <c r="S486" i="36"/>
  <c r="S368" i="36"/>
  <c r="S343" i="36"/>
  <c r="S360" i="36" s="1"/>
  <c r="S147" i="36"/>
  <c r="S707" i="36"/>
  <c r="S724" i="36" s="1"/>
  <c r="S672" i="36"/>
  <c r="Q241" i="36"/>
  <c r="P238" i="36"/>
  <c r="P254" i="36" s="1"/>
  <c r="P265" i="36"/>
  <c r="O936" i="36"/>
  <c r="I1052" i="36"/>
  <c r="I1054" i="36"/>
  <c r="I212" i="5" s="1"/>
  <c r="I1144" i="36"/>
  <c r="S189" i="36"/>
  <c r="P738" i="36"/>
  <c r="P741" i="36" s="1"/>
  <c r="P742" i="36" s="1"/>
  <c r="O925" i="36"/>
  <c r="N65" i="36"/>
  <c r="O926" i="36"/>
  <c r="S736" i="36"/>
  <c r="S671" i="36"/>
  <c r="S450" i="36"/>
  <c r="Q916" i="36"/>
  <c r="P940" i="36"/>
  <c r="R367" i="36"/>
  <c r="P13" i="42" s="1"/>
  <c r="N48" i="37"/>
  <c r="N90" i="37"/>
  <c r="N75" i="37"/>
  <c r="N50" i="37"/>
  <c r="N49" i="37"/>
  <c r="N52" i="37"/>
  <c r="S643" i="36"/>
  <c r="S660" i="36" s="1"/>
  <c r="S668" i="36"/>
  <c r="R713" i="36"/>
  <c r="R719" i="36"/>
  <c r="R722" i="36"/>
  <c r="R721" i="36"/>
  <c r="R723" i="36"/>
  <c r="S773" i="36"/>
  <c r="S148" i="36"/>
  <c r="S121" i="36"/>
  <c r="S134" i="36" s="1"/>
  <c r="S146" i="36"/>
  <c r="P113" i="36"/>
  <c r="N66" i="36"/>
  <c r="Q914" i="36"/>
  <c r="P938" i="36"/>
  <c r="R724" i="36"/>
  <c r="R355" i="36"/>
  <c r="R349" i="36"/>
  <c r="R359" i="36"/>
  <c r="R358" i="36"/>
  <c r="S110" i="36"/>
  <c r="AF154" i="36"/>
  <c r="Q154" i="36" s="1"/>
  <c r="Q153" i="36" s="1"/>
  <c r="R133" i="36"/>
  <c r="R127" i="36"/>
  <c r="Q1108" i="36"/>
  <c r="Q1153" i="36" s="1"/>
  <c r="Q100" i="36"/>
  <c r="O116" i="36"/>
  <c r="R406" i="36"/>
  <c r="P14" i="42" s="1"/>
  <c r="S488" i="36"/>
  <c r="AF676" i="36"/>
  <c r="Q676" i="36" s="1"/>
  <c r="Q675" i="36" s="1"/>
  <c r="S409" i="36"/>
  <c r="P377" i="36"/>
  <c r="P203" i="36"/>
  <c r="Q213" i="38" s="1"/>
  <c r="M87" i="40" s="1"/>
  <c r="O227" i="36"/>
  <c r="O73" i="36" s="1"/>
  <c r="O61" i="36"/>
  <c r="P413" i="36"/>
  <c r="P416" i="36" s="1"/>
  <c r="P201" i="36"/>
  <c r="Q185" i="38" s="1"/>
  <c r="M69" i="40" s="1"/>
  <c r="O59" i="36"/>
  <c r="O225" i="36"/>
  <c r="O71" i="36" s="1"/>
  <c r="R395" i="36"/>
  <c r="S187" i="36"/>
  <c r="AF376" i="36"/>
  <c r="Q376" i="36" s="1"/>
  <c r="Q375" i="36" s="1"/>
  <c r="R145" i="36"/>
  <c r="P7" i="42" s="1"/>
  <c r="Q917" i="36"/>
  <c r="P941" i="36"/>
  <c r="P620" i="36"/>
  <c r="O80" i="37"/>
  <c r="O53" i="37"/>
  <c r="O56" i="37"/>
  <c r="P202" i="36"/>
  <c r="Q199" i="38" s="1"/>
  <c r="M78" i="40" s="1"/>
  <c r="O60" i="36"/>
  <c r="O226" i="36"/>
  <c r="O72" i="36" s="1"/>
  <c r="N92" i="37"/>
  <c r="N100" i="37" s="1"/>
  <c r="S150" i="36"/>
  <c r="R388" i="36"/>
  <c r="R394" i="36"/>
  <c r="R396" i="36"/>
  <c r="R399" i="36"/>
  <c r="R657" i="36"/>
  <c r="S774" i="36"/>
  <c r="R667" i="36"/>
  <c r="M244" i="1"/>
  <c r="M238" i="1" s="1"/>
  <c r="S149" i="36"/>
  <c r="R88" i="36"/>
  <c r="R94" i="36"/>
  <c r="R97" i="36"/>
  <c r="O54" i="37"/>
  <c r="R138" i="36"/>
  <c r="S382" i="36"/>
  <c r="S397" i="36" s="1"/>
  <c r="S407" i="36"/>
  <c r="S410" i="36"/>
  <c r="S669" i="36"/>
  <c r="S772" i="36"/>
  <c r="AF493" i="36"/>
  <c r="Q493" i="36" s="1"/>
  <c r="Q492" i="36" s="1"/>
  <c r="S107" i="36"/>
  <c r="S82" i="36"/>
  <c r="S96" i="36" s="1"/>
  <c r="J1144" i="36"/>
  <c r="J1052" i="36"/>
  <c r="J1054" i="36"/>
  <c r="J212" i="5" s="1"/>
  <c r="R472" i="36"/>
  <c r="R466" i="36"/>
  <c r="R475" i="36"/>
  <c r="S448" i="36"/>
  <c r="P191" i="36"/>
  <c r="P194" i="36" s="1"/>
  <c r="S372" i="36"/>
  <c r="R106" i="36"/>
  <c r="N70" i="36"/>
  <c r="S111" i="36"/>
  <c r="S188" i="36"/>
  <c r="P622" i="36"/>
  <c r="R473" i="36"/>
  <c r="N89" i="37"/>
  <c r="N97" i="37" s="1"/>
  <c r="N70" i="37"/>
  <c r="N43" i="37"/>
  <c r="N46" i="37"/>
  <c r="R280" i="36"/>
  <c r="R304" i="36" s="1"/>
  <c r="R281" i="36"/>
  <c r="O918" i="36"/>
  <c r="O924" i="36"/>
  <c r="N60" i="37"/>
  <c r="N87" i="37"/>
  <c r="N95" i="37" s="1"/>
  <c r="N33" i="37"/>
  <c r="N36" i="37"/>
  <c r="N34" i="37"/>
  <c r="R433" i="36"/>
  <c r="R427" i="36"/>
  <c r="R435" i="36"/>
  <c r="S489" i="36"/>
  <c r="R95" i="36"/>
  <c r="R99" i="36"/>
  <c r="S449" i="36"/>
  <c r="S460" i="36"/>
  <c r="S477" i="36" s="1"/>
  <c r="O16" i="37"/>
  <c r="R96" i="36"/>
  <c r="Q915" i="36"/>
  <c r="P939" i="36"/>
  <c r="AF193" i="36"/>
  <c r="Q193" i="36" s="1"/>
  <c r="Q192" i="36" s="1"/>
  <c r="O415" i="1"/>
  <c r="O421" i="1" s="1"/>
  <c r="O429" i="1" s="1"/>
  <c r="O428" i="1" s="1"/>
  <c r="AE415" i="1"/>
  <c r="L600" i="1"/>
  <c r="O384" i="1"/>
  <c r="Q80" i="3"/>
  <c r="Q79" i="3" s="1"/>
  <c r="AN284" i="2"/>
  <c r="X284" i="2"/>
  <c r="AM120" i="2"/>
  <c r="W120" i="2"/>
  <c r="O440" i="1"/>
  <c r="O446" i="1" s="1"/>
  <c r="O454" i="1" s="1"/>
  <c r="O453" i="1" s="1"/>
  <c r="AE440" i="1"/>
  <c r="K113" i="3"/>
  <c r="AF434" i="1"/>
  <c r="P434" i="1"/>
  <c r="O515" i="1"/>
  <c r="O521" i="1" s="1"/>
  <c r="O529" i="1" s="1"/>
  <c r="O528" i="1" s="1"/>
  <c r="AE515" i="1"/>
  <c r="Q51" i="5"/>
  <c r="Q78" i="3"/>
  <c r="AH77" i="3"/>
  <c r="S77" i="3" s="1"/>
  <c r="R77" i="3"/>
  <c r="P571" i="1"/>
  <c r="P574" i="1" s="1"/>
  <c r="P573" i="1" s="1"/>
  <c r="R579" i="1"/>
  <c r="Q583" i="1"/>
  <c r="Q582" i="1" s="1"/>
  <c r="P86" i="4"/>
  <c r="P85" i="4" s="1"/>
  <c r="N377" i="1"/>
  <c r="N376" i="1" s="1"/>
  <c r="N352" i="1"/>
  <c r="N351" i="1" s="1"/>
  <c r="N67" i="1"/>
  <c r="N675" i="1"/>
  <c r="N720" i="1" s="1"/>
  <c r="N100" i="1"/>
  <c r="N99" i="1" s="1"/>
  <c r="N74" i="1" s="1"/>
  <c r="AG87" i="4"/>
  <c r="Q87" i="4"/>
  <c r="P105" i="1"/>
  <c r="AF105" i="1"/>
  <c r="K711" i="1"/>
  <c r="L711" i="1" s="1"/>
  <c r="K619" i="1"/>
  <c r="L619" i="1" s="1"/>
  <c r="K621" i="1"/>
  <c r="R7" i="2"/>
  <c r="S9" i="5"/>
  <c r="P42" i="34" s="1"/>
  <c r="R42" i="34" s="1"/>
  <c r="S7" i="22"/>
  <c r="R194" i="5"/>
  <c r="R193" i="5"/>
  <c r="S23" i="3"/>
  <c r="AE86" i="1"/>
  <c r="O86" i="1"/>
  <c r="O92" i="1" s="1"/>
  <c r="K66" i="5"/>
  <c r="K77" i="5" s="1"/>
  <c r="H762" i="2"/>
  <c r="N608" i="1"/>
  <c r="N302" i="1"/>
  <c r="N301" i="1" s="1"/>
  <c r="AG97" i="4"/>
  <c r="Q97" i="4"/>
  <c r="H694" i="2"/>
  <c r="H211" i="5"/>
  <c r="AE465" i="1"/>
  <c r="O465" i="1"/>
  <c r="O471" i="1" s="1"/>
  <c r="O479" i="1" s="1"/>
  <c r="O478" i="1" s="1"/>
  <c r="Q64" i="3"/>
  <c r="Q63" i="3" s="1"/>
  <c r="Q62" i="3"/>
  <c r="Q50" i="5"/>
  <c r="X647" i="2"/>
  <c r="S28" i="5"/>
  <c r="S628" i="2"/>
  <c r="S627" i="2" s="1"/>
  <c r="AE111" i="1"/>
  <c r="O111" i="1"/>
  <c r="O117" i="1" s="1"/>
  <c r="O125" i="1" s="1"/>
  <c r="O124" i="1" s="1"/>
  <c r="R593" i="1"/>
  <c r="H77" i="5"/>
  <c r="S65" i="3"/>
  <c r="AP65" i="3"/>
  <c r="Z65" i="3"/>
  <c r="L607" i="1"/>
  <c r="AG257" i="1"/>
  <c r="R257" i="1" s="1"/>
  <c r="Q257" i="1"/>
  <c r="O55" i="1"/>
  <c r="I73" i="5"/>
  <c r="F74" i="34" s="1"/>
  <c r="I66" i="5"/>
  <c r="I77" i="5" s="1"/>
  <c r="R768" i="2"/>
  <c r="L146" i="3"/>
  <c r="L173" i="3" s="1"/>
  <c r="N173" i="3" s="1"/>
  <c r="O173" i="3" s="1"/>
  <c r="P173" i="3" s="1"/>
  <c r="Q173" i="3" s="1"/>
  <c r="R173" i="3" s="1"/>
  <c r="N698" i="2"/>
  <c r="AE550" i="1"/>
  <c r="O550" i="1"/>
  <c r="O556" i="1" s="1"/>
  <c r="AE338" i="1"/>
  <c r="O338" i="1"/>
  <c r="O344" i="1" s="1"/>
  <c r="AF357" i="1"/>
  <c r="P357" i="1"/>
  <c r="R534" i="1"/>
  <c r="Q45" i="1"/>
  <c r="Q39" i="1" s="1"/>
  <c r="Q538" i="1"/>
  <c r="Q537" i="1" s="1"/>
  <c r="AG409" i="1"/>
  <c r="R409" i="1" s="1"/>
  <c r="Q409" i="1"/>
  <c r="R28" i="5"/>
  <c r="R628" i="2"/>
  <c r="R627" i="2" s="1"/>
  <c r="AE161" i="1"/>
  <c r="O161" i="1"/>
  <c r="O167" i="1" s="1"/>
  <c r="O175" i="1" s="1"/>
  <c r="O174" i="1" s="1"/>
  <c r="AE363" i="1"/>
  <c r="O363" i="1"/>
  <c r="O369" i="1" s="1"/>
  <c r="R709" i="1"/>
  <c r="I711" i="1"/>
  <c r="I619" i="1"/>
  <c r="I621" i="1"/>
  <c r="X559" i="2"/>
  <c r="AN559" i="2"/>
  <c r="Q544" i="1"/>
  <c r="AG544" i="1"/>
  <c r="R544" i="1" s="1"/>
  <c r="N564" i="1"/>
  <c r="N563" i="1" s="1"/>
  <c r="L28" i="3"/>
  <c r="I88" i="34"/>
  <c r="I120" i="34"/>
  <c r="H619" i="1"/>
  <c r="H711" i="1"/>
  <c r="H621" i="1"/>
  <c r="O171" i="4"/>
  <c r="M390" i="1"/>
  <c r="O707" i="1"/>
  <c r="J66" i="5"/>
  <c r="J77" i="5" s="1"/>
  <c r="AF136" i="1"/>
  <c r="P136" i="1"/>
  <c r="P142" i="1" s="1"/>
  <c r="P150" i="1" s="1"/>
  <c r="P149" i="1" s="1"/>
  <c r="N211" i="1"/>
  <c r="N217" i="1" s="1"/>
  <c r="AD211" i="1"/>
  <c r="AF490" i="1"/>
  <c r="P490" i="1"/>
  <c r="AG282" i="1"/>
  <c r="R282" i="1" s="1"/>
  <c r="Q282" i="1"/>
  <c r="M327" i="1"/>
  <c r="M326" i="1" s="1"/>
  <c r="M251" i="1" s="1"/>
  <c r="N277" i="1"/>
  <c r="N276" i="1" s="1"/>
  <c r="AG73" i="4"/>
  <c r="Q73" i="4"/>
  <c r="Q79" i="4" s="1"/>
  <c r="AG39" i="3"/>
  <c r="Q39" i="3"/>
  <c r="AF205" i="1"/>
  <c r="P205" i="1"/>
  <c r="J711" i="1"/>
  <c r="J619" i="1"/>
  <c r="J621" i="1"/>
  <c r="AG130" i="1"/>
  <c r="R130" i="1" s="1"/>
  <c r="Q130" i="1"/>
  <c r="K54" i="34"/>
  <c r="N53" i="5"/>
  <c r="N52" i="5" s="1"/>
  <c r="Q570" i="1"/>
  <c r="AG570" i="1"/>
  <c r="R570" i="1" s="1"/>
  <c r="AF80" i="1"/>
  <c r="P80" i="1"/>
  <c r="O574" i="1"/>
  <c r="O573" i="1" s="1"/>
  <c r="AF484" i="1"/>
  <c r="P484" i="1"/>
  <c r="N703" i="1"/>
  <c r="AD313" i="1"/>
  <c r="N313" i="1"/>
  <c r="N319" i="1" s="1"/>
  <c r="AE263" i="1"/>
  <c r="O263" i="1"/>
  <c r="O269" i="1" s="1"/>
  <c r="Q155" i="1"/>
  <c r="AG155" i="1"/>
  <c r="R155" i="1" s="1"/>
  <c r="AF186" i="1"/>
  <c r="P186" i="1"/>
  <c r="P192" i="1" s="1"/>
  <c r="P200" i="1" s="1"/>
  <c r="P199" i="1" s="1"/>
  <c r="N403" i="1"/>
  <c r="S171" i="3"/>
  <c r="AO202" i="2"/>
  <c r="Y202" i="2"/>
  <c r="P173" i="4"/>
  <c r="O232" i="1"/>
  <c r="M629" i="1"/>
  <c r="L628" i="1"/>
  <c r="L21" i="1"/>
  <c r="L673" i="1"/>
  <c r="Y81" i="3"/>
  <c r="R81" i="3"/>
  <c r="AO81" i="3"/>
  <c r="O288" i="1"/>
  <c r="O294" i="1" s="1"/>
  <c r="AE288" i="1"/>
  <c r="M225" i="1"/>
  <c r="M224" i="1" s="1"/>
  <c r="N28" i="1"/>
  <c r="O496" i="1"/>
  <c r="O504" i="1" s="1"/>
  <c r="O503" i="1" s="1"/>
  <c r="AO161" i="2"/>
  <c r="X95" i="4"/>
  <c r="Q95" i="4"/>
  <c r="AF63" i="4"/>
  <c r="P63" i="4"/>
  <c r="W63" i="4"/>
  <c r="R67" i="4"/>
  <c r="AH67" i="4"/>
  <c r="S67" i="4" s="1"/>
  <c r="J694" i="2"/>
  <c r="N396" i="1"/>
  <c r="M75" i="1"/>
  <c r="M76" i="1" s="1"/>
  <c r="AF307" i="1"/>
  <c r="P307" i="1"/>
  <c r="AF332" i="1"/>
  <c r="P332" i="1"/>
  <c r="J762" i="2"/>
  <c r="Z635" i="2"/>
  <c r="K694" i="2"/>
  <c r="AO477" i="2"/>
  <c r="Q93" i="4"/>
  <c r="AG93" i="4"/>
  <c r="R61" i="3"/>
  <c r="AH61" i="3"/>
  <c r="S61" i="3" s="1"/>
  <c r="N701" i="1"/>
  <c r="Q569" i="1"/>
  <c r="AG569" i="1"/>
  <c r="R569" i="1" s="1"/>
  <c r="L598" i="1"/>
  <c r="N705" i="1"/>
  <c r="M61" i="1"/>
  <c r="M54" i="1"/>
  <c r="M674" i="1"/>
  <c r="M719" i="1" s="1"/>
  <c r="M588" i="1"/>
  <c r="S157" i="38" l="1"/>
  <c r="Q959" i="36"/>
  <c r="AG959" i="36"/>
  <c r="N170" i="3"/>
  <c r="N148" i="3"/>
  <c r="AF960" i="36"/>
  <c r="Q960" i="36" s="1"/>
  <c r="P875" i="36"/>
  <c r="P878" i="36"/>
  <c r="P877" i="36"/>
  <c r="P876" i="36"/>
  <c r="P879" i="36"/>
  <c r="P880" i="36"/>
  <c r="P869" i="36"/>
  <c r="R868" i="36"/>
  <c r="Q863" i="36"/>
  <c r="Q892" i="36"/>
  <c r="P593" i="36"/>
  <c r="P594" i="36"/>
  <c r="P591" i="36"/>
  <c r="P590" i="36"/>
  <c r="P589" i="36"/>
  <c r="P592" i="36"/>
  <c r="P583" i="36"/>
  <c r="R582" i="36"/>
  <c r="Q577" i="36"/>
  <c r="Q606" i="36"/>
  <c r="R725" i="36"/>
  <c r="O40" i="34"/>
  <c r="R764" i="36"/>
  <c r="O41" i="34"/>
  <c r="P20" i="24"/>
  <c r="Q20" i="24" s="1"/>
  <c r="R20" i="24" s="1"/>
  <c r="S20" i="24" s="1"/>
  <c r="O117" i="36"/>
  <c r="M33" i="42"/>
  <c r="M56" i="42" s="1"/>
  <c r="O34" i="5"/>
  <c r="L29" i="34" s="1"/>
  <c r="M11" i="42"/>
  <c r="N273" i="36"/>
  <c r="L37" i="42"/>
  <c r="L60" i="42" s="1"/>
  <c r="Q456" i="36"/>
  <c r="N81" i="34" s="1"/>
  <c r="O42" i="42"/>
  <c r="O65" i="42" s="1"/>
  <c r="P378" i="36"/>
  <c r="M79" i="34" s="1"/>
  <c r="N40" i="42"/>
  <c r="N63" i="42" s="1"/>
  <c r="O24" i="34"/>
  <c r="P6" i="42"/>
  <c r="P417" i="36"/>
  <c r="M80" i="34" s="1"/>
  <c r="N41" i="42"/>
  <c r="N64" i="42" s="1"/>
  <c r="P195" i="36"/>
  <c r="N35" i="42"/>
  <c r="N58" i="42" s="1"/>
  <c r="Q38" i="25"/>
  <c r="O669" i="2" s="1"/>
  <c r="R33" i="25"/>
  <c r="R36" i="25" s="1"/>
  <c r="R61" i="19"/>
  <c r="R69" i="19" s="1"/>
  <c r="R55" i="25"/>
  <c r="S50" i="25"/>
  <c r="S53" i="25" s="1"/>
  <c r="S55" i="25" s="1"/>
  <c r="O8" i="40"/>
  <c r="O45" i="38"/>
  <c r="O21" i="38" s="1"/>
  <c r="O22" i="38" s="1"/>
  <c r="J18" i="41"/>
  <c r="O92" i="37"/>
  <c r="O100" i="37" s="1"/>
  <c r="AH969" i="36"/>
  <c r="S969" i="36" s="1"/>
  <c r="S367" i="36"/>
  <c r="AH219" i="36"/>
  <c r="S219" i="36" s="1"/>
  <c r="R219" i="36"/>
  <c r="AH218" i="36"/>
  <c r="S218" i="36" s="1"/>
  <c r="R218" i="36"/>
  <c r="AH221" i="36"/>
  <c r="S221" i="36" s="1"/>
  <c r="R221" i="36"/>
  <c r="AH220" i="36"/>
  <c r="S220" i="36" s="1"/>
  <c r="R220" i="36"/>
  <c r="T188" i="38"/>
  <c r="P13" i="40" s="1"/>
  <c r="O1" i="37"/>
  <c r="P49" i="34"/>
  <c r="R49" i="34" s="1"/>
  <c r="P48" i="34"/>
  <c r="R48" i="34" s="1"/>
  <c r="Q509" i="1"/>
  <c r="AG509" i="1"/>
  <c r="R509" i="1" s="1"/>
  <c r="K80" i="41"/>
  <c r="S979" i="36"/>
  <c r="S978" i="36" s="1"/>
  <c r="K51" i="40"/>
  <c r="K52" i="40" s="1"/>
  <c r="P186" i="38"/>
  <c r="M61" i="41"/>
  <c r="O172" i="38"/>
  <c r="L52" i="41"/>
  <c r="L54" i="41" s="1"/>
  <c r="L44" i="41"/>
  <c r="O44" i="37"/>
  <c r="Q28" i="41"/>
  <c r="P123" i="38"/>
  <c r="P121" i="38" s="1"/>
  <c r="M43" i="41"/>
  <c r="J27" i="41"/>
  <c r="J36" i="41"/>
  <c r="J23" i="40"/>
  <c r="O87" i="34"/>
  <c r="R979" i="36"/>
  <c r="R978" i="36" s="1"/>
  <c r="I37" i="40"/>
  <c r="M111" i="38"/>
  <c r="I44" i="40"/>
  <c r="K9" i="41"/>
  <c r="N271" i="36"/>
  <c r="N151" i="3"/>
  <c r="N271" i="5" s="1"/>
  <c r="R661" i="36"/>
  <c r="O39" i="34"/>
  <c r="O256" i="36"/>
  <c r="L28" i="34"/>
  <c r="R178" i="36"/>
  <c r="O26" i="34"/>
  <c r="N98" i="37"/>
  <c r="O47" i="37"/>
  <c r="O51" i="37"/>
  <c r="O37" i="37"/>
  <c r="R139" i="36"/>
  <c r="O25" i="34"/>
  <c r="O22" i="3"/>
  <c r="N339" i="2"/>
  <c r="O101" i="3"/>
  <c r="O144" i="3"/>
  <c r="O150" i="24"/>
  <c r="P20" i="5"/>
  <c r="P328" i="5" s="1"/>
  <c r="P49" i="5"/>
  <c r="O345" i="2"/>
  <c r="O24" i="2" s="1"/>
  <c r="O18" i="2" s="1"/>
  <c r="L115" i="4"/>
  <c r="L171" i="4"/>
  <c r="L138" i="4"/>
  <c r="O341" i="2"/>
  <c r="O26" i="2"/>
  <c r="O20" i="2" s="1"/>
  <c r="O342" i="2"/>
  <c r="O27" i="2"/>
  <c r="O21" i="2" s="1"/>
  <c r="O340" i="2"/>
  <c r="O25" i="2"/>
  <c r="O19" i="2" s="1"/>
  <c r="K86" i="40"/>
  <c r="K88" i="40" s="1"/>
  <c r="K89" i="40" s="1"/>
  <c r="N163" i="3"/>
  <c r="O211" i="38"/>
  <c r="Q566" i="2"/>
  <c r="P590" i="2"/>
  <c r="P346" i="2" s="1"/>
  <c r="N93" i="3"/>
  <c r="N146" i="3" s="1"/>
  <c r="R139" i="24"/>
  <c r="R127" i="24" s="1"/>
  <c r="S139" i="24"/>
  <c r="S127" i="24" s="1"/>
  <c r="Q139" i="24"/>
  <c r="Q127" i="24" s="1"/>
  <c r="O139" i="24"/>
  <c r="O127" i="24" s="1"/>
  <c r="N139" i="24"/>
  <c r="N127" i="24" s="1"/>
  <c r="N129" i="24" s="1"/>
  <c r="P139" i="24"/>
  <c r="P127" i="24" s="1"/>
  <c r="N587" i="2"/>
  <c r="N344" i="2"/>
  <c r="V97" i="3"/>
  <c r="O97" i="3"/>
  <c r="O96" i="3" s="1"/>
  <c r="O95" i="5" s="1"/>
  <c r="Q568" i="2"/>
  <c r="Q336" i="2" s="1"/>
  <c r="P592" i="2"/>
  <c r="P348" i="2" s="1"/>
  <c r="H164" i="38"/>
  <c r="AG954" i="36"/>
  <c r="Q954" i="36"/>
  <c r="K47" i="34"/>
  <c r="K50" i="34" s="1"/>
  <c r="N220" i="24"/>
  <c r="N38" i="24" s="1"/>
  <c r="O588" i="2"/>
  <c r="O563" i="2"/>
  <c r="O576" i="2" s="1"/>
  <c r="P564" i="2"/>
  <c r="O332" i="2"/>
  <c r="O11" i="2" s="1"/>
  <c r="H192" i="38"/>
  <c r="J77" i="40" s="1"/>
  <c r="J79" i="40" s="1"/>
  <c r="P336" i="2"/>
  <c r="P15" i="2" s="1"/>
  <c r="N969" i="36"/>
  <c r="O968" i="36"/>
  <c r="O967" i="36" s="1"/>
  <c r="N967" i="36"/>
  <c r="N164" i="24"/>
  <c r="N152" i="24" s="1"/>
  <c r="Q164" i="24"/>
  <c r="Q152" i="24" s="1"/>
  <c r="O164" i="24"/>
  <c r="O152" i="24" s="1"/>
  <c r="R164" i="24"/>
  <c r="R152" i="24" s="1"/>
  <c r="P164" i="24"/>
  <c r="P152" i="24" s="1"/>
  <c r="S164" i="24"/>
  <c r="S152" i="24" s="1"/>
  <c r="Q33" i="3"/>
  <c r="Q45" i="3" s="1"/>
  <c r="Q54" i="3" s="1"/>
  <c r="Q15" i="3" s="1"/>
  <c r="AG33" i="3"/>
  <c r="O120" i="38"/>
  <c r="O122" i="38"/>
  <c r="P964" i="36"/>
  <c r="P961" i="36" s="1"/>
  <c r="N42" i="41" s="1"/>
  <c r="P951" i="36"/>
  <c r="H178" i="38"/>
  <c r="Q567" i="2"/>
  <c r="Q335" i="2" s="1"/>
  <c r="P591" i="2"/>
  <c r="P347" i="2" s="1"/>
  <c r="N596" i="2"/>
  <c r="N575" i="2"/>
  <c r="N578" i="2"/>
  <c r="N577" i="2"/>
  <c r="N579" i="2"/>
  <c r="N580" i="2"/>
  <c r="L10" i="2"/>
  <c r="K43" i="40"/>
  <c r="AE95" i="3"/>
  <c r="O95" i="3"/>
  <c r="O94" i="3" s="1"/>
  <c r="M72" i="38"/>
  <c r="I23" i="40"/>
  <c r="H86" i="40"/>
  <c r="H88" i="40" s="1"/>
  <c r="G86" i="40"/>
  <c r="G88" i="40" s="1"/>
  <c r="E86" i="40"/>
  <c r="E88" i="40" s="1"/>
  <c r="I86" i="40"/>
  <c r="I88" i="40" s="1"/>
  <c r="L163" i="3"/>
  <c r="O956" i="36"/>
  <c r="O40" i="5"/>
  <c r="P589" i="2"/>
  <c r="Q565" i="2"/>
  <c r="L167" i="3"/>
  <c r="N167" i="3" s="1"/>
  <c r="O167" i="3" s="1"/>
  <c r="P167" i="3" s="1"/>
  <c r="Q167" i="3" s="1"/>
  <c r="L110" i="3"/>
  <c r="P200" i="38"/>
  <c r="P214" i="38"/>
  <c r="O52" i="34"/>
  <c r="S117" i="5"/>
  <c r="S116" i="5"/>
  <c r="T202" i="38"/>
  <c r="T216" i="38"/>
  <c r="T174" i="38"/>
  <c r="S192" i="5"/>
  <c r="S41" i="5"/>
  <c r="S150" i="38"/>
  <c r="R99" i="24" s="1"/>
  <c r="O546" i="2"/>
  <c r="O536" i="2"/>
  <c r="P13" i="2"/>
  <c r="N70" i="41" s="1"/>
  <c r="P534" i="2"/>
  <c r="P539" i="2"/>
  <c r="P537" i="2"/>
  <c r="P535" i="2"/>
  <c r="P538" i="2"/>
  <c r="Q550" i="2"/>
  <c r="R526" i="2"/>
  <c r="R523" i="2"/>
  <c r="Q547" i="2"/>
  <c r="Q551" i="2"/>
  <c r="R527" i="2"/>
  <c r="Q549" i="2"/>
  <c r="R525" i="2"/>
  <c r="O534" i="2"/>
  <c r="O539" i="2"/>
  <c r="O538" i="2"/>
  <c r="O535" i="2"/>
  <c r="O537" i="2"/>
  <c r="P548" i="2"/>
  <c r="Q524" i="2"/>
  <c r="Q522" i="2" s="1"/>
  <c r="P536" i="2"/>
  <c r="P333" i="2"/>
  <c r="P12" i="2" s="1"/>
  <c r="P14" i="2"/>
  <c r="N79" i="41" s="1"/>
  <c r="N528" i="2"/>
  <c r="S487" i="2"/>
  <c r="R487" i="2"/>
  <c r="Q446" i="2"/>
  <c r="Q405" i="2"/>
  <c r="P305" i="2"/>
  <c r="R292" i="2"/>
  <c r="Q316" i="2"/>
  <c r="Q60" i="2"/>
  <c r="P304" i="2"/>
  <c r="P303" i="2"/>
  <c r="P302" i="2"/>
  <c r="P64" i="2"/>
  <c r="P67" i="2"/>
  <c r="Q314" i="2"/>
  <c r="Q70" i="2" s="1"/>
  <c r="R290" i="2"/>
  <c r="Q58" i="2"/>
  <c r="Q313" i="2"/>
  <c r="Q69" i="2" s="1"/>
  <c r="R289" i="2"/>
  <c r="Q288" i="2"/>
  <c r="Q301" i="2" s="1"/>
  <c r="Q57" i="2"/>
  <c r="P301" i="2"/>
  <c r="P300" i="2"/>
  <c r="P65" i="2"/>
  <c r="R291" i="2"/>
  <c r="Q59" i="2"/>
  <c r="Q315" i="2"/>
  <c r="Q71" i="2" s="1"/>
  <c r="Q317" i="2"/>
  <c r="Q73" i="2" s="1"/>
  <c r="R293" i="2"/>
  <c r="Q61" i="2"/>
  <c r="O63" i="2"/>
  <c r="P312" i="2"/>
  <c r="P69" i="2"/>
  <c r="P66" i="2"/>
  <c r="O56" i="2"/>
  <c r="O294" i="2"/>
  <c r="Q253" i="2"/>
  <c r="R212" i="2"/>
  <c r="S212" i="2"/>
  <c r="Q171" i="2"/>
  <c r="Q130" i="2"/>
  <c r="S89" i="2"/>
  <c r="R89" i="2"/>
  <c r="AK581" i="2"/>
  <c r="AL581" i="2" s="1"/>
  <c r="AM581" i="2" s="1"/>
  <c r="AN581" i="2" s="1"/>
  <c r="AO581" i="2" s="1"/>
  <c r="AP581" i="2" s="1"/>
  <c r="P301" i="36"/>
  <c r="AD310" i="36"/>
  <c r="O310" i="36" s="1"/>
  <c r="O309" i="36" s="1"/>
  <c r="O308" i="36" s="1"/>
  <c r="O311" i="36" s="1"/>
  <c r="P294" i="36"/>
  <c r="P290" i="36"/>
  <c r="Q277" i="36"/>
  <c r="Q291" i="36" s="1"/>
  <c r="P291" i="36"/>
  <c r="P283" i="36"/>
  <c r="M252" i="1"/>
  <c r="M253" i="1" s="1"/>
  <c r="O295" i="36"/>
  <c r="S731" i="36"/>
  <c r="P40" i="34" s="1"/>
  <c r="R40" i="34" s="1"/>
  <c r="I216" i="5"/>
  <c r="O45" i="37"/>
  <c r="AG193" i="36"/>
  <c r="R193" i="36" s="1"/>
  <c r="R192" i="36" s="1"/>
  <c r="N308" i="36"/>
  <c r="N311" i="36" s="1"/>
  <c r="N310" i="36"/>
  <c r="R279" i="36"/>
  <c r="Q303" i="36"/>
  <c r="P292" i="36"/>
  <c r="P289" i="36"/>
  <c r="Q306" i="36"/>
  <c r="R282" i="36"/>
  <c r="H1084" i="36"/>
  <c r="H212" i="5"/>
  <c r="H216" i="5" s="1"/>
  <c r="S657" i="36"/>
  <c r="R478" i="36"/>
  <c r="O34" i="34"/>
  <c r="R400" i="36"/>
  <c r="O32" i="34"/>
  <c r="N943" i="36"/>
  <c r="N946" i="36" s="1"/>
  <c r="N947" i="36" s="1"/>
  <c r="K85" i="34" s="1"/>
  <c r="R361" i="36"/>
  <c r="O31" i="34"/>
  <c r="O930" i="36"/>
  <c r="O39" i="5"/>
  <c r="L46" i="34" s="1"/>
  <c r="R439" i="36"/>
  <c r="O33" i="34"/>
  <c r="S37" i="5"/>
  <c r="T112" i="38"/>
  <c r="T86" i="38"/>
  <c r="P9" i="40" s="1"/>
  <c r="T73" i="38"/>
  <c r="T125" i="38"/>
  <c r="P11" i="40" s="1"/>
  <c r="P104" i="38"/>
  <c r="L41" i="40" s="1"/>
  <c r="S176" i="36"/>
  <c r="S762" i="36"/>
  <c r="S763" i="36"/>
  <c r="S473" i="36"/>
  <c r="S752" i="36"/>
  <c r="S758" i="36"/>
  <c r="S760" i="36"/>
  <c r="S656" i="36"/>
  <c r="P621" i="36"/>
  <c r="AG676" i="36"/>
  <c r="R676" i="36" s="1"/>
  <c r="R675" i="36" s="1"/>
  <c r="M40" i="1"/>
  <c r="M27" i="1" s="1"/>
  <c r="S138" i="36"/>
  <c r="S135" i="36"/>
  <c r="S445" i="36"/>
  <c r="S137" i="36"/>
  <c r="S136" i="36"/>
  <c r="S770" i="36"/>
  <c r="P41" i="34" s="1"/>
  <c r="R41" i="34" s="1"/>
  <c r="AG454" i="36"/>
  <c r="R454" i="36" s="1"/>
  <c r="R453" i="36" s="1"/>
  <c r="R452" i="36" s="1"/>
  <c r="R455" i="36" s="1"/>
  <c r="S476" i="36"/>
  <c r="S761" i="36"/>
  <c r="P929" i="36"/>
  <c r="AG740" i="36"/>
  <c r="R740" i="36" s="1"/>
  <c r="R739" i="36" s="1"/>
  <c r="AG115" i="36"/>
  <c r="R115" i="36" s="1"/>
  <c r="R114" i="36" s="1"/>
  <c r="S175" i="36"/>
  <c r="AD945" i="36"/>
  <c r="O945" i="36" s="1"/>
  <c r="O944" i="36" s="1"/>
  <c r="O943" i="36" s="1"/>
  <c r="O946" i="36" s="1"/>
  <c r="O947" i="36" s="1"/>
  <c r="L85" i="34" s="1"/>
  <c r="AG376" i="36"/>
  <c r="R376" i="36" s="1"/>
  <c r="R375" i="36" s="1"/>
  <c r="S436" i="36"/>
  <c r="S184" i="36"/>
  <c r="Q8" i="42" s="1"/>
  <c r="P262" i="36"/>
  <c r="N10" i="42" s="1"/>
  <c r="S474" i="36"/>
  <c r="AG154" i="36"/>
  <c r="R154" i="36" s="1"/>
  <c r="R153" i="36" s="1"/>
  <c r="S173" i="36"/>
  <c r="S398" i="36"/>
  <c r="S166" i="36"/>
  <c r="S437" i="36"/>
  <c r="S174" i="36"/>
  <c r="S177" i="36"/>
  <c r="P928" i="36"/>
  <c r="P927" i="36"/>
  <c r="S484" i="36"/>
  <c r="Q191" i="36"/>
  <c r="Q194" i="36" s="1"/>
  <c r="Q674" i="36"/>
  <c r="S281" i="36"/>
  <c r="Q201" i="36"/>
  <c r="R185" i="38" s="1"/>
  <c r="N69" i="40" s="1"/>
  <c r="P59" i="36"/>
  <c r="P225" i="36"/>
  <c r="P71" i="36" s="1"/>
  <c r="O70" i="36"/>
  <c r="S106" i="36"/>
  <c r="S95" i="36"/>
  <c r="R915" i="36"/>
  <c r="Q939" i="36"/>
  <c r="Q620" i="36"/>
  <c r="S280" i="36"/>
  <c r="S99" i="36"/>
  <c r="S406" i="36"/>
  <c r="R914" i="36"/>
  <c r="Q938" i="36"/>
  <c r="Q113" i="36"/>
  <c r="R305" i="36"/>
  <c r="S427" i="36"/>
  <c r="S433" i="36"/>
  <c r="S435" i="36"/>
  <c r="N64" i="36"/>
  <c r="Q491" i="36"/>
  <c r="Q494" i="36" s="1"/>
  <c r="S388" i="36"/>
  <c r="S394" i="36"/>
  <c r="S396" i="36"/>
  <c r="S399" i="36"/>
  <c r="Q152" i="36"/>
  <c r="Q155" i="36" s="1"/>
  <c r="P116" i="36"/>
  <c r="S434" i="36"/>
  <c r="S720" i="36"/>
  <c r="O89" i="37"/>
  <c r="O97" i="37" s="1"/>
  <c r="O70" i="37"/>
  <c r="O43" i="37"/>
  <c r="O46" i="37"/>
  <c r="S395" i="36"/>
  <c r="R917" i="36"/>
  <c r="Q941" i="36"/>
  <c r="R916" i="36"/>
  <c r="Q940" i="36"/>
  <c r="Q738" i="36"/>
  <c r="Q741" i="36" s="1"/>
  <c r="Q742" i="36" s="1"/>
  <c r="S349" i="36"/>
  <c r="S355" i="36"/>
  <c r="S358" i="36"/>
  <c r="S359" i="36"/>
  <c r="AG779" i="36"/>
  <c r="R779" i="36" s="1"/>
  <c r="R778" i="36" s="1"/>
  <c r="O60" i="37"/>
  <c r="O33" i="37"/>
  <c r="O87" i="37"/>
  <c r="O34" i="37"/>
  <c r="O36" i="37"/>
  <c r="O35" i="37"/>
  <c r="S667" i="36"/>
  <c r="P39" i="34" s="1"/>
  <c r="R39" i="34" s="1"/>
  <c r="Q200" i="36"/>
  <c r="R171" i="38" s="1"/>
  <c r="N60" i="40" s="1"/>
  <c r="P58" i="36"/>
  <c r="P224" i="36"/>
  <c r="S472" i="36"/>
  <c r="S466" i="36"/>
  <c r="S475" i="36"/>
  <c r="P244" i="36"/>
  <c r="P250" i="36"/>
  <c r="P252" i="36"/>
  <c r="P251" i="36"/>
  <c r="P255" i="36"/>
  <c r="P924" i="36"/>
  <c r="P918" i="36"/>
  <c r="O67" i="36"/>
  <c r="P253" i="36"/>
  <c r="S356" i="36"/>
  <c r="R913" i="36"/>
  <c r="Q912" i="36"/>
  <c r="Q927" i="36" s="1"/>
  <c r="Q937" i="36"/>
  <c r="AD271" i="36"/>
  <c r="O271" i="36" s="1"/>
  <c r="O270" i="36" s="1"/>
  <c r="S713" i="36"/>
  <c r="S719" i="36"/>
  <c r="S722" i="36"/>
  <c r="S721" i="36"/>
  <c r="S723" i="36"/>
  <c r="Q619" i="36"/>
  <c r="AG493" i="36"/>
  <c r="R493" i="36" s="1"/>
  <c r="R492" i="36" s="1"/>
  <c r="O66" i="36"/>
  <c r="AG415" i="36"/>
  <c r="R415" i="36" s="1"/>
  <c r="R414" i="36" s="1"/>
  <c r="Q203" i="36"/>
  <c r="R213" i="38" s="1"/>
  <c r="N87" i="40" s="1"/>
  <c r="P227" i="36"/>
  <c r="P73" i="36" s="1"/>
  <c r="P61" i="36"/>
  <c r="S655" i="36"/>
  <c r="S649" i="36"/>
  <c r="R241" i="36"/>
  <c r="Q238" i="36"/>
  <c r="Q254" i="36" s="1"/>
  <c r="Q265" i="36"/>
  <c r="P925" i="36"/>
  <c r="S88" i="36"/>
  <c r="S94" i="36"/>
  <c r="S97" i="36"/>
  <c r="R1108" i="36"/>
  <c r="R1153" i="36" s="1"/>
  <c r="R100" i="36"/>
  <c r="Q413" i="36"/>
  <c r="Q416" i="36" s="1"/>
  <c r="S98" i="36"/>
  <c r="P677" i="36"/>
  <c r="P678" i="36" s="1"/>
  <c r="Q374" i="36"/>
  <c r="O65" i="36"/>
  <c r="S145" i="36"/>
  <c r="Q7" i="42" s="1"/>
  <c r="O48" i="37"/>
  <c r="O90" i="37"/>
  <c r="O75" i="37"/>
  <c r="O49" i="37"/>
  <c r="O50" i="37"/>
  <c r="O52" i="37"/>
  <c r="S658" i="36"/>
  <c r="P936" i="36"/>
  <c r="Q622" i="36"/>
  <c r="Q202" i="36"/>
  <c r="R199" i="38" s="1"/>
  <c r="N78" i="40" s="1"/>
  <c r="P60" i="36"/>
  <c r="P226" i="36"/>
  <c r="P72" i="36" s="1"/>
  <c r="S133" i="36"/>
  <c r="S127" i="36"/>
  <c r="S659" i="36"/>
  <c r="S357" i="36"/>
  <c r="R242" i="36"/>
  <c r="Q266" i="36"/>
  <c r="P415" i="1"/>
  <c r="P421" i="1" s="1"/>
  <c r="P429" i="1" s="1"/>
  <c r="P428" i="1" s="1"/>
  <c r="AF415" i="1"/>
  <c r="Y284" i="2"/>
  <c r="AO284" i="2"/>
  <c r="P515" i="1"/>
  <c r="P521" i="1" s="1"/>
  <c r="P529" i="1" s="1"/>
  <c r="P528" i="1" s="1"/>
  <c r="AF515" i="1"/>
  <c r="P440" i="1"/>
  <c r="P446" i="1" s="1"/>
  <c r="P454" i="1" s="1"/>
  <c r="P453" i="1" s="1"/>
  <c r="AF440" i="1"/>
  <c r="L179" i="4"/>
  <c r="R78" i="3"/>
  <c r="R51" i="5"/>
  <c r="S78" i="3"/>
  <c r="P384" i="1"/>
  <c r="AG434" i="1"/>
  <c r="R434" i="1" s="1"/>
  <c r="Q434" i="1"/>
  <c r="R80" i="3"/>
  <c r="R79" i="3" s="1"/>
  <c r="L166" i="4"/>
  <c r="L168" i="4" s="1"/>
  <c r="AN120" i="2"/>
  <c r="X120" i="2"/>
  <c r="R578" i="1"/>
  <c r="S578" i="1" s="1"/>
  <c r="R583" i="1"/>
  <c r="R582" i="1" s="1"/>
  <c r="M47" i="1"/>
  <c r="Y95" i="4"/>
  <c r="R95" i="4"/>
  <c r="N327" i="1"/>
  <c r="N326" i="1" s="1"/>
  <c r="N251" i="1" s="1"/>
  <c r="R45" i="1"/>
  <c r="R39" i="1" s="1"/>
  <c r="R538" i="1"/>
  <c r="R537" i="1" s="1"/>
  <c r="O703" i="1"/>
  <c r="M619" i="1"/>
  <c r="AG332" i="1"/>
  <c r="R332" i="1" s="1"/>
  <c r="Q332" i="1"/>
  <c r="R73" i="4"/>
  <c r="R79" i="4" s="1"/>
  <c r="AH73" i="4"/>
  <c r="S73" i="4" s="1"/>
  <c r="S79" i="4" s="1"/>
  <c r="O377" i="1"/>
  <c r="O376" i="1" s="1"/>
  <c r="O403" i="1"/>
  <c r="Q105" i="1"/>
  <c r="AG105" i="1"/>
  <c r="R105" i="1" s="1"/>
  <c r="L162" i="3"/>
  <c r="AG307" i="1"/>
  <c r="R307" i="1" s="1"/>
  <c r="Q307" i="1"/>
  <c r="L22" i="1"/>
  <c r="N629" i="1"/>
  <c r="Z202" i="2"/>
  <c r="AP202" i="2"/>
  <c r="Q205" i="1"/>
  <c r="AG205" i="1"/>
  <c r="R205" i="1" s="1"/>
  <c r="O211" i="1"/>
  <c r="O217" i="1" s="1"/>
  <c r="AE211" i="1"/>
  <c r="P707" i="1"/>
  <c r="O396" i="1"/>
  <c r="Q80" i="1"/>
  <c r="AG80" i="1"/>
  <c r="R80" i="1" s="1"/>
  <c r="AH87" i="4"/>
  <c r="S87" i="4" s="1"/>
  <c r="R87" i="4"/>
  <c r="AH93" i="4"/>
  <c r="S93" i="4" s="1"/>
  <c r="R93" i="4"/>
  <c r="N75" i="1"/>
  <c r="N76" i="1" s="1"/>
  <c r="P171" i="4"/>
  <c r="AP161" i="2"/>
  <c r="AG357" i="1"/>
  <c r="R357" i="1" s="1"/>
  <c r="Q357" i="1"/>
  <c r="O53" i="5"/>
  <c r="O52" i="5" s="1"/>
  <c r="L54" i="34"/>
  <c r="Y647" i="2"/>
  <c r="X325" i="2"/>
  <c r="AN325" i="2"/>
  <c r="Q484" i="1"/>
  <c r="AG484" i="1"/>
  <c r="R484" i="1" s="1"/>
  <c r="O608" i="1"/>
  <c r="O67" i="1"/>
  <c r="O675" i="1"/>
  <c r="O720" i="1" s="1"/>
  <c r="O100" i="1"/>
  <c r="O99" i="1" s="1"/>
  <c r="O74" i="1" s="1"/>
  <c r="AF263" i="1"/>
  <c r="P263" i="1"/>
  <c r="P269" i="1" s="1"/>
  <c r="S7" i="2"/>
  <c r="T7" i="22"/>
  <c r="S193" i="5"/>
  <c r="S194" i="5"/>
  <c r="S51" i="5"/>
  <c r="AE313" i="1"/>
  <c r="O313" i="1"/>
  <c r="O319" i="1" s="1"/>
  <c r="O244" i="1" s="1"/>
  <c r="AP477" i="2"/>
  <c r="AG136" i="1"/>
  <c r="R136" i="1" s="1"/>
  <c r="R142" i="1" s="1"/>
  <c r="R150" i="1" s="1"/>
  <c r="R149" i="1" s="1"/>
  <c r="Q136" i="1"/>
  <c r="Q142" i="1" s="1"/>
  <c r="Q150" i="1" s="1"/>
  <c r="Q149" i="1" s="1"/>
  <c r="AH97" i="4"/>
  <c r="S97" i="4" s="1"/>
  <c r="R97" i="4"/>
  <c r="K216" i="5"/>
  <c r="N225" i="1"/>
  <c r="N224" i="1" s="1"/>
  <c r="L597" i="1"/>
  <c r="L679" i="1" s="1"/>
  <c r="L708" i="1" s="1"/>
  <c r="AF338" i="1"/>
  <c r="P338" i="1"/>
  <c r="P344" i="1" s="1"/>
  <c r="S768" i="2"/>
  <c r="R64" i="3"/>
  <c r="R63" i="3" s="1"/>
  <c r="R62" i="3"/>
  <c r="R50" i="5"/>
  <c r="N404" i="1"/>
  <c r="N405" i="1" s="1"/>
  <c r="N244" i="1"/>
  <c r="N40" i="1" s="1"/>
  <c r="P232" i="1"/>
  <c r="L117" i="4"/>
  <c r="L213" i="5" s="1"/>
  <c r="O277" i="1"/>
  <c r="O276" i="1" s="1"/>
  <c r="Y559" i="2"/>
  <c r="AO559" i="2"/>
  <c r="O564" i="1"/>
  <c r="O563" i="1" s="1"/>
  <c r="N390" i="1"/>
  <c r="AF465" i="1"/>
  <c r="P465" i="1"/>
  <c r="P471" i="1" s="1"/>
  <c r="P479" i="1" s="1"/>
  <c r="P478" i="1" s="1"/>
  <c r="J216" i="5"/>
  <c r="Q63" i="4"/>
  <c r="AG63" i="4"/>
  <c r="X63" i="4"/>
  <c r="L131" i="3"/>
  <c r="AF363" i="1"/>
  <c r="P363" i="1"/>
  <c r="P369" i="1" s="1"/>
  <c r="Q571" i="1"/>
  <c r="Z81" i="3"/>
  <c r="S81" i="3"/>
  <c r="S80" i="3" s="1"/>
  <c r="S79" i="3" s="1"/>
  <c r="AP81" i="3"/>
  <c r="O705" i="1"/>
  <c r="N61" i="1"/>
  <c r="N674" i="1"/>
  <c r="N719" i="1" s="1"/>
  <c r="N588" i="1"/>
  <c r="P496" i="1"/>
  <c r="P504" i="1" s="1"/>
  <c r="P503" i="1" s="1"/>
  <c r="M711" i="1"/>
  <c r="O352" i="1"/>
  <c r="O351" i="1" s="1"/>
  <c r="O701" i="1"/>
  <c r="S62" i="3"/>
  <c r="S64" i="3"/>
  <c r="S63" i="3" s="1"/>
  <c r="S50" i="5"/>
  <c r="AF288" i="1"/>
  <c r="P288" i="1"/>
  <c r="P294" i="1" s="1"/>
  <c r="AG186" i="1"/>
  <c r="R186" i="1" s="1"/>
  <c r="R192" i="1" s="1"/>
  <c r="R200" i="1" s="1"/>
  <c r="R199" i="1" s="1"/>
  <c r="Q186" i="1"/>
  <c r="Q192" i="1" s="1"/>
  <c r="Q200" i="1" s="1"/>
  <c r="Q199" i="1" s="1"/>
  <c r="AH39" i="3"/>
  <c r="S39" i="3" s="1"/>
  <c r="R39" i="3"/>
  <c r="V358" i="2"/>
  <c r="W358" i="2" s="1"/>
  <c r="X358" i="2" s="1"/>
  <c r="Y358" i="2" s="1"/>
  <c r="Z358" i="2" s="1"/>
  <c r="S173" i="3"/>
  <c r="R571" i="1"/>
  <c r="Q173" i="4"/>
  <c r="AG490" i="1"/>
  <c r="R490" i="1" s="1"/>
  <c r="Q490" i="1"/>
  <c r="AF550" i="1"/>
  <c r="P550" i="1"/>
  <c r="P556" i="1" s="1"/>
  <c r="L676" i="1"/>
  <c r="L718" i="1" s="1"/>
  <c r="L717" i="1" s="1"/>
  <c r="L681" i="1" s="1"/>
  <c r="L704" i="1"/>
  <c r="L700" i="1"/>
  <c r="L702" i="1"/>
  <c r="M592" i="1"/>
  <c r="M591" i="1" s="1"/>
  <c r="O302" i="1"/>
  <c r="O301" i="1" s="1"/>
  <c r="P55" i="1"/>
  <c r="AF161" i="1"/>
  <c r="P161" i="1"/>
  <c r="P167" i="1" s="1"/>
  <c r="P175" i="1" s="1"/>
  <c r="P174" i="1" s="1"/>
  <c r="O28" i="1"/>
  <c r="AF111" i="1"/>
  <c r="P111" i="1"/>
  <c r="P117" i="1" s="1"/>
  <c r="P125" i="1" s="1"/>
  <c r="P124" i="1" s="1"/>
  <c r="P86" i="1"/>
  <c r="P92" i="1" s="1"/>
  <c r="AF86" i="1"/>
  <c r="Q86" i="4"/>
  <c r="Q85" i="4" s="1"/>
  <c r="T157" i="38" l="1"/>
  <c r="O170" i="3"/>
  <c r="O148" i="3"/>
  <c r="O26" i="38"/>
  <c r="N74" i="24" s="1"/>
  <c r="R959" i="36"/>
  <c r="AH959" i="36"/>
  <c r="S959" i="36" s="1"/>
  <c r="Q965" i="36"/>
  <c r="N51" i="34" s="1"/>
  <c r="Q875" i="36"/>
  <c r="Q876" i="36"/>
  <c r="Q878" i="36"/>
  <c r="Q877" i="36"/>
  <c r="Q879" i="36"/>
  <c r="Q880" i="36"/>
  <c r="Q869" i="36"/>
  <c r="S868" i="36"/>
  <c r="R863" i="36"/>
  <c r="R892" i="36"/>
  <c r="Q591" i="36"/>
  <c r="Q592" i="36"/>
  <c r="Q594" i="36"/>
  <c r="Q589" i="36"/>
  <c r="Q593" i="36"/>
  <c r="Q590" i="36"/>
  <c r="Q583" i="36"/>
  <c r="S582" i="36"/>
  <c r="R577" i="36"/>
  <c r="R606" i="36"/>
  <c r="L224" i="5"/>
  <c r="L236" i="5" s="1"/>
  <c r="I99" i="34"/>
  <c r="L223" i="5"/>
  <c r="L235" i="5" s="1"/>
  <c r="I100" i="34"/>
  <c r="S61" i="19"/>
  <c r="S69" i="19" s="1"/>
  <c r="T50" i="25"/>
  <c r="T53" i="25" s="1"/>
  <c r="T61" i="19" s="1"/>
  <c r="T69" i="19" s="1"/>
  <c r="R456" i="36"/>
  <c r="O81" i="34" s="1"/>
  <c r="P42" i="42"/>
  <c r="P65" i="42" s="1"/>
  <c r="Q156" i="36"/>
  <c r="O34" i="42"/>
  <c r="O57" i="42" s="1"/>
  <c r="Q495" i="36"/>
  <c r="N82" i="34" s="1"/>
  <c r="O43" i="42"/>
  <c r="Q16" i="42"/>
  <c r="Q15" i="42"/>
  <c r="Q195" i="36"/>
  <c r="O35" i="42"/>
  <c r="O58" i="42" s="1"/>
  <c r="O312" i="36"/>
  <c r="L77" i="34" s="1"/>
  <c r="M38" i="42"/>
  <c r="M61" i="42" s="1"/>
  <c r="H222" i="5"/>
  <c r="H234" i="5" s="1"/>
  <c r="E98" i="34"/>
  <c r="E103" i="34" s="1"/>
  <c r="P34" i="5"/>
  <c r="M29" i="34" s="1"/>
  <c r="N11" i="42"/>
  <c r="P117" i="36"/>
  <c r="N33" i="42"/>
  <c r="N56" i="42" s="1"/>
  <c r="Q417" i="36"/>
  <c r="N80" i="34" s="1"/>
  <c r="O41" i="42"/>
  <c r="O64" i="42" s="1"/>
  <c r="Q13" i="42"/>
  <c r="P24" i="34"/>
  <c r="R24" i="34" s="1"/>
  <c r="Q6" i="42"/>
  <c r="Q14" i="42"/>
  <c r="N312" i="36"/>
  <c r="K77" i="34" s="1"/>
  <c r="L38" i="42"/>
  <c r="L61" i="42" s="1"/>
  <c r="O114" i="5"/>
  <c r="O698" i="2"/>
  <c r="S33" i="25"/>
  <c r="S36" i="25" s="1"/>
  <c r="R38" i="25"/>
  <c r="P669" i="2" s="1"/>
  <c r="P8" i="40"/>
  <c r="O210" i="38"/>
  <c r="L139" i="4"/>
  <c r="K59" i="40"/>
  <c r="K61" i="40" s="1"/>
  <c r="K62" i="40" s="1"/>
  <c r="P183" i="38"/>
  <c r="L51" i="40"/>
  <c r="L52" i="40" s="1"/>
  <c r="Q186" i="38"/>
  <c r="M68" i="40" s="1"/>
  <c r="M70" i="40" s="1"/>
  <c r="M71" i="40" s="1"/>
  <c r="N61" i="41"/>
  <c r="N970" i="36"/>
  <c r="N971" i="36" s="1"/>
  <c r="K86" i="34" s="1"/>
  <c r="L45" i="41"/>
  <c r="L46" i="41" s="1"/>
  <c r="L47" i="41" s="1"/>
  <c r="P172" i="38"/>
  <c r="L59" i="40" s="1"/>
  <c r="L61" i="40" s="1"/>
  <c r="L62" i="40" s="1"/>
  <c r="M52" i="41"/>
  <c r="M44" i="41"/>
  <c r="Q123" i="38"/>
  <c r="Q121" i="38" s="1"/>
  <c r="N43" i="41"/>
  <c r="N44" i="41" s="1"/>
  <c r="J68" i="40"/>
  <c r="H1085" i="36"/>
  <c r="H1100" i="36"/>
  <c r="H1101" i="36" s="1"/>
  <c r="N150" i="3"/>
  <c r="N149" i="3"/>
  <c r="N259" i="5" s="1"/>
  <c r="P256" i="36"/>
  <c r="M28" i="34"/>
  <c r="S178" i="36"/>
  <c r="P26" i="34"/>
  <c r="R26" i="34" s="1"/>
  <c r="S725" i="36"/>
  <c r="L68" i="40"/>
  <c r="L70" i="40" s="1"/>
  <c r="L71" i="40" s="1"/>
  <c r="O98" i="37"/>
  <c r="S139" i="36"/>
  <c r="P25" i="34"/>
  <c r="R25" i="34" s="1"/>
  <c r="S764" i="36"/>
  <c r="S661" i="36"/>
  <c r="P150" i="24"/>
  <c r="O151" i="3"/>
  <c r="O271" i="5" s="1"/>
  <c r="O339" i="2"/>
  <c r="O212" i="38"/>
  <c r="P22" i="3"/>
  <c r="P101" i="3"/>
  <c r="P144" i="3"/>
  <c r="P148" i="3" s="1"/>
  <c r="P342" i="2"/>
  <c r="Q20" i="5"/>
  <c r="Q328" i="5" s="1"/>
  <c r="N172" i="3"/>
  <c r="P25" i="2"/>
  <c r="P19" i="2" s="1"/>
  <c r="P340" i="2"/>
  <c r="P27" i="2"/>
  <c r="P21" i="2" s="1"/>
  <c r="O93" i="3"/>
  <c r="O146" i="3" s="1"/>
  <c r="P345" i="2"/>
  <c r="P24" i="2" s="1"/>
  <c r="Q49" i="5"/>
  <c r="P26" i="2"/>
  <c r="P20" i="2" s="1"/>
  <c r="P341" i="2"/>
  <c r="O84" i="5"/>
  <c r="R568" i="2"/>
  <c r="R336" i="2" s="1"/>
  <c r="Q592" i="2"/>
  <c r="Q348" i="2" s="1"/>
  <c r="Q342" i="2" s="1"/>
  <c r="Q590" i="2"/>
  <c r="Q346" i="2" s="1"/>
  <c r="R566" i="2"/>
  <c r="P106" i="38"/>
  <c r="Q104" i="38" s="1"/>
  <c r="L164" i="3"/>
  <c r="L176" i="3"/>
  <c r="L177" i="3" s="1"/>
  <c r="N338" i="2"/>
  <c r="N23" i="2"/>
  <c r="P956" i="36"/>
  <c r="P40" i="5"/>
  <c r="P968" i="36"/>
  <c r="N18" i="24"/>
  <c r="O123" i="24"/>
  <c r="O129" i="24" s="1"/>
  <c r="O163" i="3"/>
  <c r="P95" i="3"/>
  <c r="P94" i="3" s="1"/>
  <c r="P84" i="5" s="1"/>
  <c r="AF95" i="3"/>
  <c r="R565" i="2"/>
  <c r="Q589" i="2"/>
  <c r="P563" i="2"/>
  <c r="P576" i="2" s="1"/>
  <c r="Q564" i="2"/>
  <c r="P588" i="2"/>
  <c r="P332" i="2"/>
  <c r="P11" i="2" s="1"/>
  <c r="O578" i="2"/>
  <c r="O575" i="2"/>
  <c r="O577" i="2"/>
  <c r="O580" i="2"/>
  <c r="O579" i="2"/>
  <c r="P197" i="38"/>
  <c r="P198" i="38" s="1"/>
  <c r="L77" i="40"/>
  <c r="L79" i="40" s="1"/>
  <c r="L80" i="40" s="1"/>
  <c r="L47" i="34"/>
  <c r="L50" i="34" s="1"/>
  <c r="O220" i="24"/>
  <c r="O38" i="24" s="1"/>
  <c r="Q591" i="2"/>
  <c r="Q347" i="2" s="1"/>
  <c r="Q341" i="2" s="1"/>
  <c r="R567" i="2"/>
  <c r="R335" i="2" s="1"/>
  <c r="R33" i="3"/>
  <c r="R45" i="3" s="1"/>
  <c r="R54" i="3" s="1"/>
  <c r="R15" i="3" s="1"/>
  <c r="AH33" i="3"/>
  <c r="S33" i="3" s="1"/>
  <c r="S45" i="3" s="1"/>
  <c r="S54" i="3" s="1"/>
  <c r="S15" i="3" s="1"/>
  <c r="Q964" i="36"/>
  <c r="Q961" i="36" s="1"/>
  <c r="O42" i="41" s="1"/>
  <c r="Q951" i="36"/>
  <c r="W97" i="3"/>
  <c r="P97" i="3"/>
  <c r="P96" i="3" s="1"/>
  <c r="P95" i="5" s="1"/>
  <c r="AH954" i="36"/>
  <c r="S954" i="36" s="1"/>
  <c r="R954" i="36"/>
  <c r="P120" i="38"/>
  <c r="P122" i="38"/>
  <c r="H59" i="40"/>
  <c r="H61" i="40" s="1"/>
  <c r="E59" i="40"/>
  <c r="E61" i="40" s="1"/>
  <c r="G59" i="40"/>
  <c r="G61" i="40" s="1"/>
  <c r="I59" i="40"/>
  <c r="I61" i="40" s="1"/>
  <c r="N12" i="24"/>
  <c r="N154" i="24"/>
  <c r="G68" i="40"/>
  <c r="H68" i="40"/>
  <c r="I68" i="40"/>
  <c r="K68" i="40"/>
  <c r="K70" i="40" s="1"/>
  <c r="K71" i="40" s="1"/>
  <c r="O183" i="38"/>
  <c r="O169" i="38"/>
  <c r="J59" i="40"/>
  <c r="J61" i="40" s="1"/>
  <c r="P211" i="38"/>
  <c r="P210" i="38" s="1"/>
  <c r="L86" i="40"/>
  <c r="L88" i="40" s="1"/>
  <c r="L89" i="40" s="1"/>
  <c r="O587" i="2"/>
  <c r="O344" i="2"/>
  <c r="Q334" i="2"/>
  <c r="Q13" i="2" s="1"/>
  <c r="O70" i="41" s="1"/>
  <c r="E77" i="40"/>
  <c r="E79" i="40" s="1"/>
  <c r="H77" i="40"/>
  <c r="H79" i="40" s="1"/>
  <c r="G77" i="40"/>
  <c r="G79" i="40" s="1"/>
  <c r="I77" i="40"/>
  <c r="I79" i="40" s="1"/>
  <c r="O197" i="38"/>
  <c r="K77" i="40"/>
  <c r="K79" i="40" s="1"/>
  <c r="K80" i="40" s="1"/>
  <c r="Q200" i="38"/>
  <c r="Q214" i="38"/>
  <c r="T150" i="38"/>
  <c r="S99" i="24" s="1"/>
  <c r="E114" i="24" s="1" a="1"/>
  <c r="Q534" i="2"/>
  <c r="N331" i="2"/>
  <c r="N10" i="2" s="1"/>
  <c r="N569" i="2"/>
  <c r="P546" i="2"/>
  <c r="S523" i="2"/>
  <c r="R547" i="2"/>
  <c r="Q539" i="2"/>
  <c r="Q538" i="2"/>
  <c r="Q537" i="2"/>
  <c r="R551" i="2"/>
  <c r="S527" i="2"/>
  <c r="R550" i="2"/>
  <c r="S526" i="2"/>
  <c r="R549" i="2"/>
  <c r="S525" i="2"/>
  <c r="Q548" i="2"/>
  <c r="R524" i="2"/>
  <c r="R522" i="2" s="1"/>
  <c r="Q536" i="2"/>
  <c r="Q333" i="2"/>
  <c r="Q12" i="2" s="1"/>
  <c r="Q15" i="2"/>
  <c r="Q14" i="2"/>
  <c r="O79" i="41" s="1"/>
  <c r="Q535" i="2"/>
  <c r="O528" i="2"/>
  <c r="S446" i="2"/>
  <c r="R446" i="2"/>
  <c r="S405" i="2"/>
  <c r="R405" i="2"/>
  <c r="Q304" i="2"/>
  <c r="Q303" i="2"/>
  <c r="O364" i="2"/>
  <c r="Q305" i="2"/>
  <c r="R314" i="2"/>
  <c r="R70" i="2" s="1"/>
  <c r="S290" i="2"/>
  <c r="R58" i="2"/>
  <c r="S291" i="2"/>
  <c r="R59" i="2"/>
  <c r="R315" i="2"/>
  <c r="R71" i="2" s="1"/>
  <c r="P63" i="2"/>
  <c r="Q302" i="2"/>
  <c r="Q300" i="2"/>
  <c r="R313" i="2"/>
  <c r="S289" i="2"/>
  <c r="R288" i="2"/>
  <c r="R305" i="2" s="1"/>
  <c r="R57" i="2"/>
  <c r="Q63" i="2"/>
  <c r="Q64" i="2"/>
  <c r="R317" i="2"/>
  <c r="R73" i="2" s="1"/>
  <c r="S293" i="2"/>
  <c r="R61" i="2"/>
  <c r="Q67" i="2"/>
  <c r="Q312" i="2"/>
  <c r="Q72" i="2"/>
  <c r="Q65" i="2"/>
  <c r="R316" i="2"/>
  <c r="R72" i="2" s="1"/>
  <c r="S292" i="2"/>
  <c r="R60" i="2"/>
  <c r="P56" i="2"/>
  <c r="P294" i="2"/>
  <c r="S253" i="2"/>
  <c r="R253" i="2"/>
  <c r="R171" i="2"/>
  <c r="S171" i="2"/>
  <c r="R130" i="2"/>
  <c r="S130" i="2"/>
  <c r="Q289" i="36"/>
  <c r="P295" i="36"/>
  <c r="Q293" i="36"/>
  <c r="Q292" i="36"/>
  <c r="Q290" i="36"/>
  <c r="Q283" i="36"/>
  <c r="Q294" i="36"/>
  <c r="AE310" i="36"/>
  <c r="P310" i="36" s="1"/>
  <c r="P309" i="36" s="1"/>
  <c r="P308" i="36" s="1"/>
  <c r="P311" i="36" s="1"/>
  <c r="R306" i="36"/>
  <c r="S282" i="36"/>
  <c r="S306" i="36" s="1"/>
  <c r="Q301" i="36"/>
  <c r="O11" i="42" s="1"/>
  <c r="S279" i="36"/>
  <c r="S303" i="36" s="1"/>
  <c r="R303" i="36"/>
  <c r="R277" i="36"/>
  <c r="R293" i="36" s="1"/>
  <c r="S439" i="36"/>
  <c r="P33" i="34"/>
  <c r="R33" i="34" s="1"/>
  <c r="P930" i="36"/>
  <c r="P39" i="5"/>
  <c r="M46" i="34" s="1"/>
  <c r="S478" i="36"/>
  <c r="P34" i="34"/>
  <c r="R34" i="34" s="1"/>
  <c r="S400" i="36"/>
  <c r="P32" i="34"/>
  <c r="R32" i="34" s="1"/>
  <c r="S361" i="36"/>
  <c r="P31" i="34"/>
  <c r="R31" i="34" s="1"/>
  <c r="M48" i="1"/>
  <c r="M49" i="1" s="1"/>
  <c r="M12" i="1"/>
  <c r="M628" i="1" s="1"/>
  <c r="M34" i="1"/>
  <c r="Q262" i="36"/>
  <c r="O10" i="42" s="1"/>
  <c r="AH154" i="36"/>
  <c r="S154" i="36" s="1"/>
  <c r="S153" i="36" s="1"/>
  <c r="S152" i="36" s="1"/>
  <c r="S155" i="36" s="1"/>
  <c r="Q621" i="36"/>
  <c r="AH193" i="36"/>
  <c r="S193" i="36" s="1"/>
  <c r="S192" i="36" s="1"/>
  <c r="S191" i="36" s="1"/>
  <c r="S194" i="36" s="1"/>
  <c r="AE945" i="36"/>
  <c r="P945" i="36" s="1"/>
  <c r="P944" i="36" s="1"/>
  <c r="P943" i="36" s="1"/>
  <c r="P946" i="36" s="1"/>
  <c r="P947" i="36" s="1"/>
  <c r="M85" i="34" s="1"/>
  <c r="AH493" i="36"/>
  <c r="S493" i="36" s="1"/>
  <c r="S492" i="36" s="1"/>
  <c r="S491" i="36" s="1"/>
  <c r="S494" i="36" s="1"/>
  <c r="AH115" i="36"/>
  <c r="S115" i="36" s="1"/>
  <c r="S114" i="36" s="1"/>
  <c r="S113" i="36" s="1"/>
  <c r="AH454" i="36"/>
  <c r="S454" i="36" s="1"/>
  <c r="S453" i="36" s="1"/>
  <c r="S452" i="36" s="1"/>
  <c r="S455" i="36" s="1"/>
  <c r="Q929" i="36"/>
  <c r="AH676" i="36"/>
  <c r="S676" i="36" s="1"/>
  <c r="S675" i="36" s="1"/>
  <c r="S674" i="36" s="1"/>
  <c r="AH415" i="36"/>
  <c r="S415" i="36" s="1"/>
  <c r="S414" i="36" s="1"/>
  <c r="S413" i="36" s="1"/>
  <c r="S416" i="36" s="1"/>
  <c r="R491" i="36"/>
  <c r="R494" i="36" s="1"/>
  <c r="R113" i="36"/>
  <c r="O64" i="36"/>
  <c r="S915" i="36"/>
  <c r="R939" i="36"/>
  <c r="O269" i="36"/>
  <c r="O272" i="36" s="1"/>
  <c r="Q116" i="36"/>
  <c r="S917" i="36"/>
  <c r="R941" i="36"/>
  <c r="R152" i="36"/>
  <c r="R155" i="36" s="1"/>
  <c r="R191" i="36"/>
  <c r="R194" i="36" s="1"/>
  <c r="R622" i="36"/>
  <c r="R674" i="36"/>
  <c r="AH376" i="36"/>
  <c r="S376" i="36" s="1"/>
  <c r="S375" i="36" s="1"/>
  <c r="S374" i="36" s="1"/>
  <c r="R738" i="36"/>
  <c r="R741" i="36" s="1"/>
  <c r="R742" i="36" s="1"/>
  <c r="P67" i="36"/>
  <c r="P65" i="36"/>
  <c r="R203" i="36"/>
  <c r="S213" i="38" s="1"/>
  <c r="O87" i="40" s="1"/>
  <c r="Q61" i="36"/>
  <c r="Q227" i="36"/>
  <c r="Q73" i="36" s="1"/>
  <c r="P66" i="36"/>
  <c r="S916" i="36"/>
  <c r="R940" i="36"/>
  <c r="S304" i="36"/>
  <c r="R201" i="36"/>
  <c r="S185" i="38" s="1"/>
  <c r="O69" i="40" s="1"/>
  <c r="Q59" i="36"/>
  <c r="Q225" i="36"/>
  <c r="Q71" i="36" s="1"/>
  <c r="Q250" i="36"/>
  <c r="Q244" i="36"/>
  <c r="Q252" i="36"/>
  <c r="Q255" i="36"/>
  <c r="Q251" i="36"/>
  <c r="Q918" i="36"/>
  <c r="Q924" i="36"/>
  <c r="R200" i="36"/>
  <c r="S171" i="38" s="1"/>
  <c r="O60" i="40" s="1"/>
  <c r="Q224" i="36"/>
  <c r="Q58" i="36"/>
  <c r="Q377" i="36"/>
  <c r="Q253" i="36"/>
  <c r="Q677" i="36"/>
  <c r="Q678" i="36" s="1"/>
  <c r="S241" i="36"/>
  <c r="R238" i="36"/>
  <c r="R253" i="36" s="1"/>
  <c r="R265" i="36"/>
  <c r="Q925" i="36"/>
  <c r="S242" i="36"/>
  <c r="R266" i="36"/>
  <c r="O95" i="37"/>
  <c r="AH779" i="36"/>
  <c r="S779" i="36" s="1"/>
  <c r="S778" i="36" s="1"/>
  <c r="S777" i="36" s="1"/>
  <c r="S780" i="36" s="1"/>
  <c r="S781" i="36" s="1"/>
  <c r="Q928" i="36"/>
  <c r="S914" i="36"/>
  <c r="R938" i="36"/>
  <c r="S1108" i="36"/>
  <c r="S1153" i="36" s="1"/>
  <c r="S100" i="36"/>
  <c r="Q936" i="36"/>
  <c r="Q926" i="36"/>
  <c r="R202" i="36"/>
  <c r="S199" i="38" s="1"/>
  <c r="O78" i="40" s="1"/>
  <c r="Q60" i="36"/>
  <c r="Q226" i="36"/>
  <c r="Q72" i="36" s="1"/>
  <c r="AH740" i="36"/>
  <c r="S740" i="36" s="1"/>
  <c r="S739" i="36" s="1"/>
  <c r="S738" i="36" s="1"/>
  <c r="S741" i="36" s="1"/>
  <c r="S742" i="36" s="1"/>
  <c r="R620" i="36"/>
  <c r="R374" i="36"/>
  <c r="R619" i="36"/>
  <c r="S913" i="36"/>
  <c r="R912" i="36"/>
  <c r="R929" i="36" s="1"/>
  <c r="R937" i="36"/>
  <c r="AE271" i="36"/>
  <c r="P271" i="36" s="1"/>
  <c r="P270" i="36" s="1"/>
  <c r="R413" i="36"/>
  <c r="R416" i="36" s="1"/>
  <c r="P70" i="36"/>
  <c r="R777" i="36"/>
  <c r="R780" i="36" s="1"/>
  <c r="R781" i="36" s="1"/>
  <c r="S305" i="36"/>
  <c r="R384" i="1"/>
  <c r="Q415" i="1"/>
  <c r="Q421" i="1" s="1"/>
  <c r="Q429" i="1" s="1"/>
  <c r="Q428" i="1" s="1"/>
  <c r="AG415" i="1"/>
  <c r="R415" i="1" s="1"/>
  <c r="R421" i="1" s="1"/>
  <c r="R429" i="1" s="1"/>
  <c r="R428" i="1" s="1"/>
  <c r="Q384" i="1"/>
  <c r="AP284" i="2"/>
  <c r="Z284" i="2"/>
  <c r="L181" i="4"/>
  <c r="L182" i="4" s="1"/>
  <c r="AG440" i="1"/>
  <c r="R440" i="1" s="1"/>
  <c r="R446" i="1" s="1"/>
  <c r="Q440" i="1"/>
  <c r="Q446" i="1" s="1"/>
  <c r="Q454" i="1" s="1"/>
  <c r="Q453" i="1" s="1"/>
  <c r="Y120" i="2"/>
  <c r="AO120" i="2"/>
  <c r="Q515" i="1"/>
  <c r="Q521" i="1" s="1"/>
  <c r="Q529" i="1" s="1"/>
  <c r="Q528" i="1" s="1"/>
  <c r="AG515" i="1"/>
  <c r="R515" i="1" s="1"/>
  <c r="R521" i="1" s="1"/>
  <c r="R529" i="1" s="1"/>
  <c r="R528" i="1" s="1"/>
  <c r="P28" i="1"/>
  <c r="N252" i="1"/>
  <c r="N253" i="1" s="1"/>
  <c r="N47" i="1"/>
  <c r="N48" i="1" s="1"/>
  <c r="N49" i="1" s="1"/>
  <c r="S86" i="4"/>
  <c r="S85" i="4" s="1"/>
  <c r="N12" i="1"/>
  <c r="N628" i="1" s="1"/>
  <c r="N34" i="1"/>
  <c r="P377" i="1"/>
  <c r="P376" i="1" s="1"/>
  <c r="P675" i="1"/>
  <c r="P720" i="1" s="1"/>
  <c r="P67" i="1"/>
  <c r="P100" i="1"/>
  <c r="P99" i="1" s="1"/>
  <c r="P74" i="1" s="1"/>
  <c r="P352" i="1"/>
  <c r="P351" i="1" s="1"/>
  <c r="P313" i="1"/>
  <c r="P319" i="1" s="1"/>
  <c r="AF313" i="1"/>
  <c r="O75" i="1"/>
  <c r="O76" i="1" s="1"/>
  <c r="P302" i="1"/>
  <c r="P301" i="1" s="1"/>
  <c r="P52" i="34"/>
  <c r="R52" i="34" s="1"/>
  <c r="AG288" i="1"/>
  <c r="R288" i="1" s="1"/>
  <c r="R294" i="1" s="1"/>
  <c r="Q288" i="1"/>
  <c r="Q294" i="1" s="1"/>
  <c r="AG465" i="1"/>
  <c r="R465" i="1" s="1"/>
  <c r="R471" i="1" s="1"/>
  <c r="Q465" i="1"/>
  <c r="Q471" i="1" s="1"/>
  <c r="Q479" i="1" s="1"/>
  <c r="Q478" i="1" s="1"/>
  <c r="O40" i="1"/>
  <c r="O61" i="1"/>
  <c r="O588" i="1"/>
  <c r="O674" i="1"/>
  <c r="O719" i="1" s="1"/>
  <c r="N619" i="1"/>
  <c r="Q574" i="1"/>
  <c r="Q573" i="1" s="1"/>
  <c r="Q171" i="4"/>
  <c r="R496" i="1"/>
  <c r="Z647" i="2"/>
  <c r="R55" i="1"/>
  <c r="P211" i="1"/>
  <c r="P217" i="1" s="1"/>
  <c r="AF211" i="1"/>
  <c r="AG338" i="1"/>
  <c r="R338" i="1" s="1"/>
  <c r="R344" i="1" s="1"/>
  <c r="Q338" i="1"/>
  <c r="Q344" i="1" s="1"/>
  <c r="Q363" i="1"/>
  <c r="Q369" i="1" s="1"/>
  <c r="AG363" i="1"/>
  <c r="R363" i="1" s="1"/>
  <c r="R369" i="1" s="1"/>
  <c r="M54" i="34"/>
  <c r="P53" i="5"/>
  <c r="P52" i="5" s="1"/>
  <c r="AG111" i="1"/>
  <c r="R111" i="1" s="1"/>
  <c r="R117" i="1" s="1"/>
  <c r="R125" i="1" s="1"/>
  <c r="R124" i="1" s="1"/>
  <c r="Q111" i="1"/>
  <c r="Q117" i="1" s="1"/>
  <c r="Q125" i="1" s="1"/>
  <c r="Q124" i="1" s="1"/>
  <c r="P701" i="1"/>
  <c r="Q496" i="1"/>
  <c r="Q504" i="1" s="1"/>
  <c r="Q503" i="1" s="1"/>
  <c r="Q55" i="1"/>
  <c r="O225" i="1"/>
  <c r="O224" i="1" s="1"/>
  <c r="O238" i="1"/>
  <c r="N238" i="1"/>
  <c r="P608" i="1"/>
  <c r="O629" i="1"/>
  <c r="Q707" i="1"/>
  <c r="L696" i="1"/>
  <c r="L698" i="1" s="1"/>
  <c r="R574" i="1"/>
  <c r="R573" i="1" s="1"/>
  <c r="R568" i="1"/>
  <c r="S568" i="1" s="1"/>
  <c r="Z559" i="2"/>
  <c r="AP559" i="2"/>
  <c r="P277" i="1"/>
  <c r="P276" i="1" s="1"/>
  <c r="O390" i="1"/>
  <c r="P403" i="1"/>
  <c r="L614" i="1"/>
  <c r="L617" i="1" s="1"/>
  <c r="AG161" i="1"/>
  <c r="R161" i="1" s="1"/>
  <c r="R167" i="1" s="1"/>
  <c r="R175" i="1" s="1"/>
  <c r="R174" i="1" s="1"/>
  <c r="Q161" i="1"/>
  <c r="Q167" i="1" s="1"/>
  <c r="Q175" i="1" s="1"/>
  <c r="Q174" i="1" s="1"/>
  <c r="L685" i="1"/>
  <c r="L697" i="1" s="1"/>
  <c r="AG263" i="1"/>
  <c r="R263" i="1" s="1"/>
  <c r="R269" i="1" s="1"/>
  <c r="Q263" i="1"/>
  <c r="Q269" i="1" s="1"/>
  <c r="O404" i="1"/>
  <c r="O405" i="1" s="1"/>
  <c r="R86" i="4"/>
  <c r="R85" i="4" s="1"/>
  <c r="Z95" i="4"/>
  <c r="S95" i="4"/>
  <c r="Q232" i="1"/>
  <c r="P705" i="1"/>
  <c r="R167" i="3"/>
  <c r="P564" i="1"/>
  <c r="P563" i="1" s="1"/>
  <c r="P703" i="1"/>
  <c r="AG550" i="1"/>
  <c r="R550" i="1" s="1"/>
  <c r="R556" i="1" s="1"/>
  <c r="Q550" i="1"/>
  <c r="Q556" i="1" s="1"/>
  <c r="Q86" i="1"/>
  <c r="Q92" i="1" s="1"/>
  <c r="AG86" i="1"/>
  <c r="R86" i="1" s="1"/>
  <c r="R92" i="1" s="1"/>
  <c r="N592" i="1"/>
  <c r="N591" i="1" s="1"/>
  <c r="R173" i="4"/>
  <c r="P396" i="1"/>
  <c r="N711" i="1"/>
  <c r="R63" i="4"/>
  <c r="AH63" i="4"/>
  <c r="Y63" i="4"/>
  <c r="O327" i="1"/>
  <c r="O326" i="1" s="1"/>
  <c r="O251" i="1" s="1"/>
  <c r="R232" i="1"/>
  <c r="M19" i="1"/>
  <c r="M678" i="1" s="1"/>
  <c r="T55" i="25" l="1"/>
  <c r="AG960" i="36"/>
  <c r="R960" i="36" s="1"/>
  <c r="R879" i="36"/>
  <c r="R875" i="36"/>
  <c r="R880" i="36"/>
  <c r="R877" i="36"/>
  <c r="R878" i="36"/>
  <c r="R876" i="36"/>
  <c r="S892" i="36"/>
  <c r="S863" i="36"/>
  <c r="R869" i="36"/>
  <c r="H227" i="5"/>
  <c r="H239" i="5" s="1"/>
  <c r="R593" i="36"/>
  <c r="R591" i="36"/>
  <c r="R594" i="36"/>
  <c r="R592" i="36"/>
  <c r="R589" i="36"/>
  <c r="R590" i="36"/>
  <c r="S606" i="36"/>
  <c r="S577" i="36"/>
  <c r="R583" i="36"/>
  <c r="U50" i="25"/>
  <c r="U53" i="25" s="1"/>
  <c r="U61" i="19" s="1"/>
  <c r="U69" i="19" s="1"/>
  <c r="Q100" i="34"/>
  <c r="I105" i="34"/>
  <c r="Q99" i="34"/>
  <c r="I104" i="34"/>
  <c r="S417" i="36"/>
  <c r="P80" i="34" s="1"/>
  <c r="R80" i="34" s="1"/>
  <c r="Q41" i="42"/>
  <c r="Q64" i="42" s="1"/>
  <c r="R195" i="36"/>
  <c r="P35" i="42"/>
  <c r="P58" i="42" s="1"/>
  <c r="R156" i="36"/>
  <c r="P34" i="42"/>
  <c r="P57" i="42" s="1"/>
  <c r="S456" i="36"/>
  <c r="P81" i="34" s="1"/>
  <c r="R81" i="34" s="1"/>
  <c r="Q42" i="42"/>
  <c r="Q65" i="42" s="1"/>
  <c r="R495" i="36"/>
  <c r="O82" i="34" s="1"/>
  <c r="P43" i="42"/>
  <c r="R417" i="36"/>
  <c r="O80" i="34" s="1"/>
  <c r="P41" i="42"/>
  <c r="P64" i="42" s="1"/>
  <c r="S495" i="36"/>
  <c r="P82" i="34" s="1"/>
  <c r="R82" i="34" s="1"/>
  <c r="Q43" i="42"/>
  <c r="P312" i="36"/>
  <c r="M77" i="34" s="1"/>
  <c r="N38" i="42"/>
  <c r="N61" i="42" s="1"/>
  <c r="S156" i="36"/>
  <c r="Q34" i="42"/>
  <c r="Q57" i="42" s="1"/>
  <c r="Q378" i="36"/>
  <c r="N79" i="34" s="1"/>
  <c r="O40" i="42"/>
  <c r="O63" i="42" s="1"/>
  <c r="O273" i="36"/>
  <c r="M37" i="42"/>
  <c r="M60" i="42" s="1"/>
  <c r="Q117" i="36"/>
  <c r="O33" i="42"/>
  <c r="O56" i="42" s="1"/>
  <c r="S195" i="36"/>
  <c r="Q35" i="42"/>
  <c r="Q58" i="42" s="1"/>
  <c r="P114" i="5"/>
  <c r="P698" i="2"/>
  <c r="S38" i="25"/>
  <c r="Q669" i="2" s="1"/>
  <c r="T33" i="25"/>
  <c r="T36" i="25" s="1"/>
  <c r="U33" i="25" s="1"/>
  <c r="U36" i="25" s="1"/>
  <c r="U38" i="25" s="1"/>
  <c r="K131" i="37"/>
  <c r="Q183" i="38"/>
  <c r="O182" i="38"/>
  <c r="P169" i="38"/>
  <c r="P168" i="38" s="1"/>
  <c r="M51" i="40"/>
  <c r="M52" i="40" s="1"/>
  <c r="R186" i="38"/>
  <c r="N68" i="40" s="1"/>
  <c r="N70" i="40" s="1"/>
  <c r="N71" i="40" s="1"/>
  <c r="O61" i="41"/>
  <c r="N17" i="2"/>
  <c r="Q172" i="38"/>
  <c r="Q169" i="38" s="1"/>
  <c r="Q168" i="38" s="1"/>
  <c r="N52" i="41"/>
  <c r="O970" i="36"/>
  <c r="O971" i="36" s="1"/>
  <c r="L86" i="34" s="1"/>
  <c r="M45" i="41"/>
  <c r="M46" i="41" s="1"/>
  <c r="M47" i="41" s="1"/>
  <c r="R123" i="38"/>
  <c r="N51" i="40" s="1"/>
  <c r="N52" i="40" s="1"/>
  <c r="O43" i="41"/>
  <c r="Q256" i="36"/>
  <c r="N28" i="34"/>
  <c r="O149" i="3"/>
  <c r="O259" i="5" s="1"/>
  <c r="O150" i="3"/>
  <c r="O172" i="3"/>
  <c r="P339" i="2"/>
  <c r="Q150" i="24"/>
  <c r="P212" i="38"/>
  <c r="Q22" i="3"/>
  <c r="Q101" i="3"/>
  <c r="Q144" i="3"/>
  <c r="Q148" i="3" s="1"/>
  <c r="P170" i="3"/>
  <c r="R20" i="5"/>
  <c r="R328" i="5" s="1"/>
  <c r="R49" i="5"/>
  <c r="P196" i="38"/>
  <c r="Q27" i="2"/>
  <c r="Q21" i="2" s="1"/>
  <c r="S20" i="5"/>
  <c r="S328" i="5" s="1"/>
  <c r="S49" i="5"/>
  <c r="O184" i="38"/>
  <c r="K117" i="37" s="1"/>
  <c r="Q25" i="2"/>
  <c r="Q19" i="2" s="1"/>
  <c r="Q340" i="2"/>
  <c r="Q106" i="38"/>
  <c r="R104" i="38" s="1"/>
  <c r="M41" i="40"/>
  <c r="R964" i="36"/>
  <c r="R961" i="36" s="1"/>
  <c r="P42" i="41" s="1"/>
  <c r="R951" i="36"/>
  <c r="P587" i="2"/>
  <c r="P344" i="2"/>
  <c r="S566" i="2"/>
  <c r="S334" i="2" s="1"/>
  <c r="R590" i="2"/>
  <c r="R346" i="2" s="1"/>
  <c r="R25" i="2" s="1"/>
  <c r="Q211" i="38"/>
  <c r="Q212" i="38" s="1"/>
  <c r="M86" i="40"/>
  <c r="M88" i="40" s="1"/>
  <c r="M89" i="40" s="1"/>
  <c r="X97" i="3"/>
  <c r="Q97" i="3"/>
  <c r="Q96" i="3" s="1"/>
  <c r="Q95" i="5" s="1"/>
  <c r="AG95" i="3"/>
  <c r="Q95" i="3"/>
  <c r="Q94" i="3" s="1"/>
  <c r="Q84" i="5" s="1"/>
  <c r="S565" i="2"/>
  <c r="R589" i="2"/>
  <c r="P220" i="24"/>
  <c r="P38" i="24" s="1"/>
  <c r="M47" i="34"/>
  <c r="M50" i="34" s="1"/>
  <c r="Q968" i="36"/>
  <c r="P967" i="36"/>
  <c r="Q956" i="36"/>
  <c r="Q40" i="5"/>
  <c r="S568" i="2"/>
  <c r="R592" i="2"/>
  <c r="R348" i="2" s="1"/>
  <c r="R334" i="2"/>
  <c r="R13" i="2" s="1"/>
  <c r="P70" i="41" s="1"/>
  <c r="Q197" i="38"/>
  <c r="Q198" i="38" s="1"/>
  <c r="M77" i="40"/>
  <c r="M79" i="40" s="1"/>
  <c r="M80" i="40" s="1"/>
  <c r="N349" i="5"/>
  <c r="N118" i="3"/>
  <c r="N119" i="3" s="1"/>
  <c r="P163" i="3"/>
  <c r="S951" i="36"/>
  <c r="Q345" i="2"/>
  <c r="Q339" i="2" s="1"/>
  <c r="S567" i="2"/>
  <c r="S335" i="2" s="1"/>
  <c r="R591" i="2"/>
  <c r="R347" i="2" s="1"/>
  <c r="Q588" i="2"/>
  <c r="Q563" i="2"/>
  <c r="Q576" i="2" s="1"/>
  <c r="R564" i="2"/>
  <c r="Q332" i="2"/>
  <c r="Q11" i="2" s="1"/>
  <c r="O148" i="24"/>
  <c r="O154" i="24" s="1"/>
  <c r="N19" i="24"/>
  <c r="Q120" i="38"/>
  <c r="Q122" i="38"/>
  <c r="O196" i="38"/>
  <c r="O198" i="38"/>
  <c r="K124" i="37" s="1"/>
  <c r="K184" i="37" s="1"/>
  <c r="O338" i="2"/>
  <c r="O23" i="2"/>
  <c r="P93" i="3"/>
  <c r="P146" i="3" s="1"/>
  <c r="L43" i="40"/>
  <c r="P580" i="2"/>
  <c r="P575" i="2"/>
  <c r="P578" i="2"/>
  <c r="P579" i="2"/>
  <c r="P577" i="2"/>
  <c r="O170" i="38"/>
  <c r="O168" i="38"/>
  <c r="P123" i="24"/>
  <c r="P129" i="24" s="1"/>
  <c r="O18" i="24"/>
  <c r="R200" i="38"/>
  <c r="R214" i="38"/>
  <c r="E114" i="24"/>
  <c r="Q116" i="24"/>
  <c r="R116" i="24"/>
  <c r="S116" i="24"/>
  <c r="Q115" i="24"/>
  <c r="S119" i="24"/>
  <c r="R115" i="24"/>
  <c r="S115" i="24"/>
  <c r="R118" i="24"/>
  <c r="P116" i="24"/>
  <c r="Q117" i="24"/>
  <c r="P115" i="24"/>
  <c r="S118" i="24"/>
  <c r="R117" i="24"/>
  <c r="O115" i="24"/>
  <c r="S117" i="24"/>
  <c r="O331" i="2"/>
  <c r="O10" i="2" s="1"/>
  <c r="O569" i="2"/>
  <c r="P18" i="2"/>
  <c r="R534" i="2"/>
  <c r="R538" i="2"/>
  <c r="R535" i="2"/>
  <c r="R537" i="2"/>
  <c r="R539" i="2"/>
  <c r="R15" i="2"/>
  <c r="S549" i="2"/>
  <c r="Q546" i="2"/>
  <c r="R14" i="2"/>
  <c r="P79" i="41" s="1"/>
  <c r="S550" i="2"/>
  <c r="R548" i="2"/>
  <c r="S524" i="2"/>
  <c r="S522" i="2" s="1"/>
  <c r="R536" i="2"/>
  <c r="R333" i="2"/>
  <c r="R12" i="2" s="1"/>
  <c r="S551" i="2"/>
  <c r="S547" i="2"/>
  <c r="P528" i="2"/>
  <c r="R304" i="2"/>
  <c r="P364" i="2"/>
  <c r="R301" i="2"/>
  <c r="P184" i="38"/>
  <c r="P182" i="38"/>
  <c r="S316" i="2"/>
  <c r="S72" i="2" s="1"/>
  <c r="S60" i="2"/>
  <c r="R66" i="2"/>
  <c r="R65" i="2"/>
  <c r="S317" i="2"/>
  <c r="S73" i="2" s="1"/>
  <c r="S61" i="2"/>
  <c r="R67" i="2"/>
  <c r="R303" i="2"/>
  <c r="R300" i="2"/>
  <c r="S313" i="2"/>
  <c r="S69" i="2" s="1"/>
  <c r="S288" i="2"/>
  <c r="S305" i="2" s="1"/>
  <c r="S57" i="2"/>
  <c r="R312" i="2"/>
  <c r="R69" i="2"/>
  <c r="S314" i="2"/>
  <c r="S70" i="2" s="1"/>
  <c r="S58" i="2"/>
  <c r="S59" i="2"/>
  <c r="S315" i="2"/>
  <c r="Q66" i="2"/>
  <c r="Q26" i="2"/>
  <c r="Q20" i="2" s="1"/>
  <c r="R302" i="2"/>
  <c r="R64" i="2"/>
  <c r="Q56" i="2"/>
  <c r="Q294" i="2"/>
  <c r="AF310" i="36"/>
  <c r="Q310" i="36" s="1"/>
  <c r="Q309" i="36" s="1"/>
  <c r="Q308" i="36" s="1"/>
  <c r="Q311" i="36" s="1"/>
  <c r="M600" i="1"/>
  <c r="M673" i="1"/>
  <c r="M700" i="1" s="1"/>
  <c r="R301" i="36"/>
  <c r="S277" i="36"/>
  <c r="S292" i="36" s="1"/>
  <c r="R294" i="36"/>
  <c r="R291" i="36"/>
  <c r="R290" i="36"/>
  <c r="R289" i="36"/>
  <c r="R283" i="36"/>
  <c r="R292" i="36"/>
  <c r="Q34" i="5"/>
  <c r="N29" i="34" s="1"/>
  <c r="Q295" i="36"/>
  <c r="M607" i="1"/>
  <c r="M602" i="1"/>
  <c r="M598" i="1"/>
  <c r="Q930" i="36"/>
  <c r="Q39" i="5"/>
  <c r="N46" i="34" s="1"/>
  <c r="R621" i="36"/>
  <c r="AF271" i="36"/>
  <c r="Q271" i="36" s="1"/>
  <c r="Q270" i="36" s="1"/>
  <c r="R254" i="36"/>
  <c r="R926" i="36"/>
  <c r="R262" i="36"/>
  <c r="P10" i="42" s="1"/>
  <c r="AF945" i="36"/>
  <c r="Q945" i="36" s="1"/>
  <c r="Q944" i="36" s="1"/>
  <c r="Q943" i="36" s="1"/>
  <c r="Q946" i="36" s="1"/>
  <c r="Q947" i="36" s="1"/>
  <c r="N85" i="34" s="1"/>
  <c r="S377" i="36"/>
  <c r="S203" i="36"/>
  <c r="T213" i="38" s="1"/>
  <c r="P87" i="40" s="1"/>
  <c r="R227" i="36"/>
  <c r="R73" i="36" s="1"/>
  <c r="R61" i="36"/>
  <c r="R927" i="36"/>
  <c r="R377" i="36"/>
  <c r="Q66" i="36"/>
  <c r="S301" i="36"/>
  <c r="Q11" i="42" s="1"/>
  <c r="P64" i="36"/>
  <c r="R925" i="36"/>
  <c r="R244" i="36"/>
  <c r="R250" i="36"/>
  <c r="R252" i="36"/>
  <c r="R251" i="36"/>
  <c r="R255" i="36"/>
  <c r="R928" i="36"/>
  <c r="P269" i="36"/>
  <c r="P272" i="36" s="1"/>
  <c r="S912" i="36"/>
  <c r="S927" i="36" s="1"/>
  <c r="S937" i="36"/>
  <c r="S238" i="36"/>
  <c r="S254" i="36" s="1"/>
  <c r="S265" i="36"/>
  <c r="S269" i="1"/>
  <c r="R504" i="1"/>
  <c r="R503" i="1" s="1"/>
  <c r="S496" i="1"/>
  <c r="R936" i="36"/>
  <c r="S294" i="1"/>
  <c r="S200" i="36"/>
  <c r="T171" i="38" s="1"/>
  <c r="P60" i="40" s="1"/>
  <c r="R58" i="36"/>
  <c r="R224" i="36"/>
  <c r="S941" i="36"/>
  <c r="S266" i="36"/>
  <c r="S938" i="36"/>
  <c r="S620" i="36"/>
  <c r="S940" i="36"/>
  <c r="S421" i="1"/>
  <c r="Q65" i="36"/>
  <c r="R677" i="36"/>
  <c r="R678" i="36" s="1"/>
  <c r="S116" i="36"/>
  <c r="R454" i="1"/>
  <c r="R453" i="1" s="1"/>
  <c r="S446" i="1"/>
  <c r="S202" i="36"/>
  <c r="T199" i="38" s="1"/>
  <c r="P78" i="40" s="1"/>
  <c r="R60" i="36"/>
  <c r="R226" i="36"/>
  <c r="R72" i="36" s="1"/>
  <c r="Q67" i="36"/>
  <c r="S677" i="36"/>
  <c r="S678" i="36" s="1"/>
  <c r="R479" i="1"/>
  <c r="R478" i="1" s="1"/>
  <c r="S471" i="1"/>
  <c r="S622" i="36"/>
  <c r="R116" i="36"/>
  <c r="R924" i="36"/>
  <c r="R918" i="36"/>
  <c r="S344" i="1"/>
  <c r="S619" i="36"/>
  <c r="Q70" i="36"/>
  <c r="S201" i="36"/>
  <c r="T185" i="38" s="1"/>
  <c r="P69" i="40" s="1"/>
  <c r="R59" i="36"/>
  <c r="R225" i="36"/>
  <c r="R71" i="36" s="1"/>
  <c r="S939" i="36"/>
  <c r="N19" i="1"/>
  <c r="N678" i="1" s="1"/>
  <c r="N690" i="1" s="1"/>
  <c r="AP120" i="2"/>
  <c r="Z120" i="2"/>
  <c r="L112" i="3"/>
  <c r="P404" i="1"/>
  <c r="P405" i="1" s="1"/>
  <c r="M21" i="1"/>
  <c r="M22" i="1" s="1"/>
  <c r="Q403" i="1"/>
  <c r="Q28" i="1"/>
  <c r="Q396" i="1"/>
  <c r="Q390" i="1" s="1"/>
  <c r="R67" i="1"/>
  <c r="R675" i="1"/>
  <c r="R100" i="1"/>
  <c r="R99" i="1" s="1"/>
  <c r="R74" i="1" s="1"/>
  <c r="Q352" i="1"/>
  <c r="Q351" i="1" s="1"/>
  <c r="O252" i="1"/>
  <c r="O253" i="1" s="1"/>
  <c r="O47" i="1"/>
  <c r="Q377" i="1"/>
  <c r="Q376" i="1" s="1"/>
  <c r="S63" i="4"/>
  <c r="Z63" i="4"/>
  <c r="Q302" i="1"/>
  <c r="Q301" i="1" s="1"/>
  <c r="P629" i="1"/>
  <c r="O592" i="1"/>
  <c r="O591" i="1" s="1"/>
  <c r="R302" i="1"/>
  <c r="R301" i="1" s="1"/>
  <c r="L132" i="3"/>
  <c r="S167" i="3"/>
  <c r="R352" i="1"/>
  <c r="R351" i="1" s="1"/>
  <c r="R564" i="1"/>
  <c r="R563" i="1" s="1"/>
  <c r="Q211" i="1"/>
  <c r="Q217" i="1" s="1"/>
  <c r="AG211" i="1"/>
  <c r="R211" i="1" s="1"/>
  <c r="R217" i="1" s="1"/>
  <c r="Q608" i="1"/>
  <c r="Q53" i="5"/>
  <c r="Q52" i="5" s="1"/>
  <c r="N54" i="34"/>
  <c r="P225" i="1"/>
  <c r="P224" i="1" s="1"/>
  <c r="R396" i="1"/>
  <c r="O711" i="1"/>
  <c r="O12" i="1"/>
  <c r="O628" i="1" s="1"/>
  <c r="O34" i="1"/>
  <c r="Q675" i="1"/>
  <c r="Q720" i="1" s="1"/>
  <c r="Q67" i="1"/>
  <c r="Q100" i="1"/>
  <c r="Q99" i="1" s="1"/>
  <c r="Q74" i="1" s="1"/>
  <c r="R377" i="1"/>
  <c r="R376" i="1" s="1"/>
  <c r="P61" i="1"/>
  <c r="P674" i="1"/>
  <c r="P719" i="1" s="1"/>
  <c r="P588" i="1"/>
  <c r="O619" i="1"/>
  <c r="Q701" i="1"/>
  <c r="Y325" i="2"/>
  <c r="AO325" i="2"/>
  <c r="P75" i="1"/>
  <c r="P76" i="1" s="1"/>
  <c r="Q313" i="1"/>
  <c r="Q319" i="1" s="1"/>
  <c r="AG313" i="1"/>
  <c r="R313" i="1" s="1"/>
  <c r="R319" i="1" s="1"/>
  <c r="P327" i="1"/>
  <c r="P326" i="1" s="1"/>
  <c r="P251" i="1" s="1"/>
  <c r="Q703" i="1"/>
  <c r="R277" i="1"/>
  <c r="R276" i="1" s="1"/>
  <c r="R707" i="1"/>
  <c r="P390" i="1"/>
  <c r="L651" i="1"/>
  <c r="L710" i="1"/>
  <c r="L712" i="1" s="1"/>
  <c r="L618" i="1"/>
  <c r="R28" i="1"/>
  <c r="R171" i="4"/>
  <c r="Q564" i="1"/>
  <c r="Q563" i="1" s="1"/>
  <c r="M690" i="1"/>
  <c r="M687" i="1"/>
  <c r="M706" i="1"/>
  <c r="P244" i="1"/>
  <c r="P40" i="1" s="1"/>
  <c r="Q705" i="1"/>
  <c r="Q277" i="1"/>
  <c r="Q276" i="1" s="1"/>
  <c r="S173" i="4"/>
  <c r="N673" i="1"/>
  <c r="N598" i="1"/>
  <c r="N602" i="1"/>
  <c r="N600" i="1"/>
  <c r="N607" i="1"/>
  <c r="U55" i="25" l="1"/>
  <c r="S669" i="2" s="1"/>
  <c r="S114" i="5" s="1"/>
  <c r="R965" i="36"/>
  <c r="O51" i="34" s="1"/>
  <c r="S878" i="36"/>
  <c r="S879" i="36"/>
  <c r="S880" i="36"/>
  <c r="S877" i="36"/>
  <c r="S875" i="36"/>
  <c r="S876" i="36"/>
  <c r="S869" i="36"/>
  <c r="S591" i="36"/>
  <c r="S592" i="36"/>
  <c r="S589" i="36"/>
  <c r="S593" i="36"/>
  <c r="S594" i="36"/>
  <c r="S590" i="36"/>
  <c r="S583" i="36"/>
  <c r="L117" i="37"/>
  <c r="R117" i="36"/>
  <c r="P33" i="42"/>
  <c r="P56" i="42" s="1"/>
  <c r="R295" i="36"/>
  <c r="P11" i="42"/>
  <c r="S117" i="36"/>
  <c r="Q33" i="42"/>
  <c r="Q56" i="42" s="1"/>
  <c r="Q312" i="36"/>
  <c r="N77" i="34" s="1"/>
  <c r="O38" i="42"/>
  <c r="O61" i="42" s="1"/>
  <c r="R378" i="36"/>
  <c r="O79" i="34" s="1"/>
  <c r="P40" i="42"/>
  <c r="P63" i="42" s="1"/>
  <c r="P273" i="36"/>
  <c r="N37" i="42"/>
  <c r="N60" i="42" s="1"/>
  <c r="S378" i="36"/>
  <c r="P79" i="34" s="1"/>
  <c r="R79" i="34" s="1"/>
  <c r="Q40" i="42"/>
  <c r="Q63" i="42" s="1"/>
  <c r="T38" i="25"/>
  <c r="R669" i="2" s="1"/>
  <c r="R114" i="5" s="1"/>
  <c r="Q114" i="5"/>
  <c r="Q698" i="2"/>
  <c r="L131" i="37"/>
  <c r="L191" i="37" s="1"/>
  <c r="L124" i="37"/>
  <c r="L184" i="37" s="1"/>
  <c r="K110" i="37"/>
  <c r="R121" i="38"/>
  <c r="R120" i="38" s="1"/>
  <c r="K191" i="37"/>
  <c r="K129" i="37"/>
  <c r="K126" i="37" s="1"/>
  <c r="K161" i="37" s="1"/>
  <c r="K122" i="37"/>
  <c r="K119" i="37" s="1"/>
  <c r="K154" i="37" s="1"/>
  <c r="P170" i="38"/>
  <c r="R183" i="38"/>
  <c r="K177" i="37"/>
  <c r="K115" i="37"/>
  <c r="S186" i="38"/>
  <c r="O68" i="40" s="1"/>
  <c r="O70" i="40" s="1"/>
  <c r="O71" i="40" s="1"/>
  <c r="P61" i="41"/>
  <c r="M59" i="40"/>
  <c r="M61" i="40" s="1"/>
  <c r="M62" i="40" s="1"/>
  <c r="R172" i="38"/>
  <c r="N59" i="40" s="1"/>
  <c r="N61" i="40" s="1"/>
  <c r="N62" i="40" s="1"/>
  <c r="O52" i="41"/>
  <c r="O17" i="2"/>
  <c r="P970" i="36"/>
  <c r="P971" i="36" s="1"/>
  <c r="M86" i="34" s="1"/>
  <c r="N45" i="41"/>
  <c r="N46" i="41" s="1"/>
  <c r="N47" i="41" s="1"/>
  <c r="O44" i="41"/>
  <c r="T123" i="38"/>
  <c r="T121" i="38" s="1"/>
  <c r="Q43" i="41"/>
  <c r="S123" i="38"/>
  <c r="O51" i="40" s="1"/>
  <c r="O52" i="40" s="1"/>
  <c r="P43" i="41"/>
  <c r="R256" i="36"/>
  <c r="O28" i="34"/>
  <c r="P149" i="3"/>
  <c r="P259" i="5" s="1"/>
  <c r="P150" i="3"/>
  <c r="P151" i="3"/>
  <c r="P271" i="5" s="1"/>
  <c r="R150" i="24"/>
  <c r="R22" i="3"/>
  <c r="R101" i="3"/>
  <c r="R144" i="3"/>
  <c r="S22" i="3"/>
  <c r="S101" i="3"/>
  <c r="Q210" i="38"/>
  <c r="S144" i="3"/>
  <c r="Q170" i="3"/>
  <c r="Q196" i="38"/>
  <c r="S150" i="24"/>
  <c r="R345" i="2"/>
  <c r="R24" i="2" s="1"/>
  <c r="R18" i="2" s="1"/>
  <c r="Q24" i="2"/>
  <c r="Q18" i="2" s="1"/>
  <c r="Q170" i="38"/>
  <c r="R26" i="2"/>
  <c r="R20" i="2" s="1"/>
  <c r="R341" i="2"/>
  <c r="R342" i="2"/>
  <c r="R27" i="2"/>
  <c r="R21" i="2" s="1"/>
  <c r="P18" i="24"/>
  <c r="Q123" i="24"/>
  <c r="Q129" i="24" s="1"/>
  <c r="Q93" i="3"/>
  <c r="Q146" i="3" s="1"/>
  <c r="Q587" i="2"/>
  <c r="Q344" i="2"/>
  <c r="L113" i="3"/>
  <c r="L214" i="5"/>
  <c r="N47" i="34"/>
  <c r="N50" i="34" s="1"/>
  <c r="Q220" i="24"/>
  <c r="Q38" i="24" s="1"/>
  <c r="R106" i="38"/>
  <c r="S104" i="38" s="1"/>
  <c r="N41" i="40"/>
  <c r="P338" i="2"/>
  <c r="P23" i="2"/>
  <c r="Q163" i="3"/>
  <c r="S589" i="2"/>
  <c r="R956" i="36"/>
  <c r="R40" i="5"/>
  <c r="S592" i="2"/>
  <c r="S348" i="2" s="1"/>
  <c r="R340" i="2"/>
  <c r="P172" i="3"/>
  <c r="S336" i="2"/>
  <c r="S15" i="2" s="1"/>
  <c r="R211" i="38"/>
  <c r="R210" i="38" s="1"/>
  <c r="N86" i="40"/>
  <c r="N88" i="40" s="1"/>
  <c r="N89" i="40" s="1"/>
  <c r="P148" i="24"/>
  <c r="P154" i="24" s="1"/>
  <c r="O19" i="24"/>
  <c r="AH95" i="3"/>
  <c r="S95" i="3" s="1"/>
  <c r="S94" i="3" s="1"/>
  <c r="S84" i="5" s="1"/>
  <c r="R95" i="3"/>
  <c r="R94" i="3" s="1"/>
  <c r="R84" i="5" s="1"/>
  <c r="S590" i="2"/>
  <c r="S346" i="2" s="1"/>
  <c r="S340" i="2" s="1"/>
  <c r="R97" i="3"/>
  <c r="R96" i="3" s="1"/>
  <c r="R95" i="5" s="1"/>
  <c r="Y97" i="3"/>
  <c r="M43" i="40"/>
  <c r="R197" i="38"/>
  <c r="R196" i="38" s="1"/>
  <c r="N77" i="40"/>
  <c r="N79" i="40" s="1"/>
  <c r="N80" i="40" s="1"/>
  <c r="R563" i="2"/>
  <c r="R576" i="2" s="1"/>
  <c r="S564" i="2"/>
  <c r="R588" i="2"/>
  <c r="R332" i="2"/>
  <c r="R11" i="2" s="1"/>
  <c r="R968" i="36"/>
  <c r="Q967" i="36"/>
  <c r="S591" i="2"/>
  <c r="S347" i="2" s="1"/>
  <c r="S26" i="2" s="1"/>
  <c r="Q577" i="2"/>
  <c r="Q575" i="2"/>
  <c r="Q579" i="2"/>
  <c r="Q578" i="2"/>
  <c r="Q580" i="2"/>
  <c r="S214" i="38"/>
  <c r="S200" i="38"/>
  <c r="N114" i="24"/>
  <c r="N102" i="24" s="1"/>
  <c r="O114" i="24"/>
  <c r="O102" i="24" s="1"/>
  <c r="P114" i="24"/>
  <c r="P102" i="24" s="1"/>
  <c r="Q114" i="24"/>
  <c r="Q102" i="24" s="1"/>
  <c r="R114" i="24"/>
  <c r="R102" i="24" s="1"/>
  <c r="S114" i="24"/>
  <c r="S102" i="24" s="1"/>
  <c r="S534" i="2"/>
  <c r="S14" i="2"/>
  <c r="Q79" i="41" s="1"/>
  <c r="P331" i="2"/>
  <c r="P10" i="2" s="1"/>
  <c r="P569" i="2"/>
  <c r="R546" i="2"/>
  <c r="S535" i="2"/>
  <c r="S539" i="2"/>
  <c r="S537" i="2"/>
  <c r="S548" i="2"/>
  <c r="S536" i="2"/>
  <c r="S333" i="2"/>
  <c r="S12" i="2" s="1"/>
  <c r="S13" i="2"/>
  <c r="Q70" i="41" s="1"/>
  <c r="S538" i="2"/>
  <c r="R19" i="2"/>
  <c r="Q528" i="2"/>
  <c r="S302" i="2"/>
  <c r="Q364" i="2"/>
  <c r="S67" i="2"/>
  <c r="S301" i="2"/>
  <c r="S300" i="2"/>
  <c r="S63" i="2"/>
  <c r="R63" i="2"/>
  <c r="S312" i="2"/>
  <c r="S71" i="2"/>
  <c r="S64" i="2"/>
  <c r="Q182" i="38"/>
  <c r="Q184" i="38"/>
  <c r="S304" i="2"/>
  <c r="S66" i="2"/>
  <c r="S303" i="2"/>
  <c r="S56" i="2"/>
  <c r="S294" i="2"/>
  <c r="R56" i="2"/>
  <c r="R294" i="2"/>
  <c r="S289" i="36"/>
  <c r="S283" i="36"/>
  <c r="M704" i="1"/>
  <c r="M676" i="1"/>
  <c r="M718" i="1" s="1"/>
  <c r="M717" i="1" s="1"/>
  <c r="M681" i="1" s="1"/>
  <c r="M696" i="1" s="1"/>
  <c r="M698" i="1" s="1"/>
  <c r="M702" i="1"/>
  <c r="R34" i="5"/>
  <c r="O29" i="34" s="1"/>
  <c r="S290" i="36"/>
  <c r="S294" i="36"/>
  <c r="S293" i="36"/>
  <c r="S291" i="36"/>
  <c r="AG310" i="36"/>
  <c r="R310" i="36" s="1"/>
  <c r="R309" i="36" s="1"/>
  <c r="R308" i="36" s="1"/>
  <c r="R311" i="36" s="1"/>
  <c r="M597" i="1"/>
  <c r="M679" i="1" s="1"/>
  <c r="M708" i="1" s="1"/>
  <c r="S295" i="36"/>
  <c r="S34" i="5"/>
  <c r="R930" i="36"/>
  <c r="R39" i="5"/>
  <c r="O46" i="34" s="1"/>
  <c r="S621" i="36"/>
  <c r="S925" i="36"/>
  <c r="S929" i="36"/>
  <c r="S928" i="36"/>
  <c r="S926" i="36"/>
  <c r="R403" i="1"/>
  <c r="R404" i="1" s="1"/>
  <c r="R405" i="1" s="1"/>
  <c r="N706" i="1"/>
  <c r="N21" i="1"/>
  <c r="N22" i="1" s="1"/>
  <c r="AG945" i="36"/>
  <c r="R945" i="36" s="1"/>
  <c r="R944" i="36" s="1"/>
  <c r="R244" i="1"/>
  <c r="R238" i="1" s="1"/>
  <c r="S319" i="1"/>
  <c r="R65" i="36"/>
  <c r="S224" i="36"/>
  <c r="S58" i="36"/>
  <c r="Q269" i="36"/>
  <c r="Q272" i="36" s="1"/>
  <c r="S262" i="36"/>
  <c r="Q10" i="42" s="1"/>
  <c r="AG271" i="36"/>
  <c r="R271" i="36" s="1"/>
  <c r="R270" i="36" s="1"/>
  <c r="S244" i="36"/>
  <c r="S250" i="36"/>
  <c r="S252" i="36"/>
  <c r="S251" i="36"/>
  <c r="S255" i="36"/>
  <c r="Q64" i="36"/>
  <c r="S253" i="36"/>
  <c r="R67" i="36"/>
  <c r="R66" i="36"/>
  <c r="S936" i="36"/>
  <c r="S227" i="36"/>
  <c r="S73" i="36" s="1"/>
  <c r="S61" i="36"/>
  <c r="S924" i="36"/>
  <c r="S918" i="36"/>
  <c r="S60" i="36"/>
  <c r="S226" i="36"/>
  <c r="S72" i="36" s="1"/>
  <c r="R70" i="36"/>
  <c r="O1052" i="36"/>
  <c r="S225" i="36"/>
  <c r="S71" i="36" s="1"/>
  <c r="S59" i="36"/>
  <c r="O19" i="1"/>
  <c r="O678" i="1" s="1"/>
  <c r="O690" i="1" s="1"/>
  <c r="P47" i="1"/>
  <c r="P48" i="1" s="1"/>
  <c r="P49" i="1" s="1"/>
  <c r="Q404" i="1"/>
  <c r="Q405" i="1" s="1"/>
  <c r="P12" i="1"/>
  <c r="P628" i="1" s="1"/>
  <c r="P34" i="1"/>
  <c r="Q327" i="1"/>
  <c r="Q326" i="1" s="1"/>
  <c r="Q251" i="1" s="1"/>
  <c r="P711" i="1"/>
  <c r="Q244" i="1"/>
  <c r="Q40" i="1" s="1"/>
  <c r="R705" i="1"/>
  <c r="AP325" i="2"/>
  <c r="Z325" i="2"/>
  <c r="R390" i="1"/>
  <c r="L714" i="1"/>
  <c r="L715" i="1" s="1"/>
  <c r="L621" i="1"/>
  <c r="R225" i="1"/>
  <c r="R224" i="1" s="1"/>
  <c r="Q629" i="1"/>
  <c r="P238" i="1"/>
  <c r="L652" i="1"/>
  <c r="R701" i="1"/>
  <c r="P592" i="1"/>
  <c r="P591" i="1" s="1"/>
  <c r="R75" i="1"/>
  <c r="R76" i="1" s="1"/>
  <c r="S53" i="5"/>
  <c r="P54" i="34"/>
  <c r="R53" i="5"/>
  <c r="R52" i="5" s="1"/>
  <c r="O54" i="34"/>
  <c r="S171" i="4"/>
  <c r="Q225" i="1"/>
  <c r="Q224" i="1" s="1"/>
  <c r="Q75" i="1"/>
  <c r="Q76" i="1" s="1"/>
  <c r="N597" i="1"/>
  <c r="N679" i="1" s="1"/>
  <c r="N708" i="1" s="1"/>
  <c r="R703" i="1"/>
  <c r="P619" i="1"/>
  <c r="N676" i="1"/>
  <c r="N704" i="1"/>
  <c r="N702" i="1"/>
  <c r="N700" i="1"/>
  <c r="O48" i="1"/>
  <c r="O49" i="1" s="1"/>
  <c r="R720" i="1"/>
  <c r="Q61" i="1"/>
  <c r="Q674" i="1"/>
  <c r="Q719" i="1" s="1"/>
  <c r="Q588" i="1"/>
  <c r="P252" i="1"/>
  <c r="P253" i="1" s="1"/>
  <c r="R327" i="1"/>
  <c r="R326" i="1" s="1"/>
  <c r="R251" i="1" s="1"/>
  <c r="O673" i="1"/>
  <c r="O602" i="1"/>
  <c r="O600" i="1"/>
  <c r="O598" i="1"/>
  <c r="O607" i="1"/>
  <c r="R608" i="1"/>
  <c r="N687" i="1"/>
  <c r="R61" i="1"/>
  <c r="R54" i="1"/>
  <c r="S54" i="1" s="1"/>
  <c r="R674" i="1"/>
  <c r="R588" i="1"/>
  <c r="S698" i="2" l="1"/>
  <c r="S170" i="3"/>
  <c r="S148" i="3"/>
  <c r="R170" i="3"/>
  <c r="R148" i="3"/>
  <c r="AH960" i="36"/>
  <c r="S960" i="36" s="1"/>
  <c r="M117" i="37"/>
  <c r="R698" i="2"/>
  <c r="R122" i="38"/>
  <c r="L110" i="37"/>
  <c r="Q273" i="36"/>
  <c r="O37" i="42"/>
  <c r="O60" i="42" s="1"/>
  <c r="R312" i="36"/>
  <c r="O77" i="34" s="1"/>
  <c r="P38" i="42"/>
  <c r="P61" i="42" s="1"/>
  <c r="R54" i="34"/>
  <c r="M124" i="37"/>
  <c r="M131" i="37"/>
  <c r="R169" i="38"/>
  <c r="R170" i="38" s="1"/>
  <c r="L129" i="37"/>
  <c r="L126" i="37" s="1"/>
  <c r="L161" i="37" s="1"/>
  <c r="K159" i="37"/>
  <c r="S183" i="38"/>
  <c r="L122" i="37"/>
  <c r="L119" i="37" s="1"/>
  <c r="L154" i="37" s="1"/>
  <c r="K152" i="37"/>
  <c r="K170" i="37"/>
  <c r="K108" i="37"/>
  <c r="K149" i="37"/>
  <c r="K150" i="37"/>
  <c r="K151" i="37"/>
  <c r="K179" i="37"/>
  <c r="K197" i="37"/>
  <c r="K205" i="37" s="1"/>
  <c r="M73" i="41"/>
  <c r="M72" i="41" s="1"/>
  <c r="K155" i="37"/>
  <c r="K153" i="37"/>
  <c r="K112" i="37"/>
  <c r="K147" i="37" s="1"/>
  <c r="L177" i="37"/>
  <c r="L115" i="37"/>
  <c r="K198" i="37"/>
  <c r="K206" i="37" s="1"/>
  <c r="K156" i="37"/>
  <c r="K186" i="37"/>
  <c r="K157" i="37"/>
  <c r="M82" i="41"/>
  <c r="M81" i="41" s="1"/>
  <c r="K162" i="37"/>
  <c r="K158" i="37"/>
  <c r="K160" i="37"/>
  <c r="S121" i="38"/>
  <c r="S122" i="38" s="1"/>
  <c r="T186" i="38"/>
  <c r="T183" i="38" s="1"/>
  <c r="T184" i="38" s="1"/>
  <c r="Q61" i="41"/>
  <c r="P51" i="40"/>
  <c r="P52" i="40" s="1"/>
  <c r="P17" i="2"/>
  <c r="S172" i="38"/>
  <c r="S169" i="38" s="1"/>
  <c r="S168" i="38" s="1"/>
  <c r="P52" i="41"/>
  <c r="Q970" i="36"/>
  <c r="Q971" i="36" s="1"/>
  <c r="N86" i="34" s="1"/>
  <c r="O45" i="41"/>
  <c r="O46" i="41" s="1"/>
  <c r="O47" i="41" s="1"/>
  <c r="P44" i="41"/>
  <c r="S256" i="36"/>
  <c r="P28" i="34"/>
  <c r="R28" i="34" s="1"/>
  <c r="Q150" i="3"/>
  <c r="Q151" i="3"/>
  <c r="Q271" i="5" s="1"/>
  <c r="Q149" i="3"/>
  <c r="Q259" i="5" s="1"/>
  <c r="R339" i="2"/>
  <c r="S345" i="2"/>
  <c r="S24" i="2" s="1"/>
  <c r="S18" i="2" s="1"/>
  <c r="R198" i="38"/>
  <c r="S342" i="2"/>
  <c r="R212" i="38"/>
  <c r="S106" i="38"/>
  <c r="T104" i="38" s="1"/>
  <c r="P41" i="40" s="1"/>
  <c r="O41" i="40"/>
  <c r="Q148" i="24"/>
  <c r="Q154" i="24" s="1"/>
  <c r="P19" i="24"/>
  <c r="S163" i="3"/>
  <c r="R163" i="3"/>
  <c r="S341" i="2"/>
  <c r="S211" i="38"/>
  <c r="S212" i="38" s="1"/>
  <c r="O86" i="40"/>
  <c r="O88" i="40" s="1"/>
  <c r="O89" i="40" s="1"/>
  <c r="R587" i="2"/>
  <c r="R344" i="2"/>
  <c r="S968" i="36"/>
  <c r="S967" i="36" s="1"/>
  <c r="R967" i="36"/>
  <c r="S563" i="2"/>
  <c r="S576" i="2" s="1"/>
  <c r="S588" i="2"/>
  <c r="S332" i="2"/>
  <c r="S11" i="2" s="1"/>
  <c r="R220" i="24"/>
  <c r="O47" i="34"/>
  <c r="O50" i="34" s="1"/>
  <c r="T120" i="38"/>
  <c r="T122" i="38"/>
  <c r="S197" i="38"/>
  <c r="S198" i="38" s="1"/>
  <c r="O77" i="40"/>
  <c r="O79" i="40" s="1"/>
  <c r="O80" i="40" s="1"/>
  <c r="Q338" i="2"/>
  <c r="Q23" i="2"/>
  <c r="R580" i="2"/>
  <c r="R575" i="2"/>
  <c r="R578" i="2"/>
  <c r="R577" i="2"/>
  <c r="R579" i="2"/>
  <c r="R123" i="24"/>
  <c r="R129" i="24" s="1"/>
  <c r="Q18" i="24"/>
  <c r="N43" i="40"/>
  <c r="Z97" i="3"/>
  <c r="S97" i="3"/>
  <c r="S96" i="3" s="1"/>
  <c r="S27" i="2"/>
  <c r="S21" i="2" s="1"/>
  <c r="Q172" i="3"/>
  <c r="R93" i="3"/>
  <c r="R172" i="3" s="1"/>
  <c r="T214" i="38"/>
  <c r="T200" i="38"/>
  <c r="N104" i="24"/>
  <c r="N17" i="24" s="1"/>
  <c r="S546" i="2"/>
  <c r="S20" i="2"/>
  <c r="Q331" i="2"/>
  <c r="Q10" i="2" s="1"/>
  <c r="Q569" i="2"/>
  <c r="S528" i="2"/>
  <c r="R528" i="2"/>
  <c r="R364" i="2"/>
  <c r="S364" i="2"/>
  <c r="R184" i="38"/>
  <c r="R182" i="38"/>
  <c r="S65" i="2"/>
  <c r="S25" i="2"/>
  <c r="S19" i="2" s="1"/>
  <c r="N718" i="1"/>
  <c r="N717" i="1" s="1"/>
  <c r="N681" i="1" s="1"/>
  <c r="N685" i="1" s="1"/>
  <c r="N697" i="1" s="1"/>
  <c r="M685" i="1"/>
  <c r="M697" i="1" s="1"/>
  <c r="AH310" i="36"/>
  <c r="S310" i="36" s="1"/>
  <c r="S309" i="36" s="1"/>
  <c r="S308" i="36" s="1"/>
  <c r="S311" i="36" s="1"/>
  <c r="S930" i="36"/>
  <c r="S39" i="5"/>
  <c r="AH945" i="36"/>
  <c r="S945" i="36" s="1"/>
  <c r="S944" i="36" s="1"/>
  <c r="S943" i="36" s="1"/>
  <c r="S946" i="36" s="1"/>
  <c r="S947" i="36" s="1"/>
  <c r="P85" i="34" s="1"/>
  <c r="R85" i="34" s="1"/>
  <c r="R40" i="1"/>
  <c r="R12" i="1" s="1"/>
  <c r="R252" i="1"/>
  <c r="R253" i="1" s="1"/>
  <c r="O706" i="1"/>
  <c r="R269" i="36"/>
  <c r="R272" i="36" s="1"/>
  <c r="AH271" i="36"/>
  <c r="S271" i="36" s="1"/>
  <c r="S270" i="36" s="1"/>
  <c r="S269" i="36" s="1"/>
  <c r="S272" i="36" s="1"/>
  <c r="S67" i="36"/>
  <c r="R943" i="36"/>
  <c r="R946" i="36" s="1"/>
  <c r="R947" i="36" s="1"/>
  <c r="O85" i="34" s="1"/>
  <c r="S65" i="36"/>
  <c r="S66" i="36"/>
  <c r="R64" i="36"/>
  <c r="S70" i="36"/>
  <c r="P1052" i="36"/>
  <c r="O21" i="1"/>
  <c r="O22" i="1" s="1"/>
  <c r="P19" i="1"/>
  <c r="P678" i="1" s="1"/>
  <c r="P690" i="1" s="1"/>
  <c r="Q252" i="1"/>
  <c r="Q253" i="1" s="1"/>
  <c r="R47" i="1"/>
  <c r="R719" i="1"/>
  <c r="O687" i="1"/>
  <c r="Q592" i="1"/>
  <c r="Q591" i="1" s="1"/>
  <c r="S52" i="5"/>
  <c r="Q238" i="1"/>
  <c r="R592" i="1"/>
  <c r="R591" i="1" s="1"/>
  <c r="O597" i="1"/>
  <c r="O679" i="1" s="1"/>
  <c r="O708" i="1" s="1"/>
  <c r="R629" i="1"/>
  <c r="O676" i="1"/>
  <c r="O704" i="1"/>
  <c r="O702" i="1"/>
  <c r="O700" i="1"/>
  <c r="Q12" i="1"/>
  <c r="Q628" i="1" s="1"/>
  <c r="Q34" i="1"/>
  <c r="Q619" i="1"/>
  <c r="Q47" i="1"/>
  <c r="P29" i="34"/>
  <c r="R29" i="34" s="1"/>
  <c r="Q711" i="1"/>
  <c r="P673" i="1"/>
  <c r="P600" i="1"/>
  <c r="P602" i="1"/>
  <c r="P598" i="1"/>
  <c r="P607" i="1"/>
  <c r="S965" i="36" l="1"/>
  <c r="P51" i="34" s="1"/>
  <c r="R51" i="34" s="1"/>
  <c r="S964" i="36"/>
  <c r="S961" i="36" s="1"/>
  <c r="S312" i="36"/>
  <c r="P77" i="34" s="1"/>
  <c r="R77" i="34" s="1"/>
  <c r="Q38" i="42"/>
  <c r="Q61" i="42" s="1"/>
  <c r="R273" i="36"/>
  <c r="P37" i="42"/>
  <c r="P60" i="42" s="1"/>
  <c r="S273" i="36"/>
  <c r="Q37" i="42"/>
  <c r="Q60" i="42" s="1"/>
  <c r="N117" i="37"/>
  <c r="M110" i="37"/>
  <c r="N110" i="37" s="1"/>
  <c r="N131" i="37"/>
  <c r="N124" i="37"/>
  <c r="M191" i="37"/>
  <c r="R168" i="38"/>
  <c r="L159" i="37"/>
  <c r="K145" i="37"/>
  <c r="L152" i="37"/>
  <c r="L108" i="37"/>
  <c r="L170" i="37"/>
  <c r="K105" i="37"/>
  <c r="K138" i="37" s="1"/>
  <c r="L157" i="37"/>
  <c r="N82" i="41"/>
  <c r="N81" i="41" s="1"/>
  <c r="L156" i="37"/>
  <c r="L198" i="37"/>
  <c r="L206" i="37" s="1"/>
  <c r="L158" i="37"/>
  <c r="L186" i="37"/>
  <c r="L208" i="37" s="1"/>
  <c r="L162" i="37"/>
  <c r="L160" i="37"/>
  <c r="L112" i="37"/>
  <c r="L147" i="37" s="1"/>
  <c r="M177" i="37"/>
  <c r="M115" i="37"/>
  <c r="K143" i="37"/>
  <c r="M64" i="41"/>
  <c r="M63" i="41" s="1"/>
  <c r="K144" i="37"/>
  <c r="K172" i="37"/>
  <c r="K196" i="37"/>
  <c r="K204" i="37" s="1"/>
  <c r="K142" i="37"/>
  <c r="K146" i="37"/>
  <c r="K148" i="37"/>
  <c r="N73" i="41"/>
  <c r="N72" i="41" s="1"/>
  <c r="L153" i="37"/>
  <c r="L155" i="37"/>
  <c r="L197" i="37"/>
  <c r="L205" i="37" s="1"/>
  <c r="L151" i="37"/>
  <c r="L149" i="37"/>
  <c r="L150" i="37"/>
  <c r="L179" i="37"/>
  <c r="S120" i="38"/>
  <c r="P68" i="40"/>
  <c r="P70" i="40" s="1"/>
  <c r="P71" i="40" s="1"/>
  <c r="O59" i="40"/>
  <c r="O61" i="40" s="1"/>
  <c r="O62" i="40" s="1"/>
  <c r="T172" i="38"/>
  <c r="T169" i="38" s="1"/>
  <c r="T170" i="38" s="1"/>
  <c r="Q52" i="41"/>
  <c r="Q17" i="2"/>
  <c r="R970" i="36"/>
  <c r="R971" i="36" s="1"/>
  <c r="O86" i="34" s="1"/>
  <c r="P45" i="41"/>
  <c r="P46" i="41" s="1"/>
  <c r="P47" i="41" s="1"/>
  <c r="S970" i="36"/>
  <c r="S971" i="36" s="1"/>
  <c r="P86" i="34" s="1"/>
  <c r="R86" i="34" s="1"/>
  <c r="Q45" i="41"/>
  <c r="R150" i="3"/>
  <c r="S150" i="3" s="1"/>
  <c r="R149" i="3"/>
  <c r="R259" i="5" s="1"/>
  <c r="R151" i="3"/>
  <c r="R271" i="5" s="1"/>
  <c r="S339" i="2"/>
  <c r="S170" i="38"/>
  <c r="R146" i="3"/>
  <c r="S196" i="38"/>
  <c r="T106" i="38"/>
  <c r="S210" i="38"/>
  <c r="S575" i="2"/>
  <c r="S577" i="2"/>
  <c r="S578" i="2"/>
  <c r="S580" i="2"/>
  <c r="S579" i="2"/>
  <c r="S587" i="2"/>
  <c r="S344" i="2"/>
  <c r="R148" i="24"/>
  <c r="R154" i="24" s="1"/>
  <c r="Q19" i="24"/>
  <c r="T197" i="38"/>
  <c r="T198" i="38" s="1"/>
  <c r="P77" i="40"/>
  <c r="P79" i="40" s="1"/>
  <c r="P80" i="40" s="1"/>
  <c r="S123" i="24"/>
  <c r="S129" i="24" s="1"/>
  <c r="S18" i="24" s="1"/>
  <c r="R18" i="24"/>
  <c r="O43" i="40"/>
  <c r="T182" i="38"/>
  <c r="R38" i="24"/>
  <c r="S95" i="5"/>
  <c r="S93" i="3"/>
  <c r="T211" i="38"/>
  <c r="T212" i="38" s="1"/>
  <c r="P86" i="40"/>
  <c r="P88" i="40" s="1"/>
  <c r="P89" i="40" s="1"/>
  <c r="R338" i="2"/>
  <c r="R23" i="2"/>
  <c r="O98" i="24"/>
  <c r="O104" i="24" s="1"/>
  <c r="P98" i="24" s="1"/>
  <c r="P104" i="24" s="1"/>
  <c r="S331" i="2"/>
  <c r="S10" i="2" s="1"/>
  <c r="S569" i="2"/>
  <c r="R331" i="2"/>
  <c r="R10" i="2" s="1"/>
  <c r="R569" i="2"/>
  <c r="S184" i="38"/>
  <c r="S182" i="38"/>
  <c r="N696" i="1"/>
  <c r="N698" i="1" s="1"/>
  <c r="O718" i="1"/>
  <c r="O717" i="1" s="1"/>
  <c r="O681" i="1" s="1"/>
  <c r="O685" i="1" s="1"/>
  <c r="O697" i="1" s="1"/>
  <c r="P46" i="34"/>
  <c r="R46" i="34" s="1"/>
  <c r="R48" i="1"/>
  <c r="R49" i="1" s="1"/>
  <c r="S40" i="1"/>
  <c r="R34" i="1"/>
  <c r="R27" i="1"/>
  <c r="Q1052" i="36"/>
  <c r="P21" i="1"/>
  <c r="P22" i="1" s="1"/>
  <c r="S64" i="36"/>
  <c r="Q19" i="1"/>
  <c r="Q678" i="1" s="1"/>
  <c r="Q690" i="1" s="1"/>
  <c r="P706" i="1"/>
  <c r="Q48" i="1"/>
  <c r="Q49" i="1" s="1"/>
  <c r="R19" i="1"/>
  <c r="R678" i="1" s="1"/>
  <c r="R690" i="1" s="1"/>
  <c r="P687" i="1"/>
  <c r="R628" i="1"/>
  <c r="R619" i="1"/>
  <c r="Q673" i="1"/>
  <c r="Q602" i="1"/>
  <c r="Q600" i="1"/>
  <c r="Q598" i="1"/>
  <c r="Q607" i="1"/>
  <c r="P597" i="1"/>
  <c r="P679" i="1" s="1"/>
  <c r="P708" i="1" s="1"/>
  <c r="R673" i="1"/>
  <c r="R600" i="1"/>
  <c r="R602" i="1"/>
  <c r="R598" i="1"/>
  <c r="P676" i="1"/>
  <c r="P702" i="1"/>
  <c r="P704" i="1"/>
  <c r="P700" i="1"/>
  <c r="R711" i="1"/>
  <c r="R607" i="1"/>
  <c r="Q42" i="41" l="1"/>
  <c r="Q44" i="41" s="1"/>
  <c r="S40" i="5"/>
  <c r="S956" i="36"/>
  <c r="O117" i="37"/>
  <c r="O110" i="37"/>
  <c r="O124" i="37"/>
  <c r="O184" i="37" s="1"/>
  <c r="O131" i="37"/>
  <c r="M129" i="37"/>
  <c r="M126" i="37" s="1"/>
  <c r="M161" i="37" s="1"/>
  <c r="M122" i="37"/>
  <c r="M119" i="37" s="1"/>
  <c r="M154" i="37" s="1"/>
  <c r="M184" i="37"/>
  <c r="N191" i="37"/>
  <c r="N129" i="37"/>
  <c r="N126" i="37" s="1"/>
  <c r="N161" i="37" s="1"/>
  <c r="N184" i="37"/>
  <c r="N122" i="37"/>
  <c r="N119" i="37" s="1"/>
  <c r="N154" i="37" s="1"/>
  <c r="L145" i="37"/>
  <c r="M170" i="37"/>
  <c r="M108" i="37"/>
  <c r="L105" i="37"/>
  <c r="L138" i="37" s="1"/>
  <c r="K137" i="37"/>
  <c r="K141" i="37"/>
  <c r="K139" i="37"/>
  <c r="K136" i="37"/>
  <c r="K195" i="37"/>
  <c r="K165" i="37"/>
  <c r="K140" i="37"/>
  <c r="M55" i="41"/>
  <c r="M54" i="41" s="1"/>
  <c r="K135" i="37"/>
  <c r="M112" i="37"/>
  <c r="M147" i="37" s="1"/>
  <c r="N177" i="37"/>
  <c r="N115" i="37"/>
  <c r="L172" i="37"/>
  <c r="N64" i="41"/>
  <c r="N63" i="41" s="1"/>
  <c r="L148" i="37"/>
  <c r="L146" i="37"/>
  <c r="L196" i="37"/>
  <c r="L204" i="37" s="1"/>
  <c r="L143" i="37"/>
  <c r="L142" i="37"/>
  <c r="L144" i="37"/>
  <c r="P59" i="40"/>
  <c r="P61" i="40" s="1"/>
  <c r="P62" i="40" s="1"/>
  <c r="R17" i="2"/>
  <c r="S149" i="3"/>
  <c r="S259" i="5" s="1"/>
  <c r="S151" i="3"/>
  <c r="S271" i="5" s="1"/>
  <c r="T196" i="38"/>
  <c r="S172" i="3"/>
  <c r="S146" i="3"/>
  <c r="T168" i="38"/>
  <c r="S338" i="2"/>
  <c r="S23" i="2"/>
  <c r="T210" i="38"/>
  <c r="P43" i="40"/>
  <c r="S148" i="24"/>
  <c r="S154" i="24" s="1"/>
  <c r="S19" i="24" s="1"/>
  <c r="R19" i="24"/>
  <c r="O17" i="24"/>
  <c r="Q98" i="24"/>
  <c r="Q104" i="24" s="1"/>
  <c r="P17" i="24"/>
  <c r="O696" i="1"/>
  <c r="O698" i="1" s="1"/>
  <c r="P718" i="1"/>
  <c r="P717" i="1" s="1"/>
  <c r="P681" i="1" s="1"/>
  <c r="P685" i="1" s="1"/>
  <c r="P697" i="1" s="1"/>
  <c r="Q706" i="1"/>
  <c r="R21" i="1"/>
  <c r="R22" i="1" s="1"/>
  <c r="R706" i="1"/>
  <c r="R1052" i="36"/>
  <c r="Q21" i="1"/>
  <c r="Q22" i="1" s="1"/>
  <c r="Q687" i="1"/>
  <c r="R687" i="1" s="1"/>
  <c r="R676" i="1"/>
  <c r="R704" i="1"/>
  <c r="R700" i="1"/>
  <c r="R702" i="1"/>
  <c r="R597" i="1"/>
  <c r="R679" i="1" s="1"/>
  <c r="R708" i="1" s="1"/>
  <c r="Q597" i="1"/>
  <c r="Q679" i="1" s="1"/>
  <c r="Q708" i="1" s="1"/>
  <c r="Q676" i="1"/>
  <c r="Q700" i="1"/>
  <c r="Q702" i="1"/>
  <c r="Q704" i="1"/>
  <c r="Q46" i="41" l="1"/>
  <c r="Q47" i="41" s="1"/>
  <c r="S220" i="24"/>
  <c r="P47" i="34"/>
  <c r="P50" i="34" s="1"/>
  <c r="M158" i="37"/>
  <c r="M159" i="37"/>
  <c r="M162" i="37"/>
  <c r="M160" i="37"/>
  <c r="M186" i="37"/>
  <c r="M156" i="37"/>
  <c r="M157" i="37"/>
  <c r="O82" i="41"/>
  <c r="O81" i="41" s="1"/>
  <c r="M198" i="37"/>
  <c r="M206" i="37" s="1"/>
  <c r="M149" i="37"/>
  <c r="M197" i="37"/>
  <c r="M205" i="37" s="1"/>
  <c r="M153" i="37"/>
  <c r="M151" i="37"/>
  <c r="M150" i="37"/>
  <c r="M152" i="37"/>
  <c r="M179" i="37"/>
  <c r="M155" i="37"/>
  <c r="O73" i="41"/>
  <c r="O72" i="41" s="1"/>
  <c r="O191" i="37"/>
  <c r="O129" i="37"/>
  <c r="O126" i="37" s="1"/>
  <c r="O161" i="37" s="1"/>
  <c r="O122" i="37"/>
  <c r="O119" i="37" s="1"/>
  <c r="O154" i="37" s="1"/>
  <c r="N159" i="37"/>
  <c r="N152" i="37"/>
  <c r="L135" i="37"/>
  <c r="L137" i="37"/>
  <c r="L195" i="37"/>
  <c r="L140" i="37"/>
  <c r="N55" i="41"/>
  <c r="N54" i="41" s="1"/>
  <c r="L141" i="37"/>
  <c r="L139" i="37"/>
  <c r="L165" i="37"/>
  <c r="L136" i="37"/>
  <c r="M105" i="37"/>
  <c r="M138" i="37" s="1"/>
  <c r="AD323" i="2"/>
  <c r="O323" i="2" s="1"/>
  <c r="O322" i="2" s="1"/>
  <c r="O321" i="2" s="1"/>
  <c r="AD557" i="2"/>
  <c r="O557" i="2" s="1"/>
  <c r="O556" i="2" s="1"/>
  <c r="AD598" i="2"/>
  <c r="O598" i="2" s="1"/>
  <c r="O597" i="2" s="1"/>
  <c r="O596" i="2" s="1"/>
  <c r="AD282" i="2"/>
  <c r="O282" i="2" s="1"/>
  <c r="O281" i="2" s="1"/>
  <c r="AD118" i="2"/>
  <c r="O118" i="2" s="1"/>
  <c r="O117" i="2" s="1"/>
  <c r="AD159" i="2"/>
  <c r="O159" i="2" s="1"/>
  <c r="O158" i="2" s="1"/>
  <c r="AD475" i="2"/>
  <c r="O475" i="2" s="1"/>
  <c r="O474" i="2" s="1"/>
  <c r="K203" i="37"/>
  <c r="AD241" i="2"/>
  <c r="O241" i="2" s="1"/>
  <c r="O240" i="2" s="1"/>
  <c r="O239" i="2" s="1"/>
  <c r="AD434" i="2"/>
  <c r="O434" i="2" s="1"/>
  <c r="O433" i="2" s="1"/>
  <c r="AD516" i="2"/>
  <c r="O516" i="2" s="1"/>
  <c r="O515" i="2" s="1"/>
  <c r="AD393" i="2"/>
  <c r="O393" i="2" s="1"/>
  <c r="O392" i="2" s="1"/>
  <c r="O391" i="2" s="1"/>
  <c r="AD200" i="2"/>
  <c r="O200" i="2" s="1"/>
  <c r="O199" i="2" s="1"/>
  <c r="N170" i="37"/>
  <c r="N108" i="37"/>
  <c r="M145" i="37"/>
  <c r="N157" i="37"/>
  <c r="P82" i="41"/>
  <c r="P81" i="41" s="1"/>
  <c r="N198" i="37"/>
  <c r="N162" i="37"/>
  <c r="N156" i="37"/>
  <c r="N158" i="37"/>
  <c r="N186" i="37"/>
  <c r="N208" i="37" s="1"/>
  <c r="N160" i="37"/>
  <c r="N112" i="37"/>
  <c r="N147" i="37" s="1"/>
  <c r="O177" i="37"/>
  <c r="O115" i="37"/>
  <c r="M196" i="37"/>
  <c r="M204" i="37" s="1"/>
  <c r="M142" i="37"/>
  <c r="O64" i="41"/>
  <c r="O63" i="41" s="1"/>
  <c r="M143" i="37"/>
  <c r="M172" i="37"/>
  <c r="M144" i="37"/>
  <c r="M148" i="37"/>
  <c r="M146" i="37"/>
  <c r="N150" i="37"/>
  <c r="N151" i="37"/>
  <c r="P73" i="41"/>
  <c r="P72" i="41" s="1"/>
  <c r="N179" i="37"/>
  <c r="N153" i="37"/>
  <c r="N155" i="37"/>
  <c r="N197" i="37"/>
  <c r="N149" i="37"/>
  <c r="S17" i="2"/>
  <c r="R98" i="24"/>
  <c r="R104" i="24" s="1"/>
  <c r="Q17" i="24"/>
  <c r="P696" i="1"/>
  <c r="P698" i="1" s="1"/>
  <c r="Q718" i="1"/>
  <c r="Q717" i="1" s="1"/>
  <c r="Q681" i="1" s="1"/>
  <c r="Q685" i="1" s="1"/>
  <c r="Q697" i="1" s="1"/>
  <c r="S1052" i="36"/>
  <c r="S38" i="24" l="1"/>
  <c r="E233" i="24" a="1"/>
  <c r="E233" i="24" s="1"/>
  <c r="R50" i="34"/>
  <c r="R47" i="34"/>
  <c r="N206" i="37"/>
  <c r="N205" i="37"/>
  <c r="O159" i="37"/>
  <c r="N145" i="37"/>
  <c r="O152" i="37"/>
  <c r="O432" i="2"/>
  <c r="O280" i="2"/>
  <c r="L203" i="37"/>
  <c r="AE557" i="2"/>
  <c r="P557" i="2" s="1"/>
  <c r="P556" i="2" s="1"/>
  <c r="AE323" i="2"/>
  <c r="P323" i="2" s="1"/>
  <c r="P322" i="2" s="1"/>
  <c r="P321" i="2" s="1"/>
  <c r="AE598" i="2"/>
  <c r="P598" i="2" s="1"/>
  <c r="P597" i="2" s="1"/>
  <c r="P596" i="2" s="1"/>
  <c r="AE118" i="2"/>
  <c r="P118" i="2" s="1"/>
  <c r="P117" i="2" s="1"/>
  <c r="AE159" i="2"/>
  <c r="P159" i="2" s="1"/>
  <c r="P158" i="2" s="1"/>
  <c r="AE393" i="2"/>
  <c r="P393" i="2" s="1"/>
  <c r="P392" i="2" s="1"/>
  <c r="P391" i="2" s="1"/>
  <c r="AE475" i="2"/>
  <c r="P475" i="2" s="1"/>
  <c r="P474" i="2" s="1"/>
  <c r="AE241" i="2"/>
  <c r="P241" i="2" s="1"/>
  <c r="P240" i="2" s="1"/>
  <c r="P239" i="2" s="1"/>
  <c r="AE282" i="2"/>
  <c r="P282" i="2" s="1"/>
  <c r="P281" i="2" s="1"/>
  <c r="AE516" i="2"/>
  <c r="P516" i="2" s="1"/>
  <c r="P515" i="2" s="1"/>
  <c r="AE200" i="2"/>
  <c r="P200" i="2" s="1"/>
  <c r="P199" i="2" s="1"/>
  <c r="AE434" i="2"/>
  <c r="P434" i="2" s="1"/>
  <c r="P433" i="2" s="1"/>
  <c r="O555" i="2"/>
  <c r="M136" i="37"/>
  <c r="M139" i="37"/>
  <c r="M165" i="37"/>
  <c r="M137" i="37"/>
  <c r="M140" i="37"/>
  <c r="M141" i="37"/>
  <c r="M195" i="37"/>
  <c r="O55" i="41"/>
  <c r="O54" i="41" s="1"/>
  <c r="M135" i="37"/>
  <c r="O108" i="37"/>
  <c r="O170" i="37"/>
  <c r="O473" i="2"/>
  <c r="O116" i="2"/>
  <c r="N105" i="37"/>
  <c r="N138" i="37" s="1"/>
  <c r="O198" i="2"/>
  <c r="O514" i="2"/>
  <c r="O153" i="37"/>
  <c r="O149" i="37"/>
  <c r="O151" i="37"/>
  <c r="O150" i="37"/>
  <c r="O179" i="37"/>
  <c r="O155" i="37"/>
  <c r="O197" i="37"/>
  <c r="O205" i="37" s="1"/>
  <c r="Q73" i="41"/>
  <c r="Q72" i="41" s="1"/>
  <c r="O112" i="37"/>
  <c r="O147" i="37" s="1"/>
  <c r="N146" i="37"/>
  <c r="N196" i="37"/>
  <c r="N204" i="37" s="1"/>
  <c r="N172" i="37"/>
  <c r="N144" i="37"/>
  <c r="N142" i="37"/>
  <c r="N148" i="37"/>
  <c r="N143" i="37"/>
  <c r="P64" i="41"/>
  <c r="P63" i="41" s="1"/>
  <c r="O198" i="37"/>
  <c r="O206" i="37" s="1"/>
  <c r="O186" i="37"/>
  <c r="O208" i="37" s="1"/>
  <c r="O162" i="37"/>
  <c r="Q82" i="41"/>
  <c r="Q81" i="41" s="1"/>
  <c r="O157" i="37"/>
  <c r="O156" i="37"/>
  <c r="O158" i="37"/>
  <c r="O160" i="37"/>
  <c r="S98" i="24"/>
  <c r="R17" i="24"/>
  <c r="Q696" i="1"/>
  <c r="Q698" i="1" s="1"/>
  <c r="R718" i="1"/>
  <c r="R717" i="1" s="1"/>
  <c r="R681" i="1" s="1"/>
  <c r="R696" i="1" s="1"/>
  <c r="R698" i="1" s="1"/>
  <c r="P233" i="24" l="1"/>
  <c r="Q233" i="24"/>
  <c r="O233" i="24"/>
  <c r="N233" i="24"/>
  <c r="N222" i="24" s="1"/>
  <c r="S233" i="24"/>
  <c r="R233" i="24"/>
  <c r="P432" i="2"/>
  <c r="P514" i="2"/>
  <c r="P116" i="2"/>
  <c r="P198" i="2"/>
  <c r="P280" i="2"/>
  <c r="P555" i="2"/>
  <c r="P473" i="2"/>
  <c r="N136" i="37"/>
  <c r="N140" i="37"/>
  <c r="N141" i="37"/>
  <c r="P55" i="41"/>
  <c r="P54" i="41" s="1"/>
  <c r="N195" i="37"/>
  <c r="N165" i="37"/>
  <c r="N137" i="37"/>
  <c r="N139" i="37"/>
  <c r="N135" i="37"/>
  <c r="O105" i="37"/>
  <c r="O138" i="37" s="1"/>
  <c r="M203" i="37"/>
  <c r="AF323" i="2"/>
  <c r="Q323" i="2" s="1"/>
  <c r="Q322" i="2" s="1"/>
  <c r="Q321" i="2" s="1"/>
  <c r="AF557" i="2"/>
  <c r="Q557" i="2" s="1"/>
  <c r="Q556" i="2" s="1"/>
  <c r="AF598" i="2"/>
  <c r="Q598" i="2" s="1"/>
  <c r="Q597" i="2" s="1"/>
  <c r="Q596" i="2" s="1"/>
  <c r="AF282" i="2"/>
  <c r="Q282" i="2" s="1"/>
  <c r="Q281" i="2" s="1"/>
  <c r="AF434" i="2"/>
  <c r="Q434" i="2" s="1"/>
  <c r="Q433" i="2" s="1"/>
  <c r="AF118" i="2"/>
  <c r="Q118" i="2" s="1"/>
  <c r="Q117" i="2" s="1"/>
  <c r="AF475" i="2"/>
  <c r="Q475" i="2" s="1"/>
  <c r="Q474" i="2" s="1"/>
  <c r="AF200" i="2"/>
  <c r="Q200" i="2" s="1"/>
  <c r="Q199" i="2" s="1"/>
  <c r="AF159" i="2"/>
  <c r="Q159" i="2" s="1"/>
  <c r="Q158" i="2" s="1"/>
  <c r="AF516" i="2"/>
  <c r="Q516" i="2" s="1"/>
  <c r="Q515" i="2" s="1"/>
  <c r="AF241" i="2"/>
  <c r="Q241" i="2" s="1"/>
  <c r="Q240" i="2" s="1"/>
  <c r="Q239" i="2" s="1"/>
  <c r="AF393" i="2"/>
  <c r="Q393" i="2" s="1"/>
  <c r="Q392" i="2" s="1"/>
  <c r="Q391" i="2" s="1"/>
  <c r="O145" i="37"/>
  <c r="O146" i="37"/>
  <c r="O148" i="37"/>
  <c r="O196" i="37"/>
  <c r="O204" i="37" s="1"/>
  <c r="O172" i="37"/>
  <c r="O144" i="37"/>
  <c r="O142" i="37"/>
  <c r="O143" i="37"/>
  <c r="Q64" i="41"/>
  <c r="Q63" i="41" s="1"/>
  <c r="S104" i="24"/>
  <c r="S17" i="24" s="1"/>
  <c r="R685" i="1"/>
  <c r="R697" i="1" s="1"/>
  <c r="N9" i="24" l="1"/>
  <c r="N223" i="24"/>
  <c r="Q432" i="2"/>
  <c r="Q555" i="2"/>
  <c r="Q280" i="2"/>
  <c r="Q514" i="2"/>
  <c r="Q473" i="2"/>
  <c r="O141" i="37"/>
  <c r="O139" i="37"/>
  <c r="O135" i="37"/>
  <c r="O136" i="37"/>
  <c r="O195" i="37"/>
  <c r="Q55" i="41"/>
  <c r="Q54" i="41" s="1"/>
  <c r="O137" i="37"/>
  <c r="O165" i="37"/>
  <c r="O140" i="37"/>
  <c r="Q198" i="2"/>
  <c r="Q116" i="2"/>
  <c r="N203" i="37"/>
  <c r="AG557" i="2"/>
  <c r="R557" i="2" s="1"/>
  <c r="R556" i="2" s="1"/>
  <c r="AG323" i="2"/>
  <c r="R323" i="2" s="1"/>
  <c r="R322" i="2" s="1"/>
  <c r="R321" i="2" s="1"/>
  <c r="AG598" i="2"/>
  <c r="R598" i="2" s="1"/>
  <c r="R597" i="2" s="1"/>
  <c r="R596" i="2" s="1"/>
  <c r="AG282" i="2"/>
  <c r="R282" i="2" s="1"/>
  <c r="R281" i="2" s="1"/>
  <c r="AG200" i="2"/>
  <c r="R200" i="2" s="1"/>
  <c r="R199" i="2" s="1"/>
  <c r="AG118" i="2"/>
  <c r="R118" i="2" s="1"/>
  <c r="R117" i="2" s="1"/>
  <c r="R116" i="2" s="1"/>
  <c r="AG475" i="2"/>
  <c r="R475" i="2" s="1"/>
  <c r="R474" i="2" s="1"/>
  <c r="R473" i="2" s="1"/>
  <c r="AG393" i="2"/>
  <c r="R393" i="2" s="1"/>
  <c r="R392" i="2" s="1"/>
  <c r="R391" i="2" s="1"/>
  <c r="AG434" i="2"/>
  <c r="R434" i="2" s="1"/>
  <c r="R433" i="2" s="1"/>
  <c r="AG516" i="2"/>
  <c r="R516" i="2" s="1"/>
  <c r="R515" i="2" s="1"/>
  <c r="R514" i="2" s="1"/>
  <c r="AG159" i="2"/>
  <c r="R159" i="2" s="1"/>
  <c r="R158" i="2" s="1"/>
  <c r="AG241" i="2"/>
  <c r="R241" i="2" s="1"/>
  <c r="R240" i="2" s="1"/>
  <c r="N699" i="2" l="1"/>
  <c r="N346" i="5"/>
  <c r="N31" i="24"/>
  <c r="O219" i="24"/>
  <c r="R432" i="2"/>
  <c r="R198" i="2"/>
  <c r="R280" i="2"/>
  <c r="R555" i="2"/>
  <c r="O203" i="37"/>
  <c r="AH557" i="2"/>
  <c r="S557" i="2" s="1"/>
  <c r="S556" i="2" s="1"/>
  <c r="S555" i="2" s="1"/>
  <c r="AH323" i="2"/>
  <c r="S323" i="2" s="1"/>
  <c r="S322" i="2" s="1"/>
  <c r="S321" i="2" s="1"/>
  <c r="AH598" i="2"/>
  <c r="S598" i="2" s="1"/>
  <c r="S597" i="2" s="1"/>
  <c r="S596" i="2" s="1"/>
  <c r="AH393" i="2"/>
  <c r="S393" i="2" s="1"/>
  <c r="S392" i="2" s="1"/>
  <c r="S391" i="2" s="1"/>
  <c r="AH475" i="2"/>
  <c r="S475" i="2" s="1"/>
  <c r="S474" i="2" s="1"/>
  <c r="S473" i="2" s="1"/>
  <c r="AH516" i="2"/>
  <c r="S516" i="2" s="1"/>
  <c r="S515" i="2" s="1"/>
  <c r="S514" i="2" s="1"/>
  <c r="AH159" i="2"/>
  <c r="S159" i="2" s="1"/>
  <c r="S158" i="2" s="1"/>
  <c r="AH118" i="2"/>
  <c r="S118" i="2" s="1"/>
  <c r="S117" i="2" s="1"/>
  <c r="S116" i="2" s="1"/>
  <c r="AH282" i="2"/>
  <c r="S282" i="2" s="1"/>
  <c r="S281" i="2" s="1"/>
  <c r="S280" i="2" s="1"/>
  <c r="AH200" i="2"/>
  <c r="S200" i="2" s="1"/>
  <c r="S199" i="2" s="1"/>
  <c r="S198" i="2" s="1"/>
  <c r="AH434" i="2"/>
  <c r="S434" i="2" s="1"/>
  <c r="S433" i="2" s="1"/>
  <c r="S432" i="2" s="1"/>
  <c r="AH241" i="2"/>
  <c r="S241" i="2" s="1"/>
  <c r="S240" i="2" s="1"/>
  <c r="S239" i="2" s="1"/>
  <c r="R239" i="2"/>
  <c r="Q91" i="38" l="1"/>
  <c r="M34" i="40" s="1"/>
  <c r="P99" i="38"/>
  <c r="P45" i="38" s="1"/>
  <c r="P26" i="38" l="1"/>
  <c r="O74" i="24" s="1"/>
  <c r="L10" i="40"/>
  <c r="L7" i="40" s="1"/>
  <c r="Q93" i="38"/>
  <c r="L5" i="40" l="1"/>
  <c r="P21" i="38"/>
  <c r="P22" i="38" s="1"/>
  <c r="M36" i="40"/>
  <c r="R91" i="38"/>
  <c r="R93" i="38" l="1"/>
  <c r="N36" i="40" s="1"/>
  <c r="N34" i="40"/>
  <c r="S91" i="38" l="1"/>
  <c r="O34" i="40" s="1"/>
  <c r="S93" i="38" l="1"/>
  <c r="T99" i="38"/>
  <c r="T45" i="38" s="1"/>
  <c r="P10" i="40" l="1"/>
  <c r="O36" i="40"/>
  <c r="T91" i="38"/>
  <c r="P34" i="40" s="1"/>
  <c r="T21" i="38"/>
  <c r="T22" i="38" s="1"/>
  <c r="T26" i="38"/>
  <c r="S74" i="24" s="1"/>
  <c r="T93" i="38" l="1"/>
  <c r="P36" i="40" s="1"/>
  <c r="P7" i="40"/>
  <c r="P5" i="40" s="1"/>
  <c r="L48" i="17" l="1"/>
  <c r="L10" i="22" l="1"/>
  <c r="L69" i="2" l="1"/>
  <c r="L70" i="2"/>
  <c r="L64" i="2" s="1"/>
  <c r="L71" i="2"/>
  <c r="L25" i="2" s="1"/>
  <c r="L72" i="2"/>
  <c r="L66" i="2" s="1"/>
  <c r="L73" i="2"/>
  <c r="L67" i="2" s="1"/>
  <c r="L266" i="2"/>
  <c r="L267" i="2"/>
  <c r="L268" i="2"/>
  <c r="L269" i="2"/>
  <c r="L270" i="2"/>
  <c r="L19" i="2" l="1"/>
  <c r="L65" i="2"/>
  <c r="L27" i="2"/>
  <c r="L21" i="2" s="1"/>
  <c r="L78" i="2"/>
  <c r="L77" i="2"/>
  <c r="L36" i="2" s="1"/>
  <c r="L63" i="2"/>
  <c r="L23" i="2"/>
  <c r="L76" i="2"/>
  <c r="I11" i="34"/>
  <c r="Q11" i="34" s="1"/>
  <c r="L26" i="2"/>
  <c r="L68" i="2"/>
  <c r="L265" i="2"/>
  <c r="U265" i="2" s="1"/>
  <c r="V265" i="2" s="1"/>
  <c r="W265" i="2" s="1"/>
  <c r="X265" i="2" s="1"/>
  <c r="Y265" i="2" s="1"/>
  <c r="Z265" i="2" s="1"/>
  <c r="L24" i="2"/>
  <c r="L18" i="2" l="1"/>
  <c r="L20" i="2"/>
  <c r="L17" i="2"/>
  <c r="L79" i="2"/>
  <c r="I59" i="34" s="1"/>
  <c r="AK265" i="2"/>
  <c r="AL265" i="2" s="1"/>
  <c r="AM265" i="2" s="1"/>
  <c r="AN265" i="2" s="1"/>
  <c r="AO265" i="2" s="1"/>
  <c r="AP265" i="2" s="1"/>
  <c r="L22" i="2"/>
  <c r="L62" i="2"/>
  <c r="L26" i="5"/>
  <c r="I6" i="34"/>
  <c r="Q6" i="34" s="1"/>
  <c r="L75" i="2"/>
  <c r="L30" i="2"/>
  <c r="L100" i="24" l="1"/>
  <c r="L16" i="2"/>
  <c r="L221" i="24"/>
  <c r="L38" i="2"/>
  <c r="L29" i="2"/>
  <c r="J69" i="41" l="1"/>
  <c r="J60" i="41"/>
  <c r="J78" i="41"/>
  <c r="J51" i="41"/>
  <c r="N279" i="2"/>
  <c r="N283" i="2" s="1"/>
  <c r="N284" i="2" s="1"/>
  <c r="K64" i="34" s="1"/>
  <c r="L666" i="2"/>
  <c r="L700" i="2"/>
  <c r="L744" i="2"/>
  <c r="L751" i="2" s="1"/>
  <c r="L39" i="2"/>
  <c r="J53" i="41" l="1"/>
  <c r="J56" i="41"/>
  <c r="J57" i="41" s="1"/>
  <c r="J80" i="41"/>
  <c r="J83" i="41"/>
  <c r="J84" i="41" s="1"/>
  <c r="J62" i="41"/>
  <c r="J65" i="41"/>
  <c r="J66" i="41" s="1"/>
  <c r="J74" i="41"/>
  <c r="J75" i="41" s="1"/>
  <c r="J71" i="41"/>
  <c r="L667" i="2"/>
  <c r="L656" i="2"/>
  <c r="L657" i="2" s="1"/>
  <c r="K11" i="34"/>
  <c r="O279" i="2"/>
  <c r="O283" i="2" s="1"/>
  <c r="O284" i="2" s="1"/>
  <c r="L64" i="34" s="1"/>
  <c r="L745" i="2"/>
  <c r="L50" i="2"/>
  <c r="L30" i="5"/>
  <c r="L29" i="5" s="1"/>
  <c r="I5" i="34"/>
  <c r="Q5" i="34" l="1"/>
  <c r="L759" i="2"/>
  <c r="L754" i="2"/>
  <c r="U667" i="2"/>
  <c r="AC667" i="2"/>
  <c r="U657" i="2"/>
  <c r="L746" i="2"/>
  <c r="P279" i="2"/>
  <c r="P283" i="2" s="1"/>
  <c r="P284" i="2" s="1"/>
  <c r="M64" i="34" s="1"/>
  <c r="I58" i="34"/>
  <c r="L11" i="34"/>
  <c r="L762" i="2" l="1"/>
  <c r="L768" i="2"/>
  <c r="L766" i="2"/>
  <c r="N657" i="2"/>
  <c r="N667" i="2"/>
  <c r="AD667" i="2"/>
  <c r="Q279" i="2"/>
  <c r="Q283" i="2" s="1"/>
  <c r="Q284" i="2" s="1"/>
  <c r="N64" i="34" s="1"/>
  <c r="L771" i="2"/>
  <c r="L761" i="2"/>
  <c r="L763" i="2" s="1"/>
  <c r="M11" i="34"/>
  <c r="O667" i="2" l="1"/>
  <c r="AE667" i="2"/>
  <c r="O657" i="2"/>
  <c r="L773" i="2"/>
  <c r="L774" i="2" s="1"/>
  <c r="R279" i="2"/>
  <c r="R283" i="2" s="1"/>
  <c r="R284" i="2" s="1"/>
  <c r="O64" i="34" s="1"/>
  <c r="N11" i="34"/>
  <c r="P667" i="2" l="1"/>
  <c r="AF667" i="2"/>
  <c r="P657" i="2"/>
  <c r="S279" i="2"/>
  <c r="S283" i="2" s="1"/>
  <c r="S284" i="2" s="1"/>
  <c r="P64" i="34" s="1"/>
  <c r="R64" i="34" s="1"/>
  <c r="O11" i="34"/>
  <c r="Q667" i="2" l="1"/>
  <c r="AG667" i="2"/>
  <c r="Q657" i="2"/>
  <c r="P11" i="34"/>
  <c r="R11" i="34" l="1"/>
  <c r="R657" i="2"/>
  <c r="S657" i="2"/>
  <c r="AH667" i="2"/>
  <c r="S667" i="2" s="1"/>
  <c r="R667" i="2"/>
  <c r="L672" i="2" l="1"/>
  <c r="L686" i="2"/>
  <c r="L689" i="2" s="1"/>
  <c r="L721" i="2" l="1"/>
  <c r="L691" i="2"/>
  <c r="L221" i="5" l="1"/>
  <c r="L233" i="5" s="1"/>
  <c r="I97" i="34"/>
  <c r="L722" i="2"/>
  <c r="L693" i="2"/>
  <c r="L211" i="5" s="1"/>
  <c r="Q97" i="34" l="1"/>
  <c r="I102" i="34"/>
  <c r="L694" i="2"/>
  <c r="N101" i="2" l="1"/>
  <c r="O101" i="2"/>
  <c r="P101" i="2"/>
  <c r="Q101" i="2"/>
  <c r="R101" i="2"/>
  <c r="S101" i="2"/>
  <c r="N115" i="2"/>
  <c r="O115" i="2"/>
  <c r="P115" i="2"/>
  <c r="Q115" i="2"/>
  <c r="Q119" i="2" s="1"/>
  <c r="Q120" i="2" s="1"/>
  <c r="N60" i="34" s="1"/>
  <c r="R115" i="2"/>
  <c r="S115" i="2"/>
  <c r="P7" i="34" l="1"/>
  <c r="S119" i="2"/>
  <c r="S120" i="2" s="1"/>
  <c r="P60" i="34" s="1"/>
  <c r="O7" i="34"/>
  <c r="R119" i="2"/>
  <c r="R120" i="2" s="1"/>
  <c r="O60" i="34" s="1"/>
  <c r="K7" i="34"/>
  <c r="N119" i="2"/>
  <c r="N120" i="2" s="1"/>
  <c r="K60" i="34" s="1"/>
  <c r="M7" i="34"/>
  <c r="P119" i="2"/>
  <c r="P120" i="2" s="1"/>
  <c r="M60" i="34" s="1"/>
  <c r="O119" i="2"/>
  <c r="O120" i="2" s="1"/>
  <c r="L60" i="34" s="1"/>
  <c r="L7" i="34"/>
  <c r="N7" i="34"/>
  <c r="R7" i="34" l="1"/>
  <c r="R60" i="34"/>
  <c r="N156" i="2"/>
  <c r="N160" i="2" s="1"/>
  <c r="N161" i="2" s="1"/>
  <c r="K61" i="34" s="1"/>
  <c r="O156" i="2"/>
  <c r="P156" i="2"/>
  <c r="Q156" i="2"/>
  <c r="N8" i="34" s="1"/>
  <c r="R156" i="2"/>
  <c r="O8" i="34" s="1"/>
  <c r="S156" i="2"/>
  <c r="P8" i="34" l="1"/>
  <c r="L8" i="34"/>
  <c r="K8" i="34"/>
  <c r="M8" i="34"/>
  <c r="R8" i="34" l="1"/>
  <c r="O157" i="2" l="1"/>
  <c r="O160" i="2" l="1"/>
  <c r="O161" i="2" s="1"/>
  <c r="L61" i="34" s="1"/>
  <c r="P157" i="2" l="1"/>
  <c r="Q157" i="2"/>
  <c r="R157" i="2"/>
  <c r="R160" i="2" s="1"/>
  <c r="S157" i="2"/>
  <c r="S160" i="2" s="1"/>
  <c r="S161" i="2" l="1"/>
  <c r="P61" i="34" s="1"/>
  <c r="R61" i="34" s="1"/>
  <c r="Q160" i="2"/>
  <c r="R161" i="2"/>
  <c r="O61" i="34" s="1"/>
  <c r="P160" i="2"/>
  <c r="Q161" i="2" l="1"/>
  <c r="N61" i="34" s="1"/>
  <c r="P161" i="2"/>
  <c r="M61" i="34" s="1"/>
  <c r="N183" i="2"/>
  <c r="O183" i="2"/>
  <c r="P183" i="2"/>
  <c r="Q183" i="2"/>
  <c r="R183" i="2"/>
  <c r="S183" i="2"/>
  <c r="N197" i="2"/>
  <c r="K9" i="34" s="1"/>
  <c r="O197" i="2"/>
  <c r="L9" i="34" s="1"/>
  <c r="P197" i="2"/>
  <c r="Q197" i="2"/>
  <c r="R197" i="2"/>
  <c r="O9" i="34" s="1"/>
  <c r="S197" i="2"/>
  <c r="N9" i="34" l="1"/>
  <c r="M9" i="34"/>
  <c r="P9" i="34"/>
  <c r="R9" i="34" l="1"/>
  <c r="N201" i="2"/>
  <c r="N202" i="2" s="1"/>
  <c r="K62" i="34" s="1"/>
  <c r="O201" i="2"/>
  <c r="O202" i="2" s="1"/>
  <c r="L62" i="34" s="1"/>
  <c r="P201" i="2"/>
  <c r="Q201" i="2"/>
  <c r="R201" i="2"/>
  <c r="S201" i="2"/>
  <c r="P202" i="2" l="1"/>
  <c r="M62" i="34" s="1"/>
  <c r="S202" i="2"/>
  <c r="P62" i="34" s="1"/>
  <c r="R62" i="34" s="1"/>
  <c r="R202" i="2"/>
  <c r="O62" i="34" s="1"/>
  <c r="Q202" i="2"/>
  <c r="N62" i="34" s="1"/>
  <c r="N224" i="2"/>
  <c r="O224" i="2"/>
  <c r="P224" i="2"/>
  <c r="Q224" i="2"/>
  <c r="R224" i="2"/>
  <c r="S224" i="2"/>
  <c r="N238" i="2"/>
  <c r="O238" i="2"/>
  <c r="P238" i="2"/>
  <c r="P242" i="2" s="1"/>
  <c r="P243" i="2" s="1"/>
  <c r="M63" i="34" s="1"/>
  <c r="Q238" i="2"/>
  <c r="Q242" i="2" s="1"/>
  <c r="Q243" i="2" s="1"/>
  <c r="N63" i="34" s="1"/>
  <c r="R238" i="2"/>
  <c r="R242" i="2" s="1"/>
  <c r="R243" i="2" s="1"/>
  <c r="O63" i="34" s="1"/>
  <c r="S238" i="2"/>
  <c r="S242" i="2" l="1"/>
  <c r="S243" i="2" s="1"/>
  <c r="P63" i="34" s="1"/>
  <c r="O242" i="2"/>
  <c r="O243" i="2" s="1"/>
  <c r="L63" i="34" s="1"/>
  <c r="N242" i="2"/>
  <c r="N243" i="2" s="1"/>
  <c r="K63" i="34" s="1"/>
  <c r="M10" i="34"/>
  <c r="L10" i="34"/>
  <c r="K10" i="34"/>
  <c r="P10" i="34"/>
  <c r="N10" i="34"/>
  <c r="O10" i="34"/>
  <c r="R10" i="34" l="1"/>
  <c r="R63" i="34"/>
  <c r="N68" i="2"/>
  <c r="O68" i="2"/>
  <c r="P68" i="2"/>
  <c r="Q68" i="2"/>
  <c r="R68" i="2"/>
  <c r="R62" i="2" s="1"/>
  <c r="S68" i="2"/>
  <c r="S62" i="2" s="1"/>
  <c r="N306" i="2"/>
  <c r="O306" i="2"/>
  <c r="P306" i="2"/>
  <c r="Q306" i="2"/>
  <c r="R306" i="2"/>
  <c r="S306" i="2"/>
  <c r="N320" i="2"/>
  <c r="N324" i="2" s="1"/>
  <c r="N325" i="2" s="1"/>
  <c r="K65" i="34" s="1"/>
  <c r="O320" i="2"/>
  <c r="O324" i="2" s="1"/>
  <c r="O325" i="2" s="1"/>
  <c r="L65" i="34" s="1"/>
  <c r="P320" i="2"/>
  <c r="Q320" i="2"/>
  <c r="Q76" i="2" s="1"/>
  <c r="R320" i="2"/>
  <c r="S320" i="2"/>
  <c r="S324" i="2" s="1"/>
  <c r="S325" i="2" s="1"/>
  <c r="P65" i="34" s="1"/>
  <c r="P77" i="2"/>
  <c r="R65" i="34" l="1"/>
  <c r="O12" i="34"/>
  <c r="R324" i="2"/>
  <c r="R325" i="2" s="1"/>
  <c r="O65" i="34" s="1"/>
  <c r="N12" i="34"/>
  <c r="Q324" i="2"/>
  <c r="Q325" i="2" s="1"/>
  <c r="N65" i="34" s="1"/>
  <c r="P324" i="2"/>
  <c r="P325" i="2" s="1"/>
  <c r="M65" i="34" s="1"/>
  <c r="K12" i="34"/>
  <c r="N76" i="2"/>
  <c r="P12" i="34"/>
  <c r="S76" i="2"/>
  <c r="R76" i="2"/>
  <c r="O76" i="2"/>
  <c r="L12" i="34"/>
  <c r="Q62" i="2"/>
  <c r="P62" i="2"/>
  <c r="O62" i="2"/>
  <c r="Q77" i="2"/>
  <c r="M12" i="34"/>
  <c r="N62" i="2"/>
  <c r="Q26" i="5"/>
  <c r="Q75" i="2"/>
  <c r="N6" i="34"/>
  <c r="P76" i="2"/>
  <c r="R12" i="34" l="1"/>
  <c r="Q78" i="2"/>
  <c r="Q79" i="2" s="1"/>
  <c r="N59" i="34" s="1"/>
  <c r="P78" i="2"/>
  <c r="P79" i="2" s="1"/>
  <c r="M59" i="34" s="1"/>
  <c r="O78" i="2"/>
  <c r="O79" i="2" s="1"/>
  <c r="L59" i="34" s="1"/>
  <c r="O77" i="2"/>
  <c r="S26" i="5"/>
  <c r="P6" i="34"/>
  <c r="S75" i="2"/>
  <c r="S77" i="2"/>
  <c r="S78" i="2"/>
  <c r="S79" i="2" s="1"/>
  <c r="P59" i="34" s="1"/>
  <c r="N26" i="5"/>
  <c r="N75" i="2"/>
  <c r="K6" i="34"/>
  <c r="P26" i="5"/>
  <c r="P75" i="2"/>
  <c r="M6" i="34"/>
  <c r="R26" i="5"/>
  <c r="O6" i="34"/>
  <c r="R75" i="2"/>
  <c r="R77" i="2"/>
  <c r="R78" i="2"/>
  <c r="R79" i="2" s="1"/>
  <c r="O59" i="34" s="1"/>
  <c r="N78" i="2"/>
  <c r="N79" i="2" s="1"/>
  <c r="K59" i="34" s="1"/>
  <c r="N77" i="2"/>
  <c r="O26" i="5"/>
  <c r="O75" i="2"/>
  <c r="L6" i="34"/>
  <c r="R6" i="34" l="1"/>
  <c r="R59" i="34"/>
  <c r="N376" i="2"/>
  <c r="O376" i="2"/>
  <c r="P376" i="2"/>
  <c r="Q376" i="2"/>
  <c r="R376" i="2"/>
  <c r="S376" i="2"/>
  <c r="K14" i="34"/>
  <c r="O390" i="2"/>
  <c r="P390" i="2"/>
  <c r="Q390" i="2"/>
  <c r="R390" i="2"/>
  <c r="R394" i="2" s="1"/>
  <c r="R395" i="2" s="1"/>
  <c r="S390" i="2"/>
  <c r="S394" i="2" l="1"/>
  <c r="S395" i="2" s="1"/>
  <c r="M14" i="34"/>
  <c r="P394" i="2"/>
  <c r="P395" i="2" s="1"/>
  <c r="N14" i="34"/>
  <c r="Q394" i="2"/>
  <c r="Q395" i="2" s="1"/>
  <c r="L14" i="34"/>
  <c r="O394" i="2"/>
  <c r="O395" i="2" s="1"/>
  <c r="O14" i="34"/>
  <c r="P14" i="34"/>
  <c r="R14" i="34" s="1"/>
  <c r="M67" i="34" l="1"/>
  <c r="L67" i="34"/>
  <c r="N67" i="34"/>
  <c r="O67" i="34"/>
  <c r="P67" i="34"/>
  <c r="R67" i="34" s="1"/>
  <c r="N417" i="2"/>
  <c r="O417" i="2"/>
  <c r="P417" i="2"/>
  <c r="Q417" i="2"/>
  <c r="R417" i="2"/>
  <c r="S417" i="2"/>
  <c r="N431" i="2"/>
  <c r="K15" i="34" s="1"/>
  <c r="O431" i="2"/>
  <c r="L15" i="34" s="1"/>
  <c r="P431" i="2"/>
  <c r="Q431" i="2"/>
  <c r="N15" i="34" s="1"/>
  <c r="R431" i="2"/>
  <c r="O15" i="34" s="1"/>
  <c r="S431" i="2"/>
  <c r="M15" i="34" l="1"/>
  <c r="P15" i="34"/>
  <c r="R15" i="34" s="1"/>
  <c r="N435" i="2" l="1"/>
  <c r="N436" i="2" s="1"/>
  <c r="K68" i="34" s="1"/>
  <c r="O435" i="2" l="1"/>
  <c r="O436" i="2" s="1"/>
  <c r="L68" i="34" s="1"/>
  <c r="P435" i="2"/>
  <c r="P436" i="2" s="1"/>
  <c r="M68" i="34" s="1"/>
  <c r="Q435" i="2"/>
  <c r="Q436" i="2" s="1"/>
  <c r="N68" i="34" s="1"/>
  <c r="R435" i="2"/>
  <c r="S435" i="2"/>
  <c r="S436" i="2" s="1"/>
  <c r="P68" i="34" s="1"/>
  <c r="R68" i="34" s="1"/>
  <c r="R436" i="2" l="1"/>
  <c r="O68" i="34" s="1"/>
  <c r="N458" i="2"/>
  <c r="O458" i="2"/>
  <c r="P458" i="2"/>
  <c r="Q458" i="2"/>
  <c r="R458" i="2"/>
  <c r="S458" i="2"/>
  <c r="N472" i="2"/>
  <c r="O472" i="2"/>
  <c r="O476" i="2" s="1"/>
  <c r="O477" i="2" s="1"/>
  <c r="P472" i="2"/>
  <c r="P476" i="2" s="1"/>
  <c r="P477" i="2" s="1"/>
  <c r="Q472" i="2"/>
  <c r="Q476" i="2" s="1"/>
  <c r="Q477" i="2" s="1"/>
  <c r="R472" i="2"/>
  <c r="R476" i="2" s="1"/>
  <c r="R477" i="2" s="1"/>
  <c r="S472" i="2"/>
  <c r="S476" i="2" s="1"/>
  <c r="S477" i="2" s="1"/>
  <c r="N16" i="34" l="1"/>
  <c r="L16" i="34"/>
  <c r="K16" i="34"/>
  <c r="O16" i="34"/>
  <c r="P16" i="34"/>
  <c r="M16" i="34"/>
  <c r="R16" i="34" l="1"/>
  <c r="N476" i="2"/>
  <c r="N477" i="2" s="1"/>
  <c r="K69" i="34" s="1"/>
  <c r="P69" i="34" l="1"/>
  <c r="R69" i="34" s="1"/>
  <c r="M69" i="34"/>
  <c r="L69" i="34"/>
  <c r="N69" i="34"/>
  <c r="O69" i="34"/>
  <c r="N499" i="2"/>
  <c r="O499" i="2"/>
  <c r="P499" i="2"/>
  <c r="Q499" i="2"/>
  <c r="R499" i="2"/>
  <c r="S499" i="2"/>
  <c r="N513" i="2"/>
  <c r="N517" i="2" s="1"/>
  <c r="O513" i="2"/>
  <c r="O517" i="2" s="1"/>
  <c r="O518" i="2" s="1"/>
  <c r="L70" i="34" s="1"/>
  <c r="P513" i="2"/>
  <c r="Q513" i="2"/>
  <c r="R513" i="2"/>
  <c r="S513" i="2"/>
  <c r="N518" i="2" l="1"/>
  <c r="K70" i="34" s="1"/>
  <c r="S517" i="2"/>
  <c r="S518" i="2" s="1"/>
  <c r="P70" i="34" s="1"/>
  <c r="Q517" i="2"/>
  <c r="Q518" i="2" s="1"/>
  <c r="N70" i="34" s="1"/>
  <c r="R517" i="2"/>
  <c r="R518" i="2" s="1"/>
  <c r="O70" i="34" s="1"/>
  <c r="P517" i="2"/>
  <c r="P518" i="2" s="1"/>
  <c r="M70" i="34" s="1"/>
  <c r="L17" i="34"/>
  <c r="K17" i="34"/>
  <c r="O17" i="34"/>
  <c r="N17" i="34"/>
  <c r="M17" i="34"/>
  <c r="P17" i="34"/>
  <c r="R70" i="34" l="1"/>
  <c r="R17" i="34"/>
  <c r="N540" i="2"/>
  <c r="O540" i="2"/>
  <c r="P540" i="2"/>
  <c r="Q540" i="2"/>
  <c r="R540" i="2"/>
  <c r="S540" i="2"/>
  <c r="N554" i="2"/>
  <c r="O554" i="2"/>
  <c r="P554" i="2"/>
  <c r="Q554" i="2"/>
  <c r="R554" i="2"/>
  <c r="S554" i="2"/>
  <c r="S558" i="2" s="1"/>
  <c r="S559" i="2" s="1"/>
  <c r="P71" i="34" s="1"/>
  <c r="M18" i="34" l="1"/>
  <c r="P558" i="2"/>
  <c r="P559" i="2" s="1"/>
  <c r="M71" i="34" s="1"/>
  <c r="Q558" i="2"/>
  <c r="Q559" i="2" s="1"/>
  <c r="N71" i="34" s="1"/>
  <c r="L18" i="34"/>
  <c r="O558" i="2"/>
  <c r="O559" i="2" s="1"/>
  <c r="L71" i="34" s="1"/>
  <c r="K18" i="34"/>
  <c r="N558" i="2"/>
  <c r="N559" i="2" s="1"/>
  <c r="O18" i="34"/>
  <c r="R558" i="2"/>
  <c r="R559" i="2" s="1"/>
  <c r="O71" i="34" s="1"/>
  <c r="N18" i="34"/>
  <c r="P18" i="34"/>
  <c r="K71" i="34" l="1"/>
  <c r="R71" i="34" s="1"/>
  <c r="R18" i="34"/>
  <c r="N343" i="2"/>
  <c r="N337" i="2" s="1"/>
  <c r="O343" i="2"/>
  <c r="O22" i="2" s="1"/>
  <c r="O100" i="24" s="1"/>
  <c r="P343" i="2"/>
  <c r="P337" i="2" s="1"/>
  <c r="Q343" i="2"/>
  <c r="Q337" i="2" s="1"/>
  <c r="R343" i="2"/>
  <c r="R22" i="2" s="1"/>
  <c r="S343" i="2"/>
  <c r="S337" i="2" s="1"/>
  <c r="N581" i="2"/>
  <c r="O581" i="2"/>
  <c r="P581" i="2"/>
  <c r="Q581" i="2"/>
  <c r="R581" i="2"/>
  <c r="S581" i="2"/>
  <c r="N595" i="2"/>
  <c r="O595" i="2"/>
  <c r="P595" i="2"/>
  <c r="P599" i="2" s="1"/>
  <c r="P600" i="2" s="1"/>
  <c r="M72" i="34" s="1"/>
  <c r="Q595" i="2"/>
  <c r="Q599" i="2" s="1"/>
  <c r="Q600" i="2" s="1"/>
  <c r="N72" i="34" s="1"/>
  <c r="R595" i="2"/>
  <c r="R599" i="2" s="1"/>
  <c r="R600" i="2" s="1"/>
  <c r="O72" i="34" s="1"/>
  <c r="S595" i="2"/>
  <c r="S599" i="2" s="1"/>
  <c r="S600" i="2" s="1"/>
  <c r="P72" i="34" s="1"/>
  <c r="L19" i="34" l="1"/>
  <c r="O599" i="2"/>
  <c r="O600" i="2" s="1"/>
  <c r="L72" i="34" s="1"/>
  <c r="N352" i="2"/>
  <c r="N599" i="2"/>
  <c r="N600" i="2" s="1"/>
  <c r="O351" i="2"/>
  <c r="O27" i="5" s="1"/>
  <c r="O337" i="2"/>
  <c r="Q22" i="2"/>
  <c r="N22" i="2"/>
  <c r="O16" i="2"/>
  <c r="R351" i="2"/>
  <c r="O19" i="34"/>
  <c r="P19" i="34"/>
  <c r="S351" i="2"/>
  <c r="Q351" i="2"/>
  <c r="N19" i="34"/>
  <c r="P351" i="2"/>
  <c r="M19" i="34"/>
  <c r="R100" i="24"/>
  <c r="R16" i="2"/>
  <c r="N351" i="2"/>
  <c r="K19" i="34"/>
  <c r="R337" i="2"/>
  <c r="S22" i="2"/>
  <c r="P22" i="2"/>
  <c r="K72" i="34" l="1"/>
  <c r="R72" i="34" s="1"/>
  <c r="N16" i="2"/>
  <c r="N100" i="24"/>
  <c r="N36" i="2"/>
  <c r="N41" i="2" s="1"/>
  <c r="R19" i="34"/>
  <c r="N353" i="2"/>
  <c r="N354" i="2" s="1"/>
  <c r="K66" i="34" s="1"/>
  <c r="O350" i="2"/>
  <c r="O30" i="2"/>
  <c r="O29" i="2" s="1"/>
  <c r="L13" i="34"/>
  <c r="O352" i="2"/>
  <c r="O36" i="2" s="1"/>
  <c r="O41" i="2" s="1"/>
  <c r="O353" i="2"/>
  <c r="O354" i="2" s="1"/>
  <c r="L66" i="34" s="1"/>
  <c r="Q100" i="24"/>
  <c r="Q16" i="2"/>
  <c r="S100" i="24"/>
  <c r="S16" i="2"/>
  <c r="P27" i="5"/>
  <c r="M13" i="34"/>
  <c r="P30" i="2"/>
  <c r="P350" i="2"/>
  <c r="Q353" i="2"/>
  <c r="Q354" i="2" s="1"/>
  <c r="N66" i="34" s="1"/>
  <c r="Q352" i="2"/>
  <c r="Q36" i="2" s="1"/>
  <c r="Q41" i="2" s="1"/>
  <c r="P100" i="24"/>
  <c r="P16" i="2"/>
  <c r="Q27" i="5"/>
  <c r="N13" i="34"/>
  <c r="Q30" i="2"/>
  <c r="Q350" i="2"/>
  <c r="S352" i="2"/>
  <c r="S36" i="2" s="1"/>
  <c r="S41" i="2" s="1"/>
  <c r="S353" i="2"/>
  <c r="S354" i="2" s="1"/>
  <c r="P66" i="34" s="1"/>
  <c r="S27" i="5"/>
  <c r="P13" i="34"/>
  <c r="S30" i="2"/>
  <c r="S350" i="2"/>
  <c r="N27" i="5"/>
  <c r="N350" i="2"/>
  <c r="K13" i="34"/>
  <c r="N30" i="2"/>
  <c r="O13" i="34"/>
  <c r="R27" i="5"/>
  <c r="R30" i="2"/>
  <c r="R350" i="2"/>
  <c r="P352" i="2"/>
  <c r="P36" i="2" s="1"/>
  <c r="P41" i="2" s="1"/>
  <c r="P353" i="2"/>
  <c r="P354" i="2" s="1"/>
  <c r="M66" i="34" s="1"/>
  <c r="R352" i="2"/>
  <c r="R36" i="2" s="1"/>
  <c r="R41" i="2" s="1"/>
  <c r="R353" i="2"/>
  <c r="R354" i="2" s="1"/>
  <c r="O66" i="34" s="1"/>
  <c r="N38" i="2" l="1"/>
  <c r="N39" i="2" s="1"/>
  <c r="M78" i="41"/>
  <c r="M60" i="41"/>
  <c r="M69" i="41"/>
  <c r="M51" i="41"/>
  <c r="R13" i="34"/>
  <c r="O34" i="2"/>
  <c r="O17" i="5" s="1"/>
  <c r="R66" i="34"/>
  <c r="O38" i="2"/>
  <c r="O39" i="2" s="1"/>
  <c r="Q38" i="2"/>
  <c r="Q39" i="2" s="1"/>
  <c r="Q34" i="2"/>
  <c r="Q17" i="5" s="1"/>
  <c r="Q29" i="2"/>
  <c r="N29" i="2"/>
  <c r="N34" i="2"/>
  <c r="N17" i="5" s="1"/>
  <c r="P29" i="2"/>
  <c r="P38" i="2"/>
  <c r="P39" i="2" s="1"/>
  <c r="P34" i="2"/>
  <c r="P17" i="5" s="1"/>
  <c r="S34" i="2"/>
  <c r="S17" i="5" s="1"/>
  <c r="S29" i="2"/>
  <c r="S38" i="2"/>
  <c r="S39" i="2" s="1"/>
  <c r="R34" i="2"/>
  <c r="R17" i="5" s="1"/>
  <c r="R29" i="2"/>
  <c r="R38" i="2"/>
  <c r="R39" i="2" s="1"/>
  <c r="M71" i="41" l="1"/>
  <c r="M74" i="41"/>
  <c r="M75" i="41" s="1"/>
  <c r="N60" i="41"/>
  <c r="N69" i="41"/>
  <c r="N78" i="41"/>
  <c r="N51" i="41"/>
  <c r="O78" i="41"/>
  <c r="O60" i="41"/>
  <c r="O69" i="41"/>
  <c r="O51" i="41"/>
  <c r="P78" i="41"/>
  <c r="P60" i="41"/>
  <c r="P69" i="41"/>
  <c r="P51" i="41"/>
  <c r="Q78" i="41"/>
  <c r="Q60" i="41"/>
  <c r="Q69" i="41"/>
  <c r="Q51" i="41"/>
  <c r="M62" i="41"/>
  <c r="M65" i="41"/>
  <c r="M66" i="41" s="1"/>
  <c r="L60" i="41"/>
  <c r="L69" i="41"/>
  <c r="L78" i="41"/>
  <c r="L51" i="41"/>
  <c r="M53" i="41"/>
  <c r="M56" i="41"/>
  <c r="M57" i="41" s="1"/>
  <c r="M80" i="41"/>
  <c r="M83" i="41"/>
  <c r="M84" i="41" s="1"/>
  <c r="O660" i="2"/>
  <c r="O744" i="2"/>
  <c r="O748" i="2" s="1"/>
  <c r="O636" i="2"/>
  <c r="O683" i="2"/>
  <c r="O180" i="5" s="1"/>
  <c r="O681" i="2"/>
  <c r="O666" i="2"/>
  <c r="O675" i="2"/>
  <c r="O136" i="5" s="1"/>
  <c r="O143" i="5" s="1"/>
  <c r="O25" i="17" s="1"/>
  <c r="O679" i="2"/>
  <c r="O158" i="5" s="1"/>
  <c r="O642" i="2"/>
  <c r="O652" i="2"/>
  <c r="O640" i="2"/>
  <c r="O677" i="2"/>
  <c r="O147" i="5" s="1"/>
  <c r="O656" i="2"/>
  <c r="O664" i="2"/>
  <c r="O673" i="2"/>
  <c r="O644" i="2"/>
  <c r="O648" i="2"/>
  <c r="O638" i="2"/>
  <c r="O650" i="2"/>
  <c r="O654" i="2"/>
  <c r="O662" i="2"/>
  <c r="O49" i="2"/>
  <c r="O61" i="5" s="1"/>
  <c r="N638" i="2"/>
  <c r="N652" i="2"/>
  <c r="N666" i="2"/>
  <c r="N683" i="2"/>
  <c r="N180" i="5" s="1"/>
  <c r="N640" i="2"/>
  <c r="N654" i="2"/>
  <c r="N644" i="2"/>
  <c r="N648" i="2"/>
  <c r="N650" i="2"/>
  <c r="N656" i="2"/>
  <c r="N660" i="2"/>
  <c r="N49" i="2"/>
  <c r="N700" i="2"/>
  <c r="N662" i="2"/>
  <c r="N744" i="2"/>
  <c r="N748" i="2" s="1"/>
  <c r="N636" i="2"/>
  <c r="N675" i="2"/>
  <c r="N136" i="5" s="1"/>
  <c r="N143" i="5" s="1"/>
  <c r="N25" i="17" s="1"/>
  <c r="N673" i="2"/>
  <c r="N681" i="2"/>
  <c r="N642" i="2"/>
  <c r="N664" i="2"/>
  <c r="N677" i="2"/>
  <c r="N147" i="5" s="1"/>
  <c r="N679" i="2"/>
  <c r="N158" i="5" s="1"/>
  <c r="R642" i="2"/>
  <c r="R656" i="2"/>
  <c r="R644" i="2"/>
  <c r="R673" i="2"/>
  <c r="R677" i="2"/>
  <c r="R147" i="5" s="1"/>
  <c r="R683" i="2"/>
  <c r="R180" i="5" s="1"/>
  <c r="R648" i="2"/>
  <c r="R654" i="2"/>
  <c r="R664" i="2"/>
  <c r="R679" i="2"/>
  <c r="R158" i="5" s="1"/>
  <c r="R660" i="2"/>
  <c r="R666" i="2"/>
  <c r="R49" i="2"/>
  <c r="R640" i="2"/>
  <c r="R650" i="2"/>
  <c r="R681" i="2"/>
  <c r="R744" i="2"/>
  <c r="R748" i="2" s="1"/>
  <c r="R636" i="2"/>
  <c r="R638" i="2"/>
  <c r="R662" i="2"/>
  <c r="R675" i="2"/>
  <c r="R136" i="5" s="1"/>
  <c r="R143" i="5" s="1"/>
  <c r="R25" i="17" s="1"/>
  <c r="R652" i="2"/>
  <c r="O30" i="5"/>
  <c r="O29" i="5" s="1"/>
  <c r="L5" i="34"/>
  <c r="S636" i="2"/>
  <c r="S677" i="2"/>
  <c r="S147" i="5" s="1"/>
  <c r="S683" i="2"/>
  <c r="S180" i="5" s="1"/>
  <c r="S638" i="2"/>
  <c r="S673" i="2"/>
  <c r="S679" i="2"/>
  <c r="S158" i="5" s="1"/>
  <c r="S656" i="2"/>
  <c r="S660" i="2"/>
  <c r="S49" i="2"/>
  <c r="S640" i="2"/>
  <c r="S650" i="2"/>
  <c r="S681" i="2"/>
  <c r="S744" i="2"/>
  <c r="S748" i="2" s="1"/>
  <c r="S644" i="2"/>
  <c r="S648" i="2"/>
  <c r="S654" i="2"/>
  <c r="S675" i="2"/>
  <c r="S136" i="5" s="1"/>
  <c r="S143" i="5" s="1"/>
  <c r="S25" i="17" s="1"/>
  <c r="S662" i="2"/>
  <c r="S642" i="2"/>
  <c r="S664" i="2"/>
  <c r="S652" i="2"/>
  <c r="S666" i="2"/>
  <c r="Q677" i="2"/>
  <c r="Q147" i="5" s="1"/>
  <c r="Q683" i="2"/>
  <c r="Q180" i="5" s="1"/>
  <c r="Q648" i="2"/>
  <c r="Q654" i="2"/>
  <c r="Q664" i="2"/>
  <c r="Q638" i="2"/>
  <c r="Q644" i="2"/>
  <c r="Q660" i="2"/>
  <c r="Q666" i="2"/>
  <c r="Q673" i="2"/>
  <c r="Q49" i="2"/>
  <c r="Q640" i="2"/>
  <c r="Q650" i="2"/>
  <c r="Q656" i="2"/>
  <c r="Q744" i="2"/>
  <c r="Q748" i="2" s="1"/>
  <c r="Q636" i="2"/>
  <c r="Q662" i="2"/>
  <c r="Q675" i="2"/>
  <c r="Q136" i="5" s="1"/>
  <c r="Q143" i="5" s="1"/>
  <c r="Q25" i="17" s="1"/>
  <c r="Q642" i="2"/>
  <c r="Q652" i="2"/>
  <c r="Q679" i="2"/>
  <c r="Q158" i="5" s="1"/>
  <c r="Q681" i="2"/>
  <c r="P660" i="2"/>
  <c r="P677" i="2"/>
  <c r="P147" i="5" s="1"/>
  <c r="P648" i="2"/>
  <c r="P662" i="2"/>
  <c r="P679" i="2"/>
  <c r="P158" i="5" s="1"/>
  <c r="P683" i="2"/>
  <c r="P180" i="5" s="1"/>
  <c r="P664" i="2"/>
  <c r="P654" i="2"/>
  <c r="P638" i="2"/>
  <c r="P644" i="2"/>
  <c r="P49" i="2"/>
  <c r="P640" i="2"/>
  <c r="P650" i="2"/>
  <c r="P656" i="2"/>
  <c r="P744" i="2"/>
  <c r="P748" i="2" s="1"/>
  <c r="P673" i="2"/>
  <c r="P636" i="2"/>
  <c r="P675" i="2"/>
  <c r="P136" i="5" s="1"/>
  <c r="P143" i="5" s="1"/>
  <c r="P25" i="17" s="1"/>
  <c r="P652" i="2"/>
  <c r="P681" i="2"/>
  <c r="P666" i="2"/>
  <c r="P642" i="2"/>
  <c r="P80" i="41" l="1"/>
  <c r="P83" i="41"/>
  <c r="P84" i="41" s="1"/>
  <c r="O71" i="41"/>
  <c r="O74" i="41"/>
  <c r="O75" i="41" s="1"/>
  <c r="L80" i="41"/>
  <c r="L83" i="41"/>
  <c r="L84" i="41" s="1"/>
  <c r="O80" i="41"/>
  <c r="O83" i="41"/>
  <c r="O84" i="41" s="1"/>
  <c r="N53" i="41"/>
  <c r="N56" i="41"/>
  <c r="N57" i="41" s="1"/>
  <c r="N80" i="41"/>
  <c r="N83" i="41"/>
  <c r="N84" i="41" s="1"/>
  <c r="P71" i="41"/>
  <c r="P74" i="41"/>
  <c r="P75" i="41" s="1"/>
  <c r="N71" i="41"/>
  <c r="N74" i="41"/>
  <c r="N75" i="41" s="1"/>
  <c r="Q62" i="41"/>
  <c r="Q65" i="41"/>
  <c r="Q66" i="41" s="1"/>
  <c r="P53" i="41"/>
  <c r="P56" i="41"/>
  <c r="P57" i="41" s="1"/>
  <c r="N62" i="41"/>
  <c r="N65" i="41"/>
  <c r="N66" i="41" s="1"/>
  <c r="O62" i="41"/>
  <c r="O65" i="41"/>
  <c r="O66" i="41" s="1"/>
  <c r="L71" i="41"/>
  <c r="L74" i="41"/>
  <c r="L75" i="41" s="1"/>
  <c r="Q53" i="41"/>
  <c r="Q56" i="41"/>
  <c r="Q57" i="41" s="1"/>
  <c r="Q80" i="41"/>
  <c r="Q83" i="41"/>
  <c r="Q84" i="41" s="1"/>
  <c r="P62" i="41"/>
  <c r="P65" i="41"/>
  <c r="P66" i="41" s="1"/>
  <c r="O53" i="41"/>
  <c r="O56" i="41"/>
  <c r="O57" i="41" s="1"/>
  <c r="L53" i="41"/>
  <c r="L56" i="41"/>
  <c r="L57" i="41" s="1"/>
  <c r="L62" i="41"/>
  <c r="L65" i="41"/>
  <c r="L66" i="41" s="1"/>
  <c r="Q71" i="41"/>
  <c r="Q74" i="41"/>
  <c r="Q75" i="41" s="1"/>
  <c r="O634" i="2"/>
  <c r="O81" i="5" s="1"/>
  <c r="O671" i="2"/>
  <c r="O672" i="2" s="1"/>
  <c r="O658" i="2"/>
  <c r="O659" i="2" s="1"/>
  <c r="O646" i="2"/>
  <c r="O92" i="5" s="1"/>
  <c r="O125" i="5"/>
  <c r="O50" i="2"/>
  <c r="O745" i="2"/>
  <c r="R125" i="5"/>
  <c r="R671" i="2"/>
  <c r="S125" i="5"/>
  <c r="S671" i="2"/>
  <c r="Q125" i="5"/>
  <c r="Q671" i="2"/>
  <c r="P125" i="5"/>
  <c r="P671" i="2"/>
  <c r="N125" i="5"/>
  <c r="N671" i="2"/>
  <c r="R634" i="2"/>
  <c r="R81" i="5" s="1"/>
  <c r="P634" i="2"/>
  <c r="P81" i="5" s="1"/>
  <c r="P658" i="2"/>
  <c r="P103" i="5" s="1"/>
  <c r="S634" i="2"/>
  <c r="S635" i="2" s="1"/>
  <c r="N658" i="2"/>
  <c r="N103" i="5" s="1"/>
  <c r="S658" i="2"/>
  <c r="P5" i="34"/>
  <c r="S30" i="5"/>
  <c r="N61" i="5"/>
  <c r="N745" i="2"/>
  <c r="N50" i="2"/>
  <c r="S646" i="2"/>
  <c r="Q30" i="5"/>
  <c r="Q29" i="5" s="1"/>
  <c r="N5" i="34"/>
  <c r="O72" i="5"/>
  <c r="L58" i="34" s="1"/>
  <c r="P30" i="5"/>
  <c r="P29" i="5" s="1"/>
  <c r="M5" i="34"/>
  <c r="R61" i="5"/>
  <c r="R50" i="2"/>
  <c r="R745" i="2"/>
  <c r="Q646" i="2"/>
  <c r="P50" i="2"/>
  <c r="P61" i="5"/>
  <c r="P745" i="2"/>
  <c r="R646" i="2"/>
  <c r="O5" i="34"/>
  <c r="R30" i="5"/>
  <c r="R29" i="5" s="1"/>
  <c r="N646" i="2"/>
  <c r="N647" i="2" s="1"/>
  <c r="R658" i="2"/>
  <c r="N634" i="2"/>
  <c r="N30" i="5"/>
  <c r="N29" i="5" s="1"/>
  <c r="K5" i="34"/>
  <c r="Q658" i="2"/>
  <c r="S61" i="5"/>
  <c r="S745" i="2"/>
  <c r="S50" i="2"/>
  <c r="Q634" i="2"/>
  <c r="N749" i="2"/>
  <c r="N750" i="2"/>
  <c r="P646" i="2"/>
  <c r="Q61" i="5"/>
  <c r="Q745" i="2"/>
  <c r="Q50" i="2"/>
  <c r="N756" i="2" l="1"/>
  <c r="N753" i="2"/>
  <c r="O756" i="2"/>
  <c r="O753" i="2"/>
  <c r="S756" i="2"/>
  <c r="S753" i="2"/>
  <c r="Q756" i="2"/>
  <c r="Q753" i="2"/>
  <c r="R756" i="2"/>
  <c r="R753" i="2"/>
  <c r="P756" i="2"/>
  <c r="P753" i="2"/>
  <c r="O750" i="2"/>
  <c r="P750" i="2" s="1"/>
  <c r="Q750" i="2" s="1"/>
  <c r="R750" i="2" s="1"/>
  <c r="O103" i="5"/>
  <c r="O647" i="2"/>
  <c r="O633" i="2"/>
  <c r="O746" i="2" s="1"/>
  <c r="O635" i="2"/>
  <c r="O749" i="2"/>
  <c r="O256" i="5" s="1"/>
  <c r="N256" i="5"/>
  <c r="Q672" i="2"/>
  <c r="R635" i="2"/>
  <c r="P633" i="2"/>
  <c r="P746" i="2" s="1"/>
  <c r="P767" i="2" s="1"/>
  <c r="P659" i="2"/>
  <c r="P635" i="2"/>
  <c r="S81" i="5"/>
  <c r="N659" i="2"/>
  <c r="S633" i="2"/>
  <c r="S686" i="2" s="1"/>
  <c r="S689" i="2" s="1"/>
  <c r="S659" i="2"/>
  <c r="S103" i="5"/>
  <c r="P72" i="5"/>
  <c r="M58" i="34" s="1"/>
  <c r="N672" i="2"/>
  <c r="Q81" i="5"/>
  <c r="Q635" i="2"/>
  <c r="Q633" i="2"/>
  <c r="Q103" i="5"/>
  <c r="Q659" i="2"/>
  <c r="P647" i="2"/>
  <c r="P92" i="5"/>
  <c r="R5" i="34"/>
  <c r="N72" i="5"/>
  <c r="K58" i="34" s="1"/>
  <c r="R672" i="2"/>
  <c r="S72" i="5"/>
  <c r="Q92" i="5"/>
  <c r="Q647" i="2"/>
  <c r="P672" i="2"/>
  <c r="Q72" i="5"/>
  <c r="N58" i="34" s="1"/>
  <c r="R72" i="5"/>
  <c r="O58" i="34" s="1"/>
  <c r="R92" i="5"/>
  <c r="R647" i="2"/>
  <c r="R633" i="2"/>
  <c r="N92" i="5"/>
  <c r="N81" i="5"/>
  <c r="N635" i="2"/>
  <c r="N633" i="2"/>
  <c r="S672" i="2"/>
  <c r="S92" i="5"/>
  <c r="S647" i="2"/>
  <c r="S29" i="5"/>
  <c r="R103" i="5"/>
  <c r="R659" i="2"/>
  <c r="O686" i="2" l="1"/>
  <c r="O689" i="2" s="1"/>
  <c r="P749" i="2"/>
  <c r="Q749" i="2" s="1"/>
  <c r="P765" i="2"/>
  <c r="P771" i="2" s="1"/>
  <c r="P686" i="2"/>
  <c r="P689" i="2" s="1"/>
  <c r="S746" i="2"/>
  <c r="S767" i="2" s="1"/>
  <c r="S690" i="2"/>
  <c r="S201" i="5" s="1"/>
  <c r="N758" i="2"/>
  <c r="N323" i="5" s="1"/>
  <c r="N757" i="2"/>
  <c r="N311" i="5"/>
  <c r="S750" i="2"/>
  <c r="P58" i="34"/>
  <c r="R58" i="34" s="1"/>
  <c r="N746" i="2"/>
  <c r="N686" i="2"/>
  <c r="N689" i="2" s="1"/>
  <c r="Q746" i="2"/>
  <c r="Q686" i="2"/>
  <c r="Q689" i="2" s="1"/>
  <c r="O765" i="2"/>
  <c r="O767" i="2"/>
  <c r="R746" i="2"/>
  <c r="R686" i="2"/>
  <c r="R689" i="2" s="1"/>
  <c r="N290" i="5"/>
  <c r="N761" i="2"/>
  <c r="O690" i="2" l="1"/>
  <c r="O201" i="5" s="1"/>
  <c r="P256" i="5"/>
  <c r="R749" i="2"/>
  <c r="Q256" i="5"/>
  <c r="S693" i="2"/>
  <c r="P690" i="2"/>
  <c r="P201" i="5" s="1"/>
  <c r="S765" i="2"/>
  <c r="S771" i="2" s="1"/>
  <c r="N763" i="2"/>
  <c r="O771" i="2"/>
  <c r="R765" i="2"/>
  <c r="R767" i="2"/>
  <c r="Q767" i="2"/>
  <c r="Q765" i="2"/>
  <c r="O311" i="5"/>
  <c r="O758" i="2"/>
  <c r="O323" i="5" s="1"/>
  <c r="O757" i="2"/>
  <c r="R690" i="2"/>
  <c r="Q690" i="2"/>
  <c r="N721" i="2"/>
  <c r="K97" i="34" s="1"/>
  <c r="K102" i="34" s="1"/>
  <c r="N690" i="2"/>
  <c r="N201" i="5" s="1"/>
  <c r="N765" i="2"/>
  <c r="N767" i="2"/>
  <c r="O290" i="5"/>
  <c r="O761" i="2"/>
  <c r="O693" i="2" l="1"/>
  <c r="O211" i="5" s="1"/>
  <c r="R256" i="5"/>
  <c r="S749" i="2"/>
  <c r="S256" i="5" s="1"/>
  <c r="S694" i="2"/>
  <c r="S211" i="5"/>
  <c r="P693" i="2"/>
  <c r="P211" i="5" s="1"/>
  <c r="R771" i="2"/>
  <c r="Q201" i="5"/>
  <c r="Q693" i="2"/>
  <c r="Q211" i="5" s="1"/>
  <c r="R201" i="5"/>
  <c r="R693" i="2"/>
  <c r="R211" i="5" s="1"/>
  <c r="P290" i="5"/>
  <c r="P761" i="2"/>
  <c r="Q771" i="2"/>
  <c r="P311" i="5"/>
  <c r="P758" i="2"/>
  <c r="P323" i="5" s="1"/>
  <c r="P757" i="2"/>
  <c r="O773" i="2"/>
  <c r="O774" i="2" s="1"/>
  <c r="O763" i="2"/>
  <c r="N771" i="2"/>
  <c r="N221" i="5"/>
  <c r="N722" i="2"/>
  <c r="N693" i="2"/>
  <c r="N211" i="5" s="1"/>
  <c r="O694" i="2" l="1"/>
  <c r="P694" i="2"/>
  <c r="N694" i="2"/>
  <c r="N233" i="5"/>
  <c r="Q694" i="2"/>
  <c r="Q290" i="5"/>
  <c r="Q761" i="2"/>
  <c r="N773" i="2"/>
  <c r="N774" i="2" s="1"/>
  <c r="P773" i="2"/>
  <c r="P774" i="2" s="1"/>
  <c r="P763" i="2"/>
  <c r="R694" i="2"/>
  <c r="Q311" i="5"/>
  <c r="Q758" i="2"/>
  <c r="Q323" i="5" s="1"/>
  <c r="Q757" i="2"/>
  <c r="Q773" i="2" l="1"/>
  <c r="Q774" i="2" s="1"/>
  <c r="Q763" i="2"/>
  <c r="R290" i="5"/>
  <c r="R761" i="2"/>
  <c r="R311" i="5"/>
  <c r="R758" i="2"/>
  <c r="R323" i="5" s="1"/>
  <c r="R757" i="2"/>
  <c r="S311" i="5" l="1"/>
  <c r="S758" i="2"/>
  <c r="S323" i="5" s="1"/>
  <c r="S757" i="2"/>
  <c r="S290" i="5"/>
  <c r="S761" i="2"/>
  <c r="R763" i="2"/>
  <c r="R773" i="2"/>
  <c r="R774" i="2" s="1"/>
  <c r="S773" i="2" l="1"/>
  <c r="S774" i="2" s="1"/>
  <c r="S763" i="2"/>
  <c r="L23" i="4"/>
  <c r="L44" i="4"/>
  <c r="L43" i="4" s="1"/>
  <c r="L49" i="4" s="1"/>
  <c r="U49" i="4" s="1"/>
  <c r="V49" i="4" s="1"/>
  <c r="W49" i="4" s="1"/>
  <c r="X49" i="4" s="1"/>
  <c r="Y49" i="4" s="1"/>
  <c r="Z49" i="4" s="1"/>
  <c r="L11" i="4" l="1"/>
  <c r="L17" i="4" s="1"/>
  <c r="AC43" i="4"/>
  <c r="AK49" i="4"/>
  <c r="AL49" i="4" s="1"/>
  <c r="AM49" i="4" s="1"/>
  <c r="AN49" i="4" s="1"/>
  <c r="AO49" i="4" s="1"/>
  <c r="AP49" i="4" s="1"/>
  <c r="U43" i="4"/>
  <c r="V43" i="4" s="1"/>
  <c r="W43" i="4" s="1"/>
  <c r="X43" i="4" s="1"/>
  <c r="Y43" i="4" s="1"/>
  <c r="Z43" i="4" s="1"/>
  <c r="AC49" i="4"/>
  <c r="L10" i="4"/>
  <c r="L16" i="4" s="1"/>
  <c r="AK43" i="4"/>
  <c r="AL43" i="4" s="1"/>
  <c r="AM43" i="4" s="1"/>
  <c r="AN43" i="4" s="1"/>
  <c r="AO43" i="4" s="1"/>
  <c r="AP43" i="4" s="1"/>
  <c r="N43" i="4" l="1"/>
  <c r="N10" i="4" s="1"/>
  <c r="AD43" i="4"/>
  <c r="AD49" i="4"/>
  <c r="N49" i="4"/>
  <c r="N55" i="4" l="1"/>
  <c r="N22" i="4" s="1"/>
  <c r="O43" i="4"/>
  <c r="O10" i="4" s="1"/>
  <c r="AE43" i="4"/>
  <c r="O49" i="4"/>
  <c r="AE49" i="4"/>
  <c r="O55" i="4" l="1"/>
  <c r="O22" i="4" s="1"/>
  <c r="N62" i="4"/>
  <c r="N38" i="4" s="1"/>
  <c r="AF43" i="4"/>
  <c r="P43" i="4"/>
  <c r="P10" i="4" s="1"/>
  <c r="P49" i="4"/>
  <c r="AF49" i="4"/>
  <c r="N31" i="4"/>
  <c r="N19" i="5" s="1"/>
  <c r="N16" i="4"/>
  <c r="N105" i="4" l="1"/>
  <c r="N160" i="5" s="1"/>
  <c r="N107" i="4"/>
  <c r="N103" i="4"/>
  <c r="N127" i="5" s="1"/>
  <c r="O62" i="4"/>
  <c r="O38" i="4" s="1"/>
  <c r="P55" i="4"/>
  <c r="P62" i="4" s="1"/>
  <c r="N61" i="4"/>
  <c r="AG43" i="4"/>
  <c r="Q43" i="4"/>
  <c r="Q10" i="4" s="1"/>
  <c r="N94" i="4"/>
  <c r="N94" i="5" s="1"/>
  <c r="N125" i="24"/>
  <c r="N96" i="4"/>
  <c r="N105" i="5" s="1"/>
  <c r="N151" i="4"/>
  <c r="N92" i="4"/>
  <c r="N63" i="5"/>
  <c r="N36" i="4"/>
  <c r="N152" i="4" s="1"/>
  <c r="N39" i="4"/>
  <c r="O31" i="4"/>
  <c r="O19" i="5" s="1"/>
  <c r="O16" i="4"/>
  <c r="Q49" i="4"/>
  <c r="AG49" i="4"/>
  <c r="N161" i="4" l="1"/>
  <c r="N158" i="4"/>
  <c r="N292" i="5" s="1"/>
  <c r="N155" i="4"/>
  <c r="N258" i="5" s="1"/>
  <c r="N101" i="4"/>
  <c r="N102" i="4" s="1"/>
  <c r="O103" i="4"/>
  <c r="O127" i="5" s="1"/>
  <c r="O107" i="4"/>
  <c r="O105" i="4"/>
  <c r="O160" i="5" s="1"/>
  <c r="Q55" i="4"/>
  <c r="Q22" i="4" s="1"/>
  <c r="O61" i="4"/>
  <c r="P22" i="4"/>
  <c r="P16" i="4" s="1"/>
  <c r="AH43" i="4"/>
  <c r="S43" i="4" s="1"/>
  <c r="S10" i="4" s="1"/>
  <c r="R43" i="4"/>
  <c r="R10" i="4" s="1"/>
  <c r="O94" i="4"/>
  <c r="O94" i="5" s="1"/>
  <c r="O96" i="4"/>
  <c r="O105" i="5" s="1"/>
  <c r="O92" i="4"/>
  <c r="O125" i="24"/>
  <c r="O151" i="4"/>
  <c r="O155" i="4" s="1"/>
  <c r="N91" i="4"/>
  <c r="N83" i="5"/>
  <c r="N172" i="4"/>
  <c r="N74" i="5"/>
  <c r="K89" i="34" s="1"/>
  <c r="N174" i="4"/>
  <c r="R49" i="4"/>
  <c r="AH49" i="4"/>
  <c r="S49" i="4" s="1"/>
  <c r="N46" i="5"/>
  <c r="K55" i="34"/>
  <c r="O63" i="5"/>
  <c r="O39" i="4"/>
  <c r="O36" i="4"/>
  <c r="O152" i="4" s="1"/>
  <c r="P61" i="4"/>
  <c r="P38" i="4"/>
  <c r="O161" i="4" l="1"/>
  <c r="O158" i="4"/>
  <c r="O292" i="5" s="1"/>
  <c r="O101" i="4"/>
  <c r="O102" i="4" s="1"/>
  <c r="N313" i="5"/>
  <c r="N163" i="4"/>
  <c r="N325" i="5" s="1"/>
  <c r="N162" i="4"/>
  <c r="Q62" i="4"/>
  <c r="Q61" i="4" s="1"/>
  <c r="P31" i="4"/>
  <c r="P19" i="5" s="1"/>
  <c r="R55" i="4"/>
  <c r="R22" i="4" s="1"/>
  <c r="S55" i="4"/>
  <c r="S62" i="4" s="1"/>
  <c r="O74" i="5"/>
  <c r="L89" i="34" s="1"/>
  <c r="O172" i="4"/>
  <c r="Q16" i="4"/>
  <c r="Q31" i="4"/>
  <c r="Q19" i="5" s="1"/>
  <c r="N153" i="4"/>
  <c r="N176" i="4"/>
  <c r="N110" i="4"/>
  <c r="N113" i="4" s="1"/>
  <c r="O83" i="5"/>
  <c r="O91" i="4"/>
  <c r="O46" i="5"/>
  <c r="L55" i="34"/>
  <c r="O258" i="5"/>
  <c r="O174" i="4"/>
  <c r="P63" i="5"/>
  <c r="N166" i="4"/>
  <c r="N168" i="4" s="1"/>
  <c r="Q103" i="4" l="1"/>
  <c r="Q127" i="5" s="1"/>
  <c r="Q107" i="4"/>
  <c r="Q105" i="4"/>
  <c r="Q160" i="5" s="1"/>
  <c r="O313" i="5"/>
  <c r="O163" i="4"/>
  <c r="O325" i="5" s="1"/>
  <c r="O162" i="4"/>
  <c r="P107" i="4"/>
  <c r="P103" i="4"/>
  <c r="P127" i="5" s="1"/>
  <c r="P105" i="4"/>
  <c r="P160" i="5" s="1"/>
  <c r="Q38" i="4"/>
  <c r="Q36" i="4" s="1"/>
  <c r="Q152" i="4" s="1"/>
  <c r="R62" i="4"/>
  <c r="R38" i="4" s="1"/>
  <c r="S22" i="4"/>
  <c r="S16" i="4" s="1"/>
  <c r="M55" i="34"/>
  <c r="P92" i="4"/>
  <c r="P83" i="5" s="1"/>
  <c r="P39" i="4"/>
  <c r="P151" i="4"/>
  <c r="P96" i="4"/>
  <c r="P105" i="5" s="1"/>
  <c r="P36" i="4"/>
  <c r="P152" i="4" s="1"/>
  <c r="P125" i="24"/>
  <c r="P94" i="4"/>
  <c r="P94" i="5" s="1"/>
  <c r="S38" i="4"/>
  <c r="S61" i="4"/>
  <c r="O176" i="4"/>
  <c r="O153" i="4"/>
  <c r="O110" i="4"/>
  <c r="O113" i="4" s="1"/>
  <c r="N170" i="4"/>
  <c r="N179" i="4" s="1"/>
  <c r="N114" i="4"/>
  <c r="N203" i="5" s="1"/>
  <c r="O166" i="4"/>
  <c r="O168" i="4" s="1"/>
  <c r="R16" i="4"/>
  <c r="R31" i="4"/>
  <c r="R19" i="5" s="1"/>
  <c r="Q151" i="4"/>
  <c r="Q155" i="4" s="1"/>
  <c r="Q94" i="4"/>
  <c r="Q94" i="5" s="1"/>
  <c r="Q92" i="4"/>
  <c r="Q125" i="24"/>
  <c r="Q96" i="4"/>
  <c r="Q105" i="5" s="1"/>
  <c r="P155" i="4" l="1"/>
  <c r="P258" i="5" s="1"/>
  <c r="Q161" i="4"/>
  <c r="Q158" i="4"/>
  <c r="P172" i="4"/>
  <c r="P161" i="4"/>
  <c r="P313" i="5" s="1"/>
  <c r="P158" i="4"/>
  <c r="P292" i="5" s="1"/>
  <c r="R103" i="4"/>
  <c r="R127" i="5" s="1"/>
  <c r="R105" i="4"/>
  <c r="R160" i="5" s="1"/>
  <c r="R107" i="4"/>
  <c r="Q39" i="4"/>
  <c r="P101" i="4"/>
  <c r="Q101" i="4"/>
  <c r="Q63" i="5"/>
  <c r="Q74" i="5" s="1"/>
  <c r="N89" i="34" s="1"/>
  <c r="R61" i="4"/>
  <c r="P46" i="5"/>
  <c r="P74" i="5"/>
  <c r="M89" i="34" s="1"/>
  <c r="S31" i="4"/>
  <c r="S19" i="5" s="1"/>
  <c r="P174" i="4"/>
  <c r="P91" i="4"/>
  <c r="P176" i="4" s="1"/>
  <c r="O114" i="4"/>
  <c r="O203" i="5" s="1"/>
  <c r="O170" i="4"/>
  <c r="O179" i="4" s="1"/>
  <c r="Q46" i="5"/>
  <c r="N55" i="34"/>
  <c r="Q83" i="5"/>
  <c r="Q91" i="4"/>
  <c r="N181" i="4"/>
  <c r="N182" i="4" s="1"/>
  <c r="R151" i="4"/>
  <c r="R155" i="4" s="1"/>
  <c r="R94" i="4"/>
  <c r="R94" i="5" s="1"/>
  <c r="R92" i="4"/>
  <c r="R125" i="24"/>
  <c r="R96" i="4"/>
  <c r="R105" i="5" s="1"/>
  <c r="Q258" i="5"/>
  <c r="Q174" i="4"/>
  <c r="N117" i="4"/>
  <c r="N213" i="5" s="1"/>
  <c r="R36" i="4"/>
  <c r="R152" i="4" s="1"/>
  <c r="R63" i="5"/>
  <c r="R39" i="4"/>
  <c r="Q172" i="4"/>
  <c r="S63" i="5"/>
  <c r="R161" i="4" l="1"/>
  <c r="R158" i="4"/>
  <c r="P102" i="4"/>
  <c r="S96" i="4"/>
  <c r="S105" i="5" s="1"/>
  <c r="S105" i="4"/>
  <c r="S160" i="5" s="1"/>
  <c r="S103" i="4"/>
  <c r="S127" i="5" s="1"/>
  <c r="S107" i="4"/>
  <c r="P55" i="34"/>
  <c r="P162" i="4"/>
  <c r="Q102" i="4"/>
  <c r="S94" i="4"/>
  <c r="S94" i="5" s="1"/>
  <c r="R101" i="4"/>
  <c r="P163" i="4"/>
  <c r="P325" i="5" s="1"/>
  <c r="S151" i="4"/>
  <c r="S92" i="4"/>
  <c r="Q292" i="5"/>
  <c r="S39" i="4"/>
  <c r="S36" i="4"/>
  <c r="S152" i="4" s="1"/>
  <c r="P166" i="4"/>
  <c r="P168" i="4" s="1"/>
  <c r="Q313" i="5"/>
  <c r="S125" i="24"/>
  <c r="P110" i="4"/>
  <c r="P113" i="4" s="1"/>
  <c r="P153" i="4"/>
  <c r="O117" i="4"/>
  <c r="O213" i="5" s="1"/>
  <c r="R46" i="5"/>
  <c r="O55" i="34"/>
  <c r="R258" i="5"/>
  <c r="R174" i="4"/>
  <c r="Q176" i="4"/>
  <c r="Q153" i="4"/>
  <c r="Q110" i="4"/>
  <c r="Q113" i="4" s="1"/>
  <c r="R74" i="5"/>
  <c r="O89" i="34" s="1"/>
  <c r="R172" i="4"/>
  <c r="R83" i="5"/>
  <c r="R91" i="4"/>
  <c r="O181" i="4"/>
  <c r="O182" i="4" s="1"/>
  <c r="S174" i="4" l="1"/>
  <c r="S155" i="4"/>
  <c r="S258" i="5" s="1"/>
  <c r="S172" i="4"/>
  <c r="S161" i="4"/>
  <c r="S158" i="4"/>
  <c r="R55" i="34"/>
  <c r="Q163" i="4"/>
  <c r="Q325" i="5" s="1"/>
  <c r="S74" i="5"/>
  <c r="S46" i="5"/>
  <c r="Q162" i="4"/>
  <c r="R102" i="4"/>
  <c r="S101" i="4"/>
  <c r="S91" i="4"/>
  <c r="S153" i="4" s="1"/>
  <c r="R292" i="5"/>
  <c r="S83" i="5"/>
  <c r="Q166" i="4"/>
  <c r="Q168" i="4" s="1"/>
  <c r="R313" i="5"/>
  <c r="P114" i="4"/>
  <c r="P203" i="5" s="1"/>
  <c r="P170" i="4"/>
  <c r="P179" i="4" s="1"/>
  <c r="P181" i="4" s="1"/>
  <c r="P182" i="4" s="1"/>
  <c r="R176" i="4"/>
  <c r="R153" i="4"/>
  <c r="R110" i="4"/>
  <c r="R113" i="4" s="1"/>
  <c r="Q170" i="4"/>
  <c r="Q179" i="4" s="1"/>
  <c r="Q114" i="4"/>
  <c r="Q203" i="5" s="1"/>
  <c r="P89" i="34" l="1"/>
  <c r="R89" i="34" s="1"/>
  <c r="S176" i="4"/>
  <c r="R163" i="4"/>
  <c r="R325" i="5" s="1"/>
  <c r="R162" i="4"/>
  <c r="S292" i="5"/>
  <c r="S102" i="4"/>
  <c r="S110" i="4"/>
  <c r="S113" i="4" s="1"/>
  <c r="S170" i="4" s="1"/>
  <c r="S313" i="5"/>
  <c r="R166" i="4"/>
  <c r="R168" i="4" s="1"/>
  <c r="P117" i="4"/>
  <c r="P213" i="5" s="1"/>
  <c r="R170" i="4"/>
  <c r="R179" i="4" s="1"/>
  <c r="R114" i="4"/>
  <c r="R203" i="5" s="1"/>
  <c r="Q181" i="4"/>
  <c r="Q182" i="4" s="1"/>
  <c r="Q117" i="4"/>
  <c r="Q213" i="5" s="1"/>
  <c r="S179" i="4" l="1"/>
  <c r="S114" i="4"/>
  <c r="S203" i="5" s="1"/>
  <c r="S163" i="4"/>
  <c r="S325" i="5" s="1"/>
  <c r="S162" i="4"/>
  <c r="S166" i="4"/>
  <c r="S168" i="4" s="1"/>
  <c r="R117" i="4"/>
  <c r="R213" i="5" s="1"/>
  <c r="R181" i="4"/>
  <c r="R182" i="4" s="1"/>
  <c r="S181" i="4" l="1"/>
  <c r="S182" i="4" s="1"/>
  <c r="S117" i="4"/>
  <c r="S213" i="5" l="1"/>
  <c r="I4" i="34"/>
  <c r="L8" i="17"/>
  <c r="L10" i="25" s="1"/>
  <c r="L275" i="1"/>
  <c r="L300" i="1"/>
  <c r="L325" i="1"/>
  <c r="L350" i="1"/>
  <c r="L427" i="1"/>
  <c r="L452" i="1"/>
  <c r="L477" i="1"/>
  <c r="L502" i="1"/>
  <c r="I112" i="34" l="1"/>
  <c r="Q4" i="34"/>
  <c r="L329" i="5"/>
  <c r="N329" i="5" s="1"/>
  <c r="O329" i="5" s="1"/>
  <c r="L274" i="5"/>
  <c r="L120" i="5"/>
  <c r="L153" i="5"/>
  <c r="N153" i="5" s="1"/>
  <c r="N131" i="5"/>
  <c r="L21" i="17"/>
  <c r="I93" i="34" s="1"/>
  <c r="F10" i="32"/>
  <c r="P329" i="5" l="1"/>
  <c r="L44" i="17"/>
  <c r="I96" i="34" s="1"/>
  <c r="Q96" i="34" s="1"/>
  <c r="O153" i="5"/>
  <c r="P153" i="5" s="1"/>
  <c r="O131" i="5"/>
  <c r="Q329" i="5" l="1"/>
  <c r="I20" i="33"/>
  <c r="I60" i="33" s="1"/>
  <c r="I19" i="28"/>
  <c r="L45" i="17"/>
  <c r="I101" i="34" s="1"/>
  <c r="L46" i="17"/>
  <c r="Q153" i="5"/>
  <c r="P131" i="5"/>
  <c r="I21" i="33" l="1"/>
  <c r="R329" i="5"/>
  <c r="R153" i="5"/>
  <c r="Q131" i="5"/>
  <c r="S329" i="5" l="1"/>
  <c r="S153" i="5"/>
  <c r="R131" i="5"/>
  <c r="S131" i="5" l="1"/>
  <c r="I57" i="34" l="1"/>
  <c r="L10" i="17"/>
  <c r="L9" i="17" s="1"/>
  <c r="I113" i="34" l="1"/>
  <c r="I114" i="34"/>
  <c r="F11" i="32"/>
  <c r="F12" i="32"/>
  <c r="L11" i="17"/>
  <c r="N87" i="5"/>
  <c r="O87" i="5" s="1"/>
  <c r="P87" i="5" s="1"/>
  <c r="Q87" i="5" s="1"/>
  <c r="R87" i="5" s="1"/>
  <c r="L13" i="17"/>
  <c r="L14" i="17" s="1"/>
  <c r="I90" i="34" s="1"/>
  <c r="P77" i="5" l="1"/>
  <c r="S87" i="5"/>
  <c r="Q77" i="5" l="1"/>
  <c r="R77" i="5" l="1"/>
  <c r="L15" i="17"/>
  <c r="L16" i="17" s="1"/>
  <c r="I91" i="34" s="1"/>
  <c r="S77" i="5" l="1"/>
  <c r="N109" i="5" l="1"/>
  <c r="L17" i="17"/>
  <c r="L18" i="17" l="1"/>
  <c r="I92" i="34" s="1"/>
  <c r="L31" i="17"/>
  <c r="O109" i="5"/>
  <c r="P109" i="5" l="1"/>
  <c r="L32" i="17"/>
  <c r="Q109" i="5" l="1"/>
  <c r="R109" i="5" l="1"/>
  <c r="S109" i="5" l="1"/>
  <c r="N196" i="5" l="1"/>
  <c r="N197" i="5" s="1"/>
  <c r="N33" i="17" s="1"/>
  <c r="L33" i="17"/>
  <c r="L35" i="17" s="1"/>
  <c r="L36" i="17" l="1"/>
  <c r="O196" i="5"/>
  <c r="O197" i="5" l="1"/>
  <c r="O33" i="17" s="1"/>
  <c r="P196" i="5"/>
  <c r="L206" i="5"/>
  <c r="L37" i="17"/>
  <c r="L38" i="17" l="1"/>
  <c r="L40" i="17"/>
  <c r="L83" i="25" s="1"/>
  <c r="N84" i="25" s="1"/>
  <c r="Q196" i="5"/>
  <c r="P197" i="5"/>
  <c r="P33" i="17" s="1"/>
  <c r="P84" i="25" l="1"/>
  <c r="M94" i="33" s="1"/>
  <c r="N22" i="22"/>
  <c r="O22" i="22" s="1"/>
  <c r="R196" i="5"/>
  <c r="Q197" i="5"/>
  <c r="Q33" i="17" s="1"/>
  <c r="L217" i="5"/>
  <c r="L9" i="22"/>
  <c r="L12" i="22" s="1"/>
  <c r="L41" i="17"/>
  <c r="I95" i="34" s="1"/>
  <c r="I24" i="28"/>
  <c r="I25" i="33"/>
  <c r="I94" i="34"/>
  <c r="Q94" i="34" s="1"/>
  <c r="S196" i="5" l="1"/>
  <c r="S197" i="5" s="1"/>
  <c r="S33" i="17" s="1"/>
  <c r="R197" i="5"/>
  <c r="R33" i="17" s="1"/>
  <c r="L13" i="25"/>
  <c r="L14" i="25" s="1"/>
  <c r="I121" i="34" s="1"/>
  <c r="I119" i="34"/>
  <c r="L26" i="22" l="1"/>
  <c r="F5" i="32"/>
  <c r="N32" i="22" l="1"/>
  <c r="O32" i="22" s="1"/>
  <c r="L28" i="22"/>
  <c r="M32" i="22" l="1"/>
  <c r="M30" i="22" s="1"/>
  <c r="M28" i="22" s="1"/>
  <c r="M605" i="1"/>
  <c r="M625" i="1" l="1"/>
  <c r="M614" i="1"/>
  <c r="M617" i="1" s="1"/>
  <c r="M618" i="1" l="1"/>
  <c r="M621" i="1" s="1"/>
  <c r="M710" i="1"/>
  <c r="M712" i="1" s="1"/>
  <c r="M714" i="1" s="1"/>
  <c r="M715" i="1" s="1"/>
  <c r="M651" i="1"/>
  <c r="M652" i="1" s="1"/>
  <c r="N605" i="1" l="1"/>
  <c r="N614" i="1" l="1"/>
  <c r="N617" i="1" s="1"/>
  <c r="N625" i="1"/>
  <c r="N618" i="1" l="1"/>
  <c r="N621" i="1" s="1"/>
  <c r="N651" i="1"/>
  <c r="N652" i="1" s="1"/>
  <c r="N710" i="1"/>
  <c r="N712" i="1" s="1"/>
  <c r="N714" i="1" s="1"/>
  <c r="N715" i="1" s="1"/>
  <c r="O605" i="1" l="1"/>
  <c r="O625" i="1" l="1"/>
  <c r="O614" i="1"/>
  <c r="O617" i="1" s="1"/>
  <c r="O710" i="1" l="1"/>
  <c r="O712" i="1" s="1"/>
  <c r="O714" i="1" s="1"/>
  <c r="O715" i="1" s="1"/>
  <c r="O651" i="1"/>
  <c r="O652" i="1" s="1"/>
  <c r="O618" i="1"/>
  <c r="O621" i="1" s="1"/>
  <c r="P605" i="1" l="1"/>
  <c r="P614" i="1" l="1"/>
  <c r="P617" i="1" s="1"/>
  <c r="P625" i="1"/>
  <c r="P618" i="1" l="1"/>
  <c r="P621" i="1" s="1"/>
  <c r="P710" i="1"/>
  <c r="P712" i="1" s="1"/>
  <c r="P714" i="1" s="1"/>
  <c r="P715" i="1" s="1"/>
  <c r="P651" i="1"/>
  <c r="P652" i="1" s="1"/>
  <c r="Q605" i="1" l="1"/>
  <c r="Q614" i="1" l="1"/>
  <c r="Q617" i="1" s="1"/>
  <c r="Q625" i="1"/>
  <c r="Q651" i="1" l="1"/>
  <c r="Q652" i="1" s="1"/>
  <c r="Q710" i="1"/>
  <c r="Q712" i="1" s="1"/>
  <c r="Q714" i="1" s="1"/>
  <c r="Q715" i="1" s="1"/>
  <c r="Q618" i="1"/>
  <c r="Q621" i="1" s="1"/>
  <c r="R605" i="1" l="1"/>
  <c r="R625" i="1" l="1"/>
  <c r="R614" i="1"/>
  <c r="R617" i="1" s="1"/>
  <c r="R651" i="1" l="1"/>
  <c r="R652" i="1" s="1"/>
  <c r="R618" i="1"/>
  <c r="R621" i="1" s="1"/>
  <c r="R710" i="1"/>
  <c r="R712" i="1" s="1"/>
  <c r="R714" i="1" s="1"/>
  <c r="R715" i="1" s="1"/>
  <c r="F6" i="32" l="1"/>
  <c r="N57" i="3" l="1"/>
  <c r="N56" i="3" s="1"/>
  <c r="N55" i="3" s="1"/>
  <c r="U57" i="3"/>
  <c r="O57" i="3"/>
  <c r="O56" i="3" s="1"/>
  <c r="O55" i="3" s="1"/>
  <c r="AK57" i="3"/>
  <c r="O21" i="3" l="1"/>
  <c r="O25" i="3" s="1"/>
  <c r="N21" i="3"/>
  <c r="N25" i="3" s="1"/>
  <c r="AL57" i="3"/>
  <c r="V57" i="3"/>
  <c r="Q57" i="3"/>
  <c r="Q56" i="3" s="1"/>
  <c r="Q55" i="3" s="1"/>
  <c r="AN57" i="3"/>
  <c r="X57" i="3"/>
  <c r="P57" i="3"/>
  <c r="P56" i="3" s="1"/>
  <c r="P55" i="3" s="1"/>
  <c r="N27" i="3" l="1"/>
  <c r="N145" i="3"/>
  <c r="O27" i="3"/>
  <c r="O145" i="3"/>
  <c r="O168" i="3" s="1"/>
  <c r="P21" i="3"/>
  <c r="P25" i="3" s="1"/>
  <c r="Q21" i="3"/>
  <c r="Q25" i="3" s="1"/>
  <c r="AM57" i="3"/>
  <c r="W57" i="3"/>
  <c r="R57" i="3"/>
  <c r="R56" i="3" s="1"/>
  <c r="R55" i="3" s="1"/>
  <c r="AO57" i="3"/>
  <c r="Y57" i="3"/>
  <c r="O157" i="3" l="1"/>
  <c r="O154" i="3"/>
  <c r="N168" i="3"/>
  <c r="N157" i="3"/>
  <c r="N158" i="3" s="1"/>
  <c r="N154" i="3"/>
  <c r="N293" i="5" s="1"/>
  <c r="Q27" i="3"/>
  <c r="Q28" i="3" s="1"/>
  <c r="Q145" i="3"/>
  <c r="Q168" i="3" s="1"/>
  <c r="P27" i="3"/>
  <c r="P28" i="3" s="1"/>
  <c r="P145" i="3"/>
  <c r="R21" i="3"/>
  <c r="R25" i="3" s="1"/>
  <c r="O104" i="3"/>
  <c r="O28" i="3"/>
  <c r="O64" i="5"/>
  <c r="O75" i="5" s="1"/>
  <c r="L88" i="34" s="1"/>
  <c r="N104" i="3"/>
  <c r="N64" i="5"/>
  <c r="N75" i="5" s="1"/>
  <c r="K88" i="34" s="1"/>
  <c r="N28" i="3"/>
  <c r="Z57" i="3"/>
  <c r="S57" i="3"/>
  <c r="S56" i="3" s="1"/>
  <c r="S55" i="3" s="1"/>
  <c r="AP57" i="3"/>
  <c r="N162" i="3" l="1"/>
  <c r="O158" i="3"/>
  <c r="N314" i="5"/>
  <c r="Q157" i="3"/>
  <c r="Q154" i="3"/>
  <c r="Q293" i="5" s="1"/>
  <c r="P157" i="3"/>
  <c r="P154" i="3"/>
  <c r="N159" i="3"/>
  <c r="N326" i="5" s="1"/>
  <c r="Q104" i="3"/>
  <c r="Q105" i="3" s="1"/>
  <c r="Q64" i="5"/>
  <c r="Q75" i="5" s="1"/>
  <c r="N88" i="34" s="1"/>
  <c r="O314" i="5"/>
  <c r="O162" i="3"/>
  <c r="O164" i="3" s="1"/>
  <c r="O293" i="5"/>
  <c r="P168" i="3"/>
  <c r="P104" i="3"/>
  <c r="P108" i="3" s="1"/>
  <c r="P64" i="5"/>
  <c r="P75" i="5" s="1"/>
  <c r="M88" i="34" s="1"/>
  <c r="R145" i="3"/>
  <c r="R27" i="3"/>
  <c r="R104" i="3" s="1"/>
  <c r="N108" i="3"/>
  <c r="N105" i="3"/>
  <c r="S21" i="3"/>
  <c r="S25" i="3" s="1"/>
  <c r="N164" i="3"/>
  <c r="O105" i="3"/>
  <c r="O108" i="3"/>
  <c r="O159" i="3" l="1"/>
  <c r="O326" i="5" s="1"/>
  <c r="R168" i="3"/>
  <c r="R157" i="3"/>
  <c r="R154" i="3"/>
  <c r="Q108" i="3"/>
  <c r="P293" i="5"/>
  <c r="R314" i="5"/>
  <c r="Q162" i="3"/>
  <c r="Q164" i="3" s="1"/>
  <c r="Q314" i="5"/>
  <c r="P105" i="3"/>
  <c r="P162" i="3"/>
  <c r="P164" i="3" s="1"/>
  <c r="P314" i="5"/>
  <c r="P158" i="3"/>
  <c r="Q158" i="3" s="1"/>
  <c r="R64" i="5"/>
  <c r="R75" i="5" s="1"/>
  <c r="O88" i="34" s="1"/>
  <c r="P159" i="3"/>
  <c r="P326" i="5" s="1"/>
  <c r="R28" i="3"/>
  <c r="S145" i="3"/>
  <c r="S27" i="3"/>
  <c r="S64" i="5" s="1"/>
  <c r="O166" i="3"/>
  <c r="O174" i="3" s="1"/>
  <c r="O176" i="3" s="1"/>
  <c r="O177" i="3" s="1"/>
  <c r="O109" i="3"/>
  <c r="O204" i="5" s="1"/>
  <c r="N131" i="3"/>
  <c r="K99" i="34" s="1"/>
  <c r="K104" i="34" s="1"/>
  <c r="N166" i="3"/>
  <c r="N174" i="3" s="1"/>
  <c r="N176" i="3" s="1"/>
  <c r="N177" i="3" s="1"/>
  <c r="N109" i="3"/>
  <c r="N204" i="5" s="1"/>
  <c r="R105" i="3"/>
  <c r="R108" i="3"/>
  <c r="P109" i="3"/>
  <c r="P204" i="5" s="1"/>
  <c r="P166" i="3"/>
  <c r="P174" i="3" s="1"/>
  <c r="Q109" i="3"/>
  <c r="Q204" i="5" s="1"/>
  <c r="Q166" i="3"/>
  <c r="Q174" i="3" s="1"/>
  <c r="S168" i="3" l="1"/>
  <c r="S154" i="3"/>
  <c r="S157" i="3"/>
  <c r="N112" i="3"/>
  <c r="N214" i="5" s="1"/>
  <c r="R158" i="3"/>
  <c r="R162" i="3"/>
  <c r="R164" i="3" s="1"/>
  <c r="R293" i="5"/>
  <c r="Q159" i="3"/>
  <c r="Q326" i="5" s="1"/>
  <c r="S104" i="3"/>
  <c r="S108" i="3" s="1"/>
  <c r="S314" i="5"/>
  <c r="S293" i="5"/>
  <c r="S28" i="3"/>
  <c r="N132" i="3"/>
  <c r="N224" i="5"/>
  <c r="N236" i="5" s="1"/>
  <c r="O112" i="3"/>
  <c r="N113" i="3"/>
  <c r="Q176" i="3"/>
  <c r="Q177" i="3" s="1"/>
  <c r="P112" i="3"/>
  <c r="P214" i="5" s="1"/>
  <c r="Q112" i="3"/>
  <c r="Q214" i="5" s="1"/>
  <c r="P176" i="3"/>
  <c r="P177" i="3" s="1"/>
  <c r="S75" i="5"/>
  <c r="R109" i="3"/>
  <c r="R204" i="5" s="1"/>
  <c r="R166" i="3"/>
  <c r="R174" i="3" s="1"/>
  <c r="R159" i="3" l="1"/>
  <c r="R326" i="5" s="1"/>
  <c r="S158" i="3"/>
  <c r="S105" i="3"/>
  <c r="S162" i="3"/>
  <c r="S164" i="3" s="1"/>
  <c r="O113" i="3"/>
  <c r="O214" i="5"/>
  <c r="P113" i="3"/>
  <c r="Q113" i="3"/>
  <c r="S109" i="3"/>
  <c r="S204" i="5" s="1"/>
  <c r="S166" i="3"/>
  <c r="S174" i="3" s="1"/>
  <c r="P88" i="34"/>
  <c r="R88" i="34" s="1"/>
  <c r="R176" i="3"/>
  <c r="R177" i="3" s="1"/>
  <c r="R112" i="3"/>
  <c r="S159" i="3" l="1"/>
  <c r="S326" i="5" s="1"/>
  <c r="S112" i="3"/>
  <c r="S214" i="5" s="1"/>
  <c r="R214" i="5"/>
  <c r="R113" i="3"/>
  <c r="S176" i="3"/>
  <c r="S177" i="3" s="1"/>
  <c r="S113" i="3" l="1"/>
  <c r="L62" i="36" l="1"/>
  <c r="L210" i="36"/>
  <c r="N204" i="36"/>
  <c r="O204" i="36" l="1"/>
  <c r="N62" i="36"/>
  <c r="N199" i="36"/>
  <c r="L57" i="36"/>
  <c r="L68" i="36"/>
  <c r="L199" i="36"/>
  <c r="L216" i="36" s="1"/>
  <c r="L231" i="36" l="1"/>
  <c r="L232" i="36" s="1"/>
  <c r="U199" i="36"/>
  <c r="V199" i="36" s="1"/>
  <c r="W199" i="36" s="1"/>
  <c r="X199" i="36" s="1"/>
  <c r="Y199" i="36" s="1"/>
  <c r="Z199" i="36" s="1"/>
  <c r="AK199" i="36"/>
  <c r="AL199" i="36" s="1"/>
  <c r="AM199" i="36" s="1"/>
  <c r="AN199" i="36" s="1"/>
  <c r="AO199" i="36" s="1"/>
  <c r="AP199" i="36" s="1"/>
  <c r="L213" i="36"/>
  <c r="L211" i="36"/>
  <c r="L214" i="36"/>
  <c r="L212" i="36"/>
  <c r="L215" i="36"/>
  <c r="L205" i="36"/>
  <c r="L217" i="36"/>
  <c r="L63" i="36"/>
  <c r="N205" i="36"/>
  <c r="N213" i="36"/>
  <c r="N211" i="36"/>
  <c r="N214" i="36"/>
  <c r="N215" i="36"/>
  <c r="N57" i="36"/>
  <c r="N212" i="36"/>
  <c r="N216" i="36"/>
  <c r="P204" i="36"/>
  <c r="O62" i="36"/>
  <c r="O199" i="36"/>
  <c r="O216" i="36" s="1"/>
  <c r="O211" i="36" l="1"/>
  <c r="O213" i="36"/>
  <c r="O215" i="36"/>
  <c r="O57" i="36"/>
  <c r="O212" i="36"/>
  <c r="O205" i="36"/>
  <c r="O214" i="36"/>
  <c r="Q204" i="36"/>
  <c r="P199" i="36"/>
  <c r="P62" i="36"/>
  <c r="U217" i="36"/>
  <c r="V217" i="36" s="1"/>
  <c r="W217" i="36" s="1"/>
  <c r="X217" i="36" s="1"/>
  <c r="Y217" i="36" s="1"/>
  <c r="Z217" i="36" s="1"/>
  <c r="AK217" i="36"/>
  <c r="AL217" i="36" s="1"/>
  <c r="AM217" i="36" s="1"/>
  <c r="AN217" i="36" s="1"/>
  <c r="AO217" i="36" s="1"/>
  <c r="AP217" i="36" s="1"/>
  <c r="P211" i="36" l="1"/>
  <c r="P213" i="36"/>
  <c r="P215" i="36"/>
  <c r="P205" i="36"/>
  <c r="P214" i="36"/>
  <c r="P57" i="36"/>
  <c r="P212" i="36"/>
  <c r="R204" i="36"/>
  <c r="Q199" i="36"/>
  <c r="Q62" i="36"/>
  <c r="P216" i="36"/>
  <c r="Q57" i="36" l="1"/>
  <c r="Q215" i="36"/>
  <c r="Q213" i="36"/>
  <c r="Q211" i="36"/>
  <c r="Q205" i="36"/>
  <c r="Q214" i="36"/>
  <c r="Q212" i="36"/>
  <c r="R62" i="36"/>
  <c r="S204" i="36"/>
  <c r="R199" i="36"/>
  <c r="Q216" i="36"/>
  <c r="R57" i="36" l="1"/>
  <c r="R205" i="36"/>
  <c r="R215" i="36"/>
  <c r="R213" i="36"/>
  <c r="R211" i="36"/>
  <c r="R212" i="36"/>
  <c r="R214" i="36"/>
  <c r="S199" i="36"/>
  <c r="S62" i="36"/>
  <c r="R216" i="36"/>
  <c r="S57" i="36" l="1"/>
  <c r="S205" i="36"/>
  <c r="S215" i="36"/>
  <c r="S213" i="36"/>
  <c r="S212" i="36"/>
  <c r="S214" i="36"/>
  <c r="S211" i="36"/>
  <c r="S216" i="36"/>
  <c r="M204" i="36"/>
  <c r="M199" i="36" s="1"/>
  <c r="M211" i="36" s="1"/>
  <c r="AC222" i="36"/>
  <c r="N222" i="36" s="1"/>
  <c r="N228" i="36" s="1"/>
  <c r="N223" i="36" s="1"/>
  <c r="L9" i="42" s="1"/>
  <c r="AD222" i="36" l="1"/>
  <c r="O222" i="36" s="1"/>
  <c r="O228" i="36" s="1"/>
  <c r="M217" i="36"/>
  <c r="M216" i="36"/>
  <c r="M215" i="36"/>
  <c r="M213" i="36"/>
  <c r="AE222" i="36"/>
  <c r="N74" i="36"/>
  <c r="M231" i="36"/>
  <c r="M212" i="36"/>
  <c r="M214" i="36"/>
  <c r="M62" i="36"/>
  <c r="AD232" i="36"/>
  <c r="O232" i="36" s="1"/>
  <c r="N217" i="36"/>
  <c r="N69" i="36"/>
  <c r="L5" i="42" s="1"/>
  <c r="K27" i="34"/>
  <c r="N231" i="36" l="1"/>
  <c r="N232" i="36" s="1"/>
  <c r="AF222" i="36"/>
  <c r="P222" i="36"/>
  <c r="N68" i="36"/>
  <c r="O223" i="36"/>
  <c r="M9" i="42" s="1"/>
  <c r="O74" i="36"/>
  <c r="N33" i="5"/>
  <c r="N984" i="36"/>
  <c r="N1107" i="36"/>
  <c r="N1152" i="36" s="1"/>
  <c r="N63" i="36"/>
  <c r="M68" i="36"/>
  <c r="M57" i="36"/>
  <c r="O231" i="36" l="1"/>
  <c r="O230" i="36" s="1"/>
  <c r="N230" i="36"/>
  <c r="N233" i="36" s="1"/>
  <c r="N261" i="5"/>
  <c r="N316" i="5"/>
  <c r="AE232" i="36"/>
  <c r="P232" i="36" s="1"/>
  <c r="P231" i="36" s="1"/>
  <c r="P228" i="36"/>
  <c r="Q222" i="36"/>
  <c r="AG222" i="36"/>
  <c r="M63" i="36"/>
  <c r="N42" i="5"/>
  <c r="N988" i="36"/>
  <c r="N987" i="36" s="1"/>
  <c r="O68" i="36"/>
  <c r="O217" i="36"/>
  <c r="L27" i="34"/>
  <c r="O69" i="36"/>
  <c r="M5" i="42" s="1"/>
  <c r="N76" i="36"/>
  <c r="N22" i="5"/>
  <c r="K23" i="34"/>
  <c r="N234" i="36" l="1"/>
  <c r="L36" i="42"/>
  <c r="L59" i="42" s="1"/>
  <c r="AH222" i="36"/>
  <c r="S222" i="36" s="1"/>
  <c r="R222" i="36"/>
  <c r="AF232" i="36"/>
  <c r="Q232" i="36" s="1"/>
  <c r="Q231" i="36" s="1"/>
  <c r="Q228" i="36"/>
  <c r="P74" i="36"/>
  <c r="P223" i="36"/>
  <c r="N9" i="42" s="1"/>
  <c r="N56" i="5"/>
  <c r="K53" i="34"/>
  <c r="N303" i="5"/>
  <c r="O33" i="5"/>
  <c r="O63" i="36"/>
  <c r="O1107" i="36"/>
  <c r="O1152" i="36" s="1"/>
  <c r="O984" i="36"/>
  <c r="N77" i="36"/>
  <c r="O233" i="36"/>
  <c r="O76" i="36"/>
  <c r="P230" i="36"/>
  <c r="O234" i="36" l="1"/>
  <c r="M36" i="42"/>
  <c r="M59" i="42" s="1"/>
  <c r="N78" i="36"/>
  <c r="K76" i="34" s="1"/>
  <c r="L32" i="42"/>
  <c r="L55" i="42" s="1"/>
  <c r="O261" i="5"/>
  <c r="O316" i="5"/>
  <c r="P68" i="36"/>
  <c r="Q74" i="36"/>
  <c r="Q223" i="36"/>
  <c r="O9" i="42" s="1"/>
  <c r="AG232" i="36"/>
  <c r="R232" i="36" s="1"/>
  <c r="R231" i="36" s="1"/>
  <c r="R228" i="36"/>
  <c r="M27" i="34"/>
  <c r="P217" i="36"/>
  <c r="P69" i="36"/>
  <c r="N5" i="42" s="1"/>
  <c r="S228" i="36"/>
  <c r="AH232" i="36"/>
  <c r="S232" i="36" s="1"/>
  <c r="P76" i="36"/>
  <c r="P233" i="36"/>
  <c r="Q230" i="36"/>
  <c r="O77" i="36"/>
  <c r="O42" i="5"/>
  <c r="O988" i="36"/>
  <c r="O987" i="36" s="1"/>
  <c r="O22" i="5"/>
  <c r="O66" i="5" s="1"/>
  <c r="L23" i="34"/>
  <c r="P234" i="36" l="1"/>
  <c r="N36" i="42"/>
  <c r="N59" i="42" s="1"/>
  <c r="O78" i="36"/>
  <c r="L76" i="34" s="1"/>
  <c r="M32" i="42"/>
  <c r="M55" i="42" s="1"/>
  <c r="N27" i="34"/>
  <c r="Q69" i="36"/>
  <c r="O5" i="42" s="1"/>
  <c r="Q217" i="36"/>
  <c r="S74" i="36"/>
  <c r="S223" i="36"/>
  <c r="Q9" i="42" s="1"/>
  <c r="P33" i="5"/>
  <c r="P1107" i="36"/>
  <c r="P1152" i="36" s="1"/>
  <c r="P984" i="36"/>
  <c r="P63" i="36"/>
  <c r="Q68" i="36"/>
  <c r="R223" i="36"/>
  <c r="P9" i="42" s="1"/>
  <c r="R74" i="36"/>
  <c r="Q76" i="36"/>
  <c r="Q233" i="36"/>
  <c r="R230" i="36"/>
  <c r="S231" i="36"/>
  <c r="S230" i="36" s="1"/>
  <c r="L53" i="34"/>
  <c r="O303" i="5"/>
  <c r="P77" i="36"/>
  <c r="O56" i="5"/>
  <c r="Q234" i="36" l="1"/>
  <c r="O36" i="42"/>
  <c r="O59" i="42" s="1"/>
  <c r="P78" i="36"/>
  <c r="M76" i="34" s="1"/>
  <c r="N32" i="42"/>
  <c r="N55" i="42" s="1"/>
  <c r="P261" i="5"/>
  <c r="P316" i="5"/>
  <c r="R68" i="36"/>
  <c r="S217" i="36"/>
  <c r="P27" i="34"/>
  <c r="R27" i="34" s="1"/>
  <c r="S69" i="36"/>
  <c r="Q5" i="42" s="1"/>
  <c r="S68" i="36"/>
  <c r="R69" i="36"/>
  <c r="P5" i="42" s="1"/>
  <c r="O27" i="34"/>
  <c r="R217" i="36"/>
  <c r="M23" i="34"/>
  <c r="P22" i="5"/>
  <c r="Q63" i="36"/>
  <c r="Q984" i="36"/>
  <c r="Q33" i="5"/>
  <c r="Q1107" i="36"/>
  <c r="Q1152" i="36" s="1"/>
  <c r="P42" i="5"/>
  <c r="P988" i="36"/>
  <c r="P987" i="36" s="1"/>
  <c r="S76" i="36"/>
  <c r="S233" i="36"/>
  <c r="R76" i="36"/>
  <c r="R233" i="36"/>
  <c r="Q77" i="36"/>
  <c r="S234" i="36" l="1"/>
  <c r="Q36" i="42"/>
  <c r="Q59" i="42" s="1"/>
  <c r="Q78" i="36"/>
  <c r="N76" i="34" s="1"/>
  <c r="O32" i="42"/>
  <c r="O55" i="42" s="1"/>
  <c r="R234" i="36"/>
  <c r="P36" i="42"/>
  <c r="P59" i="42" s="1"/>
  <c r="Q261" i="5"/>
  <c r="Q316" i="5"/>
  <c r="Q42" i="5"/>
  <c r="Q988" i="36"/>
  <c r="Q987" i="36" s="1"/>
  <c r="P66" i="5"/>
  <c r="P56" i="5"/>
  <c r="S33" i="5"/>
  <c r="S1107" i="36"/>
  <c r="S1152" i="36" s="1"/>
  <c r="S63" i="36"/>
  <c r="S984" i="36"/>
  <c r="M53" i="34"/>
  <c r="P303" i="5"/>
  <c r="N23" i="34"/>
  <c r="Q22" i="5"/>
  <c r="R33" i="5"/>
  <c r="R1107" i="36"/>
  <c r="R1152" i="36" s="1"/>
  <c r="R984" i="36"/>
  <c r="R63" i="36"/>
  <c r="R77" i="36"/>
  <c r="S77" i="36"/>
  <c r="R78" i="36" l="1"/>
  <c r="O76" i="34" s="1"/>
  <c r="P32" i="42"/>
  <c r="P55" i="42" s="1"/>
  <c r="S78" i="36"/>
  <c r="P76" i="34" s="1"/>
  <c r="R76" i="34" s="1"/>
  <c r="Q32" i="42"/>
  <c r="Q55" i="42" s="1"/>
  <c r="R261" i="5"/>
  <c r="R316" i="5"/>
  <c r="R22" i="5"/>
  <c r="O23" i="34"/>
  <c r="S22" i="5"/>
  <c r="P23" i="34"/>
  <c r="R23" i="34" s="1"/>
  <c r="S42" i="5"/>
  <c r="S988" i="36"/>
  <c r="S987" i="36" s="1"/>
  <c r="R988" i="36"/>
  <c r="R987" i="36" s="1"/>
  <c r="R42" i="5"/>
  <c r="Q66" i="5"/>
  <c r="Q56" i="5"/>
  <c r="N53" i="34"/>
  <c r="Q303" i="5"/>
  <c r="S261" i="5" l="1"/>
  <c r="S316" i="5"/>
  <c r="O53" i="34"/>
  <c r="R303" i="5"/>
  <c r="P53" i="34"/>
  <c r="R53" i="34" s="1"/>
  <c r="S303" i="5"/>
  <c r="R66" i="5"/>
  <c r="R56" i="5"/>
  <c r="S66" i="5"/>
  <c r="S56" i="5"/>
  <c r="N115" i="5" l="1"/>
  <c r="N121" i="5" s="1"/>
  <c r="N1058" i="36"/>
  <c r="N20" i="17" l="1"/>
  <c r="G24" i="33" l="1"/>
  <c r="G30" i="33" s="1"/>
  <c r="I26" i="33" l="1"/>
  <c r="G46" i="33"/>
  <c r="F90" i="28" l="1"/>
  <c r="H46" i="33"/>
  <c r="G50" i="33"/>
  <c r="L98" i="33"/>
  <c r="G55" i="33"/>
  <c r="G51" i="33" l="1"/>
  <c r="G56" i="33"/>
  <c r="L101" i="33"/>
  <c r="H50" i="33"/>
  <c r="G72" i="33" s="1"/>
  <c r="G63" i="33" l="1"/>
  <c r="Q115" i="33"/>
  <c r="I73" i="33"/>
  <c r="H51" i="33"/>
  <c r="M97" i="33"/>
  <c r="N97" i="33"/>
  <c r="O97" i="33"/>
  <c r="P97" i="33"/>
  <c r="Q97" i="33"/>
  <c r="R97" i="33"/>
  <c r="R115" i="33" s="1"/>
  <c r="S115" i="33" l="1"/>
  <c r="M99" i="33"/>
  <c r="M103" i="33" s="1"/>
  <c r="I64" i="33"/>
  <c r="M101" i="33" l="1"/>
  <c r="P280" i="24"/>
  <c r="Q280" i="24"/>
  <c r="S280" i="24"/>
  <c r="R280" i="24"/>
  <c r="Q281" i="24"/>
  <c r="S281" i="24"/>
  <c r="R281" i="24"/>
  <c r="R282" i="24"/>
  <c r="S282" i="24"/>
  <c r="Q279" i="24"/>
  <c r="P279" i="24"/>
  <c r="S279" i="24"/>
  <c r="O279" i="24"/>
  <c r="O267" i="24" s="1"/>
  <c r="R279" i="24"/>
  <c r="R267" i="24" l="1"/>
  <c r="R12" i="24" s="1"/>
  <c r="R349" i="5" s="1"/>
  <c r="Q267" i="24"/>
  <c r="Q12" i="24" s="1"/>
  <c r="Q349" i="5" s="1"/>
  <c r="P267" i="24"/>
  <c r="P12" i="24" s="1"/>
  <c r="P349" i="5" s="1"/>
  <c r="O268" i="24"/>
  <c r="O12" i="24"/>
  <c r="P118" i="3" l="1"/>
  <c r="Q118" i="3"/>
  <c r="R118" i="3"/>
  <c r="R119" i="3" s="1"/>
  <c r="Q119" i="3"/>
  <c r="Q131" i="3"/>
  <c r="O349" i="5"/>
  <c r="O118" i="3"/>
  <c r="P264" i="24"/>
  <c r="P268" i="24" s="1"/>
  <c r="O34" i="24"/>
  <c r="P119" i="3"/>
  <c r="P131" i="3"/>
  <c r="R131" i="3" l="1"/>
  <c r="R224" i="5" s="1"/>
  <c r="R236" i="5" s="1"/>
  <c r="N99" i="34"/>
  <c r="N104" i="34" s="1"/>
  <c r="Q224" i="5"/>
  <c r="Q236" i="5" s="1"/>
  <c r="Q132" i="3"/>
  <c r="M99" i="34"/>
  <c r="M104" i="34" s="1"/>
  <c r="P224" i="5"/>
  <c r="P236" i="5" s="1"/>
  <c r="P132" i="3"/>
  <c r="Q264" i="24"/>
  <c r="Q268" i="24" s="1"/>
  <c r="P34" i="24"/>
  <c r="O119" i="3"/>
  <c r="O131" i="3"/>
  <c r="R132" i="3" l="1"/>
  <c r="O99" i="34"/>
  <c r="O104" i="34" s="1"/>
  <c r="R264" i="24"/>
  <c r="R268" i="24" s="1"/>
  <c r="Q34" i="24"/>
  <c r="L99" i="34"/>
  <c r="L104" i="34" s="1"/>
  <c r="O132" i="3"/>
  <c r="O224" i="5"/>
  <c r="O236" i="5" s="1"/>
  <c r="S264" i="24" l="1"/>
  <c r="R34" i="24"/>
  <c r="S283" i="24" l="1"/>
  <c r="S267" i="24" s="1"/>
  <c r="E116" i="34"/>
  <c r="H83" i="19"/>
  <c r="H85" i="19" s="1"/>
  <c r="O12" i="22"/>
  <c r="S12" i="24" l="1"/>
  <c r="S268" i="24"/>
  <c r="S34" i="24" s="1"/>
  <c r="S349" i="5" l="1"/>
  <c r="S118" i="3"/>
  <c r="S119" i="3" l="1"/>
  <c r="S131" i="3"/>
  <c r="S224" i="5" l="1"/>
  <c r="S236" i="5" s="1"/>
  <c r="S132" i="3"/>
  <c r="P99" i="34"/>
  <c r="R99" i="34" l="1"/>
  <c r="P104" i="34"/>
  <c r="R104" i="34" s="1"/>
  <c r="S99" i="38"/>
  <c r="O10" i="40" s="1"/>
  <c r="O7" i="40" s="1"/>
  <c r="O5" i="40" s="1"/>
  <c r="R99" i="38"/>
  <c r="N10" i="40" s="1"/>
  <c r="N7" i="40" s="1"/>
  <c r="N5" i="40" s="1"/>
  <c r="Q99" i="38"/>
  <c r="M10" i="40" s="1"/>
  <c r="M7" i="40" s="1"/>
  <c r="Q45" i="38"/>
  <c r="J538" i="36"/>
  <c r="N539" i="36"/>
  <c r="N540" i="36"/>
  <c r="N541" i="36"/>
  <c r="N542" i="36"/>
  <c r="J545" i="36"/>
  <c r="L545" i="36"/>
  <c r="J546" i="36"/>
  <c r="L546" i="36"/>
  <c r="J547" i="36"/>
  <c r="L547" i="36"/>
  <c r="J548" i="36"/>
  <c r="L548" i="36"/>
  <c r="J549" i="36"/>
  <c r="J557" i="36"/>
  <c r="J558" i="36"/>
  <c r="J559" i="36"/>
  <c r="J560" i="36"/>
  <c r="J561" i="36"/>
  <c r="N502" i="36" l="1"/>
  <c r="N321" i="36" s="1"/>
  <c r="N33" i="36" s="1"/>
  <c r="L25" i="41" s="1"/>
  <c r="L27" i="41" s="1"/>
  <c r="O539" i="36"/>
  <c r="O500" i="36" s="1"/>
  <c r="J544" i="36"/>
  <c r="J554" i="36"/>
  <c r="J555" i="36"/>
  <c r="J553" i="36"/>
  <c r="J550" i="36"/>
  <c r="J552" i="36"/>
  <c r="J551" i="36"/>
  <c r="R45" i="38"/>
  <c r="R26" i="38" s="1"/>
  <c r="Q74" i="24" s="1"/>
  <c r="O540" i="36"/>
  <c r="O501" i="36" s="1"/>
  <c r="N503" i="36"/>
  <c r="N322" i="36" s="1"/>
  <c r="Q21" i="38"/>
  <c r="Q22" i="38" s="1"/>
  <c r="Q26" i="38"/>
  <c r="P74" i="24" s="1"/>
  <c r="M5" i="40"/>
  <c r="S45" i="38"/>
  <c r="J556" i="36"/>
  <c r="J570" i="36"/>
  <c r="J571" i="36" s="1"/>
  <c r="N501" i="36"/>
  <c r="N500" i="36"/>
  <c r="O542" i="36"/>
  <c r="N508" i="36"/>
  <c r="O541" i="36"/>
  <c r="O97" i="38" l="1"/>
  <c r="P540" i="36"/>
  <c r="Q540" i="36" s="1"/>
  <c r="N509" i="36"/>
  <c r="R21" i="38"/>
  <c r="R22" i="38" s="1"/>
  <c r="P539" i="36"/>
  <c r="S21" i="38"/>
  <c r="S22" i="38" s="1"/>
  <c r="S26" i="38"/>
  <c r="R74" i="24" s="1"/>
  <c r="E89" i="24" s="1" a="1"/>
  <c r="N319" i="36"/>
  <c r="N506" i="36"/>
  <c r="O320" i="36"/>
  <c r="O32" i="36" s="1"/>
  <c r="O507" i="36"/>
  <c r="N507" i="36"/>
  <c r="N320" i="36"/>
  <c r="N32" i="36" s="1"/>
  <c r="O95" i="38"/>
  <c r="K37" i="40"/>
  <c r="K38" i="40" s="1"/>
  <c r="O319" i="36"/>
  <c r="O506" i="36"/>
  <c r="O502" i="36"/>
  <c r="P541" i="36"/>
  <c r="N34" i="36"/>
  <c r="O503" i="36"/>
  <c r="P542" i="36"/>
  <c r="P501" i="36" l="1"/>
  <c r="P320" i="36" s="1"/>
  <c r="P500" i="36"/>
  <c r="Q539" i="36"/>
  <c r="P90" i="24"/>
  <c r="R93" i="24"/>
  <c r="S92" i="24"/>
  <c r="Q91" i="24"/>
  <c r="Q90" i="24"/>
  <c r="R91" i="24"/>
  <c r="S91" i="24"/>
  <c r="Q92" i="24"/>
  <c r="S90" i="24"/>
  <c r="S94" i="24"/>
  <c r="O90" i="24"/>
  <c r="E89" i="24"/>
  <c r="S93" i="24"/>
  <c r="R90" i="24"/>
  <c r="P91" i="24"/>
  <c r="R92" i="24"/>
  <c r="O31" i="36"/>
  <c r="N31" i="36"/>
  <c r="O110" i="38"/>
  <c r="L34" i="41"/>
  <c r="O96" i="38"/>
  <c r="O94" i="38"/>
  <c r="L16" i="41"/>
  <c r="L18" i="41" s="1"/>
  <c r="O84" i="38"/>
  <c r="M16" i="41"/>
  <c r="M18" i="41" s="1"/>
  <c r="P84" i="38"/>
  <c r="P502" i="36"/>
  <c r="Q541" i="36"/>
  <c r="O322" i="36"/>
  <c r="O34" i="36" s="1"/>
  <c r="O509" i="36"/>
  <c r="Q501" i="36"/>
  <c r="R540" i="36"/>
  <c r="O321" i="36"/>
  <c r="O33" i="36" s="1"/>
  <c r="O508" i="36"/>
  <c r="Q542" i="36"/>
  <c r="P503" i="36"/>
  <c r="P507" i="36" l="1"/>
  <c r="R539" i="36"/>
  <c r="Q500" i="36"/>
  <c r="P319" i="36"/>
  <c r="P31" i="36" s="1"/>
  <c r="P506" i="36"/>
  <c r="S89" i="24"/>
  <c r="S77" i="24" s="1"/>
  <c r="N89" i="24"/>
  <c r="N77" i="24" s="1"/>
  <c r="N79" i="24" s="1"/>
  <c r="O89" i="24"/>
  <c r="O77" i="24" s="1"/>
  <c r="Q89" i="24"/>
  <c r="Q77" i="24" s="1"/>
  <c r="R89" i="24"/>
  <c r="R77" i="24" s="1"/>
  <c r="P89" i="24"/>
  <c r="P77" i="24" s="1"/>
  <c r="Q503" i="36"/>
  <c r="R542" i="36"/>
  <c r="P110" i="38"/>
  <c r="M34" i="41"/>
  <c r="M36" i="41" s="1"/>
  <c r="R501" i="36"/>
  <c r="S540" i="36"/>
  <c r="K30" i="40"/>
  <c r="K31" i="40" s="1"/>
  <c r="O82" i="38"/>
  <c r="L7" i="41"/>
  <c r="L9" i="41" s="1"/>
  <c r="O71" i="38"/>
  <c r="O108" i="38"/>
  <c r="K44" i="40"/>
  <c r="K45" i="40" s="1"/>
  <c r="Q507" i="36"/>
  <c r="Q320" i="36"/>
  <c r="P32" i="36"/>
  <c r="M7" i="41"/>
  <c r="M9" i="41" s="1"/>
  <c r="P71" i="38"/>
  <c r="M25" i="41"/>
  <c r="M27" i="41" s="1"/>
  <c r="P97" i="38"/>
  <c r="L36" i="41"/>
  <c r="Q502" i="36"/>
  <c r="R541" i="36"/>
  <c r="P508" i="36"/>
  <c r="P321" i="36"/>
  <c r="P33" i="36" s="1"/>
  <c r="L30" i="40"/>
  <c r="L31" i="40" s="1"/>
  <c r="P82" i="38"/>
  <c r="P322" i="36"/>
  <c r="P34" i="36" s="1"/>
  <c r="P509" i="36"/>
  <c r="N7" i="41" l="1"/>
  <c r="N9" i="41" s="1"/>
  <c r="Q71" i="38"/>
  <c r="Q319" i="36"/>
  <c r="Q31" i="36" s="1"/>
  <c r="Q506" i="36"/>
  <c r="R500" i="36"/>
  <c r="S539" i="36"/>
  <c r="N16" i="24"/>
  <c r="N15" i="24" s="1"/>
  <c r="N31" i="19" s="1"/>
  <c r="P31" i="19" s="1"/>
  <c r="O73" i="24"/>
  <c r="O79" i="24" s="1"/>
  <c r="O81" i="38"/>
  <c r="O83" i="38"/>
  <c r="Q110" i="38"/>
  <c r="N34" i="41"/>
  <c r="N36" i="41" s="1"/>
  <c r="O69" i="38"/>
  <c r="K23" i="40"/>
  <c r="K24" i="40" s="1"/>
  <c r="N25" i="41"/>
  <c r="N27" i="41" s="1"/>
  <c r="Q97" i="38"/>
  <c r="R320" i="36"/>
  <c r="R507" i="36"/>
  <c r="N16" i="41"/>
  <c r="N18" i="41" s="1"/>
  <c r="Q84" i="38"/>
  <c r="P108" i="38"/>
  <c r="L44" i="40"/>
  <c r="L45" i="40" s="1"/>
  <c r="Q321" i="36"/>
  <c r="Q33" i="36" s="1"/>
  <c r="Q508" i="36"/>
  <c r="P81" i="38"/>
  <c r="P83" i="38"/>
  <c r="S501" i="36"/>
  <c r="P95" i="38"/>
  <c r="L37" i="40"/>
  <c r="L38" i="40" s="1"/>
  <c r="O107" i="38"/>
  <c r="O109" i="38"/>
  <c r="P69" i="38"/>
  <c r="L23" i="40"/>
  <c r="L24" i="40" s="1"/>
  <c r="S541" i="36"/>
  <c r="R502" i="36"/>
  <c r="R503" i="36"/>
  <c r="S542" i="36"/>
  <c r="Q32" i="36"/>
  <c r="Q322" i="36"/>
  <c r="Q34" i="36" s="1"/>
  <c r="Q509" i="36"/>
  <c r="O7" i="41" l="1"/>
  <c r="O9" i="41" s="1"/>
  <c r="R71" i="38"/>
  <c r="Q69" i="38"/>
  <c r="M23" i="40"/>
  <c r="M24" i="40" s="1"/>
  <c r="S500" i="36"/>
  <c r="R319" i="36"/>
  <c r="R31" i="36" s="1"/>
  <c r="R506" i="36"/>
  <c r="P73" i="24"/>
  <c r="P79" i="24" s="1"/>
  <c r="O16" i="24"/>
  <c r="O15" i="24" s="1"/>
  <c r="Q31" i="19" s="1"/>
  <c r="P70" i="38"/>
  <c r="P68" i="38"/>
  <c r="R110" i="38"/>
  <c r="O34" i="41"/>
  <c r="O36" i="41" s="1"/>
  <c r="P107" i="38"/>
  <c r="P109" i="38"/>
  <c r="P96" i="38"/>
  <c r="P94" i="38"/>
  <c r="M44" i="40"/>
  <c r="M45" i="40" s="1"/>
  <c r="Q108" i="38"/>
  <c r="Q95" i="38"/>
  <c r="M37" i="40"/>
  <c r="M38" i="40" s="1"/>
  <c r="R32" i="36"/>
  <c r="S320" i="36"/>
  <c r="S507" i="36"/>
  <c r="M30" i="40"/>
  <c r="M31" i="40" s="1"/>
  <c r="Q82" i="38"/>
  <c r="R321" i="36"/>
  <c r="R33" i="36" s="1"/>
  <c r="R508" i="36"/>
  <c r="O70" i="38"/>
  <c r="O68" i="38"/>
  <c r="S502" i="36"/>
  <c r="O16" i="41"/>
  <c r="O18" i="41" s="1"/>
  <c r="R84" i="38"/>
  <c r="S503" i="36"/>
  <c r="R509" i="36"/>
  <c r="R322" i="36"/>
  <c r="R34" i="36" s="1"/>
  <c r="R97" i="38"/>
  <c r="O25" i="41"/>
  <c r="O27" i="41" s="1"/>
  <c r="S319" i="36" l="1"/>
  <c r="S31" i="36" s="1"/>
  <c r="S506" i="36"/>
  <c r="P7" i="41"/>
  <c r="P9" i="41" s="1"/>
  <c r="S71" i="38"/>
  <c r="Q70" i="38"/>
  <c r="Q68" i="38"/>
  <c r="R69" i="38"/>
  <c r="N23" i="40"/>
  <c r="N24" i="40" s="1"/>
  <c r="P16" i="24"/>
  <c r="P15" i="24" s="1"/>
  <c r="R31" i="19" s="1"/>
  <c r="Q73" i="24"/>
  <c r="Q79" i="24" s="1"/>
  <c r="S321" i="36"/>
  <c r="S33" i="36" s="1"/>
  <c r="S508" i="36"/>
  <c r="Q96" i="38"/>
  <c r="Q94" i="38"/>
  <c r="Q109" i="38"/>
  <c r="Q107" i="38"/>
  <c r="P34" i="41"/>
  <c r="P36" i="41" s="1"/>
  <c r="S110" i="38"/>
  <c r="Q83" i="38"/>
  <c r="Q81" i="38"/>
  <c r="P16" i="41"/>
  <c r="P18" i="41" s="1"/>
  <c r="S84" i="38"/>
  <c r="N44" i="40"/>
  <c r="N45" i="40" s="1"/>
  <c r="R108" i="38"/>
  <c r="S322" i="36"/>
  <c r="S34" i="36" s="1"/>
  <c r="S509" i="36"/>
  <c r="N30" i="40"/>
  <c r="N31" i="40" s="1"/>
  <c r="R82" i="38"/>
  <c r="R95" i="38"/>
  <c r="N37" i="40"/>
  <c r="N38" i="40" s="1"/>
  <c r="S97" i="38"/>
  <c r="P25" i="41"/>
  <c r="P27" i="41" s="1"/>
  <c r="S32" i="36"/>
  <c r="S69" i="38" l="1"/>
  <c r="O23" i="40"/>
  <c r="O24" i="40" s="1"/>
  <c r="R70" i="38"/>
  <c r="R68" i="38"/>
  <c r="T71" i="38"/>
  <c r="Q7" i="41"/>
  <c r="Q9" i="41" s="1"/>
  <c r="R73" i="24"/>
  <c r="R79" i="24" s="1"/>
  <c r="Q16" i="24"/>
  <c r="Q15" i="24" s="1"/>
  <c r="S31" i="19" s="1"/>
  <c r="R109" i="38"/>
  <c r="R107" i="38"/>
  <c r="Q16" i="41"/>
  <c r="Q18" i="41" s="1"/>
  <c r="T84" i="38"/>
  <c r="Q34" i="41"/>
  <c r="Q36" i="41" s="1"/>
  <c r="T110" i="38"/>
  <c r="R96" i="38"/>
  <c r="R94" i="38"/>
  <c r="T97" i="38"/>
  <c r="Q25" i="41"/>
  <c r="Q27" i="41" s="1"/>
  <c r="O44" i="40"/>
  <c r="O45" i="40" s="1"/>
  <c r="S108" i="38"/>
  <c r="R83" i="38"/>
  <c r="R81" i="38"/>
  <c r="O30" i="40"/>
  <c r="O31" i="40" s="1"/>
  <c r="S82" i="38"/>
  <c r="S95" i="38"/>
  <c r="O37" i="40"/>
  <c r="O38" i="40" s="1"/>
  <c r="P23" i="40" l="1"/>
  <c r="P24" i="40" s="1"/>
  <c r="T69" i="38"/>
  <c r="S68" i="38"/>
  <c r="S70" i="38"/>
  <c r="S73" i="24"/>
  <c r="S79" i="24" s="1"/>
  <c r="S16" i="24" s="1"/>
  <c r="S15" i="24" s="1"/>
  <c r="U31" i="19" s="1"/>
  <c r="R16" i="24"/>
  <c r="R15" i="24" s="1"/>
  <c r="T31" i="19" s="1"/>
  <c r="T95" i="38"/>
  <c r="P37" i="40"/>
  <c r="P38" i="40" s="1"/>
  <c r="S83" i="38"/>
  <c r="S81" i="38"/>
  <c r="S96" i="38"/>
  <c r="S94" i="38"/>
  <c r="P44" i="40"/>
  <c r="P45" i="40" s="1"/>
  <c r="T108" i="38"/>
  <c r="P30" i="40"/>
  <c r="P31" i="40" s="1"/>
  <c r="T82" i="38"/>
  <c r="S109" i="38"/>
  <c r="S107" i="38"/>
  <c r="T68" i="38" l="1"/>
  <c r="T70" i="38"/>
  <c r="T83" i="38"/>
  <c r="T81" i="38"/>
  <c r="T94" i="38"/>
  <c r="T96" i="38"/>
  <c r="T109" i="38"/>
  <c r="T107" i="38"/>
  <c r="L810" i="36"/>
  <c r="L804" i="36" s="1"/>
  <c r="L843" i="36"/>
  <c r="L631" i="36" l="1"/>
  <c r="L625" i="36" l="1"/>
  <c r="L811" i="36"/>
  <c r="L805" i="36" s="1"/>
  <c r="L812" i="36"/>
  <c r="L633" i="36" s="1"/>
  <c r="L627" i="36" s="1"/>
  <c r="L813" i="36"/>
  <c r="L807" i="36" s="1"/>
  <c r="L814" i="36"/>
  <c r="L829" i="36"/>
  <c r="L844" i="36"/>
  <c r="L845" i="36"/>
  <c r="L846" i="36"/>
  <c r="L790" i="36" l="1"/>
  <c r="L808" i="36" s="1"/>
  <c r="L634" i="36"/>
  <c r="L628" i="36" s="1"/>
  <c r="N829" i="36"/>
  <c r="O829" i="36" s="1"/>
  <c r="L635" i="36"/>
  <c r="L632" i="36"/>
  <c r="L824" i="36"/>
  <c r="L841" i="36" s="1"/>
  <c r="L806" i="36"/>
  <c r="L835" i="36"/>
  <c r="L626" i="36"/>
  <c r="L809" i="36"/>
  <c r="L796" i="36" l="1"/>
  <c r="L785" i="36"/>
  <c r="L623" i="36"/>
  <c r="L618" i="36" s="1"/>
  <c r="N824" i="36"/>
  <c r="N837" i="36" s="1"/>
  <c r="N790" i="36"/>
  <c r="N623" i="36" s="1"/>
  <c r="N618" i="36" s="1"/>
  <c r="L630" i="36"/>
  <c r="L36" i="5" s="1"/>
  <c r="I38" i="34" s="1"/>
  <c r="N839" i="36"/>
  <c r="N841" i="36"/>
  <c r="L830" i="36"/>
  <c r="L856" i="36"/>
  <c r="L857" i="36" s="1"/>
  <c r="L836" i="36"/>
  <c r="L840" i="36"/>
  <c r="L839" i="36"/>
  <c r="L837" i="36"/>
  <c r="L838" i="36"/>
  <c r="L842" i="36"/>
  <c r="U824" i="36"/>
  <c r="V824" i="36" s="1"/>
  <c r="W824" i="36" s="1"/>
  <c r="X824" i="36" s="1"/>
  <c r="Y824" i="36" s="1"/>
  <c r="Z824" i="36" s="1"/>
  <c r="AK824" i="36"/>
  <c r="AL824" i="36" s="1"/>
  <c r="AM824" i="36" s="1"/>
  <c r="AN824" i="36" s="1"/>
  <c r="AO824" i="36" s="1"/>
  <c r="AP824" i="36" s="1"/>
  <c r="N853" i="36"/>
  <c r="N814" i="36" s="1"/>
  <c r="L819" i="36"/>
  <c r="L820" i="36" s="1"/>
  <c r="L803" i="36"/>
  <c r="L800" i="36"/>
  <c r="L801" i="36"/>
  <c r="L791" i="36"/>
  <c r="L798" i="36"/>
  <c r="U785" i="36"/>
  <c r="V785" i="36" s="1"/>
  <c r="W785" i="36" s="1"/>
  <c r="X785" i="36" s="1"/>
  <c r="Y785" i="36" s="1"/>
  <c r="Z785" i="36" s="1"/>
  <c r="L817" i="36"/>
  <c r="L818" i="36" s="1"/>
  <c r="L802" i="36"/>
  <c r="L797" i="36"/>
  <c r="L799" i="36"/>
  <c r="AK785" i="36"/>
  <c r="AL785" i="36" s="1"/>
  <c r="AM785" i="36" s="1"/>
  <c r="AN785" i="36" s="1"/>
  <c r="AO785" i="36" s="1"/>
  <c r="AP785" i="36" s="1"/>
  <c r="N830" i="36"/>
  <c r="O790" i="36"/>
  <c r="P829" i="36"/>
  <c r="O824" i="36"/>
  <c r="O853" i="36"/>
  <c r="O814" i="36" s="1"/>
  <c r="L629" i="36"/>
  <c r="L638" i="36" l="1"/>
  <c r="L639" i="36" s="1"/>
  <c r="I84" i="34" s="1"/>
  <c r="L624" i="36"/>
  <c r="N785" i="36"/>
  <c r="N802" i="36" s="1"/>
  <c r="N808" i="36"/>
  <c r="N796" i="36"/>
  <c r="N838" i="36"/>
  <c r="N836" i="36"/>
  <c r="N840" i="36"/>
  <c r="N635" i="36"/>
  <c r="N629" i="36" s="1"/>
  <c r="U842" i="36"/>
  <c r="V842" i="36" s="1"/>
  <c r="W842" i="36" s="1"/>
  <c r="X842" i="36" s="1"/>
  <c r="Y842" i="36" s="1"/>
  <c r="Z842" i="36" s="1"/>
  <c r="AK842" i="36"/>
  <c r="AL842" i="36" s="1"/>
  <c r="AM842" i="36" s="1"/>
  <c r="AN842" i="36" s="1"/>
  <c r="AO842" i="36" s="1"/>
  <c r="AP842" i="36" s="1"/>
  <c r="O837" i="36"/>
  <c r="O836" i="36"/>
  <c r="O841" i="36"/>
  <c r="O839" i="36"/>
  <c r="O840" i="36"/>
  <c r="O838" i="36"/>
  <c r="Q829" i="36"/>
  <c r="P790" i="36"/>
  <c r="P853" i="36"/>
  <c r="P814" i="36" s="1"/>
  <c r="P824" i="36"/>
  <c r="U803" i="36"/>
  <c r="V803" i="36" s="1"/>
  <c r="W803" i="36" s="1"/>
  <c r="X803" i="36" s="1"/>
  <c r="Y803" i="36" s="1"/>
  <c r="Z803" i="36" s="1"/>
  <c r="AK803" i="36"/>
  <c r="AL803" i="36" s="1"/>
  <c r="AM803" i="36" s="1"/>
  <c r="AN803" i="36" s="1"/>
  <c r="AO803" i="36" s="1"/>
  <c r="AP803" i="36" s="1"/>
  <c r="O635" i="36"/>
  <c r="O808" i="36"/>
  <c r="O830" i="36"/>
  <c r="O785" i="36"/>
  <c r="O802" i="36" s="1"/>
  <c r="O623" i="36"/>
  <c r="O618" i="36" s="1"/>
  <c r="O796" i="36"/>
  <c r="I43" i="34"/>
  <c r="Q43" i="34" s="1"/>
  <c r="Q38" i="34"/>
  <c r="N801" i="36" l="1"/>
  <c r="N798" i="36"/>
  <c r="N797" i="36"/>
  <c r="N799" i="36"/>
  <c r="N791" i="36"/>
  <c r="N800" i="36"/>
  <c r="AD857" i="36"/>
  <c r="P836" i="36"/>
  <c r="P837" i="36"/>
  <c r="P841" i="36"/>
  <c r="P839" i="36"/>
  <c r="P838" i="36"/>
  <c r="P840" i="36"/>
  <c r="P808" i="36"/>
  <c r="P635" i="36"/>
  <c r="O629" i="36"/>
  <c r="O798" i="36"/>
  <c r="O800" i="36"/>
  <c r="O797" i="36"/>
  <c r="O791" i="36"/>
  <c r="O801" i="36"/>
  <c r="O799" i="36"/>
  <c r="P830" i="36"/>
  <c r="P785" i="36"/>
  <c r="P796" i="36"/>
  <c r="P623" i="36"/>
  <c r="P618" i="36" s="1"/>
  <c r="R829" i="36"/>
  <c r="Q790" i="36"/>
  <c r="Q853" i="36"/>
  <c r="Q814" i="36" s="1"/>
  <c r="Q824" i="36"/>
  <c r="Q836" i="36" l="1"/>
  <c r="Q837" i="36"/>
  <c r="Q841" i="36"/>
  <c r="Q839" i="36"/>
  <c r="Q838" i="36"/>
  <c r="Q840" i="36"/>
  <c r="P802" i="36"/>
  <c r="Q830" i="36"/>
  <c r="R853" i="36"/>
  <c r="R814" i="36" s="1"/>
  <c r="S829" i="36"/>
  <c r="R790" i="36"/>
  <c r="R824" i="36"/>
  <c r="Q785" i="36"/>
  <c r="Q802" i="36" s="1"/>
  <c r="Q623" i="36"/>
  <c r="Q618" i="36" s="1"/>
  <c r="Q796" i="36"/>
  <c r="O857" i="36"/>
  <c r="P629" i="36"/>
  <c r="Q635" i="36"/>
  <c r="Q808" i="36"/>
  <c r="P800" i="36"/>
  <c r="P797" i="36"/>
  <c r="P798" i="36"/>
  <c r="P791" i="36"/>
  <c r="P801" i="36"/>
  <c r="P799" i="36"/>
  <c r="Q629" i="36" l="1"/>
  <c r="R837" i="36"/>
  <c r="R841" i="36"/>
  <c r="R836" i="36"/>
  <c r="R839" i="36"/>
  <c r="R840" i="36"/>
  <c r="R838" i="36"/>
  <c r="AE857" i="36"/>
  <c r="P857" i="36" s="1"/>
  <c r="R830" i="36"/>
  <c r="R785" i="36"/>
  <c r="R802" i="36" s="1"/>
  <c r="R796" i="36"/>
  <c r="R623" i="36"/>
  <c r="R618" i="36" s="1"/>
  <c r="S824" i="36"/>
  <c r="S790" i="36"/>
  <c r="S853" i="36"/>
  <c r="S814" i="36" s="1"/>
  <c r="R808" i="36"/>
  <c r="R635" i="36"/>
  <c r="Q798" i="36"/>
  <c r="Q800" i="36"/>
  <c r="Q797" i="36"/>
  <c r="Q791" i="36"/>
  <c r="Q801" i="36"/>
  <c r="Q799" i="36"/>
  <c r="R629" i="36" l="1"/>
  <c r="S837" i="36"/>
  <c r="S836" i="36"/>
  <c r="S841" i="36"/>
  <c r="S839" i="36"/>
  <c r="S840" i="36"/>
  <c r="S838" i="36"/>
  <c r="S785" i="36"/>
  <c r="S802" i="36" s="1"/>
  <c r="S796" i="36"/>
  <c r="S623" i="36"/>
  <c r="S618" i="36" s="1"/>
  <c r="S830" i="36"/>
  <c r="R791" i="36"/>
  <c r="R800" i="36"/>
  <c r="R797" i="36"/>
  <c r="R798" i="36"/>
  <c r="R801" i="36"/>
  <c r="R799" i="36"/>
  <c r="S808" i="36"/>
  <c r="S635" i="36"/>
  <c r="AF857" i="36"/>
  <c r="Q857" i="36" s="1"/>
  <c r="S629" i="36" l="1"/>
  <c r="AG857" i="36"/>
  <c r="R857" i="36" s="1"/>
  <c r="S797" i="36"/>
  <c r="S799" i="36"/>
  <c r="S801" i="36"/>
  <c r="S800" i="36"/>
  <c r="S791" i="36"/>
  <c r="S798" i="36"/>
  <c r="AH857" i="36"/>
  <c r="S857" i="36" s="1"/>
  <c r="M810" i="36"/>
  <c r="M804" i="36" s="1"/>
  <c r="M843" i="36"/>
  <c r="AC843" i="36" s="1"/>
  <c r="N843" i="36" s="1"/>
  <c r="N849" i="36" s="1"/>
  <c r="M631" i="36" l="1"/>
  <c r="M625" i="36" s="1"/>
  <c r="N810" i="36"/>
  <c r="AD843" i="36"/>
  <c r="AE843" i="36" l="1"/>
  <c r="O843" i="36"/>
  <c r="O849" i="36" s="1"/>
  <c r="AD882" i="36"/>
  <c r="N804" i="36"/>
  <c r="N631" i="36"/>
  <c r="N625" i="36" l="1"/>
  <c r="O882" i="36"/>
  <c r="O888" i="36" s="1"/>
  <c r="O810" i="36" s="1"/>
  <c r="AE882" i="36"/>
  <c r="P843" i="36"/>
  <c r="P849" i="36" s="1"/>
  <c r="AF843" i="36"/>
  <c r="O804" i="36" l="1"/>
  <c r="O631" i="36"/>
  <c r="P882" i="36"/>
  <c r="P888" i="36" s="1"/>
  <c r="AF882" i="36"/>
  <c r="Q843" i="36"/>
  <c r="Q849" i="36" s="1"/>
  <c r="AG843" i="36"/>
  <c r="Q882" i="36" l="1"/>
  <c r="Q888" i="36" s="1"/>
  <c r="AG882" i="36"/>
  <c r="O625" i="36"/>
  <c r="R843" i="36"/>
  <c r="R849" i="36" s="1"/>
  <c r="AH843" i="36"/>
  <c r="S843" i="36" s="1"/>
  <c r="S849" i="36" s="1"/>
  <c r="P810" i="36"/>
  <c r="AH882" i="36" l="1"/>
  <c r="S882" i="36" s="1"/>
  <c r="S888" i="36" s="1"/>
  <c r="R882" i="36"/>
  <c r="R888" i="36" s="1"/>
  <c r="R810" i="36" s="1"/>
  <c r="P631" i="36"/>
  <c r="P804" i="36"/>
  <c r="Q810" i="36"/>
  <c r="Q631" i="36" l="1"/>
  <c r="Q804" i="36"/>
  <c r="R631" i="36"/>
  <c r="R804" i="36"/>
  <c r="P625" i="36"/>
  <c r="S810" i="36"/>
  <c r="S631" i="36" l="1"/>
  <c r="S804" i="36"/>
  <c r="R625" i="36"/>
  <c r="Q625" i="36"/>
  <c r="S625" i="36" l="1"/>
  <c r="M811" i="36"/>
  <c r="M632" i="36" s="1"/>
  <c r="M812" i="36"/>
  <c r="M806" i="36" s="1"/>
  <c r="M813" i="36"/>
  <c r="M807" i="36" s="1"/>
  <c r="M814" i="36"/>
  <c r="M829" i="36"/>
  <c r="M844" i="36"/>
  <c r="AC844" i="36" s="1"/>
  <c r="N844" i="36" s="1"/>
  <c r="N850" i="36" s="1"/>
  <c r="M845" i="36"/>
  <c r="AC845" i="36" s="1"/>
  <c r="AD845" i="36" s="1"/>
  <c r="AE845" i="36" s="1"/>
  <c r="N845" i="36"/>
  <c r="N851" i="36" s="1"/>
  <c r="N812" i="36" s="1"/>
  <c r="M846" i="36"/>
  <c r="AC846" i="36" s="1"/>
  <c r="M805" i="36" l="1"/>
  <c r="M790" i="36"/>
  <c r="M623" i="36" s="1"/>
  <c r="M618" i="36" s="1"/>
  <c r="M824" i="36"/>
  <c r="AD884" i="36"/>
  <c r="M635" i="36"/>
  <c r="AD846" i="36"/>
  <c r="N846" i="36"/>
  <c r="N852" i="36" s="1"/>
  <c r="N813" i="36" s="1"/>
  <c r="O845" i="36"/>
  <c r="O851" i="36" s="1"/>
  <c r="M630" i="36"/>
  <c r="M626" i="36"/>
  <c r="N633" i="36"/>
  <c r="N627" i="36" s="1"/>
  <c r="N806" i="36"/>
  <c r="O884" i="36"/>
  <c r="O890" i="36" s="1"/>
  <c r="AE884" i="36"/>
  <c r="AF845" i="36"/>
  <c r="P845" i="36"/>
  <c r="P851" i="36" s="1"/>
  <c r="N811" i="36"/>
  <c r="AD844" i="36"/>
  <c r="M634" i="36"/>
  <c r="M628" i="36" s="1"/>
  <c r="M633" i="36"/>
  <c r="M627" i="36" s="1"/>
  <c r="M809" i="36"/>
  <c r="M629" i="36" l="1"/>
  <c r="M808" i="36"/>
  <c r="M785" i="36"/>
  <c r="M800" i="36" s="1"/>
  <c r="N848" i="36"/>
  <c r="M839" i="36"/>
  <c r="M837" i="36"/>
  <c r="M836" i="36"/>
  <c r="M838" i="36"/>
  <c r="M840" i="36"/>
  <c r="M856" i="36"/>
  <c r="M842" i="36"/>
  <c r="M841" i="36"/>
  <c r="M799" i="36"/>
  <c r="N632" i="36"/>
  <c r="N809" i="36"/>
  <c r="N803" i="36" s="1"/>
  <c r="N805" i="36"/>
  <c r="M36" i="5"/>
  <c r="J38" i="34" s="1"/>
  <c r="J43" i="34" s="1"/>
  <c r="M624" i="36"/>
  <c r="M638" i="36"/>
  <c r="M639" i="36" s="1"/>
  <c r="J84" i="34" s="1"/>
  <c r="AG845" i="36"/>
  <c r="Q845" i="36"/>
  <c r="Q851" i="36" s="1"/>
  <c r="M819" i="36"/>
  <c r="M820" i="36" s="1"/>
  <c r="P884" i="36"/>
  <c r="P890" i="36" s="1"/>
  <c r="P812" i="36" s="1"/>
  <c r="AF884" i="36"/>
  <c r="O812" i="36"/>
  <c r="N807" i="36"/>
  <c r="N634" i="36"/>
  <c r="N628" i="36" s="1"/>
  <c r="AE846" i="36"/>
  <c r="AD885" i="36"/>
  <c r="O846" i="36"/>
  <c r="O852" i="36" s="1"/>
  <c r="O844" i="36"/>
  <c r="O850" i="36" s="1"/>
  <c r="AE844" i="36"/>
  <c r="AD883" i="36"/>
  <c r="M798" i="36" l="1"/>
  <c r="M802" i="36"/>
  <c r="M797" i="36"/>
  <c r="M817" i="36"/>
  <c r="M801" i="36"/>
  <c r="M803" i="36"/>
  <c r="N842" i="36"/>
  <c r="N856" i="36" s="1"/>
  <c r="K44" i="34"/>
  <c r="P633" i="36"/>
  <c r="P627" i="36" s="1"/>
  <c r="P806" i="36"/>
  <c r="N630" i="36"/>
  <c r="N626" i="36"/>
  <c r="P844" i="36"/>
  <c r="P850" i="36" s="1"/>
  <c r="AF844" i="36"/>
  <c r="O633" i="36"/>
  <c r="O627" i="36" s="1"/>
  <c r="O806" i="36"/>
  <c r="O883" i="36"/>
  <c r="O889" i="36" s="1"/>
  <c r="AE883" i="36"/>
  <c r="R845" i="36"/>
  <c r="R851" i="36" s="1"/>
  <c r="AH845" i="36"/>
  <c r="S845" i="36" s="1"/>
  <c r="S851" i="36" s="1"/>
  <c r="O885" i="36"/>
  <c r="O891" i="36" s="1"/>
  <c r="O813" i="36" s="1"/>
  <c r="AE885" i="36"/>
  <c r="Q884" i="36"/>
  <c r="Q890" i="36" s="1"/>
  <c r="Q812" i="36" s="1"/>
  <c r="AG884" i="36"/>
  <c r="O848" i="36"/>
  <c r="P846" i="36"/>
  <c r="P852" i="36" s="1"/>
  <c r="AF846" i="36"/>
  <c r="O856" i="36" l="1"/>
  <c r="N857" i="36"/>
  <c r="N855" i="36"/>
  <c r="O842" i="36"/>
  <c r="L44" i="34"/>
  <c r="O634" i="36"/>
  <c r="O628" i="36" s="1"/>
  <c r="O807" i="36"/>
  <c r="AF885" i="36"/>
  <c r="P885" i="36"/>
  <c r="P891" i="36" s="1"/>
  <c r="P813" i="36" s="1"/>
  <c r="AF883" i="36"/>
  <c r="P883" i="36"/>
  <c r="P889" i="36" s="1"/>
  <c r="P848" i="36"/>
  <c r="Q633" i="36"/>
  <c r="Q627" i="36" s="1"/>
  <c r="Q806" i="36"/>
  <c r="N36" i="5"/>
  <c r="K38" i="34" s="1"/>
  <c r="K43" i="34" s="1"/>
  <c r="N624" i="36"/>
  <c r="R884" i="36"/>
  <c r="R890" i="36" s="1"/>
  <c r="AH884" i="36"/>
  <c r="S884" i="36" s="1"/>
  <c r="S890" i="36" s="1"/>
  <c r="S812" i="36" s="1"/>
  <c r="R812" i="36"/>
  <c r="Q846" i="36"/>
  <c r="Q852" i="36" s="1"/>
  <c r="AG846" i="36"/>
  <c r="O887" i="36"/>
  <c r="AG844" i="36"/>
  <c r="Q844" i="36"/>
  <c r="Q850" i="36" s="1"/>
  <c r="O811" i="36"/>
  <c r="P887" i="36" l="1"/>
  <c r="P881" i="36" s="1"/>
  <c r="N816" i="36"/>
  <c r="N858" i="36"/>
  <c r="N859" i="36" s="1"/>
  <c r="O881" i="36"/>
  <c r="L45" i="34"/>
  <c r="P811" i="36"/>
  <c r="P805" i="36" s="1"/>
  <c r="P856" i="36"/>
  <c r="O855" i="36"/>
  <c r="O858" i="36" s="1"/>
  <c r="O859" i="36" s="1"/>
  <c r="O898" i="36" s="1"/>
  <c r="P842" i="36"/>
  <c r="M44" i="34"/>
  <c r="O805" i="36"/>
  <c r="O809" i="36"/>
  <c r="O803" i="36" s="1"/>
  <c r="O632" i="36"/>
  <c r="R844" i="36"/>
  <c r="R850" i="36" s="1"/>
  <c r="AH844" i="36"/>
  <c r="S844" i="36" s="1"/>
  <c r="S850" i="36" s="1"/>
  <c r="Q848" i="36"/>
  <c r="AG883" i="36"/>
  <c r="Q883" i="36"/>
  <c r="Q889" i="36" s="1"/>
  <c r="P634" i="36"/>
  <c r="P628" i="36" s="1"/>
  <c r="P807" i="36"/>
  <c r="R846" i="36"/>
  <c r="R852" i="36" s="1"/>
  <c r="AH846" i="36"/>
  <c r="S846" i="36" s="1"/>
  <c r="S852" i="36" s="1"/>
  <c r="S633" i="36"/>
  <c r="S627" i="36" s="1"/>
  <c r="S806" i="36"/>
  <c r="R633" i="36"/>
  <c r="R627" i="36" s="1"/>
  <c r="R806" i="36"/>
  <c r="AG885" i="36"/>
  <c r="Q885" i="36"/>
  <c r="Q891" i="36" s="1"/>
  <c r="Q813" i="36" s="1"/>
  <c r="M45" i="34" l="1"/>
  <c r="O897" i="36"/>
  <c r="O894" i="36" s="1"/>
  <c r="Q887" i="36"/>
  <c r="Q881" i="36" s="1"/>
  <c r="Q856" i="36"/>
  <c r="P855" i="36"/>
  <c r="P858" i="36" s="1"/>
  <c r="P859" i="36" s="1"/>
  <c r="P898" i="36" s="1"/>
  <c r="P632" i="36"/>
  <c r="P630" i="36" s="1"/>
  <c r="P809" i="36"/>
  <c r="P803" i="36" s="1"/>
  <c r="N819" i="36"/>
  <c r="N820" i="36" s="1"/>
  <c r="N637" i="36"/>
  <c r="N638" i="36" s="1"/>
  <c r="N639" i="36" s="1"/>
  <c r="K84" i="34" s="1"/>
  <c r="N817" i="36"/>
  <c r="N818" i="36" s="1"/>
  <c r="Q842" i="36"/>
  <c r="N44" i="34"/>
  <c r="Q807" i="36"/>
  <c r="Q634" i="36"/>
  <c r="Q628" i="36" s="1"/>
  <c r="R883" i="36"/>
  <c r="R889" i="36" s="1"/>
  <c r="R811" i="36" s="1"/>
  <c r="AH883" i="36"/>
  <c r="S883" i="36" s="1"/>
  <c r="S889" i="36" s="1"/>
  <c r="S811" i="36" s="1"/>
  <c r="Q811" i="36"/>
  <c r="S848" i="36"/>
  <c r="P44" i="34" s="1"/>
  <c r="R44" i="34" s="1"/>
  <c r="AH885" i="36"/>
  <c r="S885" i="36" s="1"/>
  <c r="S891" i="36" s="1"/>
  <c r="S813" i="36" s="1"/>
  <c r="R885" i="36"/>
  <c r="R891" i="36" s="1"/>
  <c r="R813" i="36" s="1"/>
  <c r="R848" i="36"/>
  <c r="O630" i="36"/>
  <c r="O626" i="36"/>
  <c r="P626" i="36" l="1"/>
  <c r="O816" i="36"/>
  <c r="O817" i="36" s="1"/>
  <c r="O818" i="36" s="1"/>
  <c r="O895" i="36"/>
  <c r="P897" i="36"/>
  <c r="P894" i="36" s="1"/>
  <c r="N45" i="34"/>
  <c r="Q855" i="36"/>
  <c r="Q858" i="36" s="1"/>
  <c r="Q859" i="36" s="1"/>
  <c r="Q898" i="36" s="1"/>
  <c r="R856" i="36"/>
  <c r="R842" i="36"/>
  <c r="O44" i="34"/>
  <c r="S807" i="36"/>
  <c r="S634" i="36"/>
  <c r="S628" i="36" s="1"/>
  <c r="R807" i="36"/>
  <c r="R634" i="36"/>
  <c r="R628" i="36" s="1"/>
  <c r="S805" i="36"/>
  <c r="S632" i="36"/>
  <c r="S809" i="36"/>
  <c r="Q805" i="36"/>
  <c r="Q809" i="36"/>
  <c r="Q803" i="36" s="1"/>
  <c r="Q632" i="36"/>
  <c r="O36" i="5"/>
  <c r="L38" i="34" s="1"/>
  <c r="L43" i="34" s="1"/>
  <c r="O624" i="36"/>
  <c r="S842" i="36"/>
  <c r="R632" i="36"/>
  <c r="R805" i="36"/>
  <c r="R809" i="36"/>
  <c r="R803" i="36" s="1"/>
  <c r="S887" i="36"/>
  <c r="R887" i="36"/>
  <c r="O637" i="36"/>
  <c r="O638" i="36" s="1"/>
  <c r="O639" i="36" s="1"/>
  <c r="L84" i="34" s="1"/>
  <c r="O819" i="36"/>
  <c r="O820" i="36" s="1"/>
  <c r="P36" i="5"/>
  <c r="M38" i="34" s="1"/>
  <c r="M43" i="34" s="1"/>
  <c r="P624" i="36"/>
  <c r="P895" i="36" l="1"/>
  <c r="P896" i="36" s="1"/>
  <c r="P816" i="36"/>
  <c r="Q897" i="36"/>
  <c r="Q894" i="36" s="1"/>
  <c r="R855" i="36"/>
  <c r="R858" i="36" s="1"/>
  <c r="R859" i="36" s="1"/>
  <c r="R898" i="36" s="1"/>
  <c r="R897" i="36" s="1"/>
  <c r="R894" i="36" s="1"/>
  <c r="R895" i="36" s="1"/>
  <c r="S856" i="36"/>
  <c r="S855" i="36" s="1"/>
  <c r="S858" i="36" s="1"/>
  <c r="S859" i="36" s="1"/>
  <c r="R881" i="36"/>
  <c r="O45" i="34"/>
  <c r="S881" i="36"/>
  <c r="P45" i="34"/>
  <c r="R626" i="36"/>
  <c r="R630" i="36"/>
  <c r="Q630" i="36"/>
  <c r="Q626" i="36"/>
  <c r="S803" i="36"/>
  <c r="S626" i="36"/>
  <c r="S630" i="36"/>
  <c r="R45" i="34" l="1"/>
  <c r="S898" i="36"/>
  <c r="S897" i="36" s="1"/>
  <c r="S894" i="36" s="1"/>
  <c r="Q895" i="36"/>
  <c r="Q896" i="36" s="1"/>
  <c r="Q816" i="36"/>
  <c r="P637" i="36"/>
  <c r="P638" i="36" s="1"/>
  <c r="P639" i="36" s="1"/>
  <c r="M84" i="34" s="1"/>
  <c r="P819" i="36"/>
  <c r="P820" i="36" s="1"/>
  <c r="P817" i="36"/>
  <c r="P818" i="36" s="1"/>
  <c r="R816" i="36"/>
  <c r="R817" i="36" s="1"/>
  <c r="S36" i="5"/>
  <c r="P38" i="34" s="1"/>
  <c r="S624" i="36"/>
  <c r="R36" i="5"/>
  <c r="O38" i="34" s="1"/>
  <c r="R624" i="36"/>
  <c r="Q36" i="5"/>
  <c r="N38" i="34" s="1"/>
  <c r="N43" i="34" s="1"/>
  <c r="Q624" i="36"/>
  <c r="R896" i="36" l="1"/>
  <c r="S895" i="36"/>
  <c r="S896" i="36" s="1"/>
  <c r="S816" i="36"/>
  <c r="R637" i="36"/>
  <c r="R638" i="36" s="1"/>
  <c r="R639" i="36" s="1"/>
  <c r="O84" i="34" s="1"/>
  <c r="R819" i="36"/>
  <c r="R820" i="36" s="1"/>
  <c r="Q817" i="36"/>
  <c r="Q818" i="36" s="1"/>
  <c r="Q637" i="36"/>
  <c r="Q638" i="36" s="1"/>
  <c r="Q639" i="36" s="1"/>
  <c r="N84" i="34" s="1"/>
  <c r="Q819" i="36"/>
  <c r="Q820" i="36" s="1"/>
  <c r="O43" i="34"/>
  <c r="P43" i="34"/>
  <c r="R43" i="34" s="1"/>
  <c r="R38" i="34"/>
  <c r="L524" i="36"/>
  <c r="L557" i="36"/>
  <c r="S817" i="36" l="1"/>
  <c r="S818" i="36" s="1"/>
  <c r="S819" i="36"/>
  <c r="S820" i="36" s="1"/>
  <c r="S637" i="36"/>
  <c r="S638" i="36" s="1"/>
  <c r="S639" i="36" s="1"/>
  <c r="P84" i="34" s="1"/>
  <c r="R84" i="34" s="1"/>
  <c r="R818" i="36"/>
  <c r="L331" i="36"/>
  <c r="L518" i="36"/>
  <c r="L43" i="36" l="1"/>
  <c r="L325" i="36"/>
  <c r="J6" i="41" l="1"/>
  <c r="L37" i="36"/>
  <c r="J8" i="41" l="1"/>
  <c r="J11" i="41"/>
  <c r="J12" i="41" s="1"/>
  <c r="M524" i="36"/>
  <c r="M557" i="36"/>
  <c r="AC557" i="36" s="1"/>
  <c r="N557" i="36" s="1"/>
  <c r="N563" i="36" s="1"/>
  <c r="N524" i="36" l="1"/>
  <c r="AD557" i="36"/>
  <c r="M331" i="36"/>
  <c r="M518" i="36"/>
  <c r="M325" i="36" l="1"/>
  <c r="M43" i="36"/>
  <c r="O557" i="36"/>
  <c r="O563" i="36" s="1"/>
  <c r="AD596" i="36"/>
  <c r="O596" i="36" s="1"/>
  <c r="O602" i="36" s="1"/>
  <c r="AE557" i="36"/>
  <c r="N518" i="36"/>
  <c r="N331" i="36"/>
  <c r="N325" i="36" l="1"/>
  <c r="N43" i="36"/>
  <c r="P557" i="36"/>
  <c r="P563" i="36" s="1"/>
  <c r="AF557" i="36"/>
  <c r="AE596" i="36"/>
  <c r="P596" i="36" s="1"/>
  <c r="P602" i="36" s="1"/>
  <c r="O524" i="36"/>
  <c r="K6" i="41"/>
  <c r="M37" i="36"/>
  <c r="K8" i="41" l="1"/>
  <c r="K11" i="41"/>
  <c r="K12" i="41" s="1"/>
  <c r="O518" i="36"/>
  <c r="O331" i="36"/>
  <c r="Q557" i="36"/>
  <c r="Q563" i="36" s="1"/>
  <c r="AF596" i="36"/>
  <c r="Q596" i="36" s="1"/>
  <c r="Q602" i="36" s="1"/>
  <c r="AG557" i="36"/>
  <c r="P524" i="36"/>
  <c r="N37" i="36"/>
  <c r="L6" i="41"/>
  <c r="L8" i="41" l="1"/>
  <c r="L11" i="41"/>
  <c r="L12" i="41" s="1"/>
  <c r="P518" i="36"/>
  <c r="P331" i="36"/>
  <c r="R557" i="36"/>
  <c r="R563" i="36" s="1"/>
  <c r="AH557" i="36"/>
  <c r="AG596" i="36"/>
  <c r="R596" i="36" s="1"/>
  <c r="R602" i="36" s="1"/>
  <c r="Q524" i="36"/>
  <c r="O43" i="36"/>
  <c r="O325" i="36"/>
  <c r="O37" i="36" l="1"/>
  <c r="M6" i="41"/>
  <c r="Q518" i="36"/>
  <c r="Q331" i="36"/>
  <c r="S557" i="36"/>
  <c r="S563" i="36" s="1"/>
  <c r="AH596" i="36"/>
  <c r="S596" i="36" s="1"/>
  <c r="S602" i="36" s="1"/>
  <c r="R524" i="36"/>
  <c r="P43" i="36"/>
  <c r="P325" i="36"/>
  <c r="P37" i="36" l="1"/>
  <c r="N6" i="41"/>
  <c r="S524" i="36"/>
  <c r="Q43" i="36"/>
  <c r="Q325" i="36"/>
  <c r="R518" i="36"/>
  <c r="R331" i="36"/>
  <c r="M8" i="41"/>
  <c r="M11" i="41"/>
  <c r="M12" i="41" s="1"/>
  <c r="R43" i="36" l="1"/>
  <c r="R325" i="36"/>
  <c r="N8" i="41"/>
  <c r="N11" i="41"/>
  <c r="N12" i="41" s="1"/>
  <c r="O6" i="41"/>
  <c r="Q37" i="36"/>
  <c r="S518" i="36"/>
  <c r="S331" i="36"/>
  <c r="S43" i="36" l="1"/>
  <c r="S325" i="36"/>
  <c r="O8" i="41"/>
  <c r="O11" i="41"/>
  <c r="O12" i="41" s="1"/>
  <c r="P6" i="41"/>
  <c r="R37" i="36"/>
  <c r="P8" i="41" l="1"/>
  <c r="P11" i="41"/>
  <c r="P12" i="41" s="1"/>
  <c r="Q6" i="41"/>
  <c r="S37" i="36"/>
  <c r="Q8" i="41" l="1"/>
  <c r="Q11" i="41"/>
  <c r="Q12" i="41" s="1"/>
  <c r="L525" i="36"/>
  <c r="M525" i="36"/>
  <c r="M332" i="36" s="1"/>
  <c r="M44" i="36" s="1"/>
  <c r="L526" i="36"/>
  <c r="L333" i="36" s="1"/>
  <c r="M526" i="36"/>
  <c r="L527" i="36"/>
  <c r="M527" i="36"/>
  <c r="M334" i="36" s="1"/>
  <c r="M46" i="36" s="1"/>
  <c r="L528" i="36"/>
  <c r="L335" i="36" s="1"/>
  <c r="M528" i="36"/>
  <c r="M335" i="36" s="1"/>
  <c r="L543" i="36"/>
  <c r="M543" i="36"/>
  <c r="L558" i="36"/>
  <c r="M558" i="36"/>
  <c r="AC558" i="36" s="1"/>
  <c r="L559" i="36"/>
  <c r="M559" i="36"/>
  <c r="AC559" i="36" s="1"/>
  <c r="N559" i="36" s="1"/>
  <c r="N565" i="36" s="1"/>
  <c r="N526" i="36" s="1"/>
  <c r="L560" i="36"/>
  <c r="M560" i="36"/>
  <c r="AC560" i="36" s="1"/>
  <c r="AD560" i="36" s="1"/>
  <c r="O560" i="36" s="1"/>
  <c r="O566" i="36" s="1"/>
  <c r="M538" i="36" l="1"/>
  <c r="M555" i="36" s="1"/>
  <c r="L538" i="36"/>
  <c r="L555" i="36" s="1"/>
  <c r="AD559" i="36"/>
  <c r="AE559" i="36" s="1"/>
  <c r="N543" i="36"/>
  <c r="M521" i="36"/>
  <c r="M328" i="36"/>
  <c r="N558" i="36"/>
  <c r="N564" i="36" s="1"/>
  <c r="N525" i="36" s="1"/>
  <c r="AD558" i="36"/>
  <c r="O558" i="36" s="1"/>
  <c r="O564" i="36" s="1"/>
  <c r="M523" i="36"/>
  <c r="J35" i="34" s="1"/>
  <c r="M519" i="36"/>
  <c r="M326" i="36"/>
  <c r="L520" i="36"/>
  <c r="AD597" i="36"/>
  <c r="O597" i="36" s="1"/>
  <c r="O603" i="36" s="1"/>
  <c r="M533" i="36"/>
  <c r="N560" i="36"/>
  <c r="N566" i="36" s="1"/>
  <c r="N527" i="36" s="1"/>
  <c r="AE560" i="36"/>
  <c r="AD599" i="36"/>
  <c r="O599" i="36" s="1"/>
  <c r="O605" i="36" s="1"/>
  <c r="O527" i="36" s="1"/>
  <c r="M47" i="36"/>
  <c r="N520" i="36"/>
  <c r="N333" i="36"/>
  <c r="L327" i="36"/>
  <c r="L45" i="36"/>
  <c r="U538" i="36"/>
  <c r="V538" i="36" s="1"/>
  <c r="W538" i="36" s="1"/>
  <c r="X538" i="36" s="1"/>
  <c r="Y538" i="36" s="1"/>
  <c r="Z538" i="36" s="1"/>
  <c r="M333" i="36"/>
  <c r="M330" i="36" s="1"/>
  <c r="M520" i="36"/>
  <c r="M570" i="36"/>
  <c r="M556" i="36"/>
  <c r="L47" i="36"/>
  <c r="M504" i="36"/>
  <c r="M38" i="36"/>
  <c r="K15" i="41"/>
  <c r="L332" i="36"/>
  <c r="L519" i="36"/>
  <c r="L523" i="36"/>
  <c r="L549" i="36"/>
  <c r="L334" i="36"/>
  <c r="L521" i="36"/>
  <c r="L504" i="36"/>
  <c r="M40" i="36"/>
  <c r="K33" i="41"/>
  <c r="L556" i="36" l="1"/>
  <c r="L570" i="36"/>
  <c r="L571" i="36" s="1"/>
  <c r="AK538" i="36"/>
  <c r="AL538" i="36" s="1"/>
  <c r="AM538" i="36" s="1"/>
  <c r="AN538" i="36" s="1"/>
  <c r="AO538" i="36" s="1"/>
  <c r="AP538" i="36" s="1"/>
  <c r="L544" i="36"/>
  <c r="L554" i="36"/>
  <c r="L553" i="36"/>
  <c r="L550" i="36"/>
  <c r="L552" i="36"/>
  <c r="L551" i="36"/>
  <c r="K17" i="42"/>
  <c r="N538" i="36"/>
  <c r="N504" i="36"/>
  <c r="N510" i="36" s="1"/>
  <c r="M554" i="36"/>
  <c r="M553" i="36"/>
  <c r="M552" i="36"/>
  <c r="M550" i="36"/>
  <c r="M551" i="36"/>
  <c r="O525" i="36"/>
  <c r="O519" i="36" s="1"/>
  <c r="M498" i="36"/>
  <c r="O559" i="36"/>
  <c r="O565" i="36" s="1"/>
  <c r="AD598" i="36"/>
  <c r="O598" i="36" s="1"/>
  <c r="O604" i="36" s="1"/>
  <c r="O601" i="36" s="1"/>
  <c r="AE558" i="36"/>
  <c r="N567" i="36"/>
  <c r="N528" i="36" s="1"/>
  <c r="N335" i="36" s="1"/>
  <c r="N47" i="36" s="1"/>
  <c r="O543" i="36"/>
  <c r="N562" i="36"/>
  <c r="O334" i="36"/>
  <c r="O521" i="36"/>
  <c r="P558" i="36"/>
  <c r="P564" i="36" s="1"/>
  <c r="AE597" i="36"/>
  <c r="P597" i="36" s="1"/>
  <c r="P603" i="36" s="1"/>
  <c r="AF558" i="36"/>
  <c r="M35" i="5"/>
  <c r="K12" i="42"/>
  <c r="M42" i="36"/>
  <c r="M338" i="36"/>
  <c r="AE598" i="36"/>
  <c r="P598" i="36" s="1"/>
  <c r="P604" i="36" s="1"/>
  <c r="P559" i="36"/>
  <c r="P565" i="36" s="1"/>
  <c r="AF559" i="36"/>
  <c r="K35" i="41"/>
  <c r="K38" i="41"/>
  <c r="K39" i="41" s="1"/>
  <c r="L510" i="36"/>
  <c r="L499" i="36"/>
  <c r="L516" i="36" s="1"/>
  <c r="L323" i="36"/>
  <c r="L522" i="36"/>
  <c r="L328" i="36"/>
  <c r="L46" i="36"/>
  <c r="J24" i="41"/>
  <c r="L39" i="36"/>
  <c r="N334" i="36"/>
  <c r="N521" i="36"/>
  <c r="K17" i="41"/>
  <c r="K20" i="41"/>
  <c r="K21" i="41" s="1"/>
  <c r="N332" i="36"/>
  <c r="N519" i="36"/>
  <c r="M327" i="36"/>
  <c r="M45" i="36"/>
  <c r="AF560" i="36"/>
  <c r="AE599" i="36"/>
  <c r="P599" i="36" s="1"/>
  <c r="P605" i="36" s="1"/>
  <c r="P560" i="36"/>
  <c r="P566" i="36" s="1"/>
  <c r="K44" i="42"/>
  <c r="M534" i="36"/>
  <c r="J83" i="34" s="1"/>
  <c r="U556" i="36"/>
  <c r="V556" i="36" s="1"/>
  <c r="W556" i="36" s="1"/>
  <c r="X556" i="36" s="1"/>
  <c r="Y556" i="36" s="1"/>
  <c r="Z556" i="36" s="1"/>
  <c r="AK556" i="36"/>
  <c r="AL556" i="36" s="1"/>
  <c r="AM556" i="36" s="1"/>
  <c r="AN556" i="36" s="1"/>
  <c r="AO556" i="36" s="1"/>
  <c r="AP556" i="36" s="1"/>
  <c r="M323" i="36"/>
  <c r="M499" i="36"/>
  <c r="M516" i="36" s="1"/>
  <c r="M522" i="36"/>
  <c r="L498" i="36"/>
  <c r="J17" i="42"/>
  <c r="L533" i="36"/>
  <c r="I35" i="34"/>
  <c r="Q35" i="34" s="1"/>
  <c r="L330" i="36"/>
  <c r="L326" i="36"/>
  <c r="L44" i="36"/>
  <c r="N327" i="36"/>
  <c r="N45" i="36"/>
  <c r="N323" i="36" l="1"/>
  <c r="N522" i="36"/>
  <c r="N499" i="36"/>
  <c r="N516" i="36" s="1"/>
  <c r="L517" i="36"/>
  <c r="O332" i="36"/>
  <c r="O44" i="36" s="1"/>
  <c r="N550" i="36"/>
  <c r="N553" i="36"/>
  <c r="N551" i="36"/>
  <c r="N552" i="36"/>
  <c r="N554" i="36"/>
  <c r="N544" i="36"/>
  <c r="N555" i="36"/>
  <c r="P527" i="36"/>
  <c r="P334" i="36" s="1"/>
  <c r="N523" i="36"/>
  <c r="L17" i="42" s="1"/>
  <c r="O526" i="36"/>
  <c r="O538" i="36"/>
  <c r="O555" i="36" s="1"/>
  <c r="P543" i="36"/>
  <c r="O567" i="36"/>
  <c r="O504" i="36"/>
  <c r="P526" i="36"/>
  <c r="P520" i="36" s="1"/>
  <c r="O595" i="36"/>
  <c r="L37" i="34"/>
  <c r="N556" i="36"/>
  <c r="N570" i="36" s="1"/>
  <c r="K36" i="34"/>
  <c r="L40" i="36"/>
  <c r="J33" i="41"/>
  <c r="AF598" i="36"/>
  <c r="Q598" i="36" s="1"/>
  <c r="Q604" i="36" s="1"/>
  <c r="AG559" i="36"/>
  <c r="Q559" i="36"/>
  <c r="Q565" i="36" s="1"/>
  <c r="J44" i="42"/>
  <c r="L534" i="36"/>
  <c r="I83" i="34" s="1"/>
  <c r="K35" i="34"/>
  <c r="M318" i="36"/>
  <c r="M35" i="36"/>
  <c r="M41" i="36" s="1"/>
  <c r="M329" i="36"/>
  <c r="Q558" i="36"/>
  <c r="Q564" i="36" s="1"/>
  <c r="AF597" i="36"/>
  <c r="Q597" i="36" s="1"/>
  <c r="Q603" i="36" s="1"/>
  <c r="AG558" i="36"/>
  <c r="P525" i="36"/>
  <c r="M50" i="36"/>
  <c r="K4" i="42"/>
  <c r="M14" i="36"/>
  <c r="J30" i="34"/>
  <c r="M38" i="5"/>
  <c r="N330" i="36"/>
  <c r="N44" i="36"/>
  <c r="N326" i="36"/>
  <c r="L318" i="36"/>
  <c r="L30" i="36" s="1"/>
  <c r="L35" i="36"/>
  <c r="L41" i="36" s="1"/>
  <c r="L329" i="36"/>
  <c r="AG560" i="36"/>
  <c r="AF599" i="36"/>
  <c r="Q599" i="36" s="1"/>
  <c r="Q605" i="36" s="1"/>
  <c r="Q560" i="36"/>
  <c r="Q566" i="36" s="1"/>
  <c r="U499" i="36"/>
  <c r="V499" i="36" s="1"/>
  <c r="W499" i="36" s="1"/>
  <c r="X499" i="36" s="1"/>
  <c r="Y499" i="36" s="1"/>
  <c r="Z499" i="36" s="1"/>
  <c r="L511" i="36"/>
  <c r="L513" i="36"/>
  <c r="L515" i="36"/>
  <c r="L512" i="36"/>
  <c r="L505" i="36"/>
  <c r="L514" i="36"/>
  <c r="AK499" i="36"/>
  <c r="AL499" i="36" s="1"/>
  <c r="AM499" i="36" s="1"/>
  <c r="AN499" i="36" s="1"/>
  <c r="AO499" i="36" s="1"/>
  <c r="AP499" i="36" s="1"/>
  <c r="L531" i="36"/>
  <c r="L532" i="36" s="1"/>
  <c r="N39" i="36"/>
  <c r="L24" i="41"/>
  <c r="K24" i="41"/>
  <c r="M39" i="36"/>
  <c r="N328" i="36"/>
  <c r="N46" i="36"/>
  <c r="L38" i="36"/>
  <c r="J15" i="41"/>
  <c r="J26" i="41"/>
  <c r="J29" i="41"/>
  <c r="J30" i="41" s="1"/>
  <c r="K39" i="42"/>
  <c r="K62" i="42" s="1"/>
  <c r="M339" i="36"/>
  <c r="J78" i="34" s="1"/>
  <c r="L35" i="5"/>
  <c r="J12" i="42"/>
  <c r="L42" i="36"/>
  <c r="L338" i="36"/>
  <c r="M513" i="36"/>
  <c r="M515" i="36"/>
  <c r="M511" i="36"/>
  <c r="M531" i="36"/>
  <c r="M512" i="36"/>
  <c r="M514" i="36"/>
  <c r="M517" i="36"/>
  <c r="N318" i="36"/>
  <c r="N30" i="36" s="1"/>
  <c r="N35" i="36"/>
  <c r="N41" i="36" s="1"/>
  <c r="N329" i="36"/>
  <c r="AK517" i="36"/>
  <c r="AL517" i="36" s="1"/>
  <c r="AM517" i="36" s="1"/>
  <c r="AN517" i="36" s="1"/>
  <c r="AO517" i="36" s="1"/>
  <c r="AP517" i="36" s="1"/>
  <c r="U517" i="36"/>
  <c r="V517" i="36" s="1"/>
  <c r="W517" i="36" s="1"/>
  <c r="X517" i="36" s="1"/>
  <c r="Y517" i="36" s="1"/>
  <c r="Z517" i="36" s="1"/>
  <c r="N513" i="36"/>
  <c r="N512" i="36"/>
  <c r="N511" i="36"/>
  <c r="N514" i="36"/>
  <c r="P601" i="36"/>
  <c r="O328" i="36"/>
  <c r="O46" i="36"/>
  <c r="O326" i="36" l="1"/>
  <c r="N515" i="36"/>
  <c r="N517" i="36"/>
  <c r="N505" i="36"/>
  <c r="L324" i="36"/>
  <c r="P521" i="36"/>
  <c r="O550" i="36"/>
  <c r="O552" i="36"/>
  <c r="O553" i="36"/>
  <c r="O554" i="36"/>
  <c r="O551" i="36"/>
  <c r="O544" i="36"/>
  <c r="O520" i="36"/>
  <c r="O333" i="36"/>
  <c r="O499" i="36"/>
  <c r="O510" i="36"/>
  <c r="O323" i="36"/>
  <c r="Q527" i="36"/>
  <c r="Q334" i="36" s="1"/>
  <c r="O528" i="36"/>
  <c r="O562" i="36"/>
  <c r="P333" i="36"/>
  <c r="P45" i="36" s="1"/>
  <c r="Q526" i="36"/>
  <c r="Q520" i="36" s="1"/>
  <c r="Q543" i="36"/>
  <c r="P538" i="36"/>
  <c r="P555" i="36" s="1"/>
  <c r="P567" i="36"/>
  <c r="P504" i="36"/>
  <c r="N569" i="36"/>
  <c r="N571" i="36"/>
  <c r="Q601" i="36"/>
  <c r="P595" i="36"/>
  <c r="M37" i="34"/>
  <c r="P332" i="36"/>
  <c r="P519" i="36"/>
  <c r="Q525" i="36"/>
  <c r="N35" i="5"/>
  <c r="L12" i="42"/>
  <c r="N324" i="36"/>
  <c r="N42" i="36"/>
  <c r="L33" i="41"/>
  <c r="N40" i="36"/>
  <c r="M43" i="5"/>
  <c r="J22" i="34"/>
  <c r="J17" i="41"/>
  <c r="J20" i="41"/>
  <c r="J21" i="41" s="1"/>
  <c r="P328" i="36"/>
  <c r="P46" i="36"/>
  <c r="I30" i="34"/>
  <c r="Q30" i="34" s="1"/>
  <c r="L38" i="5"/>
  <c r="AH560" i="36"/>
  <c r="AG599" i="36"/>
  <c r="R599" i="36" s="1"/>
  <c r="R605" i="36" s="1"/>
  <c r="R560" i="36"/>
  <c r="R566" i="36" s="1"/>
  <c r="K26" i="41"/>
  <c r="K29" i="41"/>
  <c r="K30" i="41" s="1"/>
  <c r="J39" i="42"/>
  <c r="J62" i="42" s="1"/>
  <c r="L339" i="36"/>
  <c r="I78" i="34" s="1"/>
  <c r="L50" i="36"/>
  <c r="J4" i="42"/>
  <c r="L36" i="36"/>
  <c r="L14" i="36"/>
  <c r="R559" i="36"/>
  <c r="R565" i="36" s="1"/>
  <c r="AG598" i="36"/>
  <c r="R598" i="36" s="1"/>
  <c r="R604" i="36" s="1"/>
  <c r="AH559" i="36"/>
  <c r="J35" i="41"/>
  <c r="J38" i="41"/>
  <c r="J39" i="41" s="1"/>
  <c r="M33" i="41"/>
  <c r="O40" i="36"/>
  <c r="R558" i="36"/>
  <c r="R564" i="36" s="1"/>
  <c r="AG597" i="36"/>
  <c r="R597" i="36" s="1"/>
  <c r="R603" i="36" s="1"/>
  <c r="AH558" i="36"/>
  <c r="M18" i="5"/>
  <c r="M23" i="36"/>
  <c r="M997" i="36"/>
  <c r="AC997" i="36" s="1"/>
  <c r="M1045" i="36"/>
  <c r="M995" i="36"/>
  <c r="M1037" i="36"/>
  <c r="M1007" i="36"/>
  <c r="M1138" i="36"/>
  <c r="M1009" i="36"/>
  <c r="M1019" i="36"/>
  <c r="AC1019" i="36" s="1"/>
  <c r="N1019" i="36" s="1"/>
  <c r="M1015" i="36"/>
  <c r="M1062" i="36"/>
  <c r="M1005" i="36"/>
  <c r="M1043" i="36"/>
  <c r="M1031" i="36"/>
  <c r="AC1031" i="36" s="1"/>
  <c r="M1039" i="36"/>
  <c r="M1025" i="36"/>
  <c r="M999" i="36"/>
  <c r="M1001" i="36"/>
  <c r="M1131" i="36"/>
  <c r="M1021" i="36"/>
  <c r="M1023" i="36"/>
  <c r="AC1023" i="36" s="1"/>
  <c r="N1023" i="36" s="1"/>
  <c r="M1134" i="36"/>
  <c r="M1027" i="36"/>
  <c r="M1136" i="36"/>
  <c r="M1003" i="36"/>
  <c r="M1017" i="36"/>
  <c r="M1041" i="36"/>
  <c r="M1013" i="36"/>
  <c r="M1029" i="36"/>
  <c r="M1106" i="36"/>
  <c r="M1148" i="36"/>
  <c r="M1034" i="36"/>
  <c r="M1011" i="36"/>
  <c r="AC1011" i="36" s="1"/>
  <c r="L26" i="41"/>
  <c r="L29" i="41"/>
  <c r="L30" i="41" s="1"/>
  <c r="K31" i="42"/>
  <c r="K54" i="42" s="1"/>
  <c r="M51" i="36"/>
  <c r="J75" i="34" s="1"/>
  <c r="M30" i="36"/>
  <c r="M36" i="36" s="1"/>
  <c r="M324" i="36"/>
  <c r="M15" i="41"/>
  <c r="O38" i="36"/>
  <c r="L15" i="41"/>
  <c r="N38" i="36"/>
  <c r="Q521" i="36" l="1"/>
  <c r="P550" i="36"/>
  <c r="P553" i="36"/>
  <c r="P551" i="36"/>
  <c r="P554" i="36"/>
  <c r="P552" i="36"/>
  <c r="P327" i="36"/>
  <c r="Q333" i="36"/>
  <c r="Q327" i="36" s="1"/>
  <c r="O45" i="36"/>
  <c r="O327" i="36"/>
  <c r="P528" i="36"/>
  <c r="P562" i="36"/>
  <c r="O556" i="36"/>
  <c r="L36" i="34"/>
  <c r="O523" i="36"/>
  <c r="O335" i="36"/>
  <c r="O522" i="36"/>
  <c r="P323" i="36"/>
  <c r="P510" i="36"/>
  <c r="P499" i="36"/>
  <c r="Q538" i="36"/>
  <c r="Q555" i="36" s="1"/>
  <c r="R543" i="36"/>
  <c r="Q567" i="36"/>
  <c r="Q504" i="36"/>
  <c r="R526" i="36"/>
  <c r="R520" i="36" s="1"/>
  <c r="P544" i="36"/>
  <c r="O35" i="36"/>
  <c r="O318" i="36"/>
  <c r="O30" i="36" s="1"/>
  <c r="O512" i="36"/>
  <c r="O515" i="36"/>
  <c r="O511" i="36"/>
  <c r="O513" i="36"/>
  <c r="O505" i="36"/>
  <c r="O516" i="36"/>
  <c r="O514" i="36"/>
  <c r="Q595" i="36"/>
  <c r="N37" i="34"/>
  <c r="N572" i="36"/>
  <c r="N573" i="36" s="1"/>
  <c r="N530" i="36"/>
  <c r="N997" i="36"/>
  <c r="AD997" i="36"/>
  <c r="AD1011" i="36"/>
  <c r="N1011" i="36"/>
  <c r="AH597" i="36"/>
  <c r="S597" i="36" s="1"/>
  <c r="S603" i="36" s="1"/>
  <c r="S558" i="36"/>
  <c r="S564" i="36" s="1"/>
  <c r="J31" i="42"/>
  <c r="J54" i="42" s="1"/>
  <c r="L51" i="36"/>
  <c r="I75" i="34" s="1"/>
  <c r="L35" i="41"/>
  <c r="L38" i="41"/>
  <c r="L39" i="41" s="1"/>
  <c r="R527" i="36"/>
  <c r="L17" i="41"/>
  <c r="L20" i="41"/>
  <c r="L21" i="41" s="1"/>
  <c r="M24" i="36"/>
  <c r="M62" i="5"/>
  <c r="M1047" i="36"/>
  <c r="M1050" i="36" s="1"/>
  <c r="S560" i="36"/>
  <c r="S566" i="36" s="1"/>
  <c r="AH599" i="36"/>
  <c r="S599" i="36" s="1"/>
  <c r="S605" i="36" s="1"/>
  <c r="M17" i="41"/>
  <c r="M20" i="41"/>
  <c r="M21" i="41" s="1"/>
  <c r="L43" i="5"/>
  <c r="I22" i="34"/>
  <c r="Q22" i="34" s="1"/>
  <c r="R601" i="36"/>
  <c r="R525" i="36"/>
  <c r="M35" i="41"/>
  <c r="M38" i="41"/>
  <c r="M39" i="41" s="1"/>
  <c r="AD1019" i="36"/>
  <c r="O1019" i="36" s="1"/>
  <c r="L4" i="42"/>
  <c r="N36" i="36"/>
  <c r="N14" i="36"/>
  <c r="N1018" i="36" s="1"/>
  <c r="S559" i="36"/>
  <c r="S565" i="36" s="1"/>
  <c r="AH598" i="36"/>
  <c r="S598" i="36" s="1"/>
  <c r="S604" i="36" s="1"/>
  <c r="K30" i="34"/>
  <c r="N38" i="5"/>
  <c r="Q519" i="36"/>
  <c r="Q332" i="36"/>
  <c r="M22" i="5"/>
  <c r="M56" i="5" s="1"/>
  <c r="M57" i="5" s="1"/>
  <c r="J21" i="34"/>
  <c r="M1118" i="36"/>
  <c r="M1130" i="36" s="1"/>
  <c r="M1109" i="36"/>
  <c r="M1156" i="36" s="1"/>
  <c r="N1031" i="36"/>
  <c r="AD1031" i="36"/>
  <c r="L18" i="5"/>
  <c r="L199" i="24"/>
  <c r="L23" i="36"/>
  <c r="L997" i="36"/>
  <c r="L1045" i="36"/>
  <c r="N1045" i="36" s="1"/>
  <c r="L1134" i="36"/>
  <c r="L1138" i="36"/>
  <c r="N1138" i="36" s="1"/>
  <c r="L995" i="36"/>
  <c r="L1039" i="36"/>
  <c r="L1043" i="36"/>
  <c r="N1043" i="36" s="1"/>
  <c r="L999" i="36"/>
  <c r="L1003" i="36"/>
  <c r="L1007" i="36"/>
  <c r="L1015" i="36"/>
  <c r="L1019" i="36"/>
  <c r="L1031" i="36"/>
  <c r="L1021" i="36"/>
  <c r="L1136" i="36"/>
  <c r="L75" i="24"/>
  <c r="L1001" i="36"/>
  <c r="L1025" i="36"/>
  <c r="L1017" i="36"/>
  <c r="L1131" i="36"/>
  <c r="L1013" i="36"/>
  <c r="L1029" i="36"/>
  <c r="L1023" i="36"/>
  <c r="L1041" i="36"/>
  <c r="L1009" i="36"/>
  <c r="L1027" i="36"/>
  <c r="L1037" i="36"/>
  <c r="L1062" i="36"/>
  <c r="L1005" i="36"/>
  <c r="L1011" i="36"/>
  <c r="L1034" i="36"/>
  <c r="L1106" i="36"/>
  <c r="L1148" i="36"/>
  <c r="N24" i="41"/>
  <c r="P39" i="36"/>
  <c r="Q328" i="36"/>
  <c r="Q46" i="36"/>
  <c r="AD1023" i="36"/>
  <c r="O1023" i="36" s="1"/>
  <c r="P40" i="36"/>
  <c r="N33" i="41"/>
  <c r="P44" i="36"/>
  <c r="P326" i="36"/>
  <c r="Q45" i="36" l="1"/>
  <c r="Q39" i="36" s="1"/>
  <c r="Q550" i="36"/>
  <c r="Q552" i="36"/>
  <c r="Q553" i="36"/>
  <c r="Q551" i="36"/>
  <c r="Q554" i="36"/>
  <c r="O39" i="36"/>
  <c r="M24" i="41"/>
  <c r="R333" i="36"/>
  <c r="R327" i="36" s="1"/>
  <c r="P516" i="36"/>
  <c r="P515" i="36"/>
  <c r="P514" i="36"/>
  <c r="P511" i="36"/>
  <c r="P505" i="36"/>
  <c r="P513" i="36"/>
  <c r="P512" i="36"/>
  <c r="AD571" i="36"/>
  <c r="O571" i="36" s="1"/>
  <c r="O570" i="36" s="1"/>
  <c r="P318" i="36"/>
  <c r="P30" i="36" s="1"/>
  <c r="P35" i="36"/>
  <c r="O47" i="36"/>
  <c r="O41" i="36" s="1"/>
  <c r="O330" i="36"/>
  <c r="O329" i="36"/>
  <c r="L35" i="34"/>
  <c r="O517" i="36"/>
  <c r="M17" i="42"/>
  <c r="Q544" i="36"/>
  <c r="Q528" i="36"/>
  <c r="Q562" i="36"/>
  <c r="R538" i="36"/>
  <c r="S543" i="36"/>
  <c r="R567" i="36"/>
  <c r="R504" i="36"/>
  <c r="P556" i="36"/>
  <c r="M36" i="34"/>
  <c r="Q323" i="36"/>
  <c r="Q510" i="36"/>
  <c r="Q499" i="36"/>
  <c r="P335" i="36"/>
  <c r="P522" i="36"/>
  <c r="P523" i="36"/>
  <c r="R595" i="36"/>
  <c r="O37" i="34"/>
  <c r="N533" i="36"/>
  <c r="N337" i="36"/>
  <c r="N531" i="36"/>
  <c r="N532" i="36" s="1"/>
  <c r="N1030" i="36"/>
  <c r="S526" i="36"/>
  <c r="N996" i="36"/>
  <c r="S601" i="36"/>
  <c r="O997" i="36"/>
  <c r="AE997" i="36"/>
  <c r="O1138" i="36"/>
  <c r="AE1019" i="36"/>
  <c r="P1019" i="36" s="1"/>
  <c r="R334" i="36"/>
  <c r="R521" i="36"/>
  <c r="Q44" i="36"/>
  <c r="Q326" i="36"/>
  <c r="N18" i="5"/>
  <c r="N1014" i="36"/>
  <c r="N1000" i="36"/>
  <c r="N1004" i="36"/>
  <c r="N1024" i="36"/>
  <c r="N1028" i="36"/>
  <c r="N1034" i="36"/>
  <c r="N1106" i="36"/>
  <c r="N1016" i="36"/>
  <c r="N1012" i="36"/>
  <c r="N75" i="24"/>
  <c r="N1040" i="36"/>
  <c r="N148" i="5" s="1"/>
  <c r="N154" i="5" s="1"/>
  <c r="N26" i="17" s="1"/>
  <c r="N1002" i="36"/>
  <c r="N1026" i="36"/>
  <c r="N998" i="36"/>
  <c r="N1006" i="36"/>
  <c r="N1038" i="36"/>
  <c r="N38" i="41"/>
  <c r="N39" i="41" s="1"/>
  <c r="N35" i="41"/>
  <c r="O1011" i="36"/>
  <c r="AE1011" i="36"/>
  <c r="M73" i="5"/>
  <c r="J74" i="34" s="1"/>
  <c r="M66" i="5"/>
  <c r="O33" i="41"/>
  <c r="Q40" i="36"/>
  <c r="N29" i="41"/>
  <c r="N30" i="41" s="1"/>
  <c r="N26" i="41"/>
  <c r="N1044" i="36"/>
  <c r="N181" i="5" s="1"/>
  <c r="N187" i="5" s="1"/>
  <c r="N29" i="17" s="1"/>
  <c r="O1045" i="36"/>
  <c r="R519" i="36"/>
  <c r="R332" i="36"/>
  <c r="L1118" i="36"/>
  <c r="L1130" i="36" s="1"/>
  <c r="L1109" i="36"/>
  <c r="L1156" i="36" s="1"/>
  <c r="N43" i="5"/>
  <c r="K22" i="34"/>
  <c r="P38" i="36"/>
  <c r="N15" i="41"/>
  <c r="O1031" i="36"/>
  <c r="AE1031" i="36"/>
  <c r="N1010" i="36"/>
  <c r="S527" i="36"/>
  <c r="M1052" i="36"/>
  <c r="M1054" i="36"/>
  <c r="M212" i="5" s="1"/>
  <c r="M1084" i="36"/>
  <c r="M1144" i="36"/>
  <c r="N1022" i="36"/>
  <c r="O1043" i="36"/>
  <c r="N1042" i="36"/>
  <c r="N170" i="5" s="1"/>
  <c r="N176" i="5" s="1"/>
  <c r="N28" i="17" s="1"/>
  <c r="AE1023" i="36"/>
  <c r="P1023" i="36" s="1"/>
  <c r="L24" i="36"/>
  <c r="L62" i="5"/>
  <c r="L1047" i="36"/>
  <c r="L1050" i="36" s="1"/>
  <c r="L22" i="5"/>
  <c r="L56" i="5" s="1"/>
  <c r="L57" i="5" s="1"/>
  <c r="I21" i="34"/>
  <c r="Q21" i="34" s="1"/>
  <c r="S525" i="36"/>
  <c r="O24" i="41" l="1"/>
  <c r="O29" i="41" s="1"/>
  <c r="O30" i="41" s="1"/>
  <c r="R45" i="36"/>
  <c r="R39" i="36" s="1"/>
  <c r="R550" i="36"/>
  <c r="R552" i="36"/>
  <c r="R553" i="36"/>
  <c r="R551" i="36"/>
  <c r="R554" i="36"/>
  <c r="R555" i="36"/>
  <c r="Q516" i="36"/>
  <c r="M26" i="41"/>
  <c r="M29" i="41"/>
  <c r="M30" i="41" s="1"/>
  <c r="O569" i="36"/>
  <c r="O572" i="36" s="1"/>
  <c r="O573" i="36" s="1"/>
  <c r="O612" i="36" s="1"/>
  <c r="N36" i="34"/>
  <c r="Q556" i="36"/>
  <c r="P329" i="36"/>
  <c r="P47" i="36"/>
  <c r="P41" i="36" s="1"/>
  <c r="P330" i="36"/>
  <c r="Q335" i="36"/>
  <c r="Q522" i="36"/>
  <c r="Q523" i="36"/>
  <c r="S504" i="36"/>
  <c r="S538" i="36"/>
  <c r="S567" i="36"/>
  <c r="R544" i="36"/>
  <c r="M35" i="34"/>
  <c r="N17" i="42"/>
  <c r="P517" i="36"/>
  <c r="Q515" i="36"/>
  <c r="Q513" i="36"/>
  <c r="Q511" i="36"/>
  <c r="Q514" i="36"/>
  <c r="Q505" i="36"/>
  <c r="AF571" i="36"/>
  <c r="Q571" i="36" s="1"/>
  <c r="Q512" i="36"/>
  <c r="AE571" i="36"/>
  <c r="P571" i="36" s="1"/>
  <c r="P570" i="36" s="1"/>
  <c r="Q35" i="36"/>
  <c r="Q318" i="36"/>
  <c r="Q30" i="36" s="1"/>
  <c r="M12" i="42"/>
  <c r="O324" i="36"/>
  <c r="O35" i="5"/>
  <c r="O42" i="36"/>
  <c r="R323" i="36"/>
  <c r="R499" i="36"/>
  <c r="R516" i="36" s="1"/>
  <c r="R510" i="36"/>
  <c r="R528" i="36"/>
  <c r="R562" i="36"/>
  <c r="N338" i="36"/>
  <c r="N49" i="36"/>
  <c r="S595" i="36"/>
  <c r="P37" i="34"/>
  <c r="L44" i="42"/>
  <c r="N534" i="36"/>
  <c r="K83" i="34" s="1"/>
  <c r="J98" i="34"/>
  <c r="J103" i="34" s="1"/>
  <c r="M222" i="5"/>
  <c r="M1085" i="36"/>
  <c r="L73" i="5"/>
  <c r="I74" i="34" s="1"/>
  <c r="L66" i="5"/>
  <c r="L77" i="5" s="1"/>
  <c r="N1109" i="36"/>
  <c r="N1133" i="36"/>
  <c r="N1135" i="36"/>
  <c r="S334" i="36"/>
  <c r="S521" i="36"/>
  <c r="N126" i="5"/>
  <c r="N132" i="5" s="1"/>
  <c r="N24" i="17" s="1"/>
  <c r="N1036" i="36"/>
  <c r="N1037" i="36" s="1"/>
  <c r="P1138" i="36"/>
  <c r="N198" i="24"/>
  <c r="K21" i="34"/>
  <c r="N23" i="5"/>
  <c r="P1045" i="36"/>
  <c r="O38" i="41"/>
  <c r="O39" i="41" s="1"/>
  <c r="O35" i="41"/>
  <c r="P997" i="36"/>
  <c r="AF997" i="36"/>
  <c r="L1054" i="36"/>
  <c r="L212" i="5" s="1"/>
  <c r="L216" i="5" s="1"/>
  <c r="L1084" i="36"/>
  <c r="L1144" i="36"/>
  <c r="L1052" i="36"/>
  <c r="P1011" i="36"/>
  <c r="AF1011" i="36"/>
  <c r="N1137" i="36"/>
  <c r="N66" i="5"/>
  <c r="N77" i="5" s="1"/>
  <c r="M77" i="5"/>
  <c r="N1008" i="36"/>
  <c r="N994" i="36"/>
  <c r="AF1031" i="36"/>
  <c r="P1031" i="36"/>
  <c r="N20" i="41"/>
  <c r="N21" i="41" s="1"/>
  <c r="N17" i="41"/>
  <c r="O15" i="41"/>
  <c r="Q38" i="36"/>
  <c r="AF1023" i="36"/>
  <c r="Q1023" i="36" s="1"/>
  <c r="S333" i="36"/>
  <c r="S520" i="36"/>
  <c r="R44" i="36"/>
  <c r="R326" i="36"/>
  <c r="R46" i="36"/>
  <c r="R328" i="36"/>
  <c r="AF1019" i="36"/>
  <c r="Q1019" i="36" s="1"/>
  <c r="P1043" i="36"/>
  <c r="S332" i="36"/>
  <c r="S519" i="36"/>
  <c r="N1020" i="36"/>
  <c r="P24" i="41" l="1"/>
  <c r="P29" i="41" s="1"/>
  <c r="P30" i="41" s="1"/>
  <c r="O26" i="41"/>
  <c r="R37" i="34"/>
  <c r="N1151" i="36"/>
  <c r="N1150" i="36" s="1"/>
  <c r="N1114" i="36" s="1"/>
  <c r="S550" i="36"/>
  <c r="S552" i="36"/>
  <c r="S553" i="36"/>
  <c r="S551" i="36"/>
  <c r="S554" i="36"/>
  <c r="S555" i="36"/>
  <c r="O611" i="36"/>
  <c r="O608" i="36" s="1"/>
  <c r="Q570" i="36"/>
  <c r="P569" i="36"/>
  <c r="P572" i="36" s="1"/>
  <c r="P573" i="36" s="1"/>
  <c r="P612" i="36" s="1"/>
  <c r="R515" i="36"/>
  <c r="R511" i="36"/>
  <c r="R512" i="36"/>
  <c r="R513" i="36"/>
  <c r="R514" i="36"/>
  <c r="R505" i="36"/>
  <c r="Q517" i="36"/>
  <c r="O17" i="42"/>
  <c r="N35" i="34"/>
  <c r="S544" i="36"/>
  <c r="Q329" i="36"/>
  <c r="Q47" i="36"/>
  <c r="Q41" i="36" s="1"/>
  <c r="Q330" i="36"/>
  <c r="L30" i="34"/>
  <c r="O38" i="5"/>
  <c r="P324" i="36"/>
  <c r="N12" i="42"/>
  <c r="P35" i="5"/>
  <c r="P42" i="36"/>
  <c r="R522" i="36"/>
  <c r="R335" i="36"/>
  <c r="R523" i="36"/>
  <c r="R35" i="36"/>
  <c r="R318" i="36"/>
  <c r="R30" i="36" s="1"/>
  <c r="S528" i="36"/>
  <c r="S562" i="36"/>
  <c r="S323" i="36"/>
  <c r="S499" i="36"/>
  <c r="S510" i="36"/>
  <c r="R556" i="36"/>
  <c r="O36" i="34"/>
  <c r="M4" i="42"/>
  <c r="O36" i="36"/>
  <c r="O14" i="36"/>
  <c r="N21" i="36"/>
  <c r="N50" i="36"/>
  <c r="L39" i="42"/>
  <c r="L62" i="42" s="1"/>
  <c r="N339" i="36"/>
  <c r="K78" i="34" s="1"/>
  <c r="AG1023" i="36"/>
  <c r="R1023" i="36" s="1"/>
  <c r="N82" i="5"/>
  <c r="N88" i="5" s="1"/>
  <c r="N13" i="17" s="1"/>
  <c r="N995" i="36"/>
  <c r="N993" i="36"/>
  <c r="I98" i="34"/>
  <c r="L222" i="5"/>
  <c r="L1085" i="36"/>
  <c r="Q1138" i="36"/>
  <c r="AG1011" i="36"/>
  <c r="Q1011" i="36"/>
  <c r="N39" i="24"/>
  <c r="S44" i="36"/>
  <c r="S326" i="36"/>
  <c r="S327" i="36"/>
  <c r="S45" i="36"/>
  <c r="AG1031" i="36"/>
  <c r="Q1031" i="36"/>
  <c r="S46" i="36"/>
  <c r="S328" i="36"/>
  <c r="Q1045" i="36"/>
  <c r="AG1019" i="36"/>
  <c r="R1019" i="36" s="1"/>
  <c r="K4" i="34"/>
  <c r="M275" i="1"/>
  <c r="N8" i="17"/>
  <c r="M477" i="1"/>
  <c r="M325" i="1"/>
  <c r="M300" i="1"/>
  <c r="M427" i="1"/>
  <c r="M452" i="1"/>
  <c r="M350" i="1"/>
  <c r="M502" i="1"/>
  <c r="O20" i="41"/>
  <c r="O21" i="41" s="1"/>
  <c r="O17" i="41"/>
  <c r="N1009" i="36"/>
  <c r="N93" i="5"/>
  <c r="N99" i="5" s="1"/>
  <c r="N15" i="17" s="1"/>
  <c r="P33" i="41"/>
  <c r="R40" i="36"/>
  <c r="M227" i="5"/>
  <c r="M239" i="5" s="1"/>
  <c r="M234" i="5"/>
  <c r="P15" i="41"/>
  <c r="R38" i="36"/>
  <c r="N104" i="5"/>
  <c r="N110" i="5" s="1"/>
  <c r="N17" i="17" s="1"/>
  <c r="N1021" i="36"/>
  <c r="Q997" i="36"/>
  <c r="AG997" i="36"/>
  <c r="Q1043" i="36"/>
  <c r="P26" i="41" l="1"/>
  <c r="N1116" i="36"/>
  <c r="N257" i="5" s="1"/>
  <c r="N263" i="5" s="1"/>
  <c r="N14" i="19" s="1"/>
  <c r="P14" i="19" s="1"/>
  <c r="K108" i="34" s="1"/>
  <c r="K112" i="34" s="1"/>
  <c r="N1117" i="36"/>
  <c r="N269" i="5" s="1"/>
  <c r="N275" i="5" s="1"/>
  <c r="N47" i="19" s="1"/>
  <c r="P47" i="19" s="1"/>
  <c r="N1115" i="36"/>
  <c r="N246" i="5" s="1"/>
  <c r="N252" i="5" s="1"/>
  <c r="N13" i="19" s="1"/>
  <c r="N1118" i="36"/>
  <c r="N1130" i="36" s="1"/>
  <c r="O609" i="36"/>
  <c r="O530" i="36"/>
  <c r="P611" i="36"/>
  <c r="P608" i="36" s="1"/>
  <c r="M30" i="34"/>
  <c r="P38" i="5"/>
  <c r="R47" i="36"/>
  <c r="R41" i="36" s="1"/>
  <c r="R329" i="36"/>
  <c r="R330" i="36"/>
  <c r="O43" i="5"/>
  <c r="L22" i="34"/>
  <c r="AG571" i="36"/>
  <c r="R571" i="36" s="1"/>
  <c r="R570" i="36" s="1"/>
  <c r="Q324" i="36"/>
  <c r="Q42" i="36"/>
  <c r="O12" i="42"/>
  <c r="Q35" i="5"/>
  <c r="R517" i="36"/>
  <c r="P17" i="42"/>
  <c r="O35" i="34"/>
  <c r="S516" i="36"/>
  <c r="S512" i="36"/>
  <c r="S514" i="36"/>
  <c r="S515" i="36"/>
  <c r="S505" i="36"/>
  <c r="S513" i="36"/>
  <c r="S511" i="36"/>
  <c r="O1014" i="36"/>
  <c r="O1040" i="36"/>
  <c r="O148" i="5" s="1"/>
  <c r="O154" i="5" s="1"/>
  <c r="O26" i="17" s="1"/>
  <c r="O1038" i="36"/>
  <c r="O1012" i="36"/>
  <c r="O1028" i="36"/>
  <c r="O1004" i="36"/>
  <c r="O1000" i="36"/>
  <c r="O1006" i="36"/>
  <c r="O1016" i="36"/>
  <c r="O1024" i="36"/>
  <c r="O1002" i="36"/>
  <c r="O998" i="36"/>
  <c r="O1022" i="36"/>
  <c r="O1106" i="36"/>
  <c r="O1018" i="36"/>
  <c r="O1026" i="36"/>
  <c r="O18" i="5"/>
  <c r="O75" i="24"/>
  <c r="O1010" i="36"/>
  <c r="O1042" i="36"/>
  <c r="O170" i="5" s="1"/>
  <c r="O176" i="5" s="1"/>
  <c r="O28" i="17" s="1"/>
  <c r="O996" i="36"/>
  <c r="O1030" i="36"/>
  <c r="O1044" i="36"/>
  <c r="O181" i="5" s="1"/>
  <c r="O187" i="5" s="1"/>
  <c r="O29" i="17" s="1"/>
  <c r="S35" i="36"/>
  <c r="S318" i="36"/>
  <c r="S30" i="36" s="1"/>
  <c r="P36" i="34"/>
  <c r="R36" i="34" s="1"/>
  <c r="S556" i="36"/>
  <c r="P14" i="36"/>
  <c r="P36" i="36"/>
  <c r="N4" i="42"/>
  <c r="S335" i="36"/>
  <c r="S522" i="36"/>
  <c r="S523" i="36"/>
  <c r="Q569" i="36"/>
  <c r="Q572" i="36" s="1"/>
  <c r="Q573" i="36" s="1"/>
  <c r="Q612" i="36" s="1"/>
  <c r="N14" i="17"/>
  <c r="K90" i="34" s="1"/>
  <c r="L31" i="42"/>
  <c r="L54" i="42" s="1"/>
  <c r="N51" i="36"/>
  <c r="K75" i="34" s="1"/>
  <c r="N18" i="17"/>
  <c r="K92" i="34" s="1"/>
  <c r="N1111" i="36"/>
  <c r="N23" i="36"/>
  <c r="N1047" i="36" s="1"/>
  <c r="N1050" i="36" s="1"/>
  <c r="Q15" i="41"/>
  <c r="S38" i="36"/>
  <c r="P38" i="41"/>
  <c r="P39" i="41" s="1"/>
  <c r="P35" i="41"/>
  <c r="N16" i="17"/>
  <c r="K91" i="34" s="1"/>
  <c r="P13" i="19"/>
  <c r="AH1023" i="36"/>
  <c r="S1023" i="36" s="1"/>
  <c r="Q33" i="41"/>
  <c r="S40" i="36"/>
  <c r="R997" i="36"/>
  <c r="AH997" i="36"/>
  <c r="S997" i="36" s="1"/>
  <c r="AH1031" i="36"/>
  <c r="S1031" i="36" s="1"/>
  <c r="R1031" i="36"/>
  <c r="N10" i="25"/>
  <c r="P10" i="25" s="1"/>
  <c r="N21" i="17"/>
  <c r="K93" i="34" s="1"/>
  <c r="R1043" i="36"/>
  <c r="L227" i="5"/>
  <c r="L239" i="5" s="1"/>
  <c r="L234" i="5"/>
  <c r="R1045" i="36"/>
  <c r="Q98" i="34"/>
  <c r="I103" i="34"/>
  <c r="P20" i="41"/>
  <c r="P21" i="41" s="1"/>
  <c r="P17" i="41"/>
  <c r="R1011" i="36"/>
  <c r="AH1011" i="36"/>
  <c r="S1011" i="36" s="1"/>
  <c r="AH1019" i="36"/>
  <c r="S1019" i="36" s="1"/>
  <c r="R1138" i="36"/>
  <c r="Q24" i="41"/>
  <c r="S39" i="36"/>
  <c r="N1112" i="36"/>
  <c r="N1141" i="36" s="1"/>
  <c r="N1120" i="36" l="1"/>
  <c r="N1123" i="36"/>
  <c r="P609" i="36"/>
  <c r="P610" i="36" s="1"/>
  <c r="P530" i="36"/>
  <c r="O994" i="36"/>
  <c r="Q611" i="36"/>
  <c r="Q608" i="36" s="1"/>
  <c r="O531" i="36"/>
  <c r="O532" i="36" s="1"/>
  <c r="O337" i="36"/>
  <c r="O533" i="36"/>
  <c r="O82" i="5"/>
  <c r="O88" i="5" s="1"/>
  <c r="O13" i="17" s="1"/>
  <c r="O995" i="36"/>
  <c r="P35" i="34"/>
  <c r="R35" i="34" s="1"/>
  <c r="S517" i="36"/>
  <c r="Q17" i="42"/>
  <c r="P1040" i="36"/>
  <c r="P148" i="5" s="1"/>
  <c r="P154" i="5" s="1"/>
  <c r="P26" i="17" s="1"/>
  <c r="P1010" i="36"/>
  <c r="P1004" i="36"/>
  <c r="P1026" i="36"/>
  <c r="P1014" i="36"/>
  <c r="P1012" i="36"/>
  <c r="P75" i="24"/>
  <c r="P1042" i="36"/>
  <c r="P170" i="5" s="1"/>
  <c r="P176" i="5" s="1"/>
  <c r="P28" i="17" s="1"/>
  <c r="P1038" i="36"/>
  <c r="P1030" i="36"/>
  <c r="P1000" i="36"/>
  <c r="P1022" i="36"/>
  <c r="P1002" i="36"/>
  <c r="P1024" i="36"/>
  <c r="P998" i="36"/>
  <c r="P18" i="5"/>
  <c r="P1006" i="36"/>
  <c r="P1044" i="36"/>
  <c r="P181" i="5" s="1"/>
  <c r="P187" i="5" s="1"/>
  <c r="P29" i="17" s="1"/>
  <c r="P1018" i="36"/>
  <c r="P1028" i="36"/>
  <c r="P996" i="36"/>
  <c r="P1016" i="36"/>
  <c r="P1106" i="36"/>
  <c r="O1133" i="36"/>
  <c r="O1109" i="36"/>
  <c r="O1135" i="36"/>
  <c r="O1137" i="36"/>
  <c r="R569" i="36"/>
  <c r="R572" i="36" s="1"/>
  <c r="R573" i="36" s="1"/>
  <c r="R612" i="36" s="1"/>
  <c r="O1020" i="36"/>
  <c r="O198" i="24"/>
  <c r="O39" i="24" s="1"/>
  <c r="O23" i="5"/>
  <c r="L21" i="34"/>
  <c r="Q14" i="36"/>
  <c r="O4" i="42"/>
  <c r="Q36" i="36"/>
  <c r="AH571" i="36"/>
  <c r="S571" i="36" s="1"/>
  <c r="S570" i="36" s="1"/>
  <c r="S569" i="36" s="1"/>
  <c r="O126" i="5"/>
  <c r="O132" i="5" s="1"/>
  <c r="O24" i="17" s="1"/>
  <c r="O1036" i="36"/>
  <c r="O1037" i="36" s="1"/>
  <c r="S47" i="36"/>
  <c r="S41" i="36" s="1"/>
  <c r="S329" i="36"/>
  <c r="S330" i="36"/>
  <c r="Q38" i="5"/>
  <c r="N30" i="34"/>
  <c r="R324" i="36"/>
  <c r="R42" i="36"/>
  <c r="R35" i="5"/>
  <c r="P12" i="42"/>
  <c r="O1008" i="36"/>
  <c r="P43" i="5"/>
  <c r="M22" i="34"/>
  <c r="N24" i="36"/>
  <c r="N62" i="5"/>
  <c r="N1139" i="36"/>
  <c r="Q29" i="41"/>
  <c r="Q30" i="41" s="1"/>
  <c r="Q26" i="41"/>
  <c r="S1043" i="36"/>
  <c r="S1138" i="36"/>
  <c r="N1143" i="36"/>
  <c r="N1051" i="36"/>
  <c r="N1054" i="36"/>
  <c r="N212" i="5" s="1"/>
  <c r="S1045" i="36"/>
  <c r="Q38" i="41"/>
  <c r="Q39" i="41" s="1"/>
  <c r="Q35" i="41"/>
  <c r="Q20" i="41"/>
  <c r="Q21" i="41" s="1"/>
  <c r="Q17" i="41"/>
  <c r="N1145" i="36" l="1"/>
  <c r="Q609" i="36"/>
  <c r="Q610" i="36" s="1"/>
  <c r="Q530" i="36"/>
  <c r="O1151" i="36"/>
  <c r="O1150" i="36" s="1"/>
  <c r="O1114" i="36" s="1"/>
  <c r="O49" i="36"/>
  <c r="O338" i="36"/>
  <c r="P531" i="36"/>
  <c r="P532" i="36" s="1"/>
  <c r="P533" i="36"/>
  <c r="P337" i="36"/>
  <c r="M44" i="42"/>
  <c r="O534" i="36"/>
  <c r="L83" i="34" s="1"/>
  <c r="P994" i="36"/>
  <c r="P995" i="36" s="1"/>
  <c r="R611" i="36"/>
  <c r="R608" i="36" s="1"/>
  <c r="S572" i="36"/>
  <c r="S573" i="36" s="1"/>
  <c r="S612" i="36" s="1"/>
  <c r="P126" i="5"/>
  <c r="P132" i="5" s="1"/>
  <c r="P24" i="17" s="1"/>
  <c r="P1036" i="36"/>
  <c r="P1037" i="36" s="1"/>
  <c r="L4" i="34"/>
  <c r="O8" i="17"/>
  <c r="Q10" i="25" s="1"/>
  <c r="P1137" i="36"/>
  <c r="P1135" i="36"/>
  <c r="P1133" i="36"/>
  <c r="P1109" i="36"/>
  <c r="O30" i="34"/>
  <c r="R38" i="5"/>
  <c r="O1009" i="36"/>
  <c r="O93" i="5"/>
  <c r="O99" i="5" s="1"/>
  <c r="O15" i="17" s="1"/>
  <c r="M21" i="34"/>
  <c r="P23" i="5"/>
  <c r="P198" i="24"/>
  <c r="P39" i="24" s="1"/>
  <c r="P4" i="42"/>
  <c r="R36" i="36"/>
  <c r="R14" i="36"/>
  <c r="O1021" i="36"/>
  <c r="O104" i="5"/>
  <c r="O110" i="5" s="1"/>
  <c r="O17" i="17" s="1"/>
  <c r="Q1018" i="36"/>
  <c r="Q1006" i="36"/>
  <c r="Q75" i="24"/>
  <c r="Q1042" i="36"/>
  <c r="Q170" i="5" s="1"/>
  <c r="Q176" i="5" s="1"/>
  <c r="Q28" i="17" s="1"/>
  <c r="Q1026" i="36"/>
  <c r="Q1028" i="36"/>
  <c r="Q1106" i="36"/>
  <c r="Q1038" i="36"/>
  <c r="Q1014" i="36"/>
  <c r="Q1012" i="36"/>
  <c r="Q1000" i="36"/>
  <c r="Q996" i="36"/>
  <c r="Q18" i="5"/>
  <c r="Q1024" i="36"/>
  <c r="Q1022" i="36"/>
  <c r="Q1010" i="36"/>
  <c r="Q1002" i="36"/>
  <c r="Q1016" i="36"/>
  <c r="Q1030" i="36"/>
  <c r="Q1040" i="36"/>
  <c r="Q148" i="5" s="1"/>
  <c r="Q154" i="5" s="1"/>
  <c r="Q26" i="17" s="1"/>
  <c r="Q1044" i="36"/>
  <c r="Q181" i="5" s="1"/>
  <c r="Q187" i="5" s="1"/>
  <c r="Q29" i="17" s="1"/>
  <c r="Q1004" i="36"/>
  <c r="Q998" i="36"/>
  <c r="P1020" i="36"/>
  <c r="O993" i="36"/>
  <c r="O1112" i="36" s="1"/>
  <c r="O1141" i="36" s="1"/>
  <c r="P1008" i="36"/>
  <c r="N22" i="34"/>
  <c r="Q43" i="5"/>
  <c r="S42" i="36"/>
  <c r="Q12" i="42"/>
  <c r="S35" i="5"/>
  <c r="P30" i="34" s="1"/>
  <c r="S324" i="36"/>
  <c r="N1125" i="36"/>
  <c r="N1126" i="36"/>
  <c r="N324" i="5" s="1"/>
  <c r="N330" i="5" s="1"/>
  <c r="N16" i="19" s="1"/>
  <c r="N312" i="5"/>
  <c r="N318" i="5" s="1"/>
  <c r="N46" i="19" s="1"/>
  <c r="P46" i="19" s="1"/>
  <c r="K110" i="34" s="1"/>
  <c r="N1124" i="36"/>
  <c r="N301" i="5" s="1"/>
  <c r="N307" i="5" s="1"/>
  <c r="N45" i="19" s="1"/>
  <c r="P45" i="19" s="1"/>
  <c r="N291" i="5"/>
  <c r="N296" i="5" s="1"/>
  <c r="N21" i="19" s="1"/>
  <c r="P21" i="19" s="1"/>
  <c r="K109" i="34" s="1"/>
  <c r="N1129" i="36"/>
  <c r="N1131" i="36" s="1"/>
  <c r="N73" i="5"/>
  <c r="K74" i="34" s="1"/>
  <c r="N67" i="5"/>
  <c r="N202" i="5"/>
  <c r="N207" i="5" s="1"/>
  <c r="N37" i="17" s="1"/>
  <c r="N159" i="5"/>
  <c r="N165" i="5" s="1"/>
  <c r="N27" i="17" s="1"/>
  <c r="N23" i="17" s="1"/>
  <c r="O14" i="17" l="1"/>
  <c r="L90" i="34" s="1"/>
  <c r="O18" i="17"/>
  <c r="L92" i="34" s="1"/>
  <c r="O1115" i="36"/>
  <c r="O246" i="5" s="1"/>
  <c r="O252" i="5" s="1"/>
  <c r="Q13" i="19" s="1"/>
  <c r="O1116" i="36"/>
  <c r="O257" i="5" s="1"/>
  <c r="O263" i="5" s="1"/>
  <c r="Q14" i="19" s="1"/>
  <c r="L108" i="34" s="1"/>
  <c r="L112" i="34" s="1"/>
  <c r="O1117" i="36"/>
  <c r="O269" i="5" s="1"/>
  <c r="O275" i="5" s="1"/>
  <c r="Q47" i="19" s="1"/>
  <c r="O1118" i="36"/>
  <c r="O1130" i="36" s="1"/>
  <c r="O50" i="36"/>
  <c r="O21" i="36"/>
  <c r="P338" i="36"/>
  <c r="P49" i="36"/>
  <c r="Q337" i="36"/>
  <c r="Q533" i="36"/>
  <c r="Q531" i="36"/>
  <c r="Q532" i="36" s="1"/>
  <c r="N44" i="42"/>
  <c r="P534" i="36"/>
  <c r="M83" i="34" s="1"/>
  <c r="P1151" i="36"/>
  <c r="P1150" i="36" s="1"/>
  <c r="P1114" i="36" s="1"/>
  <c r="M39" i="42"/>
  <c r="M62" i="42" s="1"/>
  <c r="O339" i="36"/>
  <c r="L78" i="34" s="1"/>
  <c r="P82" i="5"/>
  <c r="P88" i="5" s="1"/>
  <c r="P13" i="17" s="1"/>
  <c r="R609" i="36"/>
  <c r="R610" i="36" s="1"/>
  <c r="R530" i="36"/>
  <c r="S611" i="36"/>
  <c r="S608" i="36" s="1"/>
  <c r="Q1008" i="36"/>
  <c r="N21" i="34"/>
  <c r="Q23" i="5"/>
  <c r="Q198" i="24"/>
  <c r="Q39" i="24" s="1"/>
  <c r="R43" i="5"/>
  <c r="O22" i="34"/>
  <c r="Q4" i="42"/>
  <c r="S36" i="36"/>
  <c r="S14" i="36"/>
  <c r="S38" i="5"/>
  <c r="R30" i="34"/>
  <c r="P93" i="5"/>
  <c r="P99" i="5" s="1"/>
  <c r="P15" i="17" s="1"/>
  <c r="P1009" i="36"/>
  <c r="P993" i="36"/>
  <c r="P1112" i="36" s="1"/>
  <c r="P1141" i="36" s="1"/>
  <c r="P104" i="5"/>
  <c r="P110" i="5" s="1"/>
  <c r="P17" i="17" s="1"/>
  <c r="P1021" i="36"/>
  <c r="O16" i="17"/>
  <c r="L91" i="34" s="1"/>
  <c r="Q994" i="36"/>
  <c r="M4" i="34"/>
  <c r="P8" i="17"/>
  <c r="R10" i="25" s="1"/>
  <c r="Q126" i="5"/>
  <c r="Q132" i="5" s="1"/>
  <c r="Q24" i="17" s="1"/>
  <c r="Q1036" i="36"/>
  <c r="Q1037" i="36" s="1"/>
  <c r="Q1137" i="36"/>
  <c r="Q1135" i="36"/>
  <c r="Q1109" i="36"/>
  <c r="Q1133" i="36"/>
  <c r="Q1020" i="36"/>
  <c r="R1022" i="36"/>
  <c r="R18" i="5"/>
  <c r="R1040" i="36"/>
  <c r="R148" i="5" s="1"/>
  <c r="R154" i="5" s="1"/>
  <c r="R26" i="17" s="1"/>
  <c r="R75" i="24"/>
  <c r="R1038" i="36"/>
  <c r="R1028" i="36"/>
  <c r="R1018" i="36"/>
  <c r="R998" i="36"/>
  <c r="R1002" i="36"/>
  <c r="R1024" i="36"/>
  <c r="R1030" i="36"/>
  <c r="R1006" i="36"/>
  <c r="R1044" i="36"/>
  <c r="R181" i="5" s="1"/>
  <c r="R187" i="5" s="1"/>
  <c r="R29" i="17" s="1"/>
  <c r="R1026" i="36"/>
  <c r="R1010" i="36"/>
  <c r="R1106" i="36"/>
  <c r="R1000" i="36"/>
  <c r="R1042" i="36"/>
  <c r="R170" i="5" s="1"/>
  <c r="R176" i="5" s="1"/>
  <c r="R28" i="17" s="1"/>
  <c r="R996" i="36"/>
  <c r="R1014" i="36"/>
  <c r="R1016" i="36"/>
  <c r="R1004" i="36"/>
  <c r="R1012" i="36"/>
  <c r="P16" i="19"/>
  <c r="P97" i="19" s="1"/>
  <c r="P98" i="19" s="1"/>
  <c r="N97" i="19"/>
  <c r="N98" i="19" s="1"/>
  <c r="N11" i="22" s="1"/>
  <c r="N243" i="24"/>
  <c r="N40" i="24" s="1"/>
  <c r="N37" i="24" s="1"/>
  <c r="N16" i="22" s="1"/>
  <c r="N10" i="17"/>
  <c r="N68" i="5"/>
  <c r="K57" i="34" s="1"/>
  <c r="N1147" i="36"/>
  <c r="N1148" i="36" s="1"/>
  <c r="P1118" i="36" l="1"/>
  <c r="P1130" i="36" s="1"/>
  <c r="P1116" i="36"/>
  <c r="P257" i="5" s="1"/>
  <c r="P263" i="5" s="1"/>
  <c r="R14" i="19" s="1"/>
  <c r="M108" i="34" s="1"/>
  <c r="M112" i="34" s="1"/>
  <c r="P1117" i="36"/>
  <c r="P269" i="5" s="1"/>
  <c r="P275" i="5" s="1"/>
  <c r="R47" i="19" s="1"/>
  <c r="P1115" i="36"/>
  <c r="P246" i="5" s="1"/>
  <c r="P252" i="5" s="1"/>
  <c r="R13" i="19" s="1"/>
  <c r="Q1151" i="36"/>
  <c r="Q1150" i="36" s="1"/>
  <c r="Q1114" i="36" s="1"/>
  <c r="Q49" i="36"/>
  <c r="Q338" i="36"/>
  <c r="P18" i="17"/>
  <c r="M92" i="34" s="1"/>
  <c r="P16" i="17"/>
  <c r="M91" i="34" s="1"/>
  <c r="Q534" i="36"/>
  <c r="N83" i="34" s="1"/>
  <c r="O44" i="42"/>
  <c r="P21" i="36"/>
  <c r="P50" i="36"/>
  <c r="P339" i="36"/>
  <c r="M78" i="34" s="1"/>
  <c r="N39" i="42"/>
  <c r="N62" i="42" s="1"/>
  <c r="O1111" i="36"/>
  <c r="O23" i="36"/>
  <c r="M31" i="42"/>
  <c r="M54" i="42" s="1"/>
  <c r="O51" i="36"/>
  <c r="L75" i="34" s="1"/>
  <c r="R1008" i="36"/>
  <c r="R93" i="5" s="1"/>
  <c r="R99" i="5" s="1"/>
  <c r="R15" i="17" s="1"/>
  <c r="R533" i="36"/>
  <c r="R337" i="36"/>
  <c r="R531" i="36"/>
  <c r="R532" i="36" s="1"/>
  <c r="S609" i="36"/>
  <c r="S610" i="36" s="1"/>
  <c r="S530" i="36"/>
  <c r="S533" i="36" s="1"/>
  <c r="S998" i="36"/>
  <c r="S1042" i="36"/>
  <c r="S170" i="5" s="1"/>
  <c r="S176" i="5" s="1"/>
  <c r="S28" i="17" s="1"/>
  <c r="S1106" i="36"/>
  <c r="S18" i="5"/>
  <c r="S1002" i="36"/>
  <c r="S1026" i="36"/>
  <c r="S1016" i="36"/>
  <c r="S1044" i="36"/>
  <c r="S181" i="5" s="1"/>
  <c r="S187" i="5" s="1"/>
  <c r="S29" i="17" s="1"/>
  <c r="S1010" i="36"/>
  <c r="S1006" i="36"/>
  <c r="S1030" i="36"/>
  <c r="S1022" i="36"/>
  <c r="S996" i="36"/>
  <c r="S1024" i="36"/>
  <c r="S1028" i="36"/>
  <c r="S1018" i="36"/>
  <c r="S1000" i="36"/>
  <c r="S1012" i="36"/>
  <c r="S1040" i="36"/>
  <c r="S148" i="5" s="1"/>
  <c r="S154" i="5" s="1"/>
  <c r="S26" i="17" s="1"/>
  <c r="S1038" i="36"/>
  <c r="S1014" i="36"/>
  <c r="S1004" i="36"/>
  <c r="S75" i="24"/>
  <c r="R1036" i="36"/>
  <c r="R1037" i="36" s="1"/>
  <c r="R126" i="5"/>
  <c r="R132" i="5" s="1"/>
  <c r="R24" i="17" s="1"/>
  <c r="P14" i="17"/>
  <c r="M90" i="34" s="1"/>
  <c r="R23" i="5"/>
  <c r="O21" i="34"/>
  <c r="R198" i="24"/>
  <c r="R39" i="24" s="1"/>
  <c r="Q82" i="5"/>
  <c r="Q88" i="5" s="1"/>
  <c r="Q13" i="17" s="1"/>
  <c r="Q995" i="36"/>
  <c r="Q993" i="36"/>
  <c r="Q1112" i="36" s="1"/>
  <c r="Q1141" i="36" s="1"/>
  <c r="N4" i="34"/>
  <c r="Q8" i="17"/>
  <c r="S10" i="25" s="1"/>
  <c r="P22" i="34"/>
  <c r="R22" i="34" s="1"/>
  <c r="S43" i="5"/>
  <c r="R994" i="36"/>
  <c r="R1020" i="36"/>
  <c r="R1109" i="36"/>
  <c r="R1135" i="36"/>
  <c r="R1133" i="36"/>
  <c r="R1137" i="36"/>
  <c r="Q104" i="5"/>
  <c r="Q110" i="5" s="1"/>
  <c r="Q17" i="17" s="1"/>
  <c r="Q1021" i="36"/>
  <c r="Q1009" i="36"/>
  <c r="Q93" i="5"/>
  <c r="Q99" i="5" s="1"/>
  <c r="Q15" i="17" s="1"/>
  <c r="K113" i="34"/>
  <c r="K114" i="34"/>
  <c r="N11" i="17"/>
  <c r="N9" i="17"/>
  <c r="O16" i="22"/>
  <c r="N31" i="17"/>
  <c r="O11" i="22"/>
  <c r="Q1118" i="36" l="1"/>
  <c r="Q1130" i="36" s="1"/>
  <c r="Q1116" i="36"/>
  <c r="Q257" i="5" s="1"/>
  <c r="Q263" i="5" s="1"/>
  <c r="S14" i="19" s="1"/>
  <c r="N108" i="34" s="1"/>
  <c r="N112" i="34" s="1"/>
  <c r="Q1117" i="36"/>
  <c r="Q269" i="5" s="1"/>
  <c r="Q275" i="5" s="1"/>
  <c r="S47" i="19" s="1"/>
  <c r="Q1115" i="36"/>
  <c r="Q246" i="5" s="1"/>
  <c r="Q252" i="5" s="1"/>
  <c r="S13" i="19" s="1"/>
  <c r="P1111" i="36"/>
  <c r="P23" i="36"/>
  <c r="P51" i="36"/>
  <c r="M75" i="34" s="1"/>
  <c r="N31" i="42"/>
  <c r="N54" i="42" s="1"/>
  <c r="Q339" i="36"/>
  <c r="N78" i="34" s="1"/>
  <c r="O39" i="42"/>
  <c r="O62" i="42" s="1"/>
  <c r="O62" i="5"/>
  <c r="O24" i="36"/>
  <c r="Q21" i="36"/>
  <c r="Q50" i="36"/>
  <c r="O1123" i="36"/>
  <c r="O1120" i="36"/>
  <c r="O1139" i="36"/>
  <c r="S531" i="36"/>
  <c r="S532" i="36" s="1"/>
  <c r="S337" i="36"/>
  <c r="S49" i="36" s="1"/>
  <c r="R1009" i="36"/>
  <c r="R1151" i="36"/>
  <c r="R1150" i="36" s="1"/>
  <c r="R1114" i="36" s="1"/>
  <c r="R338" i="36"/>
  <c r="R49" i="36"/>
  <c r="P44" i="42"/>
  <c r="R534" i="36"/>
  <c r="O83" i="34" s="1"/>
  <c r="S1008" i="36"/>
  <c r="S93" i="5" s="1"/>
  <c r="S99" i="5" s="1"/>
  <c r="S15" i="17" s="1"/>
  <c r="U15" i="17" s="1"/>
  <c r="R995" i="36"/>
  <c r="R82" i="5"/>
  <c r="R88" i="5" s="1"/>
  <c r="R13" i="17" s="1"/>
  <c r="R993" i="36"/>
  <c r="R1112" i="36" s="1"/>
  <c r="R1141" i="36" s="1"/>
  <c r="S126" i="5"/>
  <c r="S132" i="5" s="1"/>
  <c r="S24" i="17" s="1"/>
  <c r="S1036" i="36"/>
  <c r="S1037" i="36" s="1"/>
  <c r="S198" i="24"/>
  <c r="S23" i="5"/>
  <c r="P21" i="34"/>
  <c r="S534" i="36"/>
  <c r="P83" i="34" s="1"/>
  <c r="R83" i="34" s="1"/>
  <c r="Q44" i="42"/>
  <c r="S1135" i="36"/>
  <c r="S1133" i="36"/>
  <c r="S1109" i="36"/>
  <c r="S1137" i="36"/>
  <c r="Q16" i="17"/>
  <c r="N91" i="34" s="1"/>
  <c r="Q14" i="17"/>
  <c r="N90" i="34" s="1"/>
  <c r="Q18" i="17"/>
  <c r="N92" i="34" s="1"/>
  <c r="R8" i="17"/>
  <c r="O4" i="34"/>
  <c r="R104" i="5"/>
  <c r="R110" i="5" s="1"/>
  <c r="R17" i="17" s="1"/>
  <c r="R1021" i="36"/>
  <c r="S994" i="36"/>
  <c r="S1020" i="36"/>
  <c r="N35" i="17"/>
  <c r="N32" i="17"/>
  <c r="S338" i="36" l="1"/>
  <c r="Q39" i="42" s="1"/>
  <c r="Q62" i="42" s="1"/>
  <c r="R21" i="34"/>
  <c r="S1009" i="36"/>
  <c r="Q1111" i="36"/>
  <c r="Q23" i="36"/>
  <c r="O1124" i="36"/>
  <c r="O301" i="5" s="1"/>
  <c r="O307" i="5" s="1"/>
  <c r="Q45" i="19" s="1"/>
  <c r="O1125" i="36"/>
  <c r="O1126" i="36"/>
  <c r="O324" i="5" s="1"/>
  <c r="O330" i="5" s="1"/>
  <c r="Q16" i="19" s="1"/>
  <c r="O312" i="5"/>
  <c r="O318" i="5" s="1"/>
  <c r="Q46" i="19" s="1"/>
  <c r="L110" i="34" s="1"/>
  <c r="P1139" i="36"/>
  <c r="P1120" i="36"/>
  <c r="P1123" i="36"/>
  <c r="O31" i="42"/>
  <c r="O54" i="42" s="1"/>
  <c r="Q51" i="36"/>
  <c r="N75" i="34" s="1"/>
  <c r="O67" i="5"/>
  <c r="O73" i="5"/>
  <c r="L74" i="34" s="1"/>
  <c r="P24" i="36"/>
  <c r="P62" i="5"/>
  <c r="O1129" i="36"/>
  <c r="O1131" i="36" s="1"/>
  <c r="O291" i="5"/>
  <c r="O296" i="5" s="1"/>
  <c r="Q21" i="19" s="1"/>
  <c r="L109" i="34" s="1"/>
  <c r="R1118" i="36"/>
  <c r="R1130" i="36" s="1"/>
  <c r="R1117" i="36"/>
  <c r="R269" i="5" s="1"/>
  <c r="R275" i="5" s="1"/>
  <c r="T47" i="19" s="1"/>
  <c r="R1116" i="36"/>
  <c r="R257" i="5" s="1"/>
  <c r="R263" i="5" s="1"/>
  <c r="T14" i="19" s="1"/>
  <c r="O108" i="34" s="1"/>
  <c r="O112" i="34" s="1"/>
  <c r="R1115" i="36"/>
  <c r="R246" i="5" s="1"/>
  <c r="R252" i="5" s="1"/>
  <c r="T13" i="19" s="1"/>
  <c r="R50" i="36"/>
  <c r="R21" i="36"/>
  <c r="R339" i="36"/>
  <c r="O78" i="34" s="1"/>
  <c r="P39" i="42"/>
  <c r="P62" i="42" s="1"/>
  <c r="S1151" i="36"/>
  <c r="S1150" i="36" s="1"/>
  <c r="S1114" i="36" s="1"/>
  <c r="R18" i="17"/>
  <c r="O92" i="34" s="1"/>
  <c r="S82" i="5"/>
  <c r="S88" i="5" s="1"/>
  <c r="S13" i="17" s="1"/>
  <c r="S995" i="36"/>
  <c r="S993" i="36"/>
  <c r="S1112" i="36" s="1"/>
  <c r="S1141" i="36" s="1"/>
  <c r="R427" i="1"/>
  <c r="S427" i="1" s="1"/>
  <c r="S8" i="17"/>
  <c r="F110" i="33" s="1"/>
  <c r="R300" i="1"/>
  <c r="S300" i="1" s="1"/>
  <c r="R477" i="1"/>
  <c r="S477" i="1" s="1"/>
  <c r="R350" i="1"/>
  <c r="S350" i="1" s="1"/>
  <c r="R325" i="1"/>
  <c r="S325" i="1" s="1"/>
  <c r="R275" i="1"/>
  <c r="S275" i="1" s="1"/>
  <c r="R452" i="1"/>
  <c r="S452" i="1" s="1"/>
  <c r="R502" i="1"/>
  <c r="S502" i="1" s="1"/>
  <c r="P4" i="34"/>
  <c r="S21" i="36"/>
  <c r="S50" i="36"/>
  <c r="S39" i="24"/>
  <c r="E211" i="24" a="1"/>
  <c r="S104" i="5"/>
  <c r="S110" i="5" s="1"/>
  <c r="S17" i="17" s="1"/>
  <c r="S1021" i="36"/>
  <c r="R14" i="17"/>
  <c r="O90" i="34" s="1"/>
  <c r="T10" i="25"/>
  <c r="R16" i="17"/>
  <c r="O91" i="34" s="1"/>
  <c r="N38" i="17"/>
  <c r="N36" i="17"/>
  <c r="N40" i="17"/>
  <c r="S339" i="36" l="1"/>
  <c r="P78" i="34" s="1"/>
  <c r="R78" i="34" s="1"/>
  <c r="Q97" i="19"/>
  <c r="Q98" i="19" s="1"/>
  <c r="P11" i="22" s="1"/>
  <c r="P67" i="5"/>
  <c r="P73" i="5"/>
  <c r="M74" i="34" s="1"/>
  <c r="O10" i="17"/>
  <c r="O68" i="5"/>
  <c r="L57" i="34" s="1"/>
  <c r="O243" i="24"/>
  <c r="O40" i="24" s="1"/>
  <c r="O37" i="24" s="1"/>
  <c r="P16" i="22" s="1"/>
  <c r="Q24" i="36"/>
  <c r="Q62" i="5"/>
  <c r="P1126" i="36"/>
  <c r="P324" i="5" s="1"/>
  <c r="P330" i="5" s="1"/>
  <c r="R16" i="19" s="1"/>
  <c r="P1124" i="36"/>
  <c r="P301" i="5" s="1"/>
  <c r="P307" i="5" s="1"/>
  <c r="R45" i="19" s="1"/>
  <c r="P1125" i="36"/>
  <c r="P312" i="5"/>
  <c r="P318" i="5" s="1"/>
  <c r="R46" i="19" s="1"/>
  <c r="M110" i="34" s="1"/>
  <c r="P291" i="5"/>
  <c r="P296" i="5" s="1"/>
  <c r="R21" i="19" s="1"/>
  <c r="M109" i="34" s="1"/>
  <c r="P1129" i="36"/>
  <c r="P1131" i="36" s="1"/>
  <c r="Q1120" i="36"/>
  <c r="Q1139" i="36"/>
  <c r="Q1123" i="36"/>
  <c r="P31" i="42"/>
  <c r="P54" i="42" s="1"/>
  <c r="R51" i="36"/>
  <c r="O75" i="34" s="1"/>
  <c r="R1111" i="36"/>
  <c r="R23" i="36"/>
  <c r="S1116" i="36"/>
  <c r="S257" i="5" s="1"/>
  <c r="S263" i="5" s="1"/>
  <c r="U14" i="19" s="1"/>
  <c r="P108" i="34" s="1"/>
  <c r="P112" i="34" s="1"/>
  <c r="R112" i="34" s="1"/>
  <c r="S1118" i="36"/>
  <c r="S1130" i="36" s="1"/>
  <c r="S1115" i="36"/>
  <c r="S246" i="5" s="1"/>
  <c r="S252" i="5" s="1"/>
  <c r="U13" i="19" s="1"/>
  <c r="S1117" i="36"/>
  <c r="S269" i="5" s="1"/>
  <c r="S275" i="5" s="1"/>
  <c r="U47" i="19" s="1"/>
  <c r="S16" i="17"/>
  <c r="U8" i="17"/>
  <c r="F88" i="28"/>
  <c r="U10" i="25"/>
  <c r="E211" i="24"/>
  <c r="S1111" i="36"/>
  <c r="S23" i="36"/>
  <c r="U17" i="17"/>
  <c r="S18" i="17"/>
  <c r="P92" i="34" s="1"/>
  <c r="Q31" i="42"/>
  <c r="Q54" i="42" s="1"/>
  <c r="S51" i="36"/>
  <c r="P75" i="34" s="1"/>
  <c r="R75" i="34" s="1"/>
  <c r="R4" i="34"/>
  <c r="U13" i="17"/>
  <c r="S14" i="17"/>
  <c r="N83" i="25"/>
  <c r="AD85" i="25" s="1"/>
  <c r="M73" i="28"/>
  <c r="M74" i="28" s="1"/>
  <c r="G25" i="33"/>
  <c r="N41" i="17"/>
  <c r="K95" i="34" s="1"/>
  <c r="M217" i="5"/>
  <c r="M216" i="5" s="1"/>
  <c r="N9" i="22"/>
  <c r="O9" i="22" s="1"/>
  <c r="K94" i="34"/>
  <c r="G24" i="28"/>
  <c r="G64" i="33" l="1"/>
  <c r="G73" i="33"/>
  <c r="R97" i="19"/>
  <c r="R98" i="19" s="1"/>
  <c r="Q11" i="22" s="1"/>
  <c r="O9" i="17"/>
  <c r="O11" i="17"/>
  <c r="Q73" i="5"/>
  <c r="N74" i="34" s="1"/>
  <c r="Q67" i="5"/>
  <c r="Q1129" i="36"/>
  <c r="Q1131" i="36" s="1"/>
  <c r="Q291" i="5"/>
  <c r="Q296" i="5" s="1"/>
  <c r="S21" i="19" s="1"/>
  <c r="N109" i="34" s="1"/>
  <c r="P68" i="5"/>
  <c r="M57" i="34" s="1"/>
  <c r="P243" i="24"/>
  <c r="P40" i="24" s="1"/>
  <c r="P37" i="24" s="1"/>
  <c r="Q16" i="22" s="1"/>
  <c r="P10" i="17"/>
  <c r="L113" i="34"/>
  <c r="L114" i="34"/>
  <c r="Q1125" i="36"/>
  <c r="Q312" i="5"/>
  <c r="Q318" i="5" s="1"/>
  <c r="S46" i="19" s="1"/>
  <c r="N110" i="34" s="1"/>
  <c r="Q1124" i="36"/>
  <c r="Q301" i="5" s="1"/>
  <c r="Q307" i="5" s="1"/>
  <c r="S45" i="19" s="1"/>
  <c r="Q1126" i="36"/>
  <c r="Q324" i="5" s="1"/>
  <c r="Q330" i="5" s="1"/>
  <c r="S16" i="19" s="1"/>
  <c r="R1123" i="36"/>
  <c r="R1139" i="36"/>
  <c r="R1120" i="36"/>
  <c r="R62" i="5"/>
  <c r="R24" i="36"/>
  <c r="S1139" i="36"/>
  <c r="S1120" i="36"/>
  <c r="S291" i="5" s="1"/>
  <c r="S296" i="5" s="1"/>
  <c r="U21" i="19" s="1"/>
  <c r="P109" i="34" s="1"/>
  <c r="S1123" i="36"/>
  <c r="S312" i="5" s="1"/>
  <c r="S318" i="5" s="1"/>
  <c r="U46" i="19" s="1"/>
  <c r="P110" i="34" s="1"/>
  <c r="O211" i="24"/>
  <c r="P211" i="24"/>
  <c r="Q211" i="24"/>
  <c r="R211" i="24"/>
  <c r="S211" i="24"/>
  <c r="N211" i="24"/>
  <c r="N200" i="24" s="1"/>
  <c r="P90" i="34"/>
  <c r="F123" i="33"/>
  <c r="R92" i="34"/>
  <c r="S62" i="5"/>
  <c r="S24" i="36"/>
  <c r="F122" i="33"/>
  <c r="P91" i="34"/>
  <c r="G26" i="33"/>
  <c r="G25" i="28" s="1"/>
  <c r="G23" i="28" s="1"/>
  <c r="F106" i="28"/>
  <c r="F123" i="28"/>
  <c r="F108" i="28"/>
  <c r="F109" i="28"/>
  <c r="F119" i="28"/>
  <c r="F104" i="28"/>
  <c r="F118" i="28"/>
  <c r="F122" i="28"/>
  <c r="F102" i="28"/>
  <c r="F120" i="28"/>
  <c r="F107" i="28"/>
  <c r="F110" i="28"/>
  <c r="F103" i="28"/>
  <c r="F117" i="28"/>
  <c r="F125" i="28"/>
  <c r="F121" i="28"/>
  <c r="F105" i="28"/>
  <c r="F124" i="28"/>
  <c r="N86" i="25"/>
  <c r="Q84" i="25"/>
  <c r="S97" i="19" l="1"/>
  <c r="S98" i="19" s="1"/>
  <c r="R11" i="22" s="1"/>
  <c r="P11" i="17"/>
  <c r="P9" i="17"/>
  <c r="M113" i="34"/>
  <c r="M114" i="34"/>
  <c r="Q243" i="24"/>
  <c r="Q40" i="24" s="1"/>
  <c r="Q37" i="24" s="1"/>
  <c r="R16" i="22" s="1"/>
  <c r="Q68" i="5"/>
  <c r="N57" i="34" s="1"/>
  <c r="Q10" i="17"/>
  <c r="R67" i="5"/>
  <c r="R73" i="5"/>
  <c r="O74" i="34" s="1"/>
  <c r="S1129" i="36"/>
  <c r="S1131" i="36" s="1"/>
  <c r="R291" i="5"/>
  <c r="R296" i="5" s="1"/>
  <c r="T21" i="19" s="1"/>
  <c r="O109" i="34" s="1"/>
  <c r="R1129" i="36"/>
  <c r="R1131" i="36" s="1"/>
  <c r="R312" i="5"/>
  <c r="R318" i="5" s="1"/>
  <c r="T46" i="19" s="1"/>
  <c r="O110" i="34" s="1"/>
  <c r="R1125" i="36"/>
  <c r="S1125" i="36" s="1"/>
  <c r="R1126" i="36"/>
  <c r="R324" i="5" s="1"/>
  <c r="R330" i="5" s="1"/>
  <c r="T16" i="19" s="1"/>
  <c r="R1124" i="36"/>
  <c r="R301" i="5" s="1"/>
  <c r="R307" i="5" s="1"/>
  <c r="T45" i="19" s="1"/>
  <c r="R91" i="34"/>
  <c r="S73" i="5"/>
  <c r="P74" i="34" s="1"/>
  <c r="R74" i="34" s="1"/>
  <c r="S67" i="5"/>
  <c r="R90" i="34"/>
  <c r="N201" i="24"/>
  <c r="N10" i="24"/>
  <c r="N94" i="33"/>
  <c r="N99" i="33" s="1"/>
  <c r="N103" i="33" s="1"/>
  <c r="P22" i="22"/>
  <c r="P86" i="25"/>
  <c r="Q82" i="25"/>
  <c r="N78" i="19"/>
  <c r="G45" i="28"/>
  <c r="G48" i="28" s="1"/>
  <c r="P77" i="28" s="1"/>
  <c r="G29" i="28"/>
  <c r="N101" i="33" l="1"/>
  <c r="Q9" i="17"/>
  <c r="Q11" i="17"/>
  <c r="N113" i="34"/>
  <c r="N114" i="34"/>
  <c r="S1126" i="36"/>
  <c r="S324" i="5" s="1"/>
  <c r="S330" i="5" s="1"/>
  <c r="U16" i="19" s="1"/>
  <c r="T97" i="19"/>
  <c r="T98" i="19" s="1"/>
  <c r="S11" i="22" s="1"/>
  <c r="S1124" i="36"/>
  <c r="S301" i="5" s="1"/>
  <c r="S307" i="5" s="1"/>
  <c r="U45" i="19" s="1"/>
  <c r="R10" i="17"/>
  <c r="R68" i="5"/>
  <c r="O57" i="34" s="1"/>
  <c r="R243" i="24"/>
  <c r="R40" i="24" s="1"/>
  <c r="R37" i="24" s="1"/>
  <c r="S16" i="22" s="1"/>
  <c r="N32" i="24"/>
  <c r="O197" i="24"/>
  <c r="N77" i="28"/>
  <c r="M77" i="28"/>
  <c r="S243" i="24"/>
  <c r="S68" i="5"/>
  <c r="P57" i="34" s="1"/>
  <c r="S10" i="17"/>
  <c r="G49" i="28"/>
  <c r="N1061" i="36"/>
  <c r="N347" i="5"/>
  <c r="R77" i="28"/>
  <c r="P78" i="19"/>
  <c r="N79" i="19"/>
  <c r="O77" i="28"/>
  <c r="G54" i="28"/>
  <c r="Q77" i="28"/>
  <c r="G53" i="28"/>
  <c r="L78" i="28"/>
  <c r="L80" i="28" s="1"/>
  <c r="U97" i="19" l="1"/>
  <c r="U98" i="19" s="1"/>
  <c r="T11" i="22" s="1"/>
  <c r="O113" i="34"/>
  <c r="O114" i="34"/>
  <c r="R9" i="17"/>
  <c r="R11" i="17"/>
  <c r="N1084" i="36"/>
  <c r="N1062" i="36"/>
  <c r="R57" i="34"/>
  <c r="P114" i="34"/>
  <c r="R114" i="34" s="1"/>
  <c r="P113" i="34"/>
  <c r="R113" i="34" s="1"/>
  <c r="S40" i="24"/>
  <c r="S37" i="24" s="1"/>
  <c r="T16" i="22" s="1"/>
  <c r="E256" i="24" a="1"/>
  <c r="S9" i="17"/>
  <c r="S11" i="17"/>
  <c r="F121" i="33" s="1"/>
  <c r="P79" i="19"/>
  <c r="N81" i="19"/>
  <c r="P81" i="19" s="1"/>
  <c r="G56" i="28"/>
  <c r="E256" i="24" l="1"/>
  <c r="K98" i="34"/>
  <c r="K103" i="34" s="1"/>
  <c r="N222" i="5"/>
  <c r="N234" i="5" s="1"/>
  <c r="N1085" i="36"/>
  <c r="I57" i="28"/>
  <c r="G57" i="28"/>
  <c r="R256" i="24" l="1"/>
  <c r="P256" i="24"/>
  <c r="Q256" i="24"/>
  <c r="N256" i="24"/>
  <c r="N245" i="24" s="1"/>
  <c r="S256" i="24"/>
  <c r="O256" i="24"/>
  <c r="N246" i="24" l="1"/>
  <c r="N11" i="24"/>
  <c r="N348" i="5" l="1"/>
  <c r="N351" i="5" s="1"/>
  <c r="N48" i="17" s="1"/>
  <c r="N44" i="17" s="1"/>
  <c r="N8" i="24"/>
  <c r="N122" i="4"/>
  <c r="N33" i="24"/>
  <c r="N30" i="24" s="1"/>
  <c r="O242" i="24"/>
  <c r="N138" i="4" l="1"/>
  <c r="N123" i="4"/>
  <c r="N27" i="24"/>
  <c r="N22" i="24" s="1"/>
  <c r="N15" i="22" s="1"/>
  <c r="N33" i="19"/>
  <c r="N10" i="22"/>
  <c r="O15" i="22" l="1"/>
  <c r="O18" i="22" s="1"/>
  <c r="K120" i="34" s="1"/>
  <c r="N18" i="22"/>
  <c r="P33" i="19"/>
  <c r="P39" i="19" s="1"/>
  <c r="N39" i="19"/>
  <c r="O10" i="22"/>
  <c r="O13" i="22" s="1"/>
  <c r="N13" i="22"/>
  <c r="G20" i="33"/>
  <c r="G19" i="28"/>
  <c r="M88" i="33"/>
  <c r="N46" i="17"/>
  <c r="K96" i="34"/>
  <c r="N228" i="5"/>
  <c r="N45" i="17"/>
  <c r="K101" i="34" s="1"/>
  <c r="N223" i="5"/>
  <c r="N235" i="5" s="1"/>
  <c r="N139" i="4"/>
  <c r="K100" i="34"/>
  <c r="K105" i="34" s="1"/>
  <c r="Q110" i="33" l="1"/>
  <c r="G60" i="33"/>
  <c r="N13" i="25"/>
  <c r="N14" i="25" s="1"/>
  <c r="N76" i="25" s="1"/>
  <c r="N26" i="25" s="1"/>
  <c r="P26" i="25" s="1"/>
  <c r="F148" i="33"/>
  <c r="M89" i="33"/>
  <c r="F151" i="33"/>
  <c r="F155" i="33"/>
  <c r="F140" i="33"/>
  <c r="F149" i="33"/>
  <c r="F153" i="33"/>
  <c r="F135" i="33"/>
  <c r="F136" i="33"/>
  <c r="F154" i="33"/>
  <c r="F133" i="33"/>
  <c r="F156" i="33"/>
  <c r="F150" i="33"/>
  <c r="F138" i="33"/>
  <c r="F134" i="33"/>
  <c r="F137" i="33"/>
  <c r="F152" i="33"/>
  <c r="F139" i="33"/>
  <c r="F141" i="33"/>
  <c r="G179" i="33"/>
  <c r="G184" i="33"/>
  <c r="G166" i="33"/>
  <c r="G185" i="33"/>
  <c r="G168" i="33"/>
  <c r="G169" i="33"/>
  <c r="G172" i="33"/>
  <c r="G183" i="33"/>
  <c r="G181" i="33"/>
  <c r="G187" i="33"/>
  <c r="G167" i="33"/>
  <c r="G170" i="33"/>
  <c r="G180" i="33"/>
  <c r="G186" i="33"/>
  <c r="G182" i="33"/>
  <c r="G171" i="33"/>
  <c r="G164" i="33"/>
  <c r="G165" i="33"/>
  <c r="P13" i="25"/>
  <c r="P14" i="25" s="1"/>
  <c r="P76" i="25" s="1"/>
  <c r="K119" i="34"/>
  <c r="N229" i="5"/>
  <c r="N227" i="5"/>
  <c r="N239" i="5" s="1"/>
  <c r="Q111" i="33" l="1"/>
  <c r="S111" i="33" s="1"/>
  <c r="N28" i="25"/>
  <c r="N20" i="25" s="1"/>
  <c r="N18" i="25"/>
  <c r="N20" i="22" s="1"/>
  <c r="N24" i="22" s="1"/>
  <c r="N26" i="22" s="1"/>
  <c r="N30" i="22" s="1"/>
  <c r="N33" i="22" s="1"/>
  <c r="N11" i="19" s="1"/>
  <c r="P28" i="25"/>
  <c r="P18" i="25"/>
  <c r="Q112" i="33" l="1"/>
  <c r="Q114" i="33" s="1"/>
  <c r="Q116" i="33" s="1"/>
  <c r="O20" i="22"/>
  <c r="O24" i="22" s="1"/>
  <c r="N44" i="19"/>
  <c r="N87" i="19" s="1"/>
  <c r="N30" i="25"/>
  <c r="P11" i="19"/>
  <c r="N67" i="25"/>
  <c r="N23" i="19"/>
  <c r="N40" i="19" s="1"/>
  <c r="P20" i="25"/>
  <c r="P30" i="25"/>
  <c r="Q25" i="25"/>
  <c r="Q17" i="25" s="1"/>
  <c r="K121" i="34" l="1"/>
  <c r="O26" i="22"/>
  <c r="O30" i="22" s="1"/>
  <c r="O33" i="22" s="1"/>
  <c r="P32" i="22" s="1"/>
  <c r="K107" i="34"/>
  <c r="Q12" i="25"/>
  <c r="N58" i="19"/>
  <c r="N70" i="19" s="1"/>
  <c r="N83" i="19" s="1"/>
  <c r="N85" i="19" s="1"/>
  <c r="P44" i="19"/>
  <c r="P87" i="19" s="1"/>
  <c r="K117" i="34"/>
  <c r="M92" i="33"/>
  <c r="P23" i="19"/>
  <c r="P40" i="19" s="1"/>
  <c r="P67" i="25"/>
  <c r="N69" i="25"/>
  <c r="N71" i="25" s="1"/>
  <c r="G59" i="28"/>
  <c r="G21" i="28"/>
  <c r="G18" i="28" s="1"/>
  <c r="G66" i="33"/>
  <c r="P58" i="19" l="1"/>
  <c r="P70" i="19" s="1"/>
  <c r="K116" i="34" s="1"/>
  <c r="Q66" i="25"/>
  <c r="P69" i="25"/>
  <c r="P71" i="25" s="1"/>
  <c r="M90" i="33"/>
  <c r="G69" i="33"/>
  <c r="G62" i="28"/>
  <c r="G67" i="33"/>
  <c r="I67" i="33"/>
  <c r="I20" i="28"/>
  <c r="G20" i="28"/>
  <c r="I60" i="28"/>
  <c r="G60" i="28"/>
  <c r="P83" i="19" l="1"/>
  <c r="P85" i="19" s="1"/>
  <c r="G63" i="28"/>
  <c r="I63" i="28"/>
  <c r="I70" i="33"/>
  <c r="G70" i="33"/>
  <c r="M91" i="33"/>
  <c r="M93" i="33"/>
  <c r="S261" i="24" s="1"/>
  <c r="S238" i="24" s="1"/>
  <c r="S216" i="24" s="1"/>
  <c r="R258" i="24" l="1"/>
  <c r="P258" i="24"/>
  <c r="S258" i="24"/>
  <c r="Q258" i="24"/>
  <c r="Q259" i="24"/>
  <c r="R259" i="24"/>
  <c r="S259" i="24"/>
  <c r="S260" i="24"/>
  <c r="R260" i="24"/>
  <c r="S257" i="24"/>
  <c r="P257" i="24"/>
  <c r="Q257" i="24"/>
  <c r="R257" i="24"/>
  <c r="O257" i="24"/>
  <c r="O245" i="24" s="1"/>
  <c r="P213" i="24"/>
  <c r="Q213" i="24"/>
  <c r="S213" i="24"/>
  <c r="R213" i="24"/>
  <c r="O212" i="24"/>
  <c r="O200" i="24" s="1"/>
  <c r="Q212" i="24"/>
  <c r="S212" i="24"/>
  <c r="R212" i="24"/>
  <c r="P212" i="24"/>
  <c r="R214" i="24"/>
  <c r="S214" i="24"/>
  <c r="Q214" i="24"/>
  <c r="R215" i="24"/>
  <c r="S215" i="24"/>
  <c r="O234" i="24"/>
  <c r="O222" i="24" s="1"/>
  <c r="P234" i="24"/>
  <c r="S234" i="24"/>
  <c r="R234" i="24"/>
  <c r="Q234" i="24"/>
  <c r="S235" i="24"/>
  <c r="Q235" i="24"/>
  <c r="R235" i="24"/>
  <c r="P235" i="24"/>
  <c r="S237" i="24"/>
  <c r="R237" i="24"/>
  <c r="S236" i="24"/>
  <c r="R236" i="24"/>
  <c r="Q236" i="24"/>
  <c r="R245" i="24" l="1"/>
  <c r="R11" i="24" s="1"/>
  <c r="R348" i="5" s="1"/>
  <c r="Q245" i="24"/>
  <c r="Q11" i="24" s="1"/>
  <c r="Q122" i="4" s="1"/>
  <c r="P245" i="24"/>
  <c r="P11" i="24" s="1"/>
  <c r="P122" i="4" s="1"/>
  <c r="S222" i="24"/>
  <c r="S9" i="24" s="1"/>
  <c r="S245" i="24"/>
  <c r="S11" i="24" s="1"/>
  <c r="S348" i="5" s="1"/>
  <c r="R222" i="24"/>
  <c r="R9" i="24" s="1"/>
  <c r="P222" i="24"/>
  <c r="P9" i="24" s="1"/>
  <c r="P699" i="2" s="1"/>
  <c r="S346" i="5"/>
  <c r="S699" i="2"/>
  <c r="R699" i="2"/>
  <c r="R346" i="5"/>
  <c r="O11" i="24"/>
  <c r="O246" i="24"/>
  <c r="O9" i="24"/>
  <c r="O223" i="24"/>
  <c r="R200" i="24"/>
  <c r="R10" i="24" s="1"/>
  <c r="S200" i="24"/>
  <c r="S10" i="24" s="1"/>
  <c r="Q200" i="24"/>
  <c r="Q10" i="24" s="1"/>
  <c r="O10" i="24"/>
  <c r="O201" i="24"/>
  <c r="P200" i="24"/>
  <c r="P10" i="24" s="1"/>
  <c r="Q222" i="24"/>
  <c r="Q9" i="24" s="1"/>
  <c r="S122" i="4" l="1"/>
  <c r="S123" i="4" s="1"/>
  <c r="Q348" i="5"/>
  <c r="R122" i="4"/>
  <c r="R123" i="4" s="1"/>
  <c r="P346" i="5"/>
  <c r="P348" i="5"/>
  <c r="R347" i="5"/>
  <c r="R351" i="5" s="1"/>
  <c r="R48" i="17" s="1"/>
  <c r="R1061" i="36"/>
  <c r="R1062" i="36" s="1"/>
  <c r="P123" i="4"/>
  <c r="P138" i="4"/>
  <c r="Q123" i="4"/>
  <c r="Q138" i="4"/>
  <c r="O699" i="2"/>
  <c r="O346" i="5"/>
  <c r="O8" i="24"/>
  <c r="P10" i="22" s="1"/>
  <c r="S347" i="5"/>
  <c r="S351" i="5" s="1"/>
  <c r="S48" i="17" s="1"/>
  <c r="S1061" i="36"/>
  <c r="S1062" i="36" s="1"/>
  <c r="Q699" i="2"/>
  <c r="Q346" i="5"/>
  <c r="Q8" i="24"/>
  <c r="R10" i="22" s="1"/>
  <c r="P347" i="5"/>
  <c r="P1061" i="36"/>
  <c r="P1062" i="36" s="1"/>
  <c r="O31" i="24"/>
  <c r="P219" i="24"/>
  <c r="P223" i="24" s="1"/>
  <c r="P242" i="24"/>
  <c r="P246" i="24" s="1"/>
  <c r="O33" i="24"/>
  <c r="O122" i="4"/>
  <c r="O348" i="5"/>
  <c r="P8" i="24"/>
  <c r="Q10" i="22" s="1"/>
  <c r="R8" i="24"/>
  <c r="S10" i="22" s="1"/>
  <c r="P700" i="2"/>
  <c r="P721" i="2"/>
  <c r="R700" i="2"/>
  <c r="R721" i="2"/>
  <c r="O32" i="24"/>
  <c r="P197" i="24"/>
  <c r="P201" i="24" s="1"/>
  <c r="S8" i="24"/>
  <c r="T10" i="22" s="1"/>
  <c r="O1061" i="36"/>
  <c r="O1062" i="36" s="1"/>
  <c r="O347" i="5"/>
  <c r="S700" i="2"/>
  <c r="S721" i="2"/>
  <c r="Q1061" i="36"/>
  <c r="Q1062" i="36" s="1"/>
  <c r="Q347" i="5"/>
  <c r="S138" i="4" l="1"/>
  <c r="S223" i="5" s="1"/>
  <c r="S235" i="5" s="1"/>
  <c r="R138" i="4"/>
  <c r="R223" i="5" s="1"/>
  <c r="R235" i="5" s="1"/>
  <c r="O351" i="5"/>
  <c r="O48" i="17" s="1"/>
  <c r="P351" i="5"/>
  <c r="P48" i="17" s="1"/>
  <c r="O30" i="24"/>
  <c r="Q33" i="19" s="1"/>
  <c r="Q39" i="19" s="1"/>
  <c r="Q351" i="5"/>
  <c r="Q48" i="17" s="1"/>
  <c r="O138" i="4"/>
  <c r="O123" i="4"/>
  <c r="Q197" i="24"/>
  <c r="Q201" i="24" s="1"/>
  <c r="P32" i="24"/>
  <c r="S221" i="5"/>
  <c r="S233" i="5" s="1"/>
  <c r="P97" i="34"/>
  <c r="S722" i="2"/>
  <c r="Q242" i="24"/>
  <c r="Q246" i="24" s="1"/>
  <c r="P33" i="24"/>
  <c r="P31" i="24"/>
  <c r="Q219" i="24"/>
  <c r="Q223" i="24" s="1"/>
  <c r="O700" i="2"/>
  <c r="O721" i="2"/>
  <c r="N100" i="34"/>
  <c r="N105" i="34" s="1"/>
  <c r="Q223" i="5"/>
  <c r="Q235" i="5" s="1"/>
  <c r="Q139" i="4"/>
  <c r="R221" i="5"/>
  <c r="R233" i="5" s="1"/>
  <c r="R722" i="2"/>
  <c r="O97" i="34"/>
  <c r="O102" i="34" s="1"/>
  <c r="P139" i="4"/>
  <c r="P223" i="5"/>
  <c r="P235" i="5" s="1"/>
  <c r="M100" i="34"/>
  <c r="M105" i="34" s="1"/>
  <c r="M97" i="34"/>
  <c r="M102" i="34" s="1"/>
  <c r="P221" i="5"/>
  <c r="P233" i="5" s="1"/>
  <c r="P722" i="2"/>
  <c r="Q700" i="2"/>
  <c r="Q721" i="2"/>
  <c r="P100" i="34" l="1"/>
  <c r="R100" i="34" s="1"/>
  <c r="S139" i="4"/>
  <c r="R139" i="4"/>
  <c r="O100" i="34"/>
  <c r="O105" i="34" s="1"/>
  <c r="O27" i="24"/>
  <c r="O22" i="24" s="1"/>
  <c r="P15" i="22" s="1"/>
  <c r="P18" i="22" s="1"/>
  <c r="L120" i="34" s="1"/>
  <c r="Q31" i="24"/>
  <c r="R219" i="24"/>
  <c r="R223" i="24" s="1"/>
  <c r="P30" i="24"/>
  <c r="Q33" i="24"/>
  <c r="R242" i="24"/>
  <c r="R246" i="24" s="1"/>
  <c r="P102" i="34"/>
  <c r="R102" i="34" s="1"/>
  <c r="R97" i="34"/>
  <c r="Q722" i="2"/>
  <c r="N97" i="34"/>
  <c r="N102" i="34" s="1"/>
  <c r="Q221" i="5"/>
  <c r="Q233" i="5" s="1"/>
  <c r="Q32" i="24"/>
  <c r="R197" i="24"/>
  <c r="R201" i="24" s="1"/>
  <c r="L97" i="34"/>
  <c r="L102" i="34" s="1"/>
  <c r="O221" i="5"/>
  <c r="O233" i="5" s="1"/>
  <c r="O722" i="2"/>
  <c r="L100" i="34"/>
  <c r="L105" i="34" s="1"/>
  <c r="O139" i="4"/>
  <c r="O223" i="5"/>
  <c r="O235" i="5" s="1"/>
  <c r="P105" i="34" l="1"/>
  <c r="R105" i="34" s="1"/>
  <c r="S197" i="24"/>
  <c r="S201" i="24" s="1"/>
  <c r="S32" i="24" s="1"/>
  <c r="R32" i="24"/>
  <c r="R33" i="24"/>
  <c r="S242" i="24"/>
  <c r="S246" i="24" s="1"/>
  <c r="S33" i="24" s="1"/>
  <c r="Q30" i="24"/>
  <c r="R33" i="19"/>
  <c r="R39" i="19" s="1"/>
  <c r="P27" i="24"/>
  <c r="P22" i="24" s="1"/>
  <c r="Q15" i="22" s="1"/>
  <c r="Q18" i="22" s="1"/>
  <c r="M120" i="34" s="1"/>
  <c r="R31" i="24"/>
  <c r="S219" i="24"/>
  <c r="S223" i="24" s="1"/>
  <c r="S31" i="24" s="1"/>
  <c r="Q27" i="24" l="1"/>
  <c r="Q22" i="24" s="1"/>
  <c r="R15" i="22" s="1"/>
  <c r="R18" i="22" s="1"/>
  <c r="N120" i="34" s="1"/>
  <c r="S33" i="19"/>
  <c r="S39" i="19" s="1"/>
  <c r="S30" i="24"/>
  <c r="R30" i="24"/>
  <c r="R27" i="24" l="1"/>
  <c r="R22" i="24" s="1"/>
  <c r="S15" i="22" s="1"/>
  <c r="S18" i="22" s="1"/>
  <c r="O120" i="34" s="1"/>
  <c r="T33" i="19"/>
  <c r="T39" i="19" s="1"/>
  <c r="U33" i="19"/>
  <c r="U39" i="19" s="1"/>
  <c r="S27" i="24"/>
  <c r="S22" i="24" s="1"/>
  <c r="T15" i="22" s="1"/>
  <c r="T18" i="22" s="1"/>
  <c r="P120" i="34" s="1"/>
  <c r="R85" i="25"/>
  <c r="S85" i="25"/>
  <c r="T85" i="25"/>
  <c r="U85" i="25"/>
  <c r="E283" i="24"/>
  <c r="E282" i="24"/>
  <c r="E281" i="24"/>
  <c r="E280" i="24"/>
  <c r="E279" i="24"/>
  <c r="E261" i="24"/>
  <c r="E260" i="24"/>
  <c r="E259" i="24"/>
  <c r="E258" i="24"/>
  <c r="E257" i="24"/>
  <c r="E238" i="24"/>
  <c r="E237" i="24"/>
  <c r="E236" i="24"/>
  <c r="E235" i="24"/>
  <c r="E234" i="24"/>
  <c r="E216" i="24"/>
  <c r="E215" i="24"/>
  <c r="E214" i="24"/>
  <c r="E213" i="24"/>
  <c r="E212" i="24"/>
  <c r="E169" i="24"/>
  <c r="E168" i="24"/>
  <c r="E167" i="24"/>
  <c r="E166" i="24"/>
  <c r="E165" i="24"/>
  <c r="E144" i="24"/>
  <c r="E143" i="24"/>
  <c r="E142" i="24"/>
  <c r="E141" i="24"/>
  <c r="E140" i="24"/>
  <c r="E119" i="24"/>
  <c r="E118" i="24"/>
  <c r="E117" i="24"/>
  <c r="E116" i="24"/>
  <c r="E115" i="24"/>
  <c r="E94" i="24"/>
  <c r="E93" i="24"/>
  <c r="E92" i="24"/>
  <c r="E91" i="24"/>
  <c r="E90" i="24"/>
  <c r="E69" i="24"/>
  <c r="E68" i="24"/>
  <c r="E67" i="24"/>
  <c r="E66" i="24"/>
  <c r="E65" i="24"/>
  <c r="L93" i="34"/>
  <c r="M93" i="34"/>
  <c r="N93" i="34"/>
  <c r="O93" i="34"/>
  <c r="P93" i="34"/>
  <c r="L94" i="34"/>
  <c r="M94" i="34"/>
  <c r="N94" i="34"/>
  <c r="O94" i="34"/>
  <c r="P94" i="34"/>
  <c r="R94" i="34"/>
  <c r="L95" i="34"/>
  <c r="M95" i="34"/>
  <c r="N95" i="34"/>
  <c r="O95" i="34"/>
  <c r="P95" i="34"/>
  <c r="L96" i="34"/>
  <c r="M96" i="34"/>
  <c r="N96" i="34"/>
  <c r="O96" i="34"/>
  <c r="P96" i="34"/>
  <c r="R96" i="34"/>
  <c r="L98" i="34"/>
  <c r="M98" i="34"/>
  <c r="N98" i="34"/>
  <c r="O98" i="34"/>
  <c r="P98" i="34"/>
  <c r="R98" i="34"/>
  <c r="L101" i="34"/>
  <c r="M101" i="34"/>
  <c r="N101" i="34"/>
  <c r="O101" i="34"/>
  <c r="P101" i="34"/>
  <c r="R101" i="34"/>
  <c r="L103" i="34"/>
  <c r="M103" i="34"/>
  <c r="N103" i="34"/>
  <c r="O103" i="34"/>
  <c r="P103" i="34"/>
  <c r="R103" i="34"/>
  <c r="L107" i="34"/>
  <c r="M107" i="34"/>
  <c r="N107" i="34"/>
  <c r="O107" i="34"/>
  <c r="P107" i="34"/>
  <c r="L116" i="34"/>
  <c r="M116" i="34"/>
  <c r="N116" i="34"/>
  <c r="O116" i="34"/>
  <c r="P116" i="34"/>
  <c r="L117" i="34"/>
  <c r="M117" i="34"/>
  <c r="N117" i="34"/>
  <c r="O117" i="34"/>
  <c r="P117" i="34"/>
  <c r="L119" i="34"/>
  <c r="M119" i="34"/>
  <c r="N119" i="34"/>
  <c r="O119" i="34"/>
  <c r="P119" i="34"/>
  <c r="L121" i="34"/>
  <c r="M121" i="34"/>
  <c r="N121" i="34"/>
  <c r="O121" i="34"/>
  <c r="P121" i="34"/>
  <c r="K20" i="33"/>
  <c r="K21" i="33"/>
  <c r="K25" i="33"/>
  <c r="K26" i="33"/>
  <c r="K60" i="33"/>
  <c r="K64" i="33"/>
  <c r="K67" i="33"/>
  <c r="K70" i="33"/>
  <c r="K73" i="33"/>
  <c r="G79" i="33"/>
  <c r="G80" i="33"/>
  <c r="N88" i="33"/>
  <c r="O88" i="33"/>
  <c r="P88" i="33"/>
  <c r="Q88" i="33"/>
  <c r="R88" i="33"/>
  <c r="T88" i="33"/>
  <c r="N89" i="33"/>
  <c r="O89" i="33"/>
  <c r="P89" i="33"/>
  <c r="Q89" i="33"/>
  <c r="R89" i="33"/>
  <c r="N90" i="33"/>
  <c r="O90" i="33"/>
  <c r="P90" i="33"/>
  <c r="Q90" i="33"/>
  <c r="R90" i="33"/>
  <c r="N91" i="33"/>
  <c r="O91" i="33"/>
  <c r="P91" i="33"/>
  <c r="Q91" i="33"/>
  <c r="R91" i="33"/>
  <c r="N92" i="33"/>
  <c r="O92" i="33"/>
  <c r="P92" i="33"/>
  <c r="Q92" i="33"/>
  <c r="R92" i="33"/>
  <c r="N93" i="33"/>
  <c r="O93" i="33"/>
  <c r="P93" i="33"/>
  <c r="Q93" i="33"/>
  <c r="R93" i="33"/>
  <c r="O94" i="33"/>
  <c r="P94" i="33"/>
  <c r="Q94" i="33"/>
  <c r="R94" i="33"/>
  <c r="O99" i="33"/>
  <c r="P99" i="33"/>
  <c r="Q99" i="33"/>
  <c r="R99" i="33"/>
  <c r="R100" i="33"/>
  <c r="O101" i="33"/>
  <c r="P101" i="33"/>
  <c r="Q101" i="33"/>
  <c r="R101" i="33"/>
  <c r="G103" i="33"/>
  <c r="O103" i="33"/>
  <c r="P103" i="33"/>
  <c r="Q103" i="33"/>
  <c r="R103" i="33"/>
  <c r="G104" i="33"/>
  <c r="F109" i="33"/>
  <c r="G109" i="33"/>
  <c r="H109" i="33"/>
  <c r="G110" i="33"/>
  <c r="H110" i="33"/>
  <c r="R110" i="33"/>
  <c r="S110" i="33"/>
  <c r="F111" i="33"/>
  <c r="G111" i="33"/>
  <c r="H111" i="33"/>
  <c r="F112" i="33"/>
  <c r="G112" i="33"/>
  <c r="H112" i="33"/>
  <c r="M112" i="33"/>
  <c r="R112" i="33"/>
  <c r="S112" i="33"/>
  <c r="F113" i="33"/>
  <c r="G113" i="33"/>
  <c r="H113" i="33"/>
  <c r="M113" i="33"/>
  <c r="R113" i="33"/>
  <c r="S113" i="33"/>
  <c r="F114" i="33"/>
  <c r="G114" i="33"/>
  <c r="H114" i="33"/>
  <c r="R114" i="33"/>
  <c r="S114" i="33"/>
  <c r="F115" i="33"/>
  <c r="G115" i="33"/>
  <c r="H115" i="33"/>
  <c r="F116" i="33"/>
  <c r="G116" i="33"/>
  <c r="H116" i="33"/>
  <c r="R116" i="33"/>
  <c r="F117" i="33"/>
  <c r="G117" i="33"/>
  <c r="H117" i="33"/>
  <c r="R117" i="33"/>
  <c r="R118" i="33"/>
  <c r="F120" i="33"/>
  <c r="G120" i="33"/>
  <c r="H120" i="33"/>
  <c r="I120" i="33"/>
  <c r="G121" i="33"/>
  <c r="H121" i="33"/>
  <c r="I121" i="33"/>
  <c r="G122" i="33"/>
  <c r="H122" i="33"/>
  <c r="I122" i="33"/>
  <c r="G123" i="33"/>
  <c r="H123" i="33"/>
  <c r="I123" i="33"/>
  <c r="F124" i="33"/>
  <c r="G124" i="33"/>
  <c r="H124" i="33"/>
  <c r="I124" i="33"/>
  <c r="G132" i="33"/>
  <c r="G147" i="33"/>
  <c r="G163" i="33"/>
  <c r="G178" i="33"/>
  <c r="K19" i="28"/>
  <c r="K20" i="28"/>
  <c r="K24" i="28"/>
  <c r="K25" i="28"/>
  <c r="K57" i="28"/>
  <c r="K60" i="28"/>
  <c r="K63" i="28"/>
  <c r="G68" i="28"/>
  <c r="N73" i="28"/>
  <c r="O73" i="28"/>
  <c r="P73" i="28"/>
  <c r="Q73" i="28"/>
  <c r="R73" i="28"/>
  <c r="N74" i="28"/>
  <c r="O74" i="28"/>
  <c r="P74" i="28"/>
  <c r="Q74" i="28"/>
  <c r="R74" i="28"/>
  <c r="R79" i="28"/>
  <c r="R80" i="28"/>
  <c r="G82" i="28"/>
  <c r="G83" i="28"/>
  <c r="J86" i="28"/>
  <c r="F87" i="28"/>
  <c r="G87" i="28"/>
  <c r="H87" i="28"/>
  <c r="G88" i="28"/>
  <c r="H88" i="28"/>
  <c r="F89" i="28"/>
  <c r="G89" i="28"/>
  <c r="H89" i="28"/>
  <c r="G90" i="28"/>
  <c r="H90" i="28"/>
  <c r="F91" i="28"/>
  <c r="G91" i="28"/>
  <c r="H91" i="28"/>
  <c r="G92" i="28"/>
  <c r="H92" i="28"/>
  <c r="F93" i="28"/>
  <c r="G93" i="28"/>
  <c r="H93" i="28"/>
  <c r="G101" i="28"/>
  <c r="G116" i="28"/>
  <c r="O115" i="5"/>
  <c r="P115" i="5"/>
  <c r="Q115" i="5"/>
  <c r="R115" i="5"/>
  <c r="S115" i="5"/>
  <c r="O120" i="5"/>
  <c r="P120" i="5"/>
  <c r="Q120" i="5"/>
  <c r="R120" i="5"/>
  <c r="S120" i="5"/>
  <c r="O121" i="5"/>
  <c r="P121" i="5"/>
  <c r="Q121" i="5"/>
  <c r="R121" i="5"/>
  <c r="S121" i="5"/>
  <c r="O159" i="5"/>
  <c r="P159" i="5"/>
  <c r="Q159" i="5"/>
  <c r="R159" i="5"/>
  <c r="S159" i="5"/>
  <c r="O165" i="5"/>
  <c r="P165" i="5"/>
  <c r="Q165" i="5"/>
  <c r="R165" i="5"/>
  <c r="S165" i="5"/>
  <c r="O202" i="5"/>
  <c r="P202" i="5"/>
  <c r="Q202" i="5"/>
  <c r="R202" i="5"/>
  <c r="S202" i="5"/>
  <c r="O207" i="5"/>
  <c r="P207" i="5"/>
  <c r="Q207" i="5"/>
  <c r="R207" i="5"/>
  <c r="S207" i="5"/>
  <c r="O212" i="5"/>
  <c r="P212" i="5"/>
  <c r="Q212" i="5"/>
  <c r="R212" i="5"/>
  <c r="S212" i="5"/>
  <c r="N216" i="5"/>
  <c r="O216" i="5"/>
  <c r="P216" i="5"/>
  <c r="Q216" i="5"/>
  <c r="R216" i="5"/>
  <c r="S216" i="5"/>
  <c r="N217" i="5"/>
  <c r="O217" i="5"/>
  <c r="P217" i="5"/>
  <c r="Q217" i="5"/>
  <c r="R217" i="5"/>
  <c r="O222" i="5"/>
  <c r="P222" i="5"/>
  <c r="Q222" i="5"/>
  <c r="R222" i="5"/>
  <c r="S222" i="5"/>
  <c r="O227" i="5"/>
  <c r="P227" i="5"/>
  <c r="Q227" i="5"/>
  <c r="R227" i="5"/>
  <c r="S227" i="5"/>
  <c r="O228" i="5"/>
  <c r="P228" i="5"/>
  <c r="Q228" i="5"/>
  <c r="R228" i="5"/>
  <c r="S228" i="5"/>
  <c r="O229" i="5"/>
  <c r="P229" i="5"/>
  <c r="Q229" i="5"/>
  <c r="R229" i="5"/>
  <c r="S229" i="5"/>
  <c r="O234" i="5"/>
  <c r="P234" i="5"/>
  <c r="Q234" i="5"/>
  <c r="R234" i="5"/>
  <c r="S234" i="5"/>
  <c r="O239" i="5"/>
  <c r="P239" i="5"/>
  <c r="Q239" i="5"/>
  <c r="R239" i="5"/>
  <c r="S239" i="5"/>
  <c r="O20" i="17"/>
  <c r="P20" i="17"/>
  <c r="Q20" i="17"/>
  <c r="R20" i="17"/>
  <c r="S20" i="17"/>
  <c r="O21" i="17"/>
  <c r="P21" i="17"/>
  <c r="Q21" i="17"/>
  <c r="R21" i="17"/>
  <c r="S21" i="17"/>
  <c r="O23" i="17"/>
  <c r="P23" i="17"/>
  <c r="Q23" i="17"/>
  <c r="R23" i="17"/>
  <c r="S23" i="17"/>
  <c r="O27" i="17"/>
  <c r="P27" i="17"/>
  <c r="Q27" i="17"/>
  <c r="R27" i="17"/>
  <c r="S27" i="17"/>
  <c r="O31" i="17"/>
  <c r="P31" i="17"/>
  <c r="Q31" i="17"/>
  <c r="R31" i="17"/>
  <c r="S31" i="17"/>
  <c r="O32" i="17"/>
  <c r="P32" i="17"/>
  <c r="Q32" i="17"/>
  <c r="R32" i="17"/>
  <c r="S32" i="17"/>
  <c r="O35" i="17"/>
  <c r="P35" i="17"/>
  <c r="Q35" i="17"/>
  <c r="R35" i="17"/>
  <c r="S35" i="17"/>
  <c r="O36" i="17"/>
  <c r="P36" i="17"/>
  <c r="Q36" i="17"/>
  <c r="R36" i="17"/>
  <c r="S36" i="17"/>
  <c r="O37" i="17"/>
  <c r="P37" i="17"/>
  <c r="Q37" i="17"/>
  <c r="R37" i="17"/>
  <c r="S37" i="17"/>
  <c r="O38" i="17"/>
  <c r="P38" i="17"/>
  <c r="Q38" i="17"/>
  <c r="R38" i="17"/>
  <c r="S38" i="17"/>
  <c r="O40" i="17"/>
  <c r="P40" i="17"/>
  <c r="Q40" i="17"/>
  <c r="R40" i="17"/>
  <c r="S40" i="17"/>
  <c r="U40" i="17"/>
  <c r="O41" i="17"/>
  <c r="P41" i="17"/>
  <c r="Q41" i="17"/>
  <c r="R41" i="17"/>
  <c r="S41" i="17"/>
  <c r="O44" i="17"/>
  <c r="P44" i="17"/>
  <c r="Q44" i="17"/>
  <c r="R44" i="17"/>
  <c r="S44" i="17"/>
  <c r="U44" i="17"/>
  <c r="O45" i="17"/>
  <c r="P45" i="17"/>
  <c r="Q45" i="17"/>
  <c r="R45" i="17"/>
  <c r="S45" i="17"/>
  <c r="O46" i="17"/>
  <c r="P46" i="17"/>
  <c r="Q46" i="17"/>
  <c r="R46" i="17"/>
  <c r="S46" i="17"/>
  <c r="P9" i="22"/>
  <c r="Q9" i="22"/>
  <c r="R9" i="22"/>
  <c r="S9" i="22"/>
  <c r="T9" i="22"/>
  <c r="P13" i="22"/>
  <c r="Q13" i="22"/>
  <c r="R13" i="22"/>
  <c r="S13" i="22"/>
  <c r="T13" i="22"/>
  <c r="P20" i="22"/>
  <c r="Q20" i="22"/>
  <c r="R20" i="22"/>
  <c r="S20" i="22"/>
  <c r="T20" i="22"/>
  <c r="Q22" i="22"/>
  <c r="R22" i="22"/>
  <c r="S22" i="22"/>
  <c r="T22" i="22"/>
  <c r="P24" i="22"/>
  <c r="Q24" i="22"/>
  <c r="R24" i="22"/>
  <c r="S24" i="22"/>
  <c r="T24" i="22"/>
  <c r="P26" i="22"/>
  <c r="Q26" i="22"/>
  <c r="R26" i="22"/>
  <c r="S26" i="22"/>
  <c r="T26" i="22"/>
  <c r="P30" i="22"/>
  <c r="Q30" i="22"/>
  <c r="R30" i="22"/>
  <c r="S30" i="22"/>
  <c r="T30" i="22"/>
  <c r="Q32" i="22"/>
  <c r="R32" i="22"/>
  <c r="S32" i="22"/>
  <c r="T32" i="22"/>
  <c r="P33" i="22"/>
  <c r="Q33" i="22"/>
  <c r="R33" i="22"/>
  <c r="S33" i="22"/>
  <c r="T33" i="22"/>
  <c r="R12" i="25"/>
  <c r="S12" i="25"/>
  <c r="T12" i="25"/>
  <c r="U12" i="25"/>
  <c r="Q13" i="25"/>
  <c r="R13" i="25"/>
  <c r="S13" i="25"/>
  <c r="T13" i="25"/>
  <c r="U13" i="25"/>
  <c r="Q14" i="25"/>
  <c r="R14" i="25"/>
  <c r="S14" i="25"/>
  <c r="T14" i="25"/>
  <c r="U14" i="25"/>
  <c r="R17" i="25"/>
  <c r="S17" i="25"/>
  <c r="T17" i="25"/>
  <c r="U17" i="25"/>
  <c r="Q18" i="25"/>
  <c r="R18" i="25"/>
  <c r="S18" i="25"/>
  <c r="T18" i="25"/>
  <c r="U18" i="25"/>
  <c r="Q20" i="25"/>
  <c r="R20" i="25"/>
  <c r="S20" i="25"/>
  <c r="T20" i="25"/>
  <c r="U20" i="25"/>
  <c r="R25" i="25"/>
  <c r="S25" i="25"/>
  <c r="T25" i="25"/>
  <c r="U25" i="25"/>
  <c r="Q26" i="25"/>
  <c r="R26" i="25"/>
  <c r="S26" i="25"/>
  <c r="T26" i="25"/>
  <c r="U26" i="25"/>
  <c r="Q28" i="25"/>
  <c r="R28" i="25"/>
  <c r="S28" i="25"/>
  <c r="T28" i="25"/>
  <c r="U28" i="25"/>
  <c r="Q30" i="25"/>
  <c r="R30" i="25"/>
  <c r="S30" i="25"/>
  <c r="T30" i="25"/>
  <c r="U30" i="25"/>
  <c r="R66" i="25"/>
  <c r="S66" i="25"/>
  <c r="T66" i="25"/>
  <c r="U66" i="25"/>
  <c r="Q67" i="25"/>
  <c r="R67" i="25"/>
  <c r="S67" i="25"/>
  <c r="T67" i="25"/>
  <c r="U67" i="25"/>
  <c r="Q69" i="25"/>
  <c r="R69" i="25"/>
  <c r="S69" i="25"/>
  <c r="T69" i="25"/>
  <c r="U69" i="25"/>
  <c r="Q71" i="25"/>
  <c r="R71" i="25"/>
  <c r="S71" i="25"/>
  <c r="T71" i="25"/>
  <c r="U71" i="25"/>
  <c r="Q76" i="25"/>
  <c r="R76" i="25"/>
  <c r="S76" i="25"/>
  <c r="T76" i="25"/>
  <c r="U76" i="25"/>
  <c r="R82" i="25"/>
  <c r="S82" i="25"/>
  <c r="T82" i="25"/>
  <c r="U82" i="25"/>
  <c r="Q83" i="25"/>
  <c r="R83" i="25"/>
  <c r="S83" i="25"/>
  <c r="T83" i="25"/>
  <c r="U83" i="25"/>
  <c r="R84" i="25"/>
  <c r="S84" i="25"/>
  <c r="T84" i="25"/>
  <c r="U84" i="25"/>
  <c r="AE85" i="25"/>
  <c r="AF85" i="25"/>
  <c r="AG85" i="25"/>
  <c r="AH85" i="25"/>
  <c r="Q86" i="25"/>
  <c r="R86" i="25"/>
  <c r="S86" i="25"/>
  <c r="T86" i="25"/>
  <c r="U86" i="25"/>
  <c r="O1033" i="36"/>
  <c r="P1033" i="36"/>
  <c r="Q1033" i="36"/>
  <c r="R1033" i="36"/>
  <c r="S1033" i="36"/>
  <c r="O1034" i="36"/>
  <c r="P1034" i="36"/>
  <c r="Q1034" i="36"/>
  <c r="R1034" i="36"/>
  <c r="S1034" i="36"/>
  <c r="O1047" i="36"/>
  <c r="P1047" i="36"/>
  <c r="Q1047" i="36"/>
  <c r="R1047" i="36"/>
  <c r="S1047" i="36"/>
  <c r="O1050" i="36"/>
  <c r="P1050" i="36"/>
  <c r="Q1050" i="36"/>
  <c r="R1050" i="36"/>
  <c r="S1050" i="36"/>
  <c r="O1051" i="36"/>
  <c r="P1051" i="36"/>
  <c r="Q1051" i="36"/>
  <c r="R1051" i="36"/>
  <c r="S1051" i="36"/>
  <c r="O1054" i="36"/>
  <c r="P1054" i="36"/>
  <c r="Q1054" i="36"/>
  <c r="R1054" i="36"/>
  <c r="S1054" i="36"/>
  <c r="O1058" i="36"/>
  <c r="P1058" i="36"/>
  <c r="Q1058" i="36"/>
  <c r="R1058" i="36"/>
  <c r="S1058" i="36"/>
  <c r="O1084" i="36"/>
  <c r="P1084" i="36"/>
  <c r="Q1084" i="36"/>
  <c r="R1084" i="36"/>
  <c r="S1084" i="36"/>
  <c r="O1085" i="36"/>
  <c r="P1085" i="36"/>
  <c r="Q1085" i="36"/>
  <c r="R1085" i="36"/>
  <c r="S1085" i="36"/>
  <c r="O1143" i="36"/>
  <c r="P1143" i="36"/>
  <c r="Q1143" i="36"/>
  <c r="R1143" i="36"/>
  <c r="S1143" i="36"/>
  <c r="O1145" i="36"/>
  <c r="P1145" i="36"/>
  <c r="Q1145" i="36"/>
  <c r="R1145" i="36"/>
  <c r="S1145" i="36"/>
  <c r="O1147" i="36"/>
  <c r="P1147" i="36"/>
  <c r="Q1147" i="36"/>
  <c r="R1147" i="36"/>
  <c r="S1147" i="36"/>
  <c r="O1148" i="36"/>
  <c r="P1148" i="36"/>
  <c r="Q1148" i="36"/>
  <c r="R1148" i="36"/>
  <c r="S1148" i="36"/>
  <c r="Q11" i="19"/>
  <c r="R11" i="19"/>
  <c r="S11" i="19"/>
  <c r="T11" i="19"/>
  <c r="U11" i="19"/>
  <c r="Q23" i="19"/>
  <c r="R23" i="19"/>
  <c r="S23" i="19"/>
  <c r="T23" i="19"/>
  <c r="U23" i="19"/>
  <c r="Q40" i="19"/>
  <c r="R40" i="19"/>
  <c r="S40" i="19"/>
  <c r="T40" i="19"/>
  <c r="U40" i="19"/>
  <c r="Q44" i="19"/>
  <c r="R44" i="19"/>
  <c r="S44" i="19"/>
  <c r="T44" i="19"/>
  <c r="U44" i="19"/>
  <c r="Q58" i="19"/>
  <c r="R58" i="19"/>
  <c r="S58" i="19"/>
  <c r="T58" i="19"/>
  <c r="U58" i="19"/>
  <c r="Q70" i="19"/>
  <c r="R70" i="19"/>
  <c r="S70" i="19"/>
  <c r="T70" i="19"/>
  <c r="U70" i="19"/>
  <c r="Q78" i="19"/>
  <c r="R78" i="19"/>
  <c r="S78" i="19"/>
  <c r="T78" i="19"/>
  <c r="U78" i="19"/>
  <c r="Q79" i="19"/>
  <c r="R79" i="19"/>
  <c r="S79" i="19"/>
  <c r="T79" i="19"/>
  <c r="U79" i="19"/>
  <c r="Q81" i="19"/>
  <c r="R81" i="19"/>
  <c r="S81" i="19"/>
  <c r="T81" i="19"/>
  <c r="U81" i="19"/>
  <c r="Q83" i="19"/>
  <c r="R83" i="19"/>
  <c r="S83" i="19"/>
  <c r="T83" i="19"/>
  <c r="U83" i="19"/>
  <c r="Q85" i="19"/>
  <c r="R85" i="19"/>
  <c r="S85" i="19"/>
  <c r="T85" i="19"/>
  <c r="U85" i="19"/>
  <c r="Q87" i="19"/>
  <c r="R87" i="19"/>
  <c r="S87" i="19"/>
  <c r="T87" i="19"/>
  <c r="U87" i="19"/>
</calcChain>
</file>

<file path=xl/comments1.xml><?xml version="1.0" encoding="utf-8"?>
<comments xmlns="http://schemas.openxmlformats.org/spreadsheetml/2006/main">
  <authors>
    <author>韩涵</author>
  </authors>
  <commentList>
    <comment ref="J58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FDD口径与operation口径有一定差异，此处为DD口径</t>
        </r>
      </text>
    </comment>
    <comment ref="K121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包含此次交易增资
</t>
        </r>
      </text>
    </comment>
  </commentList>
</comments>
</file>

<file path=xl/comments2.xml><?xml version="1.0" encoding="utf-8"?>
<comments xmlns="http://schemas.openxmlformats.org/spreadsheetml/2006/main">
  <authors>
    <author>韩涵</author>
  </authors>
  <commentList>
    <comment ref="B7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注目前未考虑CA、EU新建产能</t>
        </r>
      </text>
    </comment>
  </commentList>
</comments>
</file>

<file path=xl/comments3.xml><?xml version="1.0" encoding="utf-8"?>
<comments xmlns="http://schemas.openxmlformats.org/spreadsheetml/2006/main">
  <authors>
    <author>韩涵</author>
  </authors>
  <commentList>
    <comment ref="L450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管理层提供两套数有差异</t>
        </r>
      </text>
    </comment>
    <comment ref="AI460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京东营养品增速超100%</t>
        </r>
      </text>
    </comment>
    <comment ref="I1084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MS模型数据为236945
公式计算为306944
</t>
        </r>
      </text>
    </comment>
    <comment ref="I1100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MS模型数据为236945</t>
        </r>
      </text>
    </comment>
    <comment ref="M1106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年化
</t>
        </r>
      </text>
    </comment>
    <comment ref="K1112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年化</t>
        </r>
      </text>
    </comment>
    <comment ref="D1152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假设都是account receivables
</t>
        </r>
      </text>
    </comment>
    <comment ref="L1152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为AR的intra group</t>
        </r>
      </text>
    </comment>
    <comment ref="M1152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为AR的intra group</t>
        </r>
      </text>
    </comment>
  </commentList>
</comments>
</file>

<file path=xl/comments4.xml><?xml version="1.0" encoding="utf-8"?>
<comments xmlns="http://schemas.openxmlformats.org/spreadsheetml/2006/main">
  <authors>
    <author>韩涵</author>
  </authors>
  <commentList>
    <comment ref="AH332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京东营养品增速超100%</t>
        </r>
      </text>
    </comment>
    <comment ref="I651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MS模型数据为236945
公式计算为306944
</t>
        </r>
      </text>
    </comment>
    <comment ref="I667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MS模型数据为236945</t>
        </r>
      </text>
    </comment>
  </commentList>
</comments>
</file>

<file path=xl/comments5.xml><?xml version="1.0" encoding="utf-8"?>
<comments xmlns="http://schemas.openxmlformats.org/spreadsheetml/2006/main">
  <authors>
    <author>韩涵</author>
  </authors>
  <commentList>
    <comment ref="D155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都是account receivables</t>
        </r>
      </text>
    </comment>
    <comment ref="H168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使用pro forma</t>
        </r>
      </text>
    </comment>
    <comment ref="H182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pro forma</t>
        </r>
      </text>
    </comment>
  </commentList>
</comments>
</file>

<file path=xl/comments6.xml><?xml version="1.0" encoding="utf-8"?>
<comments xmlns="http://schemas.openxmlformats.org/spreadsheetml/2006/main">
  <authors>
    <author>韩涵</author>
  </authors>
  <commentList>
    <comment ref="D64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1. 25年之前的产量由 IVCN 101硬胶囊线完成
2. 另26年新增10亿粒，硬件改造在25年完成，待投资设备</t>
        </r>
      </text>
    </comment>
    <comment ref="O87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预计25年建成，25年投产1000百万粒，26年投产1500百万粒</t>
        </r>
      </text>
    </comment>
    <comment ref="M114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2010、2019年新建产线时单产投资金额</t>
        </r>
      </text>
    </comment>
    <comment ref="O180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25年Q4投产</t>
        </r>
      </text>
    </comment>
    <comment ref="P194" authorId="0" shapeId="0">
      <text>
        <r>
          <rPr>
            <b/>
            <sz val="9"/>
            <color indexed="81"/>
            <rFont val="宋体"/>
            <family val="3"/>
            <charset val="134"/>
          </rPr>
          <t>韩涵:</t>
        </r>
        <r>
          <rPr>
            <sz val="9"/>
            <color indexed="81"/>
            <rFont val="宋体"/>
            <family val="3"/>
            <charset val="134"/>
          </rPr>
          <t xml:space="preserve">
公司计划投产300m粒，此处考虑当前产能情况，未投资</t>
        </r>
      </text>
    </comment>
  </commentList>
</comments>
</file>

<file path=xl/comments7.xml><?xml version="1.0" encoding="utf-8"?>
<comments xmlns="http://schemas.openxmlformats.org/spreadsheetml/2006/main">
  <authors>
    <author>000584</author>
    <author>Administrator</author>
  </authors>
  <commentList>
    <comment ref="J20" authorId="0" shapeId="0">
      <text>
        <r>
          <rPr>
            <b/>
            <sz val="9"/>
            <rFont val="宋体"/>
            <family val="3"/>
            <charset val="134"/>
          </rPr>
          <t>000584:</t>
        </r>
        <r>
          <rPr>
            <sz val="9"/>
            <rFont val="宋体"/>
            <family val="3"/>
            <charset val="134"/>
          </rPr>
          <t xml:space="preserve">
2.3%*168中收</t>
        </r>
      </text>
    </comment>
    <comment ref="J21" authorId="0" shapeId="0">
      <text>
        <r>
          <rPr>
            <b/>
            <sz val="9"/>
            <rFont val="宋体"/>
            <family val="3"/>
            <charset val="134"/>
          </rPr>
          <t>000584:</t>
        </r>
        <r>
          <rPr>
            <sz val="9"/>
            <rFont val="宋体"/>
            <family val="3"/>
            <charset val="134"/>
          </rPr>
          <t xml:space="preserve">
中收2.3%</t>
        </r>
      </text>
    </comment>
    <comment ref="J69" authorId="1" shapeId="0">
      <text>
        <r>
          <rPr>
            <sz val="11"/>
            <color rgb="FF000000"/>
            <rFont val="等线"/>
            <family val="3"/>
            <charset val="134"/>
            <scheme val="minor"/>
          </rPr>
          <t>Administrator:
费率0.55%，综合成本4%</t>
        </r>
      </text>
    </comment>
    <comment ref="J70" authorId="1" shapeId="0">
      <text>
        <r>
          <rPr>
            <sz val="11"/>
            <color rgb="FF000000"/>
            <rFont val="等线"/>
            <family val="3"/>
            <charset val="134"/>
            <scheme val="minor"/>
          </rPr>
          <t>Administrator:
费率0.55%，综合成本4%</t>
        </r>
      </text>
    </comment>
    <comment ref="H74" authorId="0" shapeId="0">
      <text>
        <r>
          <rPr>
            <b/>
            <sz val="9"/>
            <rFont val="宋体"/>
            <family val="3"/>
            <charset val="134"/>
          </rPr>
          <t>000584:</t>
        </r>
        <r>
          <rPr>
            <sz val="9"/>
            <rFont val="宋体"/>
            <family val="3"/>
            <charset val="134"/>
          </rPr>
          <t xml:space="preserve">
10-7日提前还2万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<sst xmlns="http://schemas.openxmlformats.org/spreadsheetml/2006/main" count="5299" uniqueCount="1204">
  <si>
    <t>龙岛竹项目</t>
    <phoneticPr fontId="5" type="noConversion"/>
  </si>
  <si>
    <t>历史</t>
    <phoneticPr fontId="7" type="noConversion"/>
  </si>
  <si>
    <t>历史</t>
    <phoneticPr fontId="8" type="noConversion"/>
  </si>
  <si>
    <t>历史</t>
    <phoneticPr fontId="5" type="noConversion"/>
  </si>
  <si>
    <t>预测</t>
  </si>
  <si>
    <t>10M2024</t>
    <phoneticPr fontId="5" type="noConversion"/>
  </si>
  <si>
    <t>中国业务拆分</t>
    <phoneticPr fontId="5" type="noConversion"/>
  </si>
  <si>
    <t>中国业务拆分</t>
    <phoneticPr fontId="7" type="noConversion"/>
  </si>
  <si>
    <t>x</t>
    <phoneticPr fontId="5" type="noConversion"/>
  </si>
  <si>
    <t>千元人民币</t>
    <phoneticPr fontId="7" type="noConversion"/>
  </si>
  <si>
    <t>Revenue - Mgt Reported</t>
    <phoneticPr fontId="5" type="noConversion"/>
  </si>
  <si>
    <t>Interco elimination</t>
    <phoneticPr fontId="5" type="noConversion"/>
  </si>
  <si>
    <t>Revenue - DD Adjusted</t>
    <phoneticPr fontId="5" type="noConversion"/>
  </si>
  <si>
    <t>CN/US transfer pricing adjustment</t>
  </si>
  <si>
    <t>Exclusion of E-commerce business</t>
  </si>
  <si>
    <t>Exclusion of Maternity &amp; Baby business</t>
  </si>
  <si>
    <t>Revenue - Pro Forma</t>
    <phoneticPr fontId="5" type="noConversion"/>
  </si>
  <si>
    <t>COGS - FDD adjusted</t>
    <phoneticPr fontId="5" type="noConversion"/>
  </si>
  <si>
    <t>Gross Profits - FDD adjusted</t>
    <phoneticPr fontId="5" type="noConversion"/>
  </si>
  <si>
    <t>Gross Margin %</t>
  </si>
  <si>
    <t>Gross Margin %</t>
    <phoneticPr fontId="5" type="noConversion"/>
  </si>
  <si>
    <t>China Total Sales and Gross Profits</t>
    <phoneticPr fontId="5" type="noConversion"/>
  </si>
  <si>
    <t>1. Supply Chain</t>
    <phoneticPr fontId="5" type="noConversion"/>
  </si>
  <si>
    <t>Total Supply Chain</t>
    <phoneticPr fontId="5" type="noConversion"/>
  </si>
  <si>
    <t>Sales Volume ("000)</t>
    <phoneticPr fontId="5" type="noConversion"/>
  </si>
  <si>
    <t>Capsule</t>
  </si>
  <si>
    <t>Gummie</t>
  </si>
  <si>
    <t>Soft Gel</t>
  </si>
  <si>
    <t>Tablet</t>
  </si>
  <si>
    <t>Others</t>
  </si>
  <si>
    <t>ASP</t>
  </si>
  <si>
    <t>ASP</t>
    <phoneticPr fontId="5" type="noConversion"/>
  </si>
  <si>
    <t>Gross Sales</t>
  </si>
  <si>
    <t>Gross Sales</t>
    <phoneticPr fontId="5" type="noConversion"/>
  </si>
  <si>
    <t>COGS</t>
  </si>
  <si>
    <t>COGS</t>
    <phoneticPr fontId="5" type="noConversion"/>
  </si>
  <si>
    <t>Gross Profits</t>
  </si>
  <si>
    <t>1.1 Intra-group supply chain</t>
    <phoneticPr fontId="5" type="noConversion"/>
  </si>
  <si>
    <t>Total Intra-group supply chain</t>
    <phoneticPr fontId="5" type="noConversion"/>
  </si>
  <si>
    <t>1.1.1 Intra-group: Aland US</t>
    <phoneticPr fontId="5" type="noConversion"/>
  </si>
  <si>
    <t>1.1.2 Intra-group: Brunel</t>
    <phoneticPr fontId="5" type="noConversion"/>
  </si>
  <si>
    <t>1.1.3 Intra-group: Vita Health</t>
    <phoneticPr fontId="5" type="noConversion"/>
  </si>
  <si>
    <t>1.1.4 Intra-group:Pragen</t>
    <phoneticPr fontId="5" type="noConversion"/>
  </si>
  <si>
    <t>1.1.5 Intra-group:Bloem</t>
    <phoneticPr fontId="5" type="noConversion"/>
  </si>
  <si>
    <t>1.2 Supply Chain to other China BU</t>
    <phoneticPr fontId="5" type="noConversion"/>
  </si>
  <si>
    <t>1.3 Domestic CDMO</t>
    <phoneticPr fontId="5" type="noConversion"/>
  </si>
  <si>
    <t>Total Domestic CDMO</t>
    <phoneticPr fontId="5" type="noConversion"/>
  </si>
  <si>
    <t>1.3.1 Sam's club</t>
    <phoneticPr fontId="5" type="noConversion"/>
  </si>
  <si>
    <t>1.3.2 T</t>
    <phoneticPr fontId="5" type="noConversion"/>
  </si>
  <si>
    <t xml:space="preserve">1.3.3 B </t>
    <phoneticPr fontId="5" type="noConversion"/>
  </si>
  <si>
    <t xml:space="preserve">1.3.4 JD </t>
    <phoneticPr fontId="5" type="noConversion"/>
  </si>
  <si>
    <t xml:space="preserve">1.3.5 Others </t>
    <phoneticPr fontId="5" type="noConversion"/>
  </si>
  <si>
    <t>1.4 International CDMO</t>
    <phoneticPr fontId="5" type="noConversion"/>
  </si>
  <si>
    <t>Total International CDMO</t>
    <phoneticPr fontId="5" type="noConversion"/>
  </si>
  <si>
    <t>1.4.1 Dr.Max</t>
    <phoneticPr fontId="5" type="noConversion"/>
  </si>
  <si>
    <t>1.4.2 CMG</t>
    <phoneticPr fontId="5" type="noConversion"/>
  </si>
  <si>
    <t>1.4.3 Medpharm</t>
    <phoneticPr fontId="5" type="noConversion"/>
  </si>
  <si>
    <t>1.4.4 Jamieson</t>
    <phoneticPr fontId="5" type="noConversion"/>
  </si>
  <si>
    <t>1.4.5 Others</t>
    <phoneticPr fontId="5" type="noConversion"/>
  </si>
  <si>
    <t>1.5 Others</t>
    <phoneticPr fontId="5" type="noConversion"/>
  </si>
  <si>
    <t>2. Brand</t>
    <phoneticPr fontId="5" type="noConversion"/>
  </si>
  <si>
    <t>3. Powder</t>
    <phoneticPr fontId="5" type="noConversion"/>
  </si>
  <si>
    <t>Sales Volume (T)</t>
  </si>
  <si>
    <t>5. EJE, Reclassification and others</t>
    <phoneticPr fontId="5" type="noConversion"/>
  </si>
  <si>
    <t>Operating Expense - DD adjusted</t>
  </si>
  <si>
    <t>Selling Expense</t>
  </si>
  <si>
    <t>G&amp;A Expense</t>
  </si>
  <si>
    <t>R&amp;D Expense</t>
  </si>
  <si>
    <t>Other Expense and Income</t>
  </si>
  <si>
    <t>Taxes and surcharges</t>
  </si>
  <si>
    <t>Finance costs</t>
  </si>
  <si>
    <t>Asset impairment losses</t>
  </si>
  <si>
    <t>Investment income</t>
  </si>
  <si>
    <t>Other income</t>
  </si>
  <si>
    <t>Operating Profit - DD Adjusted</t>
  </si>
  <si>
    <t>Non-operating income / expenses</t>
  </si>
  <si>
    <t>Profit befor tax - DD adjusted</t>
  </si>
  <si>
    <t>Income tax expenses</t>
  </si>
  <si>
    <t>Net Profit - DD adjusted</t>
    <phoneticPr fontId="5" type="noConversion"/>
  </si>
  <si>
    <t>EBITDA</t>
    <phoneticPr fontId="5" type="noConversion"/>
  </si>
  <si>
    <t>Interest in finance cost</t>
  </si>
  <si>
    <t>Interest in investment income</t>
  </si>
  <si>
    <t>Depreciation &amp; Amortization</t>
  </si>
  <si>
    <t>As % of Revenue</t>
  </si>
  <si>
    <t>EBITDA - Mgt Reported</t>
    <phoneticPr fontId="5" type="noConversion"/>
  </si>
  <si>
    <t>Management adjustments - pro forma</t>
  </si>
  <si>
    <t>Non-recurring strategic expenses</t>
  </si>
  <si>
    <t>Subtotal</t>
  </si>
  <si>
    <t>Due diligence - pro forma</t>
  </si>
  <si>
    <t>Unrealised profit</t>
  </si>
  <si>
    <t>Correction of out-of-period expenses</t>
  </si>
  <si>
    <t>Correction of EBITDA</t>
  </si>
  <si>
    <t>US rebate</t>
    <phoneticPr fontId="5" type="noConversion"/>
  </si>
  <si>
    <t xml:space="preserve">Interest income from notes </t>
    <phoneticPr fontId="5" type="noConversion"/>
  </si>
  <si>
    <t>Other expenses</t>
  </si>
  <si>
    <t>D&amp;A</t>
  </si>
  <si>
    <t>Interest exp./(income)</t>
  </si>
  <si>
    <t>Marketing support to BioCare Nutrition</t>
  </si>
  <si>
    <t>Non-operating (income)/expenses</t>
  </si>
  <si>
    <t>EBITDA - DD Adjusted</t>
    <phoneticPr fontId="5" type="noConversion"/>
  </si>
  <si>
    <t>EBITDA %</t>
    <phoneticPr fontId="5" type="noConversion"/>
  </si>
  <si>
    <t>Pro forma - management</t>
  </si>
  <si>
    <t>Loss in Brand BU</t>
  </si>
  <si>
    <t>Margin earned by Supply Chain BU</t>
  </si>
  <si>
    <t>Exclude of Maternity &amp; Baby business</t>
  </si>
  <si>
    <t>Loss in Maternity&amp;Baby BU</t>
  </si>
  <si>
    <t>Pro forma - due diligence</t>
    <phoneticPr fontId="5" type="noConversion"/>
  </si>
  <si>
    <t>Exclude of E-commerce business</t>
  </si>
  <si>
    <t>EBITDA - DD Pro Forma</t>
    <phoneticPr fontId="5" type="noConversion"/>
  </si>
  <si>
    <t>Other Section</t>
    <phoneticPr fontId="5" type="noConversion"/>
  </si>
  <si>
    <t>NWC</t>
    <phoneticPr fontId="5" type="noConversion"/>
  </si>
  <si>
    <t>Revenue - DD adjusted</t>
  </si>
  <si>
    <t>Revenue - Intragroup</t>
  </si>
  <si>
    <t>Revenue - External customer</t>
  </si>
  <si>
    <t>Revenue - US Raw Material Trading</t>
  </si>
  <si>
    <t>COGS - DD adjusted</t>
  </si>
  <si>
    <t>Trade Receivables</t>
  </si>
  <si>
    <t>Notes receivable</t>
  </si>
  <si>
    <t>Accounts receivable</t>
  </si>
  <si>
    <t>Advance from customer</t>
  </si>
  <si>
    <t>DSO</t>
  </si>
  <si>
    <t>Inventory</t>
  </si>
  <si>
    <t>DIO</t>
  </si>
  <si>
    <t>Trade Payables</t>
  </si>
  <si>
    <t>Notes payable</t>
  </si>
  <si>
    <t>Accounts payable</t>
  </si>
  <si>
    <t>Prepayment</t>
  </si>
  <si>
    <t>DPO</t>
  </si>
  <si>
    <t>Trade working capital</t>
    <phoneticPr fontId="5" type="noConversion"/>
  </si>
  <si>
    <t>CCC</t>
    <phoneticPr fontId="5" type="noConversion"/>
  </si>
  <si>
    <t>As % of Revenue</t>
    <phoneticPr fontId="5" type="noConversion"/>
  </si>
  <si>
    <t>Prepaid expenses</t>
  </si>
  <si>
    <t>Other receivables</t>
  </si>
  <si>
    <t>Other current assets</t>
  </si>
  <si>
    <t>Other payables</t>
  </si>
  <si>
    <t>Employee benefits payable</t>
  </si>
  <si>
    <t>As % of Opex</t>
  </si>
  <si>
    <t>Tax payable</t>
  </si>
  <si>
    <t>As % of revenue</t>
    <phoneticPr fontId="5" type="noConversion"/>
  </si>
  <si>
    <t>As % of COGS</t>
    <phoneticPr fontId="5" type="noConversion"/>
  </si>
  <si>
    <t>As % of Opex</t>
    <phoneticPr fontId="5" type="noConversion"/>
  </si>
  <si>
    <t>As % of PBT</t>
    <phoneticPr fontId="5" type="noConversion"/>
  </si>
  <si>
    <t>Other working capital</t>
    <phoneticPr fontId="5" type="noConversion"/>
  </si>
  <si>
    <t>Total Net Working Capital</t>
    <phoneticPr fontId="5" type="noConversion"/>
  </si>
  <si>
    <t>Trade receivable</t>
  </si>
  <si>
    <t>Trade receivable - external customer</t>
  </si>
  <si>
    <t>Trade receivable - Intra group</t>
  </si>
  <si>
    <t>Trade receivable - Intra group: US</t>
  </si>
  <si>
    <t>DSO - Intra group</t>
  </si>
  <si>
    <t>DSO - External</t>
  </si>
  <si>
    <t>DSO - US</t>
  </si>
  <si>
    <t>yoy</t>
    <phoneticPr fontId="5" type="noConversion"/>
  </si>
  <si>
    <t>美国业务拆分</t>
    <phoneticPr fontId="5" type="noConversion"/>
  </si>
  <si>
    <t>美国业务拆分</t>
    <phoneticPr fontId="7" type="noConversion"/>
  </si>
  <si>
    <t>US Total Sales and Gross Profits</t>
    <phoneticPr fontId="5" type="noConversion"/>
  </si>
  <si>
    <t>千元美元</t>
    <phoneticPr fontId="7" type="noConversion"/>
  </si>
  <si>
    <t>人民币/美元汇率</t>
    <phoneticPr fontId="5" type="noConversion"/>
  </si>
  <si>
    <t>1. Private Label / Retail</t>
    <phoneticPr fontId="5" type="noConversion"/>
  </si>
  <si>
    <t>Total Private Label / Retail</t>
    <phoneticPr fontId="5" type="noConversion"/>
  </si>
  <si>
    <t>Gross Sales - Operation Data</t>
    <phoneticPr fontId="5" type="noConversion"/>
  </si>
  <si>
    <t>RD&amp;A %</t>
    <phoneticPr fontId="5" type="noConversion"/>
  </si>
  <si>
    <t>Net Sales - mgmt reported</t>
    <phoneticPr fontId="5" type="noConversion"/>
  </si>
  <si>
    <t>DD adjustments</t>
    <phoneticPr fontId="5" type="noConversion"/>
  </si>
  <si>
    <t>+ E&amp;O (assets impairment)</t>
    <phoneticPr fontId="5" type="noConversion"/>
  </si>
  <si>
    <t>-Reclass other income</t>
    <phoneticPr fontId="5" type="noConversion"/>
  </si>
  <si>
    <t>+ Diligence adjustment</t>
    <phoneticPr fontId="5" type="noConversion"/>
  </si>
  <si>
    <t>+ Other Diligence adjustment</t>
    <phoneticPr fontId="5" type="noConversion"/>
  </si>
  <si>
    <t>Others</t>
    <phoneticPr fontId="5" type="noConversion"/>
  </si>
  <si>
    <t>Gross Margin % - DD Adjusted</t>
    <phoneticPr fontId="5" type="noConversion"/>
  </si>
  <si>
    <t>Liquid, Powder and Others</t>
    <phoneticPr fontId="5" type="noConversion"/>
  </si>
  <si>
    <t>Net Sales</t>
    <phoneticPr fontId="5" type="noConversion"/>
  </si>
  <si>
    <t>1.1 Walmart</t>
    <phoneticPr fontId="5" type="noConversion"/>
  </si>
  <si>
    <t>1.2 Costco</t>
    <phoneticPr fontId="5" type="noConversion"/>
  </si>
  <si>
    <t>1.3 Sams</t>
    <phoneticPr fontId="5" type="noConversion"/>
  </si>
  <si>
    <t>1.4 Walgreens</t>
    <phoneticPr fontId="5" type="noConversion"/>
  </si>
  <si>
    <t>1.5 Target</t>
    <phoneticPr fontId="5" type="noConversion"/>
  </si>
  <si>
    <t>1.6 Other Private Label</t>
    <phoneticPr fontId="5" type="noConversion"/>
  </si>
  <si>
    <t>2. Brand / Contract</t>
    <phoneticPr fontId="5" type="noConversion"/>
  </si>
  <si>
    <t>Total Brand / Contract</t>
    <phoneticPr fontId="5" type="noConversion"/>
  </si>
  <si>
    <t>2.1 GNC</t>
    <phoneticPr fontId="5" type="noConversion"/>
  </si>
  <si>
    <t>2.2 Bausch</t>
    <phoneticPr fontId="5" type="noConversion"/>
  </si>
  <si>
    <t>2.3 GSK/Haleon</t>
    <phoneticPr fontId="5" type="noConversion"/>
  </si>
  <si>
    <t>2.4 Herbalife</t>
    <phoneticPr fontId="5" type="noConversion"/>
  </si>
  <si>
    <t>2.5 Garden of Life</t>
    <phoneticPr fontId="5" type="noConversion"/>
  </si>
  <si>
    <t>2.6 Other Brands</t>
    <phoneticPr fontId="5" type="noConversion"/>
  </si>
  <si>
    <t>3. E-commerce</t>
    <phoneticPr fontId="5" type="noConversion"/>
  </si>
  <si>
    <t>Total E-commerce</t>
    <phoneticPr fontId="5" type="noConversion"/>
  </si>
  <si>
    <t>OPEX and EBITDA</t>
    <phoneticPr fontId="5" type="noConversion"/>
  </si>
  <si>
    <t>Credit impairment loss</t>
  </si>
  <si>
    <t>Asset impairment loss</t>
  </si>
  <si>
    <t>Gain/Loss on disposal of assets</t>
  </si>
  <si>
    <t>Operating profits - DD Adjusted</t>
  </si>
  <si>
    <t>Non-operating income</t>
  </si>
  <si>
    <t>NI Margin % -DD Adjusted</t>
    <phoneticPr fontId="5" type="noConversion"/>
  </si>
  <si>
    <t>Net Profit - DD Adjusted</t>
    <phoneticPr fontId="5" type="noConversion"/>
  </si>
  <si>
    <t>Financial Expenses</t>
  </si>
  <si>
    <t>Restructuring and factory closure</t>
  </si>
  <si>
    <t>DOJ Fines</t>
  </si>
  <si>
    <t>New system design and implementation</t>
  </si>
  <si>
    <t>One-time legal service fee</t>
  </si>
  <si>
    <t>One-time financing expenses</t>
  </si>
  <si>
    <t>Freight - speedboat and airfreight</t>
  </si>
  <si>
    <t>IVCN logistic cost sharing</t>
  </si>
  <si>
    <t>Other non-recurring items</t>
  </si>
  <si>
    <t>Plant closure related asset impairment</t>
  </si>
  <si>
    <t>Other non-operating income/expense</t>
  </si>
  <si>
    <t>EBITDA%</t>
    <phoneticPr fontId="5" type="noConversion"/>
  </si>
  <si>
    <t>Rent of idle properties</t>
  </si>
  <si>
    <t>RD&amp;A - customer penalty</t>
  </si>
  <si>
    <t>Loss making business with Walgreens/B</t>
  </si>
  <si>
    <t>E&amp;O improvement</t>
  </si>
  <si>
    <t>Top management change</t>
  </si>
  <si>
    <t>Personnel downsizing - back office</t>
  </si>
  <si>
    <t>Intra-plant transportation</t>
  </si>
  <si>
    <t>Management adjustments</t>
    <phoneticPr fontId="5" type="noConversion"/>
  </si>
  <si>
    <t>Due diligence adjustments</t>
    <phoneticPr fontId="5" type="noConversion"/>
  </si>
  <si>
    <t>EBITDA - DD pro forma</t>
    <phoneticPr fontId="5" type="noConversion"/>
  </si>
  <si>
    <t>Revenue - DD adjusted</t>
    <phoneticPr fontId="5" type="noConversion"/>
  </si>
  <si>
    <t>COGS - DD adjusted</t>
    <phoneticPr fontId="5" type="noConversion"/>
  </si>
  <si>
    <t>Operating Expenses - DD adjusted</t>
    <phoneticPr fontId="5" type="noConversion"/>
  </si>
  <si>
    <t>DPO</t>
    <phoneticPr fontId="5" type="noConversion"/>
  </si>
  <si>
    <t>Employee benefits pay</t>
  </si>
  <si>
    <t>Accrued Property Tax</t>
  </si>
  <si>
    <t>DOJ payable</t>
  </si>
  <si>
    <t>欧洲业务拆分</t>
    <phoneticPr fontId="5" type="noConversion"/>
  </si>
  <si>
    <t>欧洲业务拆分</t>
    <phoneticPr fontId="7" type="noConversion"/>
  </si>
  <si>
    <t>千元英镑</t>
    <phoneticPr fontId="7" type="noConversion"/>
  </si>
  <si>
    <t>人民币/英镑汇率</t>
    <phoneticPr fontId="5" type="noConversion"/>
  </si>
  <si>
    <t>Europe Total Sales and Gross Profits</t>
    <phoneticPr fontId="5" type="noConversion"/>
  </si>
  <si>
    <t>Revenue (Before EJE) - Operation Data</t>
    <phoneticPr fontId="5" type="noConversion"/>
  </si>
  <si>
    <t>EJE &amp; reconcile diff</t>
    <phoneticPr fontId="5" type="noConversion"/>
  </si>
  <si>
    <t>Impact of two dormant companies</t>
    <phoneticPr fontId="5" type="noConversion"/>
  </si>
  <si>
    <t>COGS - Standard Cost</t>
    <phoneticPr fontId="5" type="noConversion"/>
  </si>
  <si>
    <t>COGS - Variance and Other Cost</t>
    <phoneticPr fontId="5" type="noConversion"/>
  </si>
  <si>
    <t>COGS - EJE</t>
    <phoneticPr fontId="5" type="noConversion"/>
  </si>
  <si>
    <t>COGS - DD Adjusted</t>
    <phoneticPr fontId="5" type="noConversion"/>
  </si>
  <si>
    <t>Gross Profits - DD Adjusted</t>
    <phoneticPr fontId="5" type="noConversion"/>
  </si>
  <si>
    <t>1. Brunel</t>
    <phoneticPr fontId="5" type="noConversion"/>
  </si>
  <si>
    <t>COGS (Standard Cost)</t>
    <phoneticPr fontId="5" type="noConversion"/>
  </si>
  <si>
    <t>Gross Profits</t>
    <phoneticPr fontId="5" type="noConversion"/>
  </si>
  <si>
    <t>2. Biocare</t>
    <phoneticPr fontId="5" type="noConversion"/>
  </si>
  <si>
    <t>Other Expense and Income - DD Adjusted</t>
  </si>
  <si>
    <t>Financial Costs</t>
  </si>
  <si>
    <t>Operating Margin %</t>
  </si>
  <si>
    <t>Non-operating income / (expense)</t>
  </si>
  <si>
    <t>Profit before Tax - DD Adjusted</t>
  </si>
  <si>
    <t>Income Tax</t>
  </si>
  <si>
    <t>CIT %</t>
  </si>
  <si>
    <t>Net Income - DD Adjusted</t>
  </si>
  <si>
    <t>Financial expenses</t>
  </si>
  <si>
    <t>Depreciation &amp; Amortization</t>
    <phoneticPr fontId="5" type="noConversion"/>
  </si>
  <si>
    <t>Due diligence adjustments</t>
  </si>
  <si>
    <t>Sales to Biocare Nutrition</t>
  </si>
  <si>
    <t>Indian ingredient compensation</t>
  </si>
  <si>
    <t>Non-operating income/expense</t>
  </si>
  <si>
    <t>One-time lawyer fee</t>
  </si>
  <si>
    <t>Subtotal</t>
    <phoneticPr fontId="5" type="noConversion"/>
  </si>
  <si>
    <t>EBITDA Margin %</t>
    <phoneticPr fontId="5" type="noConversion"/>
  </si>
  <si>
    <t>Due diligence - pro forma</t>
    <phoneticPr fontId="5" type="noConversion"/>
  </si>
  <si>
    <t>EBITDA - Pro Forma</t>
    <phoneticPr fontId="5" type="noConversion"/>
  </si>
  <si>
    <t>Trade Receivables</t>
    <phoneticPr fontId="5" type="noConversion"/>
  </si>
  <si>
    <t>Accounts receivables</t>
    <phoneticPr fontId="5" type="noConversion"/>
  </si>
  <si>
    <t>Other receivables</t>
    <phoneticPr fontId="5" type="noConversion"/>
  </si>
  <si>
    <t>Advances from customers</t>
    <phoneticPr fontId="5" type="noConversion"/>
  </si>
  <si>
    <t>DSO</t>
    <phoneticPr fontId="5" type="noConversion"/>
  </si>
  <si>
    <t>Inventory</t>
    <phoneticPr fontId="5" type="noConversion"/>
  </si>
  <si>
    <t>DIO</t>
    <phoneticPr fontId="5" type="noConversion"/>
  </si>
  <si>
    <t>Trade Payables</t>
    <phoneticPr fontId="5" type="noConversion"/>
  </si>
  <si>
    <t>Accounts Payable</t>
    <phoneticPr fontId="5" type="noConversion"/>
  </si>
  <si>
    <t>Prepayments</t>
    <phoneticPr fontId="5" type="noConversion"/>
  </si>
  <si>
    <t>VAT and other taxes</t>
    <phoneticPr fontId="5" type="noConversion"/>
  </si>
  <si>
    <t>Other payables</t>
    <phoneticPr fontId="5" type="noConversion"/>
  </si>
  <si>
    <t>Other current assests</t>
    <phoneticPr fontId="5" type="noConversion"/>
  </si>
  <si>
    <t>Employee benefits payable</t>
    <phoneticPr fontId="5" type="noConversion"/>
  </si>
  <si>
    <t>加拿大业务拆分</t>
    <phoneticPr fontId="5" type="noConversion"/>
  </si>
  <si>
    <t>加拿大业务拆分</t>
    <phoneticPr fontId="7" type="noConversion"/>
  </si>
  <si>
    <t>千元加拿大元</t>
    <phoneticPr fontId="7" type="noConversion"/>
  </si>
  <si>
    <t>人民币/加拿大汇率</t>
    <phoneticPr fontId="5" type="noConversion"/>
  </si>
  <si>
    <t>Canada Total Sales and Gross Profits</t>
    <phoneticPr fontId="5" type="noConversion"/>
  </si>
  <si>
    <t>Gross Sales - Pro forma</t>
    <phoneticPr fontId="5" type="noConversion"/>
  </si>
  <si>
    <t>Financials of Jan-Sep 2021</t>
  </si>
  <si>
    <t>Financials of Jan-Sep 2021</t>
    <phoneticPr fontId="5" type="noConversion"/>
  </si>
  <si>
    <t>1. Retail</t>
    <phoneticPr fontId="5" type="noConversion"/>
  </si>
  <si>
    <t>2. Contract</t>
    <phoneticPr fontId="5" type="noConversion"/>
  </si>
  <si>
    <t>Other Expense and Income - DD Adjusted</t>
    <phoneticPr fontId="5" type="noConversion"/>
  </si>
  <si>
    <t>Taxes and surcharges</t>
    <phoneticPr fontId="5" type="noConversion"/>
  </si>
  <si>
    <t>Finance costs</t>
    <phoneticPr fontId="5" type="noConversion"/>
  </si>
  <si>
    <t>Gains or losses on changes in fair value</t>
    <phoneticPr fontId="5" type="noConversion"/>
  </si>
  <si>
    <t>Gain/Loss On disposal of assets</t>
    <phoneticPr fontId="5" type="noConversion"/>
  </si>
  <si>
    <t>Operating Profit - DD Adjusted</t>
    <phoneticPr fontId="5" type="noConversion"/>
  </si>
  <si>
    <t>Non-operating income / (expense)</t>
    <phoneticPr fontId="5" type="noConversion"/>
  </si>
  <si>
    <t>Profit before Tax - DD Adjusted</t>
    <phoneticPr fontId="5" type="noConversion"/>
  </si>
  <si>
    <t xml:space="preserve"> </t>
    <phoneticPr fontId="5" type="noConversion"/>
  </si>
  <si>
    <t>Income Tax</t>
    <phoneticPr fontId="5" type="noConversion"/>
  </si>
  <si>
    <t>Net profit - DD adjusted</t>
    <phoneticPr fontId="5" type="noConversion"/>
  </si>
  <si>
    <t>Non-recurring items</t>
  </si>
  <si>
    <t>TSA income</t>
  </si>
  <si>
    <t>Negative goodwill adjustment</t>
  </si>
  <si>
    <t>Asset disposal gain/loss</t>
  </si>
  <si>
    <t>Reversal of management adjustmen</t>
  </si>
  <si>
    <t>EBITDA - DD</t>
    <phoneticPr fontId="5" type="noConversion"/>
  </si>
  <si>
    <t>Accounts payables</t>
    <phoneticPr fontId="5" type="noConversion"/>
  </si>
  <si>
    <t>Prepaid expense</t>
    <phoneticPr fontId="5" type="noConversion"/>
  </si>
  <si>
    <t>Total Working Capital</t>
    <phoneticPr fontId="5" type="noConversion"/>
  </si>
  <si>
    <t>Tax payable</t>
    <phoneticPr fontId="5" type="noConversion"/>
  </si>
  <si>
    <t>Other Working Capital</t>
    <phoneticPr fontId="5" type="noConversion"/>
  </si>
  <si>
    <t>集团汇总</t>
    <phoneticPr fontId="5" type="noConversion"/>
  </si>
  <si>
    <t>集团汇总</t>
    <phoneticPr fontId="7" type="noConversion"/>
  </si>
  <si>
    <t>FX Rate</t>
    <phoneticPr fontId="5" type="noConversion"/>
  </si>
  <si>
    <t>USD</t>
    <phoneticPr fontId="5" type="noConversion"/>
  </si>
  <si>
    <t>GBP</t>
    <phoneticPr fontId="5" type="noConversion"/>
  </si>
  <si>
    <t>CAD</t>
    <phoneticPr fontId="5" type="noConversion"/>
  </si>
  <si>
    <t>Group Sales</t>
    <phoneticPr fontId="5" type="noConversion"/>
  </si>
  <si>
    <t>US</t>
    <phoneticPr fontId="5" type="noConversion"/>
  </si>
  <si>
    <t>CN</t>
    <phoneticPr fontId="5" type="noConversion"/>
  </si>
  <si>
    <t>CA</t>
    <phoneticPr fontId="5" type="noConversion"/>
  </si>
  <si>
    <t>EU</t>
    <phoneticPr fontId="5" type="noConversion"/>
  </si>
  <si>
    <t>SEA</t>
    <phoneticPr fontId="5" type="noConversion"/>
  </si>
  <si>
    <t>Group EJE</t>
    <phoneticPr fontId="5" type="noConversion"/>
  </si>
  <si>
    <t>Total Group Sales</t>
    <phoneticPr fontId="5" type="noConversion"/>
  </si>
  <si>
    <t>US Sales</t>
    <phoneticPr fontId="5" type="noConversion"/>
  </si>
  <si>
    <t>Private Label</t>
    <phoneticPr fontId="5" type="noConversion"/>
  </si>
  <si>
    <t>Brand</t>
    <phoneticPr fontId="5" type="noConversion"/>
  </si>
  <si>
    <t>E-Commerce</t>
    <phoneticPr fontId="5" type="noConversion"/>
  </si>
  <si>
    <t>Reconcile diff</t>
    <phoneticPr fontId="5" type="noConversion"/>
  </si>
  <si>
    <t>US Total Sales</t>
    <phoneticPr fontId="5" type="noConversion"/>
  </si>
  <si>
    <t>China Sales</t>
    <phoneticPr fontId="5" type="noConversion"/>
  </si>
  <si>
    <t>Intra-group supply chain</t>
    <phoneticPr fontId="5" type="noConversion"/>
  </si>
  <si>
    <t>Supply Chain to other China BU</t>
    <phoneticPr fontId="5" type="noConversion"/>
  </si>
  <si>
    <t>Domestic CDMO</t>
    <phoneticPr fontId="5" type="noConversion"/>
  </si>
  <si>
    <t>International CDMO</t>
    <phoneticPr fontId="5" type="noConversion"/>
  </si>
  <si>
    <t>Powder</t>
    <phoneticPr fontId="5" type="noConversion"/>
  </si>
  <si>
    <t>China EJE</t>
    <phoneticPr fontId="5" type="noConversion"/>
  </si>
  <si>
    <t>China Total Sales</t>
    <phoneticPr fontId="5" type="noConversion"/>
  </si>
  <si>
    <t>Other BUs</t>
    <phoneticPr fontId="5" type="noConversion"/>
  </si>
  <si>
    <t>4. Other BUs</t>
    <phoneticPr fontId="5" type="noConversion"/>
  </si>
  <si>
    <t>CA Sales</t>
    <phoneticPr fontId="5" type="noConversion"/>
  </si>
  <si>
    <t>CA Total Sales</t>
    <phoneticPr fontId="5" type="noConversion"/>
  </si>
  <si>
    <t>EU Sales</t>
    <phoneticPr fontId="5" type="noConversion"/>
  </si>
  <si>
    <t>Brunel</t>
    <phoneticPr fontId="5" type="noConversion"/>
  </si>
  <si>
    <t>Biocare</t>
    <phoneticPr fontId="5" type="noConversion"/>
  </si>
  <si>
    <t>Other</t>
    <phoneticPr fontId="5" type="noConversion"/>
  </si>
  <si>
    <t>EU Total Sales</t>
    <phoneticPr fontId="5" type="noConversion"/>
  </si>
  <si>
    <t>Group Gross Profits</t>
    <phoneticPr fontId="5" type="noConversion"/>
  </si>
  <si>
    <t xml:space="preserve">CN </t>
    <phoneticPr fontId="5" type="noConversion"/>
  </si>
  <si>
    <t>Total Group Gross Profits</t>
    <phoneticPr fontId="5" type="noConversion"/>
  </si>
  <si>
    <t>GP%</t>
    <phoneticPr fontId="5" type="noConversion"/>
  </si>
  <si>
    <t>HQ</t>
    <phoneticPr fontId="5" type="noConversion"/>
  </si>
  <si>
    <t>Group EBITDA</t>
    <phoneticPr fontId="5" type="noConversion"/>
  </si>
  <si>
    <t>CIT %</t>
    <phoneticPr fontId="5" type="noConversion"/>
  </si>
  <si>
    <t xml:space="preserve">   Revenue - Intragroup US</t>
    <phoneticPr fontId="5" type="noConversion"/>
  </si>
  <si>
    <t>CIT%</t>
    <phoneticPr fontId="5" type="noConversion"/>
  </si>
  <si>
    <t>As % of Revenue - DD Adjusted</t>
    <phoneticPr fontId="5" type="noConversion"/>
  </si>
  <si>
    <t>现金流量表</t>
    <phoneticPr fontId="5" type="noConversion"/>
  </si>
  <si>
    <t>现金流量表</t>
    <phoneticPr fontId="7" type="noConversion"/>
  </si>
  <si>
    <t>财务费用</t>
    <phoneticPr fontId="5" type="noConversion"/>
  </si>
  <si>
    <t>CAGR</t>
    <phoneticPr fontId="5" type="noConversion"/>
  </si>
  <si>
    <t>MOC</t>
    <phoneticPr fontId="5" type="noConversion"/>
  </si>
  <si>
    <t>IRR</t>
    <phoneticPr fontId="5" type="noConversion"/>
  </si>
  <si>
    <t>2021年</t>
  </si>
  <si>
    <t>2022年</t>
  </si>
  <si>
    <t>2024.9 YTD</t>
    <phoneticPr fontId="5" type="noConversion"/>
  </si>
  <si>
    <t>项 目（金额：元）</t>
  </si>
  <si>
    <t>艾兰得合并
  (审定数）</t>
    <phoneticPr fontId="5" type="noConversion"/>
  </si>
  <si>
    <t>艾兰得-合并资产负债表</t>
    <phoneticPr fontId="5" type="noConversion"/>
  </si>
  <si>
    <t>货币资金</t>
  </si>
  <si>
    <t>应收票据</t>
  </si>
  <si>
    <t>预付款项</t>
  </si>
  <si>
    <t>其他流动资产</t>
  </si>
  <si>
    <t>其他权益投资工具</t>
  </si>
  <si>
    <t>长期应收款</t>
  </si>
  <si>
    <t>投资性房地产</t>
  </si>
  <si>
    <t>在建工程</t>
  </si>
  <si>
    <t>长期待摊费用</t>
  </si>
  <si>
    <t>递延所得税资产</t>
  </si>
  <si>
    <t>其他非流动资产</t>
  </si>
  <si>
    <t>短期借款</t>
  </si>
  <si>
    <t>应付票据</t>
  </si>
  <si>
    <t>应付账款</t>
  </si>
  <si>
    <t>预收款项</t>
  </si>
  <si>
    <t>合同负债</t>
  </si>
  <si>
    <t>应付职工薪酬</t>
  </si>
  <si>
    <t>应交税费</t>
  </si>
  <si>
    <t>应付利息</t>
  </si>
  <si>
    <t>其他应付款</t>
  </si>
  <si>
    <t>一年内到期的非流动负债</t>
  </si>
  <si>
    <t>长期借款</t>
  </si>
  <si>
    <t>长期应付款</t>
  </si>
  <si>
    <t>预计负债</t>
  </si>
  <si>
    <t>租赁负债</t>
  </si>
  <si>
    <t>递延所得税负债</t>
  </si>
  <si>
    <t>其他非流动负债</t>
  </si>
  <si>
    <t>递延收益</t>
  </si>
  <si>
    <t>实收资本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</si>
  <si>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</si>
  <si>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</si>
  <si>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</si>
  <si>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</si>
  <si>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</si>
  <si>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</si>
  <si>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负债和所有者权益合计</t>
  </si>
  <si>
    <t>一、经营活动产生的现金流量：</t>
  </si>
  <si>
    <t xml:space="preserve">        销售商品、提供劳务收到的现金</t>
  </si>
  <si>
    <t xml:space="preserve">        收到的税费返还</t>
  </si>
  <si>
    <t xml:space="preserve">        收到的其他与经营活动有关的现金</t>
  </si>
  <si>
    <t xml:space="preserve">                   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</si>
  <si>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</si>
  <si>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</si>
  <si>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</si>
  <si>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支付的其他与经营活动有关的现金</t>
  </si>
  <si>
    <t xml:space="preserve">                       经营活动 现金流出小计</t>
  </si>
  <si>
    <t xml:space="preserve">        经营活动产生的现金流量净额</t>
  </si>
  <si>
    <t>二、投资活动产生的现金流量：</t>
  </si>
  <si>
    <t xml:space="preserve">        收回投资所收到的现金</t>
  </si>
  <si>
    <t xml:space="preserve">        取得投资收益所收到的现金</t>
  </si>
  <si>
    <t xml:space="preserve">        处置固定资产、无形资产和其他长期资产所收回的现金净额</t>
  </si>
  <si>
    <t xml:space="preserve">        收到的其他与投资活动有关的现金</t>
  </si>
  <si>
    <t xml:space="preserve">                        投资活动现金流入小计</t>
  </si>
  <si>
    <t xml:space="preserve">        购建固定资产、无形资产和其他长期资产所支付的现金</t>
  </si>
  <si>
    <t xml:space="preserve">        投资所支付的现金</t>
  </si>
  <si>
    <t xml:space="preserve">        取得子公司及其营业单位支付的现金净额</t>
  </si>
  <si>
    <t xml:space="preserve">        支付的其他与投资活动有关的现金</t>
  </si>
  <si>
    <t xml:space="preserve">                        投资活动现金流出小计</t>
  </si>
  <si>
    <t xml:space="preserve">        投资活动产生的现金流量净额</t>
  </si>
  <si>
    <t>三、筹资活动产生的现金流量：</t>
  </si>
  <si>
    <t xml:space="preserve">        吸收投资所收到的现金</t>
  </si>
  <si>
    <t xml:space="preserve">        取得借款所收到的现金</t>
  </si>
  <si>
    <t xml:space="preserve">        收到的其他与筹资活动有关的现金</t>
  </si>
  <si>
    <t xml:space="preserve">                        筹资现金流入小计</t>
  </si>
  <si>
    <t xml:space="preserve">        偿还债务所支付的现金</t>
  </si>
  <si>
    <t xml:space="preserve">        分配股利、利润或偿付利息所支付的现金</t>
  </si>
  <si>
    <t xml:space="preserve">        支付的其他与筹资活动有关的现金</t>
  </si>
  <si>
    <t xml:space="preserve">                        筹资现金流出小计</t>
  </si>
  <si>
    <t xml:space="preserve">        筹资活动产生的现金流量净额</t>
  </si>
  <si>
    <t>四、汇率变动对现金的影响</t>
    <phoneticPr fontId="5" type="noConversion"/>
  </si>
  <si>
    <t>五、现金及现金等价物净增加额</t>
    <phoneticPr fontId="5" type="noConversion"/>
  </si>
  <si>
    <t xml:space="preserve">        加：期初现金及现金等价物余额 </t>
  </si>
  <si>
    <t xml:space="preserve">六、期末现金及现金等价物余额 </t>
  </si>
  <si>
    <t>CASH FLOW STATEMENT</t>
  </si>
  <si>
    <t>Items (RMB)</t>
  </si>
  <si>
    <t>Year 2023</t>
  </si>
  <si>
    <t>Net Income</t>
  </si>
  <si>
    <t>Finance cost</t>
  </si>
  <si>
    <t>Depreciation &amp; Amortisation</t>
  </si>
  <si>
    <t>Other non-cash items</t>
  </si>
  <si>
    <t>OCF before working capital</t>
  </si>
  <si>
    <r>
      <rPr>
        <sz val="8"/>
        <color theme="1"/>
        <rFont val="Arial"/>
        <family val="2"/>
      </rPr>
      <t>(+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/- in inventories</t>
    </r>
  </si>
  <si>
    <r>
      <rPr>
        <sz val="8"/>
        <color theme="1"/>
        <rFont val="Arial"/>
        <family val="2"/>
      </rPr>
      <t>(+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/- in Receivables</t>
    </r>
  </si>
  <si>
    <r>
      <rPr>
        <sz val="8"/>
        <color theme="1"/>
        <rFont val="Arial"/>
        <family val="2"/>
      </rPr>
      <t>(+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/- in Payables</t>
    </r>
  </si>
  <si>
    <r>
      <rPr>
        <sz val="8"/>
        <color theme="1"/>
        <rFont val="Arial"/>
        <family val="2"/>
      </rPr>
      <t>(+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/- in Accrued &amp; deferred expenses</t>
    </r>
  </si>
  <si>
    <r>
      <rPr>
        <sz val="8"/>
        <color theme="1"/>
        <rFont val="Arial"/>
        <family val="2"/>
      </rPr>
      <t>(+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/- SARs</t>
    </r>
  </si>
  <si>
    <t>Net Operating cashflow</t>
  </si>
  <si>
    <t>Capital expenditures</t>
  </si>
  <si>
    <t>Payment of acquisition</t>
  </si>
  <si>
    <t>Disposal of fixed assets</t>
  </si>
  <si>
    <t>GNC/Harbin Deposit Joint Escrow</t>
  </si>
  <si>
    <t>Other investment cashflow</t>
  </si>
  <si>
    <t>Investment cashflow</t>
  </si>
  <si>
    <t>Cash received by investors</t>
  </si>
  <si>
    <t>Interest paid</t>
  </si>
  <si>
    <t>Increased in borrowings(+)</t>
  </si>
  <si>
    <t>Decreased in borrowings(-)</t>
  </si>
  <si>
    <t>Debt issuance costs</t>
  </si>
  <si>
    <t>Distribution to GNC - Nutra</t>
  </si>
  <si>
    <t>Payment on forward-contract</t>
  </si>
  <si>
    <t>Capital leases &amp; Others</t>
  </si>
  <si>
    <t>Financing cashflow</t>
  </si>
  <si>
    <t>Cash (start of period)</t>
  </si>
  <si>
    <t>Net change in cash</t>
  </si>
  <si>
    <t>FX change</t>
  </si>
  <si>
    <t>Cash (end of period)</t>
  </si>
  <si>
    <t>利润表</t>
    <phoneticPr fontId="7" type="noConversion"/>
  </si>
  <si>
    <t>利息费用</t>
    <phoneticPr fontId="5" type="noConversion"/>
  </si>
  <si>
    <t>资产负债表</t>
    <phoneticPr fontId="5" type="noConversion"/>
  </si>
  <si>
    <t>资产负债表</t>
    <phoneticPr fontId="7" type="noConversion"/>
  </si>
  <si>
    <t>check</t>
    <phoneticPr fontId="5" type="noConversion"/>
  </si>
  <si>
    <t>百万元美元</t>
    <phoneticPr fontId="7" type="noConversion"/>
  </si>
  <si>
    <t>利润表</t>
    <phoneticPr fontId="5" type="noConversion"/>
  </si>
  <si>
    <t>Other Expense and Income</t>
    <phoneticPr fontId="5" type="noConversion"/>
  </si>
  <si>
    <t>Group Selling expense</t>
    <phoneticPr fontId="5" type="noConversion"/>
  </si>
  <si>
    <t>Group G&amp;A expense</t>
    <phoneticPr fontId="5" type="noConversion"/>
  </si>
  <si>
    <t>Total Group Selling expense</t>
    <phoneticPr fontId="5" type="noConversion"/>
  </si>
  <si>
    <t>Total Group G&amp;A expense</t>
    <phoneticPr fontId="5" type="noConversion"/>
  </si>
  <si>
    <t>Group R&amp;D expense</t>
    <phoneticPr fontId="5" type="noConversion"/>
  </si>
  <si>
    <t>Total Group R&amp;D expense</t>
    <phoneticPr fontId="5" type="noConversion"/>
  </si>
  <si>
    <t>Group Non-operating income</t>
    <phoneticPr fontId="5" type="noConversion"/>
  </si>
  <si>
    <t>Total Group Non-operating income</t>
    <phoneticPr fontId="5" type="noConversion"/>
  </si>
  <si>
    <t>Group Tax expense</t>
    <phoneticPr fontId="5" type="noConversion"/>
  </si>
  <si>
    <t>Total Group Tax expense</t>
    <phoneticPr fontId="5" type="noConversion"/>
  </si>
  <si>
    <t>IS items</t>
    <phoneticPr fontId="5" type="noConversion"/>
  </si>
  <si>
    <t>BS items</t>
    <phoneticPr fontId="5" type="noConversion"/>
  </si>
  <si>
    <t>Group Inventory</t>
    <phoneticPr fontId="5" type="noConversion"/>
  </si>
  <si>
    <t>Group Trade Payables</t>
    <phoneticPr fontId="5" type="noConversion"/>
  </si>
  <si>
    <t>Group Net Income</t>
    <phoneticPr fontId="5" type="noConversion"/>
  </si>
  <si>
    <t>Total Net Income</t>
    <phoneticPr fontId="5" type="noConversion"/>
  </si>
  <si>
    <t>D&amp;A</t>
    <phoneticPr fontId="5" type="noConversion"/>
  </si>
  <si>
    <t>CAPEX</t>
    <phoneticPr fontId="5" type="noConversion"/>
  </si>
  <si>
    <t>CAPEX</t>
    <phoneticPr fontId="7" type="noConversion"/>
  </si>
  <si>
    <t>固定资产</t>
    <phoneticPr fontId="5" type="noConversion"/>
  </si>
  <si>
    <t>期初固定资产净额</t>
    <phoneticPr fontId="5" type="noConversion"/>
  </si>
  <si>
    <t>新增投资</t>
    <phoneticPr fontId="5" type="noConversion"/>
  </si>
  <si>
    <t>处置（收益）/亏损</t>
    <phoneticPr fontId="5" type="noConversion"/>
  </si>
  <si>
    <t>折旧</t>
    <phoneticPr fontId="5" type="noConversion"/>
  </si>
  <si>
    <t>期末固定资产净额</t>
    <phoneticPr fontId="5" type="noConversion"/>
  </si>
  <si>
    <t>无形资产</t>
    <phoneticPr fontId="5" type="noConversion"/>
  </si>
  <si>
    <t>期初无形资产净额</t>
    <phoneticPr fontId="5" type="noConversion"/>
  </si>
  <si>
    <t>摊销</t>
    <phoneticPr fontId="5" type="noConversion"/>
  </si>
  <si>
    <t>期末无形资产净额</t>
    <phoneticPr fontId="5" type="noConversion"/>
  </si>
  <si>
    <t>固定资产折旧</t>
    <phoneticPr fontId="5" type="noConversion"/>
  </si>
  <si>
    <t>折旧年限</t>
    <phoneticPr fontId="5" type="noConversion"/>
  </si>
  <si>
    <t>残值率</t>
    <phoneticPr fontId="5" type="noConversion"/>
  </si>
  <si>
    <t>年折旧率</t>
    <phoneticPr fontId="5" type="noConversion"/>
  </si>
  <si>
    <t>对应金额</t>
    <phoneticPr fontId="5" type="noConversion"/>
  </si>
  <si>
    <t>购建年份</t>
    <phoneticPr fontId="5" type="noConversion"/>
  </si>
  <si>
    <t>无形资产摊销</t>
    <phoneticPr fontId="5" type="noConversion"/>
  </si>
  <si>
    <r>
      <rPr>
        <b/>
        <sz val="11"/>
        <color theme="1"/>
        <rFont val="KaiTi"/>
        <family val="3"/>
      </rPr>
      <t>截止</t>
    </r>
    <r>
      <rPr>
        <b/>
        <sz val="11"/>
        <color theme="1"/>
        <rFont val="Times New Roman"/>
        <family val="1"/>
      </rPr>
      <t>2024</t>
    </r>
    <r>
      <rPr>
        <b/>
        <sz val="11"/>
        <color theme="1"/>
        <rFont val="KaiTi"/>
        <family val="3"/>
      </rPr>
      <t>年10月30日借款明细表</t>
    </r>
  </si>
  <si>
    <t>Company</t>
  </si>
  <si>
    <t>Co</t>
  </si>
  <si>
    <t>Bank</t>
  </si>
  <si>
    <t xml:space="preserve">Total Amount (RMB) </t>
  </si>
  <si>
    <t>Currency</t>
  </si>
  <si>
    <t>Financing Amount</t>
  </si>
  <si>
    <t>Amount (RMB)</t>
  </si>
  <si>
    <t>Maturity Date</t>
  </si>
  <si>
    <t>Rate</t>
  </si>
  <si>
    <r>
      <rPr>
        <b/>
        <sz val="10"/>
        <color theme="0"/>
        <rFont val="KaiTi"/>
        <family val="3"/>
      </rPr>
      <t>报表科目</t>
    </r>
  </si>
  <si>
    <t>Purpose</t>
  </si>
  <si>
    <t>IVCN</t>
  </si>
  <si>
    <r>
      <rPr>
        <sz val="10"/>
        <color theme="1"/>
        <rFont val="Times New Roman"/>
        <family val="1"/>
      </rPr>
      <t>BOC
(</t>
    </r>
    <r>
      <rPr>
        <sz val="10"/>
        <color theme="1"/>
        <rFont val="楷体"/>
        <family val="3"/>
        <charset val="134"/>
      </rPr>
      <t>中国银行</t>
    </r>
    <r>
      <rPr>
        <sz val="10"/>
        <color theme="1"/>
        <rFont val="Times New Roman"/>
        <family val="1"/>
      </rPr>
      <t>)</t>
    </r>
  </si>
  <si>
    <t>RMB</t>
  </si>
  <si>
    <t>流贷，用于正常运营支出</t>
  </si>
  <si>
    <r>
      <rPr>
        <sz val="10"/>
        <color theme="1"/>
        <rFont val="Times New Roman"/>
        <family val="1"/>
      </rPr>
      <t xml:space="preserve">CJCCB
</t>
    </r>
    <r>
      <rPr>
        <sz val="10"/>
        <color theme="1"/>
        <rFont val="楷体"/>
        <family val="3"/>
        <charset val="134"/>
      </rPr>
      <t>（长江商业银行）</t>
    </r>
  </si>
  <si>
    <r>
      <rPr>
        <sz val="10"/>
        <color theme="1"/>
        <rFont val="Times New Roman"/>
        <family val="1"/>
      </rPr>
      <t>NJCB
(</t>
    </r>
    <r>
      <rPr>
        <sz val="10"/>
        <color theme="1"/>
        <rFont val="楷体"/>
        <family val="3"/>
        <charset val="134"/>
      </rPr>
      <t>南京银行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</si>
  <si>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Times New Roman"/>
        <family val="1"/>
      </rPr>
      <t>ICBC
(</t>
    </r>
    <r>
      <rPr>
        <sz val="10"/>
        <color theme="1"/>
        <rFont val="楷体"/>
        <family val="3"/>
        <charset val="134"/>
      </rPr>
      <t>工商银行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</si>
  <si>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Times New Roman"/>
        <family val="1"/>
      </rPr>
      <t xml:space="preserve">SPDB
</t>
    </r>
    <r>
      <rPr>
        <sz val="10"/>
        <color theme="1"/>
        <rFont val="楷体"/>
        <family val="3"/>
        <charset val="134"/>
      </rPr>
      <t>（上海浦发银行）</t>
    </r>
  </si>
  <si>
    <r>
      <rPr>
        <sz val="10"/>
        <color theme="1"/>
        <rFont val="Times New Roman"/>
        <family val="1"/>
      </rPr>
      <t xml:space="preserve">ABC
</t>
    </r>
    <r>
      <rPr>
        <sz val="10"/>
        <color theme="1"/>
        <rFont val="楷体"/>
        <family val="3"/>
        <charset val="134"/>
      </rPr>
      <t>（农业银行）</t>
    </r>
  </si>
  <si>
    <r>
      <rPr>
        <sz val="10"/>
        <color theme="1"/>
        <rFont val="楷体"/>
        <family val="3"/>
        <charset val="134"/>
      </rPr>
      <t>中信银行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楷体"/>
        <family val="3"/>
        <charset val="134"/>
      </rPr>
      <t>（</t>
    </r>
    <r>
      <rPr>
        <sz val="10"/>
        <color theme="1"/>
        <rFont val="Times New Roman"/>
        <family val="1"/>
      </rPr>
      <t>CITIC BANK)</t>
    </r>
  </si>
  <si>
    <r>
      <rPr>
        <sz val="10"/>
        <rFont val="楷体"/>
        <family val="3"/>
        <charset val="134"/>
      </rPr>
      <t>建设银行</t>
    </r>
    <r>
      <rPr>
        <sz val="10"/>
        <rFont val="Times New Roman"/>
        <family val="1"/>
      </rPr>
      <t xml:space="preserve">
</t>
    </r>
    <r>
      <rPr>
        <sz val="10"/>
        <rFont val="楷体"/>
        <family val="3"/>
        <charset val="134"/>
      </rPr>
      <t>（</t>
    </r>
    <r>
      <rPr>
        <sz val="10"/>
        <rFont val="Times New Roman"/>
        <family val="1"/>
      </rPr>
      <t>CCB)</t>
    </r>
  </si>
  <si>
    <r>
      <rPr>
        <sz val="10"/>
        <rFont val="楷体"/>
        <family val="3"/>
        <charset val="134"/>
      </rPr>
      <t>浙商银行</t>
    </r>
    <r>
      <rPr>
        <sz val="10"/>
        <rFont val="Times New Roman"/>
        <family val="1"/>
      </rPr>
      <t xml:space="preserve">
</t>
    </r>
    <r>
      <rPr>
        <sz val="10"/>
        <rFont val="楷体"/>
        <family val="3"/>
        <charset val="134"/>
      </rPr>
      <t>（</t>
    </r>
    <r>
      <rPr>
        <sz val="10"/>
        <rFont val="Times New Roman"/>
        <family val="1"/>
      </rPr>
      <t>CZBANK</t>
    </r>
    <r>
      <rPr>
        <sz val="10"/>
        <rFont val="楷体"/>
        <family val="3"/>
        <charset val="134"/>
      </rPr>
      <t>）</t>
    </r>
  </si>
  <si>
    <t>东亚银行</t>
  </si>
  <si>
    <r>
      <rPr>
        <sz val="10"/>
        <color theme="1"/>
        <rFont val="楷体"/>
        <family val="3"/>
        <charset val="134"/>
      </rPr>
      <t>江苏银行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楷体"/>
        <family val="3"/>
        <charset val="134"/>
      </rPr>
      <t>（</t>
    </r>
    <r>
      <rPr>
        <sz val="10"/>
        <color theme="1"/>
        <rFont val="Times New Roman"/>
        <family val="1"/>
      </rPr>
      <t>JSBANK</t>
    </r>
    <r>
      <rPr>
        <sz val="10"/>
        <color theme="1"/>
        <rFont val="楷体"/>
        <family val="3"/>
        <charset val="134"/>
      </rPr>
      <t>）</t>
    </r>
  </si>
  <si>
    <r>
      <rPr>
        <sz val="10"/>
        <color theme="1"/>
        <rFont val="楷体"/>
        <family val="3"/>
        <charset val="134"/>
      </rPr>
      <t>江南农村商业银行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楷体"/>
        <family val="3"/>
        <charset val="134"/>
      </rPr>
      <t>（</t>
    </r>
    <r>
      <rPr>
        <sz val="10"/>
        <color theme="1"/>
        <rFont val="Times New Roman"/>
        <family val="1"/>
      </rPr>
      <t>JNBANK</t>
    </r>
    <r>
      <rPr>
        <sz val="10"/>
        <color theme="1"/>
        <rFont val="楷体"/>
        <family val="3"/>
        <charset val="134"/>
      </rPr>
      <t>）</t>
    </r>
  </si>
  <si>
    <r>
      <rPr>
        <sz val="10"/>
        <color theme="1"/>
        <rFont val="楷体"/>
        <family val="3"/>
        <charset val="134"/>
      </rPr>
      <t>华美银行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楷体"/>
        <family val="3"/>
        <charset val="134"/>
      </rPr>
      <t>（</t>
    </r>
    <r>
      <rPr>
        <sz val="10"/>
        <color theme="1"/>
        <rFont val="Times New Roman"/>
        <family val="1"/>
      </rPr>
      <t>East West Bank</t>
    </r>
    <r>
      <rPr>
        <sz val="10"/>
        <color theme="1"/>
        <rFont val="楷体"/>
        <family val="3"/>
        <charset val="134"/>
      </rPr>
      <t>）</t>
    </r>
  </si>
  <si>
    <t>进出口银行</t>
  </si>
  <si>
    <t>华夏银行</t>
  </si>
  <si>
    <t>永丰银行</t>
  </si>
  <si>
    <t>IVCJ</t>
  </si>
  <si>
    <r>
      <rPr>
        <sz val="10"/>
        <color theme="1"/>
        <rFont val="Times New Roman"/>
        <family val="1"/>
      </rPr>
      <t xml:space="preserve">NBCB
</t>
    </r>
    <r>
      <rPr>
        <sz val="10"/>
        <color theme="1"/>
        <rFont val="楷体"/>
        <family val="3"/>
        <charset val="134"/>
      </rPr>
      <t>（宁波银行）</t>
    </r>
  </si>
  <si>
    <t>IVCT</t>
  </si>
  <si>
    <t>Huan ju</t>
  </si>
  <si>
    <r>
      <rPr>
        <sz val="10"/>
        <color theme="1"/>
        <rFont val="Times New Roman"/>
        <family val="1"/>
      </rPr>
      <t>CMBC
(</t>
    </r>
    <r>
      <rPr>
        <sz val="10"/>
        <color theme="1"/>
        <rFont val="楷体"/>
        <family val="3"/>
        <charset val="134"/>
      </rPr>
      <t>民生银行</t>
    </r>
    <r>
      <rPr>
        <sz val="10"/>
        <color theme="1"/>
        <rFont val="Times New Roman"/>
        <family val="1"/>
      </rPr>
      <t>)</t>
    </r>
  </si>
  <si>
    <t>Shanghai</t>
  </si>
  <si>
    <t>Heng Ai</t>
  </si>
  <si>
    <t>项目贷款，用于恒艾产业园建设</t>
  </si>
  <si>
    <t>Brunel</t>
  </si>
  <si>
    <t>BARCLAYS</t>
  </si>
  <si>
    <t>GBP</t>
  </si>
  <si>
    <t>On demand</t>
  </si>
  <si>
    <t>2.05% over base rate</t>
  </si>
  <si>
    <t>短期贷款</t>
    <phoneticPr fontId="65" type="noConversion"/>
  </si>
  <si>
    <t>1.9% over base rate</t>
  </si>
  <si>
    <t>长期借款</t>
    <phoneticPr fontId="65" type="noConversion"/>
  </si>
  <si>
    <t>2025/12/25</t>
  </si>
  <si>
    <t>2026/4/26</t>
  </si>
  <si>
    <t>2026/8/26</t>
  </si>
  <si>
    <t>IVC Vita</t>
  </si>
  <si>
    <t>BMO</t>
  </si>
  <si>
    <t>CAD</t>
  </si>
  <si>
    <t>IVCUS</t>
  </si>
  <si>
    <t>BMO and other banking institutions</t>
  </si>
  <si>
    <t>USD</t>
  </si>
  <si>
    <t>Term SOFR + 2%~2.5% 
or 
bank Base Rate Revolving 
Credit Loans + 0,75%~1.25%</t>
  </si>
  <si>
    <t>Eest West Bank</t>
  </si>
  <si>
    <t>3.500% above the One Month Term SOFR in effect from time to time</t>
    <phoneticPr fontId="65" type="noConversion"/>
  </si>
  <si>
    <t>Southern First Bank</t>
  </si>
  <si>
    <t>短期借款</t>
    <phoneticPr fontId="65" type="noConversion"/>
  </si>
  <si>
    <t>浙银金租</t>
  </si>
  <si>
    <t>融资租赁，用于正常运营支出</t>
  </si>
  <si>
    <r>
      <rPr>
        <u/>
        <sz val="10"/>
        <color rgb="FF800080"/>
        <rFont val="楷体"/>
        <family val="3"/>
        <charset val="134"/>
      </rPr>
      <t>江苏艾兰得浙银金租</t>
    </r>
    <r>
      <rPr>
        <u/>
        <sz val="10"/>
        <color rgb="FF800080"/>
        <rFont val="Times New Roman"/>
        <family val="1"/>
      </rPr>
      <t>-ivcn</t>
    </r>
    <r>
      <rPr>
        <u/>
        <sz val="10"/>
        <color rgb="FF800080"/>
        <rFont val="楷体"/>
        <family val="3"/>
        <charset val="134"/>
      </rPr>
      <t>直租折现</t>
    </r>
    <r>
      <rPr>
        <u/>
        <sz val="10"/>
        <color rgb="FF800080"/>
        <rFont val="Times New Roman"/>
        <family val="1"/>
      </rPr>
      <t>'!A1</t>
    </r>
  </si>
  <si>
    <t>台中金租</t>
  </si>
  <si>
    <r>
      <rPr>
        <u/>
        <sz val="10"/>
        <color rgb="FF800080"/>
        <rFont val="楷体"/>
        <family val="3"/>
        <charset val="134"/>
      </rPr>
      <t>台中银</t>
    </r>
    <r>
      <rPr>
        <u/>
        <sz val="10"/>
        <color rgb="FF800080"/>
        <rFont val="Times New Roman"/>
        <family val="1"/>
      </rPr>
      <t>-IVCN'!A1</t>
    </r>
  </si>
  <si>
    <t>江苏金租公司</t>
  </si>
  <si>
    <r>
      <rPr>
        <u/>
        <sz val="10"/>
        <color rgb="FF800080"/>
        <rFont val="楷体"/>
        <family val="3"/>
        <charset val="134"/>
      </rPr>
      <t>江苏金租</t>
    </r>
    <r>
      <rPr>
        <u/>
        <sz val="10"/>
        <color rgb="FF800080"/>
        <rFont val="Times New Roman"/>
        <family val="1"/>
      </rPr>
      <t>(</t>
    </r>
    <r>
      <rPr>
        <u/>
        <sz val="10"/>
        <color rgb="FF800080"/>
        <rFont val="楷体"/>
        <family val="3"/>
        <charset val="134"/>
      </rPr>
      <t>江苏艾兰得</t>
    </r>
    <r>
      <rPr>
        <u/>
        <sz val="10"/>
        <color rgb="FF800080"/>
        <rFont val="Times New Roman"/>
        <family val="1"/>
      </rPr>
      <t>)'!A1</t>
    </r>
  </si>
  <si>
    <t>苏州金租公司</t>
  </si>
  <si>
    <r>
      <rPr>
        <u/>
        <sz val="10"/>
        <color rgb="FF800080"/>
        <rFont val="楷体"/>
        <family val="3"/>
        <charset val="134"/>
      </rPr>
      <t>苏州金租公司利息</t>
    </r>
    <r>
      <rPr>
        <u/>
        <sz val="10"/>
        <color rgb="FF800080"/>
        <rFont val="Times New Roman"/>
        <family val="1"/>
      </rPr>
      <t>ivcn!A1</t>
    </r>
  </si>
  <si>
    <t>永丰金国际租赁有限公司</t>
  </si>
  <si>
    <r>
      <rPr>
        <u/>
        <sz val="10"/>
        <color rgb="FF800080"/>
        <rFont val="楷体"/>
        <family val="3"/>
        <charset val="134"/>
      </rPr>
      <t>永丰金租（江苏艾兰得）</t>
    </r>
    <r>
      <rPr>
        <u/>
        <sz val="10"/>
        <color rgb="FF800080"/>
        <rFont val="Times New Roman"/>
        <family val="1"/>
      </rPr>
      <t>'!A1</t>
    </r>
  </si>
  <si>
    <r>
      <rPr>
        <u/>
        <sz val="10"/>
        <color rgb="FF800080"/>
        <rFont val="楷体"/>
        <family val="3"/>
        <charset val="134"/>
      </rPr>
      <t>苏州金租（泰州）</t>
    </r>
    <r>
      <rPr>
        <u/>
        <sz val="10"/>
        <color rgb="FF800080"/>
        <rFont val="Times New Roman"/>
        <family val="1"/>
      </rPr>
      <t>'!A1</t>
    </r>
  </si>
  <si>
    <t>中集</t>
  </si>
  <si>
    <r>
      <rPr>
        <u/>
        <sz val="10"/>
        <color rgb="FF800080"/>
        <rFont val="楷体"/>
        <family val="3"/>
        <charset val="134"/>
      </rPr>
      <t>中集（恒艾）</t>
    </r>
    <r>
      <rPr>
        <u/>
        <sz val="10"/>
        <color rgb="FF800080"/>
        <rFont val="Times New Roman"/>
        <family val="1"/>
      </rPr>
      <t xml:space="preserve"> '!A1</t>
    </r>
  </si>
  <si>
    <r>
      <rPr>
        <u/>
        <sz val="10"/>
        <color rgb="FF800080"/>
        <rFont val="楷体"/>
        <family val="3"/>
        <charset val="134"/>
      </rPr>
      <t>台中银</t>
    </r>
    <r>
      <rPr>
        <u/>
        <sz val="10"/>
        <color rgb="FF800080"/>
        <rFont val="Times New Roman"/>
        <family val="1"/>
      </rPr>
      <t>-</t>
    </r>
    <r>
      <rPr>
        <u/>
        <sz val="10"/>
        <color rgb="FF800080"/>
        <rFont val="楷体"/>
        <family val="3"/>
        <charset val="134"/>
      </rPr>
      <t>恒艾</t>
    </r>
    <r>
      <rPr>
        <u/>
        <sz val="10"/>
        <color rgb="FF800080"/>
        <rFont val="Times New Roman"/>
        <family val="1"/>
      </rPr>
      <t>'!A1</t>
    </r>
  </si>
  <si>
    <r>
      <rPr>
        <u/>
        <sz val="10"/>
        <color rgb="FF800080"/>
        <rFont val="楷体"/>
        <family val="3"/>
        <charset val="134"/>
      </rPr>
      <t>浙江台中金租</t>
    </r>
    <r>
      <rPr>
        <u/>
        <sz val="10"/>
        <color rgb="FF800080"/>
        <rFont val="Times New Roman"/>
        <family val="1"/>
      </rPr>
      <t>!A1</t>
    </r>
  </si>
  <si>
    <t>永赢金租</t>
  </si>
  <si>
    <t>永赢金租（浙江）'!A1</t>
  </si>
  <si>
    <t>Sub-Total</t>
  </si>
  <si>
    <r>
      <rPr>
        <sz val="9"/>
        <color theme="1"/>
        <rFont val="Times New Roman"/>
        <family val="1"/>
      </rPr>
      <t>Notes</t>
    </r>
    <r>
      <rPr>
        <sz val="9"/>
        <color theme="1"/>
        <rFont val="KaiTi"/>
        <family val="3"/>
      </rPr>
      <t>：</t>
    </r>
    <r>
      <rPr>
        <sz val="9"/>
        <color theme="1"/>
        <rFont val="Times New Roman"/>
        <family val="1"/>
      </rPr>
      <t xml:space="preserve"> </t>
    </r>
  </si>
  <si>
    <t>By maturity</t>
  </si>
  <si>
    <t>Later</t>
  </si>
  <si>
    <t>Sub</t>
  </si>
  <si>
    <t>期初现金</t>
    <phoneticPr fontId="5" type="noConversion"/>
  </si>
  <si>
    <t>除债务融资外的现金流</t>
    <phoneticPr fontId="5" type="noConversion"/>
  </si>
  <si>
    <t>可用于还债的现金</t>
    <phoneticPr fontId="5" type="noConversion"/>
  </si>
  <si>
    <t>期初余额</t>
    <phoneticPr fontId="5" type="noConversion"/>
  </si>
  <si>
    <t>新增贷款</t>
    <phoneticPr fontId="5" type="noConversion"/>
  </si>
  <si>
    <t>期末余额</t>
    <phoneticPr fontId="5" type="noConversion"/>
  </si>
  <si>
    <t>利率</t>
    <phoneticPr fontId="5" type="noConversion"/>
  </si>
  <si>
    <t>总新增</t>
    <phoneticPr fontId="5" type="noConversion"/>
  </si>
  <si>
    <t>总还款</t>
    <phoneticPr fontId="5" type="noConversion"/>
  </si>
  <si>
    <t>Interest</t>
    <phoneticPr fontId="5" type="noConversion"/>
  </si>
  <si>
    <t>债务权益假设</t>
    <phoneticPr fontId="5" type="noConversion"/>
  </si>
  <si>
    <t>债务权益假设</t>
    <phoneticPr fontId="7" type="noConversion"/>
  </si>
  <si>
    <t>运营所需最低现金</t>
    <phoneticPr fontId="5" type="noConversion"/>
  </si>
  <si>
    <t>Group D&amp;A</t>
    <phoneticPr fontId="5" type="noConversion"/>
  </si>
  <si>
    <t>交易假设</t>
    <phoneticPr fontId="7" type="noConversion"/>
  </si>
  <si>
    <t>交易假设</t>
    <phoneticPr fontId="5" type="noConversion"/>
  </si>
  <si>
    <t>基本假设</t>
    <phoneticPr fontId="8" type="noConversion"/>
  </si>
  <si>
    <t>估值日期</t>
    <phoneticPr fontId="5" type="noConversion"/>
  </si>
  <si>
    <t>预测情景</t>
    <phoneticPr fontId="5" type="noConversion"/>
  </si>
  <si>
    <t>一年天数</t>
    <phoneticPr fontId="5" type="noConversion"/>
  </si>
  <si>
    <t>估值假设</t>
    <phoneticPr fontId="8" type="noConversion"/>
  </si>
  <si>
    <t>企业价值</t>
    <phoneticPr fontId="8" type="noConversion"/>
  </si>
  <si>
    <t>股权价值</t>
    <phoneticPr fontId="8" type="noConversion"/>
  </si>
  <si>
    <t>创始人股东留存比例</t>
    <phoneticPr fontId="8" type="noConversion"/>
  </si>
  <si>
    <t>交易结构</t>
    <phoneticPr fontId="8" type="noConversion"/>
  </si>
  <si>
    <t>2024 EBITDA</t>
    <phoneticPr fontId="5" type="noConversion"/>
  </si>
  <si>
    <t>2024 EV/EBITDA</t>
    <phoneticPr fontId="5" type="noConversion"/>
  </si>
  <si>
    <t>Add: Net Debt</t>
    <phoneticPr fontId="5" type="noConversion"/>
  </si>
  <si>
    <t>2024 Net Profit</t>
    <phoneticPr fontId="5" type="noConversion"/>
  </si>
  <si>
    <t>2024 PE</t>
    <phoneticPr fontId="5" type="noConversion"/>
  </si>
  <si>
    <t>股权结构</t>
    <phoneticPr fontId="8" type="noConversion"/>
  </si>
  <si>
    <t>常总</t>
    <phoneticPr fontId="5" type="noConversion"/>
  </si>
  <si>
    <t>机构股东</t>
    <phoneticPr fontId="5" type="noConversion"/>
  </si>
  <si>
    <t>自然人股东</t>
    <phoneticPr fontId="5" type="noConversion"/>
  </si>
  <si>
    <t>本次交易前</t>
    <phoneticPr fontId="5" type="noConversion"/>
  </si>
  <si>
    <t>本次交易后</t>
    <phoneticPr fontId="5" type="noConversion"/>
  </si>
  <si>
    <t>合计</t>
    <phoneticPr fontId="5" type="noConversion"/>
  </si>
  <si>
    <t>退出假设</t>
    <phoneticPr fontId="8" type="noConversion"/>
  </si>
  <si>
    <t>退出时间</t>
    <phoneticPr fontId="5" type="noConversion"/>
  </si>
  <si>
    <t>回报测算</t>
    <phoneticPr fontId="5" type="noConversion"/>
  </si>
  <si>
    <t>退出EV/EBITDA倍数</t>
    <phoneticPr fontId="8" type="noConversion"/>
  </si>
  <si>
    <t>当年EBITDA</t>
    <phoneticPr fontId="8" type="noConversion"/>
  </si>
  <si>
    <t>股比</t>
    <phoneticPr fontId="8" type="noConversion"/>
  </si>
  <si>
    <t>股权出资</t>
    <phoneticPr fontId="8" type="noConversion"/>
  </si>
  <si>
    <t>投资退出</t>
    <phoneticPr fontId="8" type="noConversion"/>
  </si>
  <si>
    <t>交割日</t>
    <phoneticPr fontId="5" type="noConversion"/>
  </si>
  <si>
    <t>净负债</t>
    <phoneticPr fontId="8" type="noConversion"/>
  </si>
  <si>
    <t>乐观</t>
    <phoneticPr fontId="5" type="noConversion"/>
  </si>
  <si>
    <t>基础</t>
    <phoneticPr fontId="5" type="noConversion"/>
  </si>
  <si>
    <t>悲观</t>
    <phoneticPr fontId="5" type="noConversion"/>
  </si>
  <si>
    <t>&lt;1=乐观情景；2=基准情景；3=悲观情景</t>
    <phoneticPr fontId="8" type="noConversion"/>
  </si>
  <si>
    <t>As % of Intra-group supply chain</t>
    <phoneticPr fontId="5" type="noConversion"/>
  </si>
  <si>
    <t>毛利</t>
    <phoneticPr fontId="5" type="noConversion"/>
  </si>
  <si>
    <t>毛利率</t>
    <phoneticPr fontId="5" type="noConversion"/>
  </si>
  <si>
    <t>2025 EBITDA</t>
    <phoneticPr fontId="5" type="noConversion"/>
  </si>
  <si>
    <t>2025 EV/EBITDA</t>
    <phoneticPr fontId="5" type="noConversion"/>
  </si>
  <si>
    <t>2025 Net Profit</t>
    <phoneticPr fontId="5" type="noConversion"/>
  </si>
  <si>
    <t>2025 PE</t>
    <phoneticPr fontId="5" type="noConversion"/>
  </si>
  <si>
    <t>退出当年EV/EBITDA</t>
    <phoneticPr fontId="5" type="noConversion"/>
  </si>
  <si>
    <t>营业收入</t>
    <phoneticPr fontId="5" type="noConversion"/>
  </si>
  <si>
    <t>营业成本</t>
    <phoneticPr fontId="5" type="noConversion"/>
  </si>
  <si>
    <t>毛利率%</t>
    <phoneticPr fontId="5" type="noConversion"/>
  </si>
  <si>
    <t>销售费用</t>
    <phoneticPr fontId="5" type="noConversion"/>
  </si>
  <si>
    <t>管理费用</t>
    <phoneticPr fontId="5" type="noConversion"/>
  </si>
  <si>
    <t>占营业收入比例%</t>
    <phoneticPr fontId="5" type="noConversion"/>
  </si>
  <si>
    <t>研发费用</t>
    <phoneticPr fontId="5" type="noConversion"/>
  </si>
  <si>
    <t>其他</t>
    <phoneticPr fontId="5" type="noConversion"/>
  </si>
  <si>
    <t>其他费用和收入</t>
    <phoneticPr fontId="5" type="noConversion"/>
  </si>
  <si>
    <t>税金及附加</t>
    <phoneticPr fontId="5" type="noConversion"/>
  </si>
  <si>
    <t>资产减值损失</t>
    <phoneticPr fontId="5" type="noConversion"/>
  </si>
  <si>
    <t>公允价值变动损益</t>
    <phoneticPr fontId="5" type="noConversion"/>
  </si>
  <si>
    <t>投资收益</t>
    <phoneticPr fontId="5" type="noConversion"/>
  </si>
  <si>
    <t>其他收入</t>
    <phoneticPr fontId="5" type="noConversion"/>
  </si>
  <si>
    <t>营业利润</t>
    <phoneticPr fontId="5" type="noConversion"/>
  </si>
  <si>
    <t>非营业收入</t>
    <phoneticPr fontId="5" type="noConversion"/>
  </si>
  <si>
    <t>税前利润</t>
    <phoneticPr fontId="5" type="noConversion"/>
  </si>
  <si>
    <t>税前利润率%</t>
    <phoneticPr fontId="5" type="noConversion"/>
  </si>
  <si>
    <t>企业所得税</t>
    <phoneticPr fontId="5" type="noConversion"/>
  </si>
  <si>
    <t>企业所得税率%</t>
    <phoneticPr fontId="5" type="noConversion"/>
  </si>
  <si>
    <t>净利润</t>
    <phoneticPr fontId="5" type="noConversion"/>
  </si>
  <si>
    <t>营业利润率%</t>
    <phoneticPr fontId="5" type="noConversion"/>
  </si>
  <si>
    <t>净利润率%</t>
    <phoneticPr fontId="5" type="noConversion"/>
  </si>
  <si>
    <t>EBITDA率%</t>
    <phoneticPr fontId="5" type="noConversion"/>
  </si>
  <si>
    <t>折旧与摊销</t>
    <phoneticPr fontId="5" type="noConversion"/>
  </si>
  <si>
    <t>资产</t>
    <phoneticPr fontId="5" type="noConversion"/>
  </si>
  <si>
    <t>负债</t>
    <phoneticPr fontId="5" type="noConversion"/>
  </si>
  <si>
    <t>现金</t>
    <phoneticPr fontId="5" type="noConversion"/>
  </si>
  <si>
    <t>库存</t>
    <phoneticPr fontId="5" type="noConversion"/>
  </si>
  <si>
    <t>加：折旧摊销</t>
    <phoneticPr fontId="5" type="noConversion"/>
  </si>
  <si>
    <t>减：运营资金的变化</t>
    <phoneticPr fontId="5" type="noConversion"/>
  </si>
  <si>
    <t>经营性现金流</t>
    <phoneticPr fontId="5" type="noConversion"/>
  </si>
  <si>
    <t>固定资产出售</t>
    <phoneticPr fontId="5" type="noConversion"/>
  </si>
  <si>
    <t>减：资本性支出</t>
    <phoneticPr fontId="5" type="noConversion"/>
  </si>
  <si>
    <t>投资性现金流</t>
    <phoneticPr fontId="5" type="noConversion"/>
  </si>
  <si>
    <t>融资性现金流</t>
    <phoneticPr fontId="5" type="noConversion"/>
  </si>
  <si>
    <t>净现金流（扣除外汇影响前）</t>
    <phoneticPr fontId="5" type="noConversion"/>
  </si>
  <si>
    <t>外汇变化对净现金流的影响</t>
    <phoneticPr fontId="5" type="noConversion"/>
  </si>
  <si>
    <t>净现金流</t>
    <phoneticPr fontId="5" type="noConversion"/>
  </si>
  <si>
    <t>期初现金余额</t>
    <phoneticPr fontId="5" type="noConversion"/>
  </si>
  <si>
    <t>期末现金余额</t>
    <phoneticPr fontId="5" type="noConversion"/>
  </si>
  <si>
    <t>净债务</t>
    <phoneticPr fontId="5" type="noConversion"/>
  </si>
  <si>
    <t>净运营资本</t>
    <phoneticPr fontId="5" type="noConversion"/>
  </si>
  <si>
    <t>净运营资本的变化</t>
    <phoneticPr fontId="5" type="noConversion"/>
  </si>
  <si>
    <t>所有者权益</t>
    <phoneticPr fontId="5" type="noConversion"/>
  </si>
  <si>
    <t>第二步：增资</t>
    <phoneticPr fontId="5" type="noConversion"/>
  </si>
  <si>
    <t>增资</t>
    <phoneticPr fontId="5" type="noConversion"/>
  </si>
  <si>
    <t>超额现金</t>
    <phoneticPr fontId="5" type="noConversion"/>
  </si>
  <si>
    <t>第一步：老股</t>
    <phoneticPr fontId="5" type="noConversion"/>
  </si>
  <si>
    <t>敏感性分析 - 进入倍数/退出倍数</t>
    <phoneticPr fontId="8" type="noConversion"/>
  </si>
  <si>
    <t>ROE</t>
    <phoneticPr fontId="5" type="noConversion"/>
  </si>
  <si>
    <t>2024（预测）</t>
    <phoneticPr fontId="5" type="noConversion"/>
  </si>
  <si>
    <t>ROIC</t>
    <phoneticPr fontId="5" type="noConversion"/>
  </si>
  <si>
    <t>综合股权价值</t>
    <phoneticPr fontId="5" type="noConversion"/>
  </si>
  <si>
    <t>2024 PE（综合）</t>
    <phoneticPr fontId="5" type="noConversion"/>
  </si>
  <si>
    <t>2025 PE（综合）</t>
    <phoneticPr fontId="5" type="noConversion"/>
  </si>
  <si>
    <t>2025 EV/EBITDA（综合）</t>
    <phoneticPr fontId="5" type="noConversion"/>
  </si>
  <si>
    <t>2024 EV/EBITDA（综合）</t>
    <phoneticPr fontId="5" type="noConversion"/>
  </si>
  <si>
    <t>进入倍数 EV/EBITDA</t>
    <phoneticPr fontId="5" type="noConversion"/>
  </si>
  <si>
    <t>退出当年倍数 EV/EBITDA</t>
    <phoneticPr fontId="5" type="noConversion"/>
  </si>
  <si>
    <t>退出当年PE</t>
    <phoneticPr fontId="5" type="noConversion"/>
  </si>
  <si>
    <t>退出PE倍数</t>
    <phoneticPr fontId="8" type="noConversion"/>
  </si>
  <si>
    <t>当年净利润</t>
    <phoneticPr fontId="8" type="noConversion"/>
  </si>
  <si>
    <t>进入倍数 PE</t>
    <phoneticPr fontId="5" type="noConversion"/>
  </si>
  <si>
    <t>退出当年倍数 PE</t>
    <phoneticPr fontId="5" type="noConversion"/>
  </si>
  <si>
    <t>2025-2030</t>
    <phoneticPr fontId="5" type="noConversion"/>
  </si>
  <si>
    <t>应收账款天数</t>
    <phoneticPr fontId="5" type="noConversion"/>
  </si>
  <si>
    <t>应付</t>
    <phoneticPr fontId="5" type="noConversion"/>
  </si>
  <si>
    <t>调整项</t>
    <phoneticPr fontId="5" type="noConversion"/>
  </si>
  <si>
    <t>交易后</t>
    <phoneticPr fontId="5" type="noConversion"/>
  </si>
  <si>
    <t>2025E</t>
    <phoneticPr fontId="5" type="noConversion"/>
  </si>
  <si>
    <t>假设用于还债金额</t>
    <phoneticPr fontId="8" type="noConversion"/>
  </si>
  <si>
    <t>增资交易后</t>
    <phoneticPr fontId="5" type="noConversion"/>
  </si>
  <si>
    <t>百万美元</t>
  </si>
  <si>
    <t>25-30</t>
  </si>
  <si>
    <t>集团总营收</t>
  </si>
  <si>
    <t>-</t>
  </si>
  <si>
    <t>美国业务营收</t>
  </si>
  <si>
    <t>1）渠道商客户</t>
  </si>
  <si>
    <t>沃尔玛</t>
  </si>
  <si>
    <t>Costco</t>
  </si>
  <si>
    <t>Sams</t>
  </si>
  <si>
    <t>Walgreens</t>
  </si>
  <si>
    <t>Target</t>
  </si>
  <si>
    <t>其他Private Label</t>
  </si>
  <si>
    <t>2）品牌客户</t>
  </si>
  <si>
    <t>GNC</t>
  </si>
  <si>
    <t>Bausch</t>
  </si>
  <si>
    <t>GSK/Haleon</t>
  </si>
  <si>
    <t>Herbalife</t>
  </si>
  <si>
    <t>Garden of Life</t>
  </si>
  <si>
    <t>其他品牌</t>
  </si>
  <si>
    <t>中国业务营收</t>
  </si>
  <si>
    <t>1）供应链事业部</t>
  </si>
  <si>
    <t>集团内供应链（Intra-group supply chain）</t>
  </si>
  <si>
    <t>中国内部供应链（Supply Chain to other China BU）</t>
  </si>
  <si>
    <t>本土客户（Domestic CDMO）</t>
  </si>
  <si>
    <t>全球CDMO业务（International CDMO）</t>
  </si>
  <si>
    <t>2）品牌业务</t>
  </si>
  <si>
    <t>3）粉剂业务</t>
  </si>
  <si>
    <t>4）其他业务板块</t>
  </si>
  <si>
    <t>5）集团内部调整项（EJE）</t>
  </si>
  <si>
    <t>欧洲业务营收</t>
  </si>
  <si>
    <t>加拿大业务营收</t>
  </si>
  <si>
    <t>毛利率（%）</t>
  </si>
  <si>
    <t>美国业务毛利率</t>
  </si>
  <si>
    <t>中国业务毛利率</t>
  </si>
  <si>
    <t>1）供应链</t>
  </si>
  <si>
    <t>2）Brand</t>
  </si>
  <si>
    <t>3）Powder</t>
  </si>
  <si>
    <t>4）其他BU</t>
  </si>
  <si>
    <t>欧洲业务毛利率</t>
  </si>
  <si>
    <t>加拿大业务毛利率</t>
  </si>
  <si>
    <t>销售费用率（%）</t>
  </si>
  <si>
    <t>管理费用率（%）</t>
  </si>
  <si>
    <t>研发费用率（%）</t>
  </si>
  <si>
    <t>EBITDA</t>
  </si>
  <si>
    <t>净利率（%）</t>
    <phoneticPr fontId="5" type="noConversion"/>
  </si>
  <si>
    <t>M1-10</t>
    <phoneticPr fontId="5" type="noConversion"/>
  </si>
  <si>
    <t>21-24</t>
    <phoneticPr fontId="5" type="noConversion"/>
  </si>
  <si>
    <t>NA</t>
    <phoneticPr fontId="5" type="noConversion"/>
  </si>
  <si>
    <t>3）电商客户</t>
    <phoneticPr fontId="5" type="noConversion"/>
  </si>
  <si>
    <t>投资人出资金额</t>
    <phoneticPr fontId="5" type="noConversion"/>
  </si>
  <si>
    <t>投资人</t>
    <phoneticPr fontId="5" type="noConversion"/>
  </si>
  <si>
    <t>投资人出资金额合计</t>
    <phoneticPr fontId="5" type="noConversion"/>
  </si>
  <si>
    <t>投资人股权比例</t>
    <phoneticPr fontId="5" type="noConversion"/>
  </si>
  <si>
    <t>投资人现金流</t>
    <phoneticPr fontId="8" type="noConversion"/>
  </si>
  <si>
    <t>投资人净现金流</t>
    <phoneticPr fontId="8" type="noConversion"/>
  </si>
  <si>
    <t>综合企业价值（使用增资交易前Net Debt）</t>
    <phoneticPr fontId="5" type="noConversion"/>
  </si>
  <si>
    <t>综合企业价值（使用增资交易后Net Debt）</t>
    <phoneticPr fontId="5" type="noConversion"/>
  </si>
  <si>
    <t>全球CDMO业务（International CDMO）</t>
    <phoneticPr fontId="5" type="noConversion"/>
  </si>
  <si>
    <r>
      <rPr>
        <b/>
        <sz val="9"/>
        <rFont val="微软雅黑"/>
        <family val="2"/>
        <charset val="134"/>
      </rPr>
      <t>回报来源分析</t>
    </r>
    <phoneticPr fontId="8" type="noConversion"/>
  </si>
  <si>
    <t>MOC</t>
    <phoneticPr fontId="8" type="noConversion"/>
  </si>
  <si>
    <r>
      <rPr>
        <b/>
        <sz val="9"/>
        <rFont val="微软雅黑"/>
        <family val="2"/>
        <charset val="134"/>
      </rPr>
      <t>占比</t>
    </r>
    <phoneticPr fontId="8" type="noConversion"/>
  </si>
  <si>
    <t>IRR</t>
    <phoneticPr fontId="8" type="noConversion"/>
  </si>
  <si>
    <r>
      <rPr>
        <b/>
        <sz val="9"/>
        <rFont val="微软雅黑"/>
        <family val="2"/>
        <charset val="134"/>
      </rPr>
      <t>业绩增长</t>
    </r>
    <phoneticPr fontId="8" type="noConversion"/>
  </si>
  <si>
    <r>
      <rPr>
        <i/>
        <sz val="9"/>
        <rFont val="微软雅黑"/>
        <family val="2"/>
        <charset val="134"/>
      </rPr>
      <t>收入增长</t>
    </r>
    <phoneticPr fontId="8" type="noConversion"/>
  </si>
  <si>
    <r>
      <t>*</t>
    </r>
    <r>
      <rPr>
        <i/>
        <sz val="9"/>
        <rFont val="微软雅黑"/>
        <family val="2"/>
        <charset val="134"/>
      </rPr>
      <t>利润率提升</t>
    </r>
    <phoneticPr fontId="8" type="noConversion"/>
  </si>
  <si>
    <r>
      <t>*</t>
    </r>
    <r>
      <rPr>
        <b/>
        <sz val="9"/>
        <rFont val="微软雅黑"/>
        <family val="2"/>
        <charset val="134"/>
      </rPr>
      <t>估值倍数提升</t>
    </r>
    <phoneticPr fontId="8" type="noConversion"/>
  </si>
  <si>
    <r>
      <t>+</t>
    </r>
    <r>
      <rPr>
        <b/>
        <sz val="9"/>
        <rFont val="微软雅黑"/>
        <family val="2"/>
        <charset val="134"/>
      </rPr>
      <t>退出利得税</t>
    </r>
    <phoneticPr fontId="8" type="noConversion"/>
  </si>
  <si>
    <r>
      <t>+</t>
    </r>
    <r>
      <rPr>
        <b/>
        <sz val="9"/>
        <rFont val="微软雅黑"/>
        <family val="2"/>
        <charset val="134"/>
      </rPr>
      <t>分红</t>
    </r>
    <phoneticPr fontId="8" type="noConversion"/>
  </si>
  <si>
    <r>
      <rPr>
        <b/>
        <sz val="9"/>
        <rFont val="微软雅黑"/>
        <family val="2"/>
        <charset val="134"/>
      </rPr>
      <t>合计</t>
    </r>
    <phoneticPr fontId="8" type="noConversion"/>
  </si>
  <si>
    <t>对应当年PE</t>
    <phoneticPr fontId="5" type="noConversion"/>
  </si>
  <si>
    <t>应收账款</t>
    <phoneticPr fontId="5" type="noConversion"/>
  </si>
  <si>
    <t>存货</t>
    <phoneticPr fontId="5" type="noConversion"/>
  </si>
  <si>
    <t>应付账款</t>
    <phoneticPr fontId="5" type="noConversion"/>
  </si>
  <si>
    <t>存货周转天数</t>
    <phoneticPr fontId="5" type="noConversion"/>
  </si>
  <si>
    <t>应付账款天数</t>
    <phoneticPr fontId="5" type="noConversion"/>
  </si>
  <si>
    <t>资产负债率</t>
    <phoneticPr fontId="5" type="noConversion"/>
  </si>
  <si>
    <t>有息负债率</t>
    <phoneticPr fontId="5" type="noConversion"/>
  </si>
  <si>
    <t>财务费用率（%）</t>
    <phoneticPr fontId="5" type="noConversion"/>
  </si>
  <si>
    <r>
      <t>EBITDA</t>
    </r>
    <r>
      <rPr>
        <b/>
        <sz val="9"/>
        <rFont val="微软雅黑"/>
        <family val="2"/>
        <charset val="134"/>
      </rPr>
      <t>增长</t>
    </r>
    <phoneticPr fontId="8" type="noConversion"/>
  </si>
  <si>
    <r>
      <t>*EBITDA</t>
    </r>
    <r>
      <rPr>
        <i/>
        <sz val="9"/>
        <rFont val="微软雅黑"/>
        <family val="2"/>
        <charset val="134"/>
      </rPr>
      <t>利润率提升</t>
    </r>
    <phoneticPr fontId="8" type="noConversion"/>
  </si>
  <si>
    <t>+净负债变化</t>
    <phoneticPr fontId="8" type="noConversion"/>
  </si>
  <si>
    <t>+分红</t>
    <phoneticPr fontId="8" type="noConversion"/>
  </si>
  <si>
    <t>2026 EBITDA</t>
    <phoneticPr fontId="8" type="noConversion"/>
  </si>
  <si>
    <t>2026 EV/EBITDA</t>
    <phoneticPr fontId="5" type="noConversion"/>
  </si>
  <si>
    <t>2026 Net Profit</t>
    <phoneticPr fontId="5" type="noConversion"/>
  </si>
  <si>
    <t>2026 PE</t>
    <phoneticPr fontId="5" type="noConversion"/>
  </si>
  <si>
    <t>EBITDA利润率提升贡献</t>
    <phoneticPr fontId="8" type="noConversion"/>
  </si>
  <si>
    <t>毛利率提升</t>
    <phoneticPr fontId="8" type="noConversion"/>
  </si>
  <si>
    <t>管理费用率精简</t>
    <phoneticPr fontId="8" type="noConversion"/>
  </si>
  <si>
    <t>销售费用率精简</t>
    <phoneticPr fontId="8" type="noConversion"/>
  </si>
  <si>
    <t>其他费用率精简</t>
    <phoneticPr fontId="8" type="noConversion"/>
  </si>
  <si>
    <t>占比</t>
    <phoneticPr fontId="8" type="noConversion"/>
  </si>
  <si>
    <t>企业价值增长</t>
    <phoneticPr fontId="8" type="noConversion"/>
  </si>
  <si>
    <t>股权价值增长</t>
    <phoneticPr fontId="8" type="noConversion"/>
  </si>
  <si>
    <t>2026 PE（综合）</t>
    <phoneticPr fontId="5" type="noConversion"/>
  </si>
  <si>
    <t>2026 EV/EBITDA（综合）</t>
    <phoneticPr fontId="5" type="noConversion"/>
  </si>
  <si>
    <t>对应当年EV/EBITDA</t>
    <phoneticPr fontId="5" type="noConversion"/>
  </si>
  <si>
    <t>沃尔玛</t>
    <phoneticPr fontId="5" type="noConversion"/>
  </si>
  <si>
    <t>比例变化</t>
    <phoneticPr fontId="8" type="noConversion"/>
  </si>
  <si>
    <t>毛利率增长</t>
    <phoneticPr fontId="5" type="noConversion"/>
  </si>
  <si>
    <t>债务</t>
    <phoneticPr fontId="8" type="noConversion"/>
  </si>
  <si>
    <t>现金</t>
    <phoneticPr fontId="8" type="noConversion"/>
  </si>
  <si>
    <t>总银行贷款</t>
    <phoneticPr fontId="5" type="noConversion"/>
  </si>
  <si>
    <t>对应当年PE（扣除账上现金）</t>
    <phoneticPr fontId="8" type="noConversion"/>
  </si>
  <si>
    <t>CPE</t>
    <phoneticPr fontId="5" type="noConversion"/>
  </si>
  <si>
    <t>ESOP</t>
    <phoneticPr fontId="8" type="noConversion"/>
  </si>
  <si>
    <t>ESOP后</t>
    <phoneticPr fontId="8" type="noConversion"/>
  </si>
  <si>
    <t>7M2025</t>
    <phoneticPr fontId="5" type="noConversion"/>
  </si>
  <si>
    <t>利润表项目</t>
    <phoneticPr fontId="5" type="noConversion"/>
  </si>
  <si>
    <t>销售量 ("000)</t>
    <phoneticPr fontId="5" type="noConversion"/>
  </si>
  <si>
    <t>硬胶囊</t>
    <phoneticPr fontId="5" type="noConversion"/>
  </si>
  <si>
    <t>软糖</t>
    <phoneticPr fontId="5" type="noConversion"/>
  </si>
  <si>
    <t>软胶囊</t>
    <phoneticPr fontId="5" type="noConversion"/>
  </si>
  <si>
    <t>片剂</t>
    <phoneticPr fontId="5" type="noConversion"/>
  </si>
  <si>
    <t>销售额</t>
    <phoneticPr fontId="5" type="noConversion"/>
  </si>
  <si>
    <t>毛利润</t>
    <phoneticPr fontId="5" type="noConversion"/>
  </si>
  <si>
    <t>销售量同比增速</t>
    <phoneticPr fontId="5" type="noConversion"/>
  </si>
  <si>
    <t>销售量占比</t>
    <phoneticPr fontId="5" type="noConversion"/>
  </si>
  <si>
    <t>单位营业成本</t>
    <phoneticPr fontId="5" type="noConversion"/>
  </si>
  <si>
    <t>ASP（元/粒）</t>
    <phoneticPr fontId="5" type="noConversion"/>
  </si>
  <si>
    <t>销售量 (T)</t>
    <phoneticPr fontId="5" type="noConversion"/>
  </si>
  <si>
    <t>西子健康（含赴野士、狂热派）</t>
    <phoneticPr fontId="5" type="noConversion"/>
  </si>
  <si>
    <t>Glanbia</t>
    <phoneticPr fontId="5" type="noConversion"/>
  </si>
  <si>
    <t>Labour Cost</t>
    <phoneticPr fontId="5" type="noConversion"/>
  </si>
  <si>
    <t>Promotion Fee - Offline</t>
    <phoneticPr fontId="5" type="noConversion"/>
  </si>
  <si>
    <t>Promotion Fee - Online</t>
    <phoneticPr fontId="5" type="noConversion"/>
  </si>
  <si>
    <t>Professional Fee</t>
    <phoneticPr fontId="5" type="noConversion"/>
  </si>
  <si>
    <t>Travel expenses</t>
    <phoneticPr fontId="5" type="noConversion"/>
  </si>
  <si>
    <t>Depreciation and Amortisation (incl. Depreciation of ROU)</t>
    <phoneticPr fontId="5" type="noConversion"/>
  </si>
  <si>
    <t>Material Consumption</t>
    <phoneticPr fontId="5" type="noConversion"/>
  </si>
  <si>
    <t>Depreciation and Amortisation</t>
    <phoneticPr fontId="5" type="noConversion"/>
  </si>
  <si>
    <t>Utility</t>
    <phoneticPr fontId="5" type="noConversion"/>
  </si>
  <si>
    <t>资产负债表项目</t>
    <phoneticPr fontId="5" type="noConversion"/>
  </si>
  <si>
    <t>中国</t>
    <phoneticPr fontId="5" type="noConversion"/>
  </si>
  <si>
    <t>区域平均单位成本（元/万粒，粉剂为元/吨）</t>
    <phoneticPr fontId="5" type="noConversion"/>
  </si>
  <si>
    <t>主料</t>
    <phoneticPr fontId="5" type="noConversion"/>
  </si>
  <si>
    <t>辅料</t>
    <phoneticPr fontId="5" type="noConversion"/>
  </si>
  <si>
    <t>人工</t>
    <phoneticPr fontId="5" type="noConversion"/>
  </si>
  <si>
    <t>制费</t>
    <phoneticPr fontId="5" type="noConversion"/>
  </si>
  <si>
    <t>粉剂</t>
    <phoneticPr fontId="5" type="noConversion"/>
  </si>
  <si>
    <t>单位成本结构</t>
    <phoneticPr fontId="5" type="noConversion"/>
  </si>
  <si>
    <t>同比增速</t>
    <phoneticPr fontId="5" type="noConversion"/>
  </si>
  <si>
    <t>用于客户营业成本假设</t>
    <phoneticPr fontId="5" type="noConversion"/>
  </si>
  <si>
    <t>10M24 Contribution</t>
  </si>
  <si>
    <t>FY24 vs 10M24</t>
  </si>
  <si>
    <t>FY24 vs FY25</t>
  </si>
  <si>
    <t>CDD 18-24 CAGR</t>
  </si>
  <si>
    <t>CDD 24-29 CAGR</t>
  </si>
  <si>
    <t>x</t>
  </si>
  <si>
    <t>Item 1</t>
  </si>
  <si>
    <t>江苏艾兰得-IT项目投入</t>
  </si>
  <si>
    <t>Item 2</t>
  </si>
  <si>
    <t>恒艾的项目</t>
  </si>
  <si>
    <t>Item 3</t>
  </si>
  <si>
    <t>江苏艾兰得-104车间硬胶囊产能提升改造项目</t>
  </si>
  <si>
    <t>Item 4</t>
  </si>
  <si>
    <t>泰州艾兰得-软糖干燥产能提升改造项目</t>
  </si>
  <si>
    <t>Item 5</t>
  </si>
  <si>
    <t>泰州艾兰得-液体制剂厂区配套设施改造项目</t>
  </si>
  <si>
    <t>Item 6</t>
  </si>
  <si>
    <t>泰州综保区-IVCK办公楼项目</t>
  </si>
  <si>
    <t>Item 7</t>
  </si>
  <si>
    <t>江苏艾兰得-标准洁净车间建设项目</t>
  </si>
  <si>
    <t>Item 8</t>
  </si>
  <si>
    <t>江苏艾兰得-益生菌生产工艺技术</t>
  </si>
  <si>
    <t>Item 9</t>
  </si>
  <si>
    <t>泰州艾兰得-产能提升项目</t>
  </si>
  <si>
    <t>Item 10</t>
  </si>
  <si>
    <t>泰州艾兰得-泰凌项目</t>
  </si>
  <si>
    <t>Item 11</t>
  </si>
  <si>
    <t>浙江艾兰得-QC</t>
  </si>
  <si>
    <t>Item 12</t>
  </si>
  <si>
    <t>105车间新增70亿片剂改造项目</t>
  </si>
  <si>
    <t>Item 13</t>
  </si>
  <si>
    <t>粉剂工厂新建中试场地及周转库项目</t>
  </si>
  <si>
    <t>Item 14</t>
  </si>
  <si>
    <t>IVCT背封机生产线改造项目</t>
  </si>
  <si>
    <t>Item 15</t>
  </si>
  <si>
    <t>其他项目</t>
  </si>
  <si>
    <t>年产25亿粒软糖生产项目</t>
  </si>
  <si>
    <t>浙江艾兰得-年产20亿粒软胶囊项目</t>
  </si>
  <si>
    <t>泰州综保区-艾兰得营养品全球分装中心项目</t>
  </si>
  <si>
    <t>软糖连续生产车间建设项目</t>
  </si>
  <si>
    <t>江苏艾兰得-102车间液体制剂项目</t>
  </si>
  <si>
    <t>江苏艾兰得-IT 粉剂工厂C2M一期数字化工程项目</t>
  </si>
  <si>
    <t>江苏艾兰得-粉剂数字化工厂标杆项目</t>
  </si>
  <si>
    <t>江苏艾兰得-105车间项目</t>
  </si>
  <si>
    <t>江苏艾兰得-106车间项目</t>
  </si>
  <si>
    <t>泰州艾兰得-泰州医药城G22项目</t>
  </si>
  <si>
    <t>浙江艾兰得-121车间</t>
  </si>
  <si>
    <t>101车间连续制粒建设项目</t>
  </si>
  <si>
    <t>液体产线扩产</t>
  </si>
  <si>
    <t>硬胶囊扩产</t>
  </si>
  <si>
    <t>粉剂扩建项目</t>
  </si>
  <si>
    <t>Item 16</t>
  </si>
  <si>
    <t>东南亚项目投建</t>
  </si>
  <si>
    <t>New Capacity</t>
  </si>
  <si>
    <t>Total Capacity</t>
  </si>
  <si>
    <t>Utilization rate</t>
  </si>
  <si>
    <t>Gummy Existing Capacity (million PCs)</t>
  </si>
  <si>
    <t>Soft Gel Existing Capacity (million PCs)</t>
  </si>
  <si>
    <t>Granular</t>
  </si>
  <si>
    <t>Existing Capacity (tons)</t>
  </si>
  <si>
    <t>Bottle</t>
  </si>
  <si>
    <t>Existing Capacity (mm units)</t>
  </si>
  <si>
    <t>US</t>
  </si>
  <si>
    <t>Various maintenance projects</t>
  </si>
  <si>
    <t>Datacenter refresh</t>
  </si>
  <si>
    <t>Other</t>
  </si>
  <si>
    <t>Gummy Line Manufacturing</t>
  </si>
  <si>
    <t>Vitapack Full Line Replacement</t>
  </si>
  <si>
    <t>Gummy Line Packaging</t>
  </si>
  <si>
    <t>Veggie Soft Gel Line Manufacturing</t>
  </si>
  <si>
    <t>U.S. Tablet Production Line and Equipment Relaunch</t>
  </si>
  <si>
    <t>CA</t>
  </si>
  <si>
    <t>NJM High speed counting line</t>
  </si>
  <si>
    <t>R&amp;D Projects</t>
  </si>
  <si>
    <t>Gummy Production Capacity</t>
  </si>
  <si>
    <t>Tablet Production Capacity</t>
  </si>
  <si>
    <t>EU</t>
  </si>
  <si>
    <t>Various</t>
  </si>
  <si>
    <t>Coater (2025)</t>
  </si>
  <si>
    <t>Compression Tooling</t>
  </si>
  <si>
    <t>Quality</t>
  </si>
  <si>
    <t>OTC Licenses</t>
  </si>
  <si>
    <t>Packaging Center &amp; Manufacturing Center</t>
  </si>
  <si>
    <t>Bottle Packaging</t>
  </si>
  <si>
    <t>Existing Capacity (THOU singles)</t>
  </si>
  <si>
    <t>Blister Packaging</t>
  </si>
  <si>
    <t>Roll Wrap Packing</t>
  </si>
  <si>
    <t>集团</t>
    <phoneticPr fontId="5" type="noConversion"/>
  </si>
  <si>
    <t>千美元</t>
    <phoneticPr fontId="5" type="noConversion"/>
  </si>
  <si>
    <t>预测</t>
    <phoneticPr fontId="5" type="noConversion"/>
  </si>
  <si>
    <t>液体</t>
    <phoneticPr fontId="5" type="noConversion"/>
  </si>
  <si>
    <t>现有产能（百万粒）</t>
    <phoneticPr fontId="5" type="noConversion"/>
  </si>
  <si>
    <t>新建产能（百万粒）</t>
    <phoneticPr fontId="5" type="noConversion"/>
  </si>
  <si>
    <t>合计产能</t>
    <phoneticPr fontId="5" type="noConversion"/>
  </si>
  <si>
    <t>实际产量</t>
    <phoneticPr fontId="5" type="noConversion"/>
  </si>
  <si>
    <t>产能利用率</t>
    <phoneticPr fontId="5" type="noConversion"/>
  </si>
  <si>
    <t>实际销售量</t>
    <phoneticPr fontId="5" type="noConversion"/>
  </si>
  <si>
    <t>产销比</t>
    <phoneticPr fontId="5" type="noConversion"/>
  </si>
  <si>
    <t>单产对应投资金额（元人民币/百粒）</t>
    <phoneticPr fontId="5" type="noConversion"/>
  </si>
  <si>
    <t>新建产能对应投资金额（千美元）</t>
    <phoneticPr fontId="5" type="noConversion"/>
  </si>
  <si>
    <t>新建产能对应投资金额（千人民币）</t>
    <phoneticPr fontId="5" type="noConversion"/>
  </si>
  <si>
    <t>现有产能（吨）</t>
    <phoneticPr fontId="5" type="noConversion"/>
  </si>
  <si>
    <t>新建产能（吨）</t>
    <phoneticPr fontId="5" type="noConversion"/>
  </si>
  <si>
    <t>单产对应投资金额（元人民币/吨）</t>
    <phoneticPr fontId="5" type="noConversion"/>
  </si>
  <si>
    <t>M1-7</t>
    <phoneticPr fontId="5" type="noConversion"/>
  </si>
  <si>
    <t>年摊销率</t>
    <phoneticPr fontId="5" type="noConversion"/>
  </si>
  <si>
    <t>中国BU向美国BU销售量</t>
    <phoneticPr fontId="5" type="noConversion"/>
  </si>
  <si>
    <t>美国</t>
    <phoneticPr fontId="5" type="noConversion"/>
  </si>
  <si>
    <t>加拿大</t>
    <phoneticPr fontId="5" type="noConversion"/>
  </si>
  <si>
    <t>欧洲</t>
    <phoneticPr fontId="5" type="noConversion"/>
  </si>
  <si>
    <t>固定资产净额</t>
    <phoneticPr fontId="5" type="noConversion"/>
  </si>
  <si>
    <t>无形资产净额</t>
    <phoneticPr fontId="5" type="noConversion"/>
  </si>
  <si>
    <t>Promotion Cost</t>
    <phoneticPr fontId="5" type="noConversion"/>
  </si>
  <si>
    <t>External Service</t>
    <phoneticPr fontId="5" type="noConversion"/>
  </si>
  <si>
    <t>Travel Expenses</t>
    <phoneticPr fontId="5" type="noConversion"/>
  </si>
  <si>
    <t>Rental</t>
    <phoneticPr fontId="5" type="noConversion"/>
  </si>
  <si>
    <t>Office Expenses</t>
    <phoneticPr fontId="5" type="noConversion"/>
  </si>
  <si>
    <t>毛销售额 - Operation Data</t>
    <phoneticPr fontId="5" type="noConversion"/>
  </si>
  <si>
    <t>净销售额</t>
    <phoneticPr fontId="5" type="noConversion"/>
  </si>
  <si>
    <t>净销售额 - Operation Data</t>
    <phoneticPr fontId="5" type="noConversion"/>
  </si>
  <si>
    <t>营业成本 - Operation Data</t>
    <phoneticPr fontId="5" type="noConversion"/>
  </si>
  <si>
    <t>毛利润 - Operation Data</t>
    <phoneticPr fontId="5" type="noConversion"/>
  </si>
  <si>
    <t>毛利率% - Operation Data</t>
    <phoneticPr fontId="5" type="noConversion"/>
  </si>
  <si>
    <t>净销售额 - DD Adjusted</t>
    <phoneticPr fontId="5" type="noConversion"/>
  </si>
  <si>
    <t>营业成本 -DD Adjusted</t>
    <phoneticPr fontId="5" type="noConversion"/>
  </si>
  <si>
    <t xml:space="preserve">毛利润 - DD Adjusted </t>
    <phoneticPr fontId="5" type="noConversion"/>
  </si>
  <si>
    <t>毛利率% - DD Adjusted</t>
    <phoneticPr fontId="5" type="noConversion"/>
  </si>
  <si>
    <t>RD&amp;A</t>
    <phoneticPr fontId="5" type="noConversion"/>
  </si>
  <si>
    <t>Group Taxes and surcharges</t>
    <phoneticPr fontId="5" type="noConversion"/>
  </si>
  <si>
    <t>Asset impairment losses</t>
    <phoneticPr fontId="5" type="noConversion"/>
  </si>
  <si>
    <t>Group Asset impairment losses</t>
    <phoneticPr fontId="5" type="noConversion"/>
  </si>
  <si>
    <t>Total Group Taxes and surcharges</t>
    <phoneticPr fontId="5" type="noConversion"/>
  </si>
  <si>
    <t>Total Group Asset impairment losses</t>
    <phoneticPr fontId="5" type="noConversion"/>
  </si>
  <si>
    <t>Group Finance costs</t>
    <phoneticPr fontId="5" type="noConversion"/>
  </si>
  <si>
    <t>Group Credit impairment losses</t>
    <phoneticPr fontId="5" type="noConversion"/>
  </si>
  <si>
    <t>Total Group Credit impairment losses</t>
    <phoneticPr fontId="5" type="noConversion"/>
  </si>
  <si>
    <t>Total Group Finance costs</t>
    <phoneticPr fontId="5" type="noConversion"/>
  </si>
  <si>
    <t>Gains or losses on changes in FV</t>
    <phoneticPr fontId="5" type="noConversion"/>
  </si>
  <si>
    <t>Group Gains or losses on changes in FV</t>
    <phoneticPr fontId="5" type="noConversion"/>
  </si>
  <si>
    <t>Total Group Gains or losses on changes in FV</t>
    <phoneticPr fontId="5" type="noConversion"/>
  </si>
  <si>
    <t>Investment income</t>
    <phoneticPr fontId="5" type="noConversion"/>
  </si>
  <si>
    <t>Group Investment income</t>
    <phoneticPr fontId="5" type="noConversion"/>
  </si>
  <si>
    <t>Total Group Investment income</t>
    <phoneticPr fontId="5" type="noConversion"/>
  </si>
  <si>
    <t>Group Other  Income</t>
    <phoneticPr fontId="5" type="noConversion"/>
  </si>
  <si>
    <t>Total Group Other Income</t>
    <phoneticPr fontId="5" type="noConversion"/>
  </si>
  <si>
    <t>信用减值损失</t>
    <phoneticPr fontId="5" type="noConversion"/>
  </si>
  <si>
    <t>流动资产</t>
    <phoneticPr fontId="5" type="noConversion"/>
  </si>
  <si>
    <t>以公允价值计量且其变动计入当期损益的金融资产</t>
  </si>
  <si>
    <t>应收账款</t>
  </si>
  <si>
    <t>应收款项融资</t>
  </si>
  <si>
    <t>应收利息</t>
  </si>
  <si>
    <t>其他应收款</t>
  </si>
  <si>
    <t>存货</t>
  </si>
  <si>
    <t>流动资产合计</t>
    <phoneticPr fontId="5" type="noConversion"/>
  </si>
  <si>
    <t>非流动资产</t>
    <phoneticPr fontId="5" type="noConversion"/>
  </si>
  <si>
    <t>长期股权投资</t>
  </si>
  <si>
    <t>其他非流动金融资产</t>
  </si>
  <si>
    <t>固定资产</t>
  </si>
  <si>
    <t>无形资产</t>
  </si>
  <si>
    <t>使用权资产</t>
  </si>
  <si>
    <t>商誉</t>
  </si>
  <si>
    <t>非流动资产合计</t>
    <phoneticPr fontId="5" type="noConversion"/>
  </si>
  <si>
    <t>资产合计</t>
    <phoneticPr fontId="5" type="noConversion"/>
  </si>
  <si>
    <t>流动负债</t>
    <phoneticPr fontId="5" type="noConversion"/>
  </si>
  <si>
    <t>流动负债合计</t>
    <phoneticPr fontId="5" type="noConversion"/>
  </si>
  <si>
    <t>非流动负债</t>
    <phoneticPr fontId="5" type="noConversion"/>
  </si>
  <si>
    <t>长期应付职工薪酬</t>
  </si>
  <si>
    <t>非流动负债合计</t>
    <phoneticPr fontId="5" type="noConversion"/>
  </si>
  <si>
    <t>负债合计</t>
    <phoneticPr fontId="5" type="noConversion"/>
  </si>
  <si>
    <t>所有者权益合计</t>
    <phoneticPr fontId="5" type="noConversion"/>
  </si>
  <si>
    <t>金融机构借款变动</t>
    <phoneticPr fontId="5" type="noConversion"/>
  </si>
  <si>
    <t>Group Note Receivables</t>
    <phoneticPr fontId="5" type="noConversion"/>
  </si>
  <si>
    <t>Group Notes Receivables</t>
    <phoneticPr fontId="5" type="noConversion"/>
  </si>
  <si>
    <t>Group Account Receivables</t>
    <phoneticPr fontId="5" type="noConversion"/>
  </si>
  <si>
    <t>Advance from customer</t>
    <phoneticPr fontId="5" type="noConversion"/>
  </si>
  <si>
    <t>Group Advance from customer</t>
    <phoneticPr fontId="5" type="noConversion"/>
  </si>
  <si>
    <t>Group Note Payables</t>
    <phoneticPr fontId="5" type="noConversion"/>
  </si>
  <si>
    <t>Group Account Payables</t>
    <phoneticPr fontId="5" type="noConversion"/>
  </si>
  <si>
    <t>Diff</t>
    <phoneticPr fontId="5" type="noConversion"/>
  </si>
  <si>
    <t>Group Prepayment</t>
    <phoneticPr fontId="5" type="noConversion"/>
  </si>
  <si>
    <t>固定资产处置</t>
    <phoneticPr fontId="5" type="noConversion"/>
  </si>
  <si>
    <t>短期借款</t>
    <phoneticPr fontId="5" type="noConversion"/>
  </si>
  <si>
    <t>长期借款</t>
    <phoneticPr fontId="5" type="noConversion"/>
  </si>
  <si>
    <t>还贷额</t>
    <phoneticPr fontId="5" type="noConversion"/>
  </si>
  <si>
    <t>非中国</t>
    <phoneticPr fontId="5" type="noConversion"/>
  </si>
  <si>
    <t>美国实际产量</t>
    <phoneticPr fontId="5" type="noConversion"/>
  </si>
  <si>
    <r>
      <t>实际销售量（百万件，每件对应粒数</t>
    </r>
    <r>
      <rPr>
        <b/>
        <u/>
        <sz val="10"/>
        <rFont val="微软雅黑"/>
        <family val="2"/>
        <charset val="134"/>
      </rPr>
      <t>123.96</t>
    </r>
    <r>
      <rPr>
        <b/>
        <sz val="10"/>
        <rFont val="微软雅黑"/>
        <family val="2"/>
        <charset val="134"/>
      </rPr>
      <t>粒）</t>
    </r>
    <phoneticPr fontId="5" type="noConversion"/>
  </si>
  <si>
    <t>实际销售量（百万件，每件对应粒数112.37粒）</t>
    <phoneticPr fontId="5" type="noConversion"/>
  </si>
  <si>
    <t>现有产能 (百万粒)</t>
    <phoneticPr fontId="5" type="noConversion"/>
  </si>
  <si>
    <t>新增产能（百万粒）</t>
    <phoneticPr fontId="5" type="noConversion"/>
  </si>
  <si>
    <t>实际销售量（百万件，每件对应粒数188.56粒）</t>
    <phoneticPr fontId="5" type="noConversion"/>
  </si>
  <si>
    <t>实际销售量（百万件，每件对应粒数188.82粒）</t>
    <phoneticPr fontId="5" type="noConversion"/>
  </si>
  <si>
    <t>EJE</t>
    <phoneticPr fontId="5" type="noConversion"/>
  </si>
  <si>
    <t>EJE Total Sales</t>
    <phoneticPr fontId="5" type="noConversion"/>
  </si>
  <si>
    <t>% As of China-Intra-group supply chain</t>
    <phoneticPr fontId="5" type="noConversion"/>
  </si>
  <si>
    <t>合计产能（百万粒）</t>
    <phoneticPr fontId="5" type="noConversion"/>
  </si>
  <si>
    <t>销量（百万粒）</t>
    <phoneticPr fontId="5" type="noConversion"/>
  </si>
  <si>
    <t>销量（吨）</t>
    <phoneticPr fontId="5" type="noConversion"/>
  </si>
  <si>
    <t>合计产能（吨）</t>
    <phoneticPr fontId="5" type="noConversion"/>
  </si>
  <si>
    <t>来自中国工厂（百万粒）</t>
    <phoneticPr fontId="5" type="noConversion"/>
  </si>
  <si>
    <t>来自美国工厂（百万粒）</t>
    <phoneticPr fontId="5" type="noConversion"/>
  </si>
  <si>
    <t>产能利用率%</t>
    <phoneticPr fontId="5" type="noConversion"/>
  </si>
  <si>
    <t>汇率</t>
    <phoneticPr fontId="5" type="noConversion"/>
  </si>
  <si>
    <t>区域平均单位成本（美元/Unit）</t>
    <phoneticPr fontId="5" type="noConversion"/>
  </si>
  <si>
    <t>销量（千粒）</t>
    <phoneticPr fontId="5" type="noConversion"/>
  </si>
  <si>
    <t>营业收入（千元人民币）</t>
    <phoneticPr fontId="5" type="noConversion"/>
  </si>
  <si>
    <t>ASP（元人民币/粒）</t>
    <phoneticPr fontId="5" type="noConversion"/>
  </si>
  <si>
    <t>单位营业成本（元人民币/粒）</t>
    <phoneticPr fontId="5" type="noConversion"/>
  </si>
  <si>
    <t>毛利润（千元人民币）</t>
    <phoneticPr fontId="5" type="noConversion"/>
  </si>
  <si>
    <t>ASP（元人民币/吨）</t>
    <phoneticPr fontId="5" type="noConversion"/>
  </si>
  <si>
    <t>营业成本（千元人民币）</t>
    <phoneticPr fontId="5" type="noConversion"/>
  </si>
  <si>
    <t>营业收入（千美元）</t>
    <phoneticPr fontId="5" type="noConversion"/>
  </si>
  <si>
    <t>ASP（美元/粒）</t>
    <phoneticPr fontId="5" type="noConversion"/>
  </si>
  <si>
    <t>营业成本（千美元）</t>
    <phoneticPr fontId="5" type="noConversion"/>
  </si>
  <si>
    <t>单位营业成本（美元/粒）</t>
    <phoneticPr fontId="5" type="noConversion"/>
  </si>
  <si>
    <t>毛利润（千美元）</t>
    <phoneticPr fontId="5" type="noConversion"/>
  </si>
  <si>
    <t>销售量 ("000件)</t>
    <phoneticPr fontId="5" type="noConversion"/>
  </si>
  <si>
    <t>销售量 ("000粒)</t>
    <phoneticPr fontId="5" type="noConversion"/>
  </si>
  <si>
    <t>Material</t>
    <phoneticPr fontId="5" type="noConversion"/>
  </si>
  <si>
    <t>Labor</t>
    <phoneticPr fontId="5" type="noConversion"/>
  </si>
  <si>
    <t>Overhead</t>
    <phoneticPr fontId="5" type="noConversion"/>
  </si>
  <si>
    <t>OCOGS</t>
    <phoneticPr fontId="5" type="noConversion"/>
  </si>
  <si>
    <t>销量（千件）</t>
    <phoneticPr fontId="5" type="noConversion"/>
  </si>
  <si>
    <t>Group EJE &amp; Adjustment</t>
    <phoneticPr fontId="5" type="noConversion"/>
  </si>
  <si>
    <t>进入估值</t>
    <phoneticPr fontId="5" type="noConversion"/>
  </si>
  <si>
    <t>分红</t>
    <phoneticPr fontId="5" type="noConversion"/>
  </si>
  <si>
    <t>债务</t>
    <phoneticPr fontId="5" type="noConversion"/>
  </si>
  <si>
    <t>未分配利润</t>
    <phoneticPr fontId="5" type="noConversion"/>
  </si>
  <si>
    <t>加：净利润</t>
    <phoneticPr fontId="5" type="noConversion"/>
  </si>
  <si>
    <t>减：分红</t>
    <phoneticPr fontId="5" type="noConversion"/>
  </si>
  <si>
    <t>%分红/去年净利润</t>
    <phoneticPr fontId="5" type="noConversion"/>
  </si>
  <si>
    <t>当年分红</t>
    <phoneticPr fontId="8" type="noConversion"/>
  </si>
  <si>
    <t>分红</t>
    <phoneticPr fontId="8" type="noConversion"/>
  </si>
  <si>
    <t>CAPEX汇总</t>
    <phoneticPr fontId="5" type="noConversion"/>
  </si>
  <si>
    <t>维护性资本支出</t>
  </si>
  <si>
    <t>维护性资本支出</t>
    <phoneticPr fontId="5" type="noConversion"/>
  </si>
  <si>
    <t>扩张性资本支出</t>
  </si>
  <si>
    <t>扩张性资本支出</t>
    <phoneticPr fontId="5" type="noConversion"/>
  </si>
  <si>
    <t>合计资本支出</t>
  </si>
  <si>
    <t>硬胶囊扩产</t>
    <phoneticPr fontId="5" type="noConversion"/>
  </si>
  <si>
    <t>软糖扩产</t>
    <phoneticPr fontId="5" type="noConversion"/>
  </si>
  <si>
    <t>软胶囊扩产</t>
    <phoneticPr fontId="5" type="noConversion"/>
  </si>
  <si>
    <t>粉剂扩产</t>
    <phoneticPr fontId="5" type="noConversion"/>
  </si>
  <si>
    <t>合计资本支出</t>
    <phoneticPr fontId="5" type="noConversion"/>
  </si>
  <si>
    <t>FDD调整项</t>
    <phoneticPr fontId="5" type="noConversion"/>
  </si>
  <si>
    <t>净债项调整额（未考虑关联方还款）</t>
    <phoneticPr fontId="5" type="noConversion"/>
  </si>
  <si>
    <t>净应收关联方的款项</t>
    <phoneticPr fontId="5" type="noConversion"/>
  </si>
  <si>
    <t>考虑净应收关联方后的净债项调整额</t>
    <phoneticPr fontId="5" type="noConversion"/>
  </si>
  <si>
    <t>调整后净债务（未考虑关联方还款）</t>
    <phoneticPr fontId="5" type="noConversion"/>
  </si>
  <si>
    <t>调整后净债务（考虑关联方还款）</t>
    <phoneticPr fontId="5" type="noConversion"/>
  </si>
  <si>
    <t>3. CBEC</t>
    <phoneticPr fontId="5" type="noConversion"/>
  </si>
  <si>
    <t>4. Other</t>
    <phoneticPr fontId="5" type="noConversion"/>
  </si>
  <si>
    <t>5. EU Inter-co elimination</t>
    <phoneticPr fontId="5" type="noConversion"/>
  </si>
  <si>
    <t>Variable</t>
    <phoneticPr fontId="5" type="noConversion"/>
  </si>
  <si>
    <t>Fix</t>
    <phoneticPr fontId="5" type="noConversion"/>
  </si>
  <si>
    <t>投资金额（千美元）</t>
    <phoneticPr fontId="5" type="noConversion"/>
  </si>
  <si>
    <t>现有产能</t>
    <phoneticPr fontId="5" type="noConversion"/>
  </si>
  <si>
    <t>新建产能</t>
    <phoneticPr fontId="5" type="noConversion"/>
  </si>
  <si>
    <t>液体扩产</t>
    <phoneticPr fontId="5" type="noConversion"/>
  </si>
  <si>
    <t>银行借款部分</t>
    <phoneticPr fontId="5" type="noConversion"/>
  </si>
  <si>
    <t>非银行借款部分</t>
    <phoneticPr fontId="5" type="noConversion"/>
  </si>
  <si>
    <t>退出利得税</t>
    <phoneticPr fontId="8" type="noConversion"/>
  </si>
  <si>
    <t>红利利得税</t>
    <phoneticPr fontId="8" type="noConversion"/>
  </si>
  <si>
    <t>+利得税</t>
    <phoneticPr fontId="8" type="noConversion"/>
  </si>
  <si>
    <t>BS人民币/美元汇率</t>
    <phoneticPr fontId="5" type="noConversion"/>
  </si>
  <si>
    <t>其他银行借款（1年内归还的长期借款，假设均在境内）</t>
    <phoneticPr fontId="5" type="noConversion"/>
  </si>
  <si>
    <t>营收</t>
    <phoneticPr fontId="5" type="noConversion"/>
  </si>
  <si>
    <t>百万元人民币</t>
    <phoneticPr fontId="5" type="noConversion"/>
  </si>
  <si>
    <t xml:space="preserve">  中国EBITDA</t>
    <phoneticPr fontId="5" type="noConversion"/>
  </si>
  <si>
    <t xml:space="preserve">  美国EBITDA</t>
    <phoneticPr fontId="5" type="noConversion"/>
  </si>
  <si>
    <t xml:space="preserve">  欧洲EBITDA</t>
    <phoneticPr fontId="5" type="noConversion"/>
  </si>
  <si>
    <t xml:space="preserve">  加拿大EBITDA</t>
    <phoneticPr fontId="5" type="noConversion"/>
  </si>
  <si>
    <t>EBITDA利润率（%）</t>
    <phoneticPr fontId="5" type="noConversion"/>
  </si>
  <si>
    <t xml:space="preserve">  中国EBITDA利润率（%）</t>
    <phoneticPr fontId="5" type="noConversion"/>
  </si>
  <si>
    <t xml:space="preserve">  美国EBITDA利润率（%）</t>
    <phoneticPr fontId="5" type="noConversion"/>
  </si>
  <si>
    <t xml:space="preserve">  欧洲EBITDA利润率（%）</t>
    <phoneticPr fontId="5" type="noConversion"/>
  </si>
  <si>
    <t xml:space="preserve">  加拿大EBITDA利润率（%）</t>
    <phoneticPr fontId="5" type="noConversion"/>
  </si>
  <si>
    <t>前轮投资人股权</t>
    <phoneticPr fontId="5" type="noConversion"/>
  </si>
  <si>
    <t>应收关联方</t>
    <phoneticPr fontId="5" type="noConversion"/>
  </si>
  <si>
    <t>应付关联方</t>
    <phoneticPr fontId="5" type="noConversion"/>
  </si>
  <si>
    <t>CMG</t>
    <phoneticPr fontId="5" type="noConversion"/>
  </si>
  <si>
    <t>1.3.5.1 Others (184 customers with annual sales less than 30m)</t>
    <phoneticPr fontId="5" type="noConversion"/>
  </si>
  <si>
    <t>1.3.5 Others (含已有和新增）</t>
    <phoneticPr fontId="5" type="noConversion"/>
  </si>
  <si>
    <t>1.3.5.2 新增客户</t>
    <phoneticPr fontId="5" type="noConversion"/>
  </si>
  <si>
    <t>1.4.5.1 Others (119 customers with annual sales less than 30m)</t>
    <phoneticPr fontId="5" type="noConversion"/>
  </si>
  <si>
    <t>1.4.5.2 新增客户</t>
    <phoneticPr fontId="5" type="noConversion"/>
  </si>
  <si>
    <t>1.4.5 Others（已有+新增）</t>
    <phoneticPr fontId="5" type="noConversion"/>
  </si>
  <si>
    <t>Intra-group: Aland US</t>
    <phoneticPr fontId="5" type="noConversion"/>
  </si>
  <si>
    <t>Intra-group: Brunel</t>
    <phoneticPr fontId="5" type="noConversion"/>
  </si>
  <si>
    <t>Intra-group: Vita Health</t>
    <phoneticPr fontId="5" type="noConversion"/>
  </si>
  <si>
    <t xml:space="preserve"> Intra-group:Pragen</t>
    <phoneticPr fontId="5" type="noConversion"/>
  </si>
  <si>
    <t>Intra-group:Bloem</t>
    <phoneticPr fontId="5" type="noConversion"/>
  </si>
  <si>
    <t>Sams</t>
    <phoneticPr fontId="5" type="noConversion"/>
  </si>
  <si>
    <t>T（妈妈花园）</t>
    <phoneticPr fontId="5" type="noConversion"/>
  </si>
  <si>
    <t>B（健敏思）</t>
    <phoneticPr fontId="5" type="noConversion"/>
  </si>
  <si>
    <t>京东</t>
    <phoneticPr fontId="5" type="noConversion"/>
  </si>
  <si>
    <t>其他 (现有+新增)</t>
    <phoneticPr fontId="5" type="noConversion"/>
  </si>
  <si>
    <t>现有其他客户</t>
    <phoneticPr fontId="5" type="noConversion"/>
  </si>
  <si>
    <t>新增客户</t>
    <phoneticPr fontId="5" type="noConversion"/>
  </si>
  <si>
    <t>Dr Max</t>
    <phoneticPr fontId="5" type="noConversion"/>
  </si>
  <si>
    <t>Medpharm</t>
    <phoneticPr fontId="5" type="noConversion"/>
  </si>
  <si>
    <t>Jamieson</t>
    <phoneticPr fontId="5" type="noConversion"/>
  </si>
  <si>
    <t>西子健康</t>
    <phoneticPr fontId="5" type="noConversion"/>
  </si>
  <si>
    <t>其他现有客户</t>
    <phoneticPr fontId="5" type="noConversion"/>
  </si>
  <si>
    <t>B</t>
    <phoneticPr fontId="5" type="noConversion"/>
  </si>
  <si>
    <t>T</t>
    <phoneticPr fontId="5" type="noConversion"/>
  </si>
  <si>
    <t>IT系统搭建</t>
    <phoneticPr fontId="5" type="noConversion"/>
  </si>
  <si>
    <t>投资金额</t>
    <phoneticPr fontId="5" type="noConversion"/>
  </si>
  <si>
    <t>货币资金</t>
    <phoneticPr fontId="5" type="noConversion"/>
  </si>
  <si>
    <t>利息收入</t>
    <phoneticPr fontId="5" type="noConversion"/>
  </si>
  <si>
    <t>综合股权价值（增资后）</t>
    <phoneticPr fontId="5" type="noConversion"/>
  </si>
  <si>
    <t>企业价值</t>
    <phoneticPr fontId="5" type="noConversion"/>
  </si>
  <si>
    <t>综合股权价值（ESOP后）</t>
    <phoneticPr fontId="5" type="noConversion"/>
  </si>
  <si>
    <t>25-30 CAGR</t>
    <phoneticPr fontId="5" type="noConversion"/>
  </si>
  <si>
    <t>分红/投资成本</t>
    <phoneticPr fontId="8" type="noConversion"/>
  </si>
  <si>
    <t>不分红</t>
    <phoneticPr fontId="5" type="noConversion"/>
  </si>
  <si>
    <t>分红（历年4% 分红/投资成本）</t>
    <phoneticPr fontId="5" type="noConversion"/>
  </si>
  <si>
    <t>分红情景</t>
    <phoneticPr fontId="8" type="noConversion"/>
  </si>
  <si>
    <t>现在</t>
    <phoneticPr fontId="8" type="noConversion"/>
  </si>
  <si>
    <t>退出</t>
    <phoneticPr fontId="8" type="noConversion"/>
  </si>
  <si>
    <t>EBITDA</t>
    <phoneticPr fontId="8" type="noConversion"/>
  </si>
  <si>
    <t>估值倍数</t>
    <phoneticPr fontId="8" type="noConversion"/>
  </si>
  <si>
    <t>EV</t>
    <phoneticPr fontId="8" type="noConversion"/>
  </si>
  <si>
    <t>估值</t>
    <phoneticPr fontId="8" type="noConversion"/>
  </si>
  <si>
    <t>资本利得税</t>
    <phoneticPr fontId="8" type="noConversion"/>
  </si>
  <si>
    <t>退出金额</t>
    <phoneticPr fontId="8" type="noConversion"/>
  </si>
  <si>
    <t>+ESOP摊薄</t>
    <phoneticPr fontId="8" type="noConversion"/>
  </si>
  <si>
    <t>金额影响</t>
    <phoneticPr fontId="8" type="noConversion"/>
  </si>
  <si>
    <t>+估值倍数提升</t>
    <phoneticPr fontId="8" type="noConversion"/>
  </si>
  <si>
    <t>&lt;&lt;1：不分红；2：分红（4%）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</si>
</sst>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4">
    <numFmt numFmtId="43" formatCode="_ * #,##0.00_ ;_ * \-#,##0.00_ ;_ * &quot;-&quot;??_ ;_ @_ "/>
    <numFmt numFmtId="176" formatCode="[$-F800]dddd\,\ mmmm\ dd\,\ yyyy"/>
    <numFmt numFmtId="177" formatCode="0_ "/>
    <numFmt numFmtId="178" formatCode="yyyy&quot;年&quot;"/>
    <numFmt numFmtId="179" formatCode="yyyy&quot;A&quot;"/>
    <numFmt numFmtId="180" formatCode="yyyy&quot;E&quot;"/>
    <numFmt numFmtId="181" formatCode="#,##0_);\(#,##0\)"/>
    <numFmt numFmtId="182" formatCode="0.0%"/>
    <numFmt numFmtId="183" formatCode="#,##0.0_);\(#,##0.0\)"/>
    <numFmt numFmtId="184" formatCode="_ * #,##0.0_ ;_ * \-#,##0.0_ ;_ * &quot;-&quot;??_ ;_ @_ "/>
    <numFmt numFmtId="185" formatCode="_ * #,##0_ ;_ * \-#,##0_ ;_ * &quot;-&quot;??_ ;_ @_ "/>
    <numFmt numFmtId="186" formatCode="_ * #,##0_ ;_ * \-#,##0_ ;_ * &quot;-&quot;?_ ;_ @_ "/>
    <numFmt numFmtId="187" formatCode="_ * #,##0.000_ ;_ * \-#,##0.000_ ;_ * &quot;-&quot;??_ ;_ @_ "/>
    <numFmt numFmtId="188" formatCode="_([$€-2]* #,##0.0_);_([$€-2]* \(#,##0.0\);_([$€-2]* &quot;-&quot;??_)"/>
    <numFmt numFmtId="189" formatCode="_(* #,##0.00_);_(* \(#,##0.00\);_(* &quot;-&quot;??_);_(@_)"/>
    <numFmt numFmtId="190" formatCode="_-* #,##0\ [$€]_-;\-* #,##0\ [$€]_-;_-* &quot;-&quot;??\ [$€]_-;_-@_-"/>
    <numFmt numFmtId="191" formatCode="#,##0.00_);\(#,##0.00\)"/>
    <numFmt numFmtId="192" formatCode="0&quot;年以前&quot;"/>
    <numFmt numFmtId="193" formatCode="0&quot;年&quot;"/>
    <numFmt numFmtId="194" formatCode="0.00_);[Red]\(0.00\)"/>
    <numFmt numFmtId="195" formatCode="[$€-2]\ #,##0.00_);[Red]\([$€-2]\ #,##0.00\)"/>
    <numFmt numFmtId="196" formatCode="#,##0.00_);[Red]\(#,##0.00\)"/>
    <numFmt numFmtId="197" formatCode="[$¥-804]#,##0.00_);[Red]\([$¥-804]#,##0.00\)"/>
    <numFmt numFmtId="198" formatCode="[$-409]d/mmm/yy;@"/>
    <numFmt numFmtId="199" formatCode="0.000%"/>
    <numFmt numFmtId="200" formatCode="0.0000%"/>
    <numFmt numFmtId="201" formatCode="_ [$€-2]* #,##0.0_ ;_ [$€-2]* \-#,##0.0_ ;_ [$€-2]* &quot;-&quot;??_ "/>
    <numFmt numFmtId="202" formatCode="yyyy/m/d;@"/>
    <numFmt numFmtId="203" formatCode="#,##0.0000_);[Red]\(#,##0.0000\)"/>
    <numFmt numFmtId="204" formatCode="0_);[Red]\(0\)"/>
    <numFmt numFmtId="205" formatCode="_(* #,##0_);_(* \(#,##0\);_(* &quot;-&quot;??_);_(@_)"/>
    <numFmt numFmtId="206" formatCode="#,##0_);[Red]\(#,##0\)"/>
    <numFmt numFmtId="207" formatCode="#,##0;[Red]\(#,##0\)"/>
    <numFmt numFmtId="208" formatCode="#,##0_);\(#,##0\);\-\-_);@_)"/>
    <numFmt numFmtId="212" formatCode="#,##0.0\x"/>
    <numFmt numFmtId="213" formatCode="0.0"/>
    <numFmt numFmtId="214" formatCode="_ * #,##0.0000_ ;_ * \-#,##0.0000_ ;_ * &quot;-&quot;??_ ;_ @_ "/>
    <numFmt numFmtId="215" formatCode="0_);\(0\)"/>
    <numFmt numFmtId="216" formatCode="0.0\x"/>
    <numFmt numFmtId="217" formatCode="#,##0.000;\-#,##0.000"/>
    <numFmt numFmtId="218" formatCode="#,##0.000_);\(#,##0.000\)"/>
    <numFmt numFmtId="219" formatCode="_(#,##0_);_(\(#,##0\);_(&quot;-&quot;_);_(@_)"/>
    <numFmt numFmtId="220" formatCode="_(#,##0.0000_);_(\(#,##0.0000\);_(&quot;-&quot;_);_(@_)"/>
    <numFmt numFmtId="221" formatCode="0&quot;A&quot;"/>
    <numFmt numFmtId="222" formatCode="0&quot;E&quot;"/>
    <numFmt numFmtId="223" formatCode="_(#,##0.0_);_(\(#,##0.0\);_(&quot;-&quot;_);_(@_)"/>
    <numFmt numFmtId="224" formatCode="_(#,##0.000_);_(\(#,##0.000\);_(&quot;-&quot;_);_(@_)"/>
    <numFmt numFmtId="225" formatCode="#,##0\x"/>
    <numFmt numFmtId="226" formatCode="0.0_);[Red]\(0.0\)"/>
    <numFmt numFmtId="227" formatCode="0.0000000000000000%"/>
    <numFmt numFmtId="228" formatCode="0.0_ "/>
    <numFmt numFmtId="229" formatCode="#,##0.00\x"/>
    <numFmt numFmtId="230" formatCode="0.00\x"/>
    <numFmt numFmtId="231" formatCode="_ * #,##0.0_ ;_ * \-#,##0.0_ ;_ * &quot;-&quot;?_ ;_ @_ "/>
  </numFmts>
  <fonts count="14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i/>
      <sz val="11"/>
      <color rgb="FF7F7F7F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8.5"/>
      <color theme="0"/>
      <name val="等线"/>
      <family val="2"/>
      <charset val="134"/>
      <scheme val="minor"/>
    </font>
    <font>
      <sz val="9"/>
      <name val="Arial"/>
      <family val="2"/>
      <charset val="134"/>
    </font>
    <font>
      <sz val="9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i/>
      <sz val="10"/>
      <color rgb="FF7F7F7F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6600"/>
      <name val="微软雅黑"/>
      <family val="2"/>
      <charset val="134"/>
    </font>
    <font>
      <sz val="10"/>
      <color rgb="FF006600"/>
      <name val="微软雅黑"/>
      <family val="2"/>
      <charset val="134"/>
    </font>
    <font>
      <i/>
      <sz val="10"/>
      <name val="微软雅黑"/>
      <family val="2"/>
      <charset val="134"/>
    </font>
    <font>
      <i/>
      <sz val="10"/>
      <color rgb="FF006600"/>
      <name val="微软雅黑"/>
      <family val="2"/>
      <charset val="134"/>
    </font>
    <font>
      <u/>
      <sz val="1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name val="微软雅黑"/>
      <family val="2"/>
      <charset val="134"/>
    </font>
    <font>
      <b/>
      <i/>
      <sz val="10"/>
      <color rgb="FF006600"/>
      <name val="微软雅黑"/>
      <family val="2"/>
      <charset val="134"/>
    </font>
    <font>
      <i/>
      <sz val="10"/>
      <color rgb="FF0033CC"/>
      <name val="微软雅黑"/>
      <family val="2"/>
      <charset val="134"/>
    </font>
    <font>
      <u val="singleAccounting"/>
      <sz val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name val="宋体"/>
      <family val="3"/>
      <charset val="134"/>
    </font>
    <font>
      <sz val="9"/>
      <color theme="1"/>
      <name val="Arial"/>
      <family val="2"/>
    </font>
    <font>
      <b/>
      <sz val="10"/>
      <color theme="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9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宋体"/>
      <family val="3"/>
      <charset val="134"/>
    </font>
    <font>
      <i/>
      <sz val="10"/>
      <color theme="1"/>
      <name val="微软雅黑"/>
      <family val="2"/>
      <charset val="134"/>
    </font>
    <font>
      <sz val="10"/>
      <color theme="1" tint="0.79998168889431442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Arial"/>
      <family val="2"/>
    </font>
    <font>
      <b/>
      <sz val="9"/>
      <color theme="1"/>
      <name val="Times New Roman"/>
      <family val="1"/>
    </font>
    <font>
      <b/>
      <sz val="11"/>
      <color theme="1"/>
      <name val="KaiTi"/>
      <family val="1"/>
    </font>
    <font>
      <b/>
      <sz val="11"/>
      <color theme="1"/>
      <name val="KaiTi"/>
      <family val="3"/>
    </font>
    <font>
      <b/>
      <sz val="11"/>
      <color theme="1"/>
      <name val="Times New Roman"/>
      <family val="1"/>
    </font>
    <font>
      <b/>
      <sz val="9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0"/>
      <name val="KaiTi"/>
      <family val="3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0"/>
      <name val="Times New Roman"/>
      <family val="1"/>
    </font>
    <font>
      <sz val="10"/>
      <color rgb="FF000000"/>
      <name val="微软雅黑"/>
      <family val="2"/>
      <charset val="134"/>
    </font>
    <font>
      <sz val="10"/>
      <color rgb="FF000000"/>
      <name val="Times New Roman"/>
      <family val="1"/>
    </font>
    <font>
      <u/>
      <sz val="11"/>
      <color rgb="FF0000FF"/>
      <name val="等线"/>
      <family val="3"/>
      <charset val="134"/>
      <scheme val="minor"/>
    </font>
    <font>
      <u/>
      <sz val="10"/>
      <color theme="0"/>
      <name val="Times New Roman"/>
      <family val="1"/>
    </font>
    <font>
      <sz val="10"/>
      <name val="楷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rgb="FF800080"/>
      <name val="楷体"/>
      <family val="3"/>
      <charset val="134"/>
    </font>
    <font>
      <u/>
      <sz val="10"/>
      <color rgb="FF800080"/>
      <name val="Times New Roman"/>
      <family val="1"/>
    </font>
    <font>
      <u/>
      <sz val="11"/>
      <color rgb="FF800080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KaiTi"/>
      <family val="3"/>
    </font>
    <font>
      <sz val="9"/>
      <color theme="0"/>
      <name val="Times New Roman"/>
      <family val="1"/>
    </font>
    <font>
      <sz val="9"/>
      <color rgb="FFFF0000"/>
      <name val="Times New Roman"/>
      <family val="1"/>
    </font>
    <font>
      <b/>
      <sz val="9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theme="9"/>
      <name val="微软雅黑"/>
      <family val="2"/>
      <charset val="134"/>
    </font>
    <font>
      <sz val="8.5"/>
      <color theme="4"/>
      <name val="Calibri"/>
      <family val="2"/>
    </font>
    <font>
      <b/>
      <u/>
      <sz val="10"/>
      <name val="微软雅黑"/>
      <family val="2"/>
      <charset val="134"/>
    </font>
    <font>
      <sz val="10"/>
      <color rgb="FF008000"/>
      <name val="微软雅黑"/>
      <family val="2"/>
      <charset val="134"/>
    </font>
    <font>
      <b/>
      <i/>
      <sz val="9"/>
      <name val="Arial"/>
      <family val="2"/>
    </font>
    <font>
      <i/>
      <sz val="9"/>
      <name val="Arial"/>
      <family val="2"/>
    </font>
    <font>
      <sz val="10"/>
      <color rgb="FF3333FF"/>
      <name val="微软雅黑"/>
      <family val="2"/>
      <charset val="134"/>
    </font>
    <font>
      <sz val="10"/>
      <color rgb="FF0033CC"/>
      <name val="微软雅黑"/>
      <family val="2"/>
      <charset val="134"/>
    </font>
    <font>
      <b/>
      <sz val="10"/>
      <color rgb="FF0033CC"/>
      <name val="微软雅黑"/>
      <family val="2"/>
      <charset val="134"/>
    </font>
    <font>
      <sz val="10"/>
      <color theme="1" tint="0.59999389629810485"/>
      <name val="微软雅黑"/>
      <family val="2"/>
      <charset val="134"/>
    </font>
    <font>
      <i/>
      <sz val="9"/>
      <name val="微软雅黑"/>
      <family val="2"/>
      <charset val="134"/>
    </font>
    <font>
      <b/>
      <i/>
      <sz val="10"/>
      <color rgb="FF0033CC"/>
      <name val="微软雅黑"/>
      <family val="2"/>
      <charset val="134"/>
    </font>
    <font>
      <b/>
      <sz val="9"/>
      <name val="宋体"/>
      <family val="2"/>
      <charset val="134"/>
    </font>
    <font>
      <i/>
      <sz val="9"/>
      <color theme="0"/>
      <name val="Arial"/>
      <family val="2"/>
    </font>
    <font>
      <sz val="11"/>
      <color theme="1"/>
      <name val="微软雅黑"/>
      <family val="2"/>
      <charset val="134"/>
    </font>
    <font>
      <b/>
      <sz val="10"/>
      <color rgb="FF245BDB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33CC"/>
      <name val="微软雅黑"/>
      <family val="2"/>
      <charset val="134"/>
    </font>
    <font>
      <b/>
      <i/>
      <sz val="10"/>
      <color theme="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9"/>
      <color theme="0"/>
      <name val="Arial"/>
      <family val="2"/>
    </font>
    <font>
      <b/>
      <sz val="11"/>
      <color rgb="FF006600"/>
      <name val="微软雅黑"/>
      <family val="2"/>
      <charset val="134"/>
    </font>
    <font>
      <sz val="10"/>
      <color theme="0" tint="-0.34998626667073579"/>
      <name val="微软雅黑"/>
      <family val="2"/>
      <charset val="134"/>
    </font>
    <font>
      <b/>
      <sz val="10"/>
      <color theme="0" tint="-0.34998626667073579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i/>
      <sz val="10"/>
      <color theme="1"/>
      <name val="Arial"/>
      <family val="2"/>
    </font>
    <font>
      <sz val="9"/>
      <color rgb="FF0000FF"/>
      <name val="Arial"/>
      <family val="2"/>
    </font>
    <font>
      <b/>
      <sz val="10"/>
      <color rgb="FFC00000"/>
      <name val="Arial"/>
      <family val="2"/>
    </font>
    <font>
      <i/>
      <sz val="10"/>
      <color rgb="FF0000FF"/>
      <name val="Arial"/>
      <family val="2"/>
    </font>
    <font>
      <i/>
      <sz val="10"/>
      <color rgb="FF008000"/>
      <name val="Arial"/>
      <family val="2"/>
    </font>
    <font>
      <b/>
      <i/>
      <sz val="10"/>
      <color rgb="FFC00000"/>
      <name val="Arial"/>
      <family val="2"/>
    </font>
    <font>
      <i/>
      <sz val="10"/>
      <color rgb="FF0000FF"/>
      <name val="微软雅黑"/>
      <family val="2"/>
      <charset val="134"/>
    </font>
    <font>
      <b/>
      <sz val="10"/>
      <color theme="0"/>
      <name val="Arial"/>
      <family val="2"/>
    </font>
    <font>
      <b/>
      <u val="singleAccounting"/>
      <sz val="10"/>
      <color theme="0"/>
      <name val="微软雅黑"/>
      <family val="2"/>
      <charset val="134"/>
    </font>
    <font>
      <b/>
      <u val="singleAccounting"/>
      <sz val="10"/>
      <color theme="0"/>
      <name val="Arial"/>
      <family val="2"/>
    </font>
    <font>
      <b/>
      <i/>
      <u val="singleAccounting"/>
      <sz val="10"/>
      <color theme="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B0F0"/>
      <name val="Arial"/>
      <family val="2"/>
    </font>
    <font>
      <sz val="10"/>
      <color rgb="FF008000"/>
      <name val="Arial"/>
      <family val="2"/>
    </font>
    <font>
      <sz val="10"/>
      <color rgb="FF3333FF"/>
      <name val="Arial"/>
      <family val="2"/>
    </font>
    <font>
      <sz val="10"/>
      <color rgb="FFC0000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0"/>
      <color rgb="FF3333FF"/>
      <name val="Arial"/>
      <family val="2"/>
    </font>
    <font>
      <sz val="10"/>
      <color rgb="FF0033CC"/>
      <name val="Arial"/>
      <family val="2"/>
    </font>
    <font>
      <b/>
      <sz val="10"/>
      <color rgb="FF0033CC"/>
      <name val="Arial"/>
      <family val="2"/>
    </font>
    <font>
      <b/>
      <sz val="10"/>
      <color rgb="FF006600"/>
      <name val="Arial"/>
      <family val="2"/>
    </font>
    <font>
      <i/>
      <u/>
      <sz val="10"/>
      <name val="微软雅黑"/>
      <family val="2"/>
      <charset val="134"/>
    </font>
    <font>
      <i/>
      <sz val="10"/>
      <name val="Arial"/>
      <family val="2"/>
    </font>
    <font>
      <i/>
      <sz val="10"/>
      <color rgb="FFC00000"/>
      <name val="Arial"/>
      <family val="2"/>
    </font>
    <font>
      <sz val="10"/>
      <color theme="1"/>
      <name val="等线"/>
      <family val="2"/>
      <scheme val="minor"/>
    </font>
    <font>
      <b/>
      <i/>
      <sz val="10"/>
      <color theme="1"/>
      <name val="Arial"/>
      <family val="2"/>
    </font>
    <font>
      <b/>
      <sz val="10"/>
      <color theme="9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9"/>
      <color theme="1"/>
      <name val="等线"/>
      <family val="2"/>
      <scheme val="minor"/>
    </font>
    <font>
      <sz val="10"/>
      <color theme="9"/>
      <name val="Arial"/>
      <family val="2"/>
    </font>
    <font>
      <sz val="10"/>
      <color rgb="FFFF000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8"/>
      <color theme="1"/>
      <name val="Arial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i/>
      <sz val="10"/>
      <color theme="0"/>
      <name val="微软雅黑"/>
      <family val="2"/>
      <charset val="134"/>
    </font>
    <font>
      <sz val="9"/>
      <color theme="1" tint="0.59999389629810485"/>
      <name val="Arial"/>
      <family val="2"/>
    </font>
    <font>
      <b/>
      <sz val="9"/>
      <color theme="1" tint="0.59999389629810485"/>
      <name val="Arial"/>
      <family val="2"/>
    </font>
    <font>
      <sz val="9"/>
      <color theme="1" tint="0.59999389629810485"/>
      <name val="微软雅黑"/>
      <family val="2"/>
      <charset val="134"/>
    </font>
    <font>
      <b/>
      <sz val="9"/>
      <color theme="0"/>
      <name val="Arial"/>
      <family val="2"/>
    </font>
    <font>
      <sz val="9"/>
      <color theme="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theme="0"/>
      <name val="Arial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/>
    </fill>
    <fill>
      <patternFill patternType="solid">
        <fgColor rgb="FFE2E3E4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0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176" fontId="4" fillId="2" borderId="0">
      <alignment horizontal="centerContinuous" vertical="center"/>
    </xf>
    <xf numFmtId="176" fontId="6" fillId="3" borderId="0">
      <alignment horizontal="right"/>
    </xf>
    <xf numFmtId="0" fontId="25" fillId="0" borderId="0"/>
    <xf numFmtId="188" fontId="30" fillId="0" borderId="0"/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89" fontId="34" fillId="0" borderId="0" applyFont="0" applyFill="0" applyBorder="0" applyAlignment="0" applyProtection="0"/>
    <xf numFmtId="190" fontId="29" fillId="0" borderId="0">
      <alignment vertical="center"/>
    </xf>
    <xf numFmtId="43" fontId="29" fillId="0" borderId="0" applyFont="0" applyFill="0" applyBorder="0" applyAlignment="0" applyProtection="0"/>
    <xf numFmtId="195" fontId="25" fillId="0" borderId="0">
      <alignment vertical="center"/>
    </xf>
    <xf numFmtId="197" fontId="25" fillId="0" borderId="0">
      <alignment vertical="center"/>
    </xf>
    <xf numFmtId="197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197" fontId="25" fillId="0" borderId="0">
      <alignment vertical="center"/>
    </xf>
    <xf numFmtId="197" fontId="25" fillId="0" borderId="0">
      <alignment vertical="center"/>
    </xf>
    <xf numFmtId="197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197" fontId="25" fillId="0" borderId="0">
      <alignment vertical="center"/>
    </xf>
    <xf numFmtId="9" fontId="64" fillId="0" borderId="0" applyFont="0" applyFill="0" applyBorder="0" applyAlignment="0" applyProtection="0"/>
    <xf numFmtId="0" fontId="64" fillId="0" borderId="0"/>
    <xf numFmtId="9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9" fontId="2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207" fontId="76" fillId="0" borderId="0">
      <alignment horizontal="right" vertical="center"/>
    </xf>
    <xf numFmtId="0" fontId="94" fillId="0" borderId="0">
      <alignment vertical="center"/>
    </xf>
    <xf numFmtId="43" fontId="94" fillId="0" borderId="0" applyFont="0" applyFill="0" applyBorder="0" applyAlignment="0" applyProtection="0">
      <alignment vertical="center"/>
    </xf>
    <xf numFmtId="219" fontId="101" fillId="0" borderId="0" applyFill="0" applyBorder="0">
      <alignment horizontal="right" vertical="center"/>
    </xf>
    <xf numFmtId="0" fontId="1" fillId="21" borderId="26" applyNumberFormat="0" applyFont="0" applyAlignment="0" applyProtection="0"/>
    <xf numFmtId="18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1" fillId="0" borderId="0"/>
    <xf numFmtId="0" fontId="135" fillId="0" borderId="0">
      <alignment vertical="center"/>
    </xf>
  </cellStyleXfs>
  <cellXfs count="1629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 vertical="center"/>
    </xf>
    <xf numFmtId="176" fontId="11" fillId="0" borderId="0" xfId="3" applyNumberFormat="1" applyFont="1" applyAlignment="1">
      <alignment horizontal="center" vertical="center"/>
    </xf>
    <xf numFmtId="177" fontId="11" fillId="0" borderId="0" xfId="3" applyNumberFormat="1" applyFont="1" applyAlignment="1">
      <alignment horizontal="center" vertical="center"/>
    </xf>
    <xf numFmtId="176" fontId="9" fillId="3" borderId="0" xfId="5" applyFont="1" applyAlignment="1">
      <alignment horizontal="left"/>
    </xf>
    <xf numFmtId="176" fontId="9" fillId="3" borderId="0" xfId="5" applyFont="1">
      <alignment horizontal="right"/>
    </xf>
    <xf numFmtId="178" fontId="9" fillId="3" borderId="0" xfId="5" applyNumberFormat="1" applyFont="1">
      <alignment horizontal="right"/>
    </xf>
    <xf numFmtId="179" fontId="9" fillId="3" borderId="0" xfId="5" applyNumberFormat="1" applyFont="1">
      <alignment horizontal="right"/>
    </xf>
    <xf numFmtId="180" fontId="9" fillId="3" borderId="0" xfId="5" applyNumberFormat="1" applyFont="1">
      <alignment horizontal="right"/>
    </xf>
    <xf numFmtId="0" fontId="9" fillId="4" borderId="0" xfId="0" applyFont="1" applyFill="1"/>
    <xf numFmtId="176" fontId="9" fillId="5" borderId="0" xfId="5" applyFont="1" applyFill="1" applyAlignment="1">
      <alignment horizontal="left"/>
    </xf>
    <xf numFmtId="176" fontId="9" fillId="5" borderId="0" xfId="5" applyFont="1" applyFill="1">
      <alignment horizontal="right"/>
    </xf>
    <xf numFmtId="178" fontId="9" fillId="5" borderId="0" xfId="5" applyNumberFormat="1" applyFont="1" applyFill="1">
      <alignment horizontal="right"/>
    </xf>
    <xf numFmtId="0" fontId="10" fillId="5" borderId="0" xfId="0" applyFont="1" applyFill="1"/>
    <xf numFmtId="0" fontId="9" fillId="6" borderId="0" xfId="0" applyFont="1" applyFill="1"/>
    <xf numFmtId="0" fontId="3" fillId="6" borderId="0" xfId="0" applyFont="1" applyFill="1"/>
    <xf numFmtId="3" fontId="10" fillId="0" borderId="0" xfId="0" applyNumberFormat="1" applyFont="1"/>
    <xf numFmtId="0" fontId="12" fillId="0" borderId="0" xfId="0" applyFont="1"/>
    <xf numFmtId="3" fontId="12" fillId="0" borderId="0" xfId="0" applyNumberFormat="1" applyFont="1"/>
    <xf numFmtId="181" fontId="10" fillId="0" borderId="0" xfId="0" applyNumberFormat="1" applyFont="1"/>
    <xf numFmtId="181" fontId="14" fillId="0" borderId="0" xfId="0" applyNumberFormat="1" applyFont="1"/>
    <xf numFmtId="0" fontId="15" fillId="0" borderId="0" xfId="0" applyFont="1"/>
    <xf numFmtId="181" fontId="12" fillId="0" borderId="0" xfId="0" applyNumberFormat="1" applyFont="1"/>
    <xf numFmtId="9" fontId="15" fillId="0" borderId="0" xfId="2" applyFont="1" applyAlignment="1"/>
    <xf numFmtId="182" fontId="15" fillId="0" borderId="0" xfId="2" applyNumberFormat="1" applyFont="1" applyAlignment="1"/>
    <xf numFmtId="0" fontId="12" fillId="7" borderId="0" xfId="0" applyFont="1" applyFill="1"/>
    <xf numFmtId="0" fontId="10" fillId="0" borderId="1" xfId="0" applyFont="1" applyBorder="1"/>
    <xf numFmtId="0" fontId="10" fillId="0" borderId="2" xfId="0" applyFont="1" applyBorder="1"/>
    <xf numFmtId="181" fontId="10" fillId="0" borderId="2" xfId="0" applyNumberFormat="1" applyFont="1" applyBorder="1"/>
    <xf numFmtId="181" fontId="10" fillId="0" borderId="3" xfId="0" applyNumberFormat="1" applyFont="1" applyBorder="1"/>
    <xf numFmtId="0" fontId="10" fillId="0" borderId="4" xfId="0" applyFont="1" applyBorder="1"/>
    <xf numFmtId="181" fontId="10" fillId="0" borderId="5" xfId="0" applyNumberFormat="1" applyFont="1" applyBorder="1"/>
    <xf numFmtId="0" fontId="10" fillId="0" borderId="6" xfId="0" applyFont="1" applyBorder="1"/>
    <xf numFmtId="0" fontId="10" fillId="0" borderId="7" xfId="0" applyFont="1" applyBorder="1"/>
    <xf numFmtId="181" fontId="10" fillId="0" borderId="7" xfId="0" applyNumberFormat="1" applyFont="1" applyBorder="1"/>
    <xf numFmtId="181" fontId="10" fillId="0" borderId="8" xfId="0" applyNumberFormat="1" applyFont="1" applyBorder="1"/>
    <xf numFmtId="0" fontId="10" fillId="0" borderId="10" xfId="0" applyFont="1" applyBorder="1"/>
    <xf numFmtId="0" fontId="10" fillId="0" borderId="11" xfId="0" applyFont="1" applyBorder="1"/>
    <xf numFmtId="181" fontId="10" fillId="0" borderId="10" xfId="0" applyNumberFormat="1" applyFont="1" applyBorder="1"/>
    <xf numFmtId="184" fontId="10" fillId="0" borderId="0" xfId="1" applyNumberFormat="1" applyFont="1" applyAlignment="1"/>
    <xf numFmtId="184" fontId="10" fillId="0" borderId="0" xfId="1" applyNumberFormat="1" applyFont="1" applyBorder="1" applyAlignment="1"/>
    <xf numFmtId="185" fontId="10" fillId="0" borderId="0" xfId="1" applyNumberFormat="1" applyFont="1" applyAlignment="1"/>
    <xf numFmtId="185" fontId="10" fillId="0" borderId="0" xfId="1" applyNumberFormat="1" applyFont="1" applyBorder="1" applyAlignment="1"/>
    <xf numFmtId="181" fontId="14" fillId="0" borderId="10" xfId="0" applyNumberFormat="1" applyFont="1" applyBorder="1"/>
    <xf numFmtId="181" fontId="14" fillId="8" borderId="2" xfId="0" applyNumberFormat="1" applyFont="1" applyFill="1" applyBorder="1"/>
    <xf numFmtId="181" fontId="14" fillId="8" borderId="3" xfId="0" applyNumberFormat="1" applyFont="1" applyFill="1" applyBorder="1"/>
    <xf numFmtId="181" fontId="10" fillId="0" borderId="2" xfId="0" applyNumberFormat="1" applyFont="1" applyBorder="1" applyAlignment="1">
      <alignment horizontal="right"/>
    </xf>
    <xf numFmtId="181" fontId="10" fillId="0" borderId="0" xfId="0" applyNumberFormat="1" applyFont="1" applyAlignment="1">
      <alignment horizontal="right"/>
    </xf>
    <xf numFmtId="181" fontId="10" fillId="0" borderId="10" xfId="0" applyNumberFormat="1" applyFont="1" applyBorder="1" applyAlignment="1">
      <alignment horizontal="right"/>
    </xf>
    <xf numFmtId="183" fontId="10" fillId="0" borderId="2" xfId="0" applyNumberFormat="1" applyFont="1" applyBorder="1" applyAlignment="1">
      <alignment horizontal="right"/>
    </xf>
    <xf numFmtId="183" fontId="10" fillId="0" borderId="3" xfId="0" applyNumberFormat="1" applyFont="1" applyBorder="1" applyAlignment="1">
      <alignment horizontal="right"/>
    </xf>
    <xf numFmtId="183" fontId="10" fillId="0" borderId="0" xfId="0" applyNumberFormat="1" applyFont="1" applyAlignment="1">
      <alignment horizontal="right"/>
    </xf>
    <xf numFmtId="183" fontId="10" fillId="0" borderId="5" xfId="0" applyNumberFormat="1" applyFont="1" applyBorder="1" applyAlignment="1">
      <alignment horizontal="right"/>
    </xf>
    <xf numFmtId="183" fontId="10" fillId="0" borderId="10" xfId="0" applyNumberFormat="1" applyFont="1" applyBorder="1" applyAlignment="1">
      <alignment horizontal="right"/>
    </xf>
    <xf numFmtId="183" fontId="10" fillId="0" borderId="9" xfId="0" applyNumberFormat="1" applyFont="1" applyBorder="1" applyAlignment="1">
      <alignment horizontal="right"/>
    </xf>
    <xf numFmtId="182" fontId="15" fillId="0" borderId="0" xfId="2" applyNumberFormat="1" applyFont="1" applyAlignment="1">
      <alignment horizontal="right"/>
    </xf>
    <xf numFmtId="184" fontId="10" fillId="0" borderId="0" xfId="1" applyNumberFormat="1" applyFont="1" applyAlignment="1">
      <alignment horizontal="right"/>
    </xf>
    <xf numFmtId="0" fontId="9" fillId="3" borderId="0" xfId="0" applyFont="1" applyFill="1"/>
    <xf numFmtId="0" fontId="3" fillId="3" borderId="0" xfId="0" applyFont="1" applyFill="1"/>
    <xf numFmtId="0" fontId="10" fillId="0" borderId="12" xfId="0" applyFont="1" applyBorder="1"/>
    <xf numFmtId="181" fontId="15" fillId="0" borderId="0" xfId="1" applyNumberFormat="1" applyFont="1" applyAlignment="1"/>
    <xf numFmtId="0" fontId="3" fillId="4" borderId="0" xfId="0" applyFont="1" applyFill="1"/>
    <xf numFmtId="0" fontId="12" fillId="0" borderId="10" xfId="0" applyFont="1" applyBorder="1"/>
    <xf numFmtId="181" fontId="12" fillId="0" borderId="10" xfId="0" applyNumberFormat="1" applyFont="1" applyBorder="1"/>
    <xf numFmtId="182" fontId="15" fillId="0" borderId="0" xfId="0" applyNumberFormat="1" applyFont="1"/>
    <xf numFmtId="181" fontId="13" fillId="0" borderId="10" xfId="0" applyNumberFormat="1" applyFont="1" applyBorder="1"/>
    <xf numFmtId="0" fontId="17" fillId="0" borderId="0" xfId="0" applyFont="1"/>
    <xf numFmtId="181" fontId="13" fillId="9" borderId="10" xfId="0" applyNumberFormat="1" applyFont="1" applyFill="1" applyBorder="1"/>
    <xf numFmtId="43" fontId="10" fillId="0" borderId="0" xfId="0" applyNumberFormat="1" applyFont="1"/>
    <xf numFmtId="185" fontId="12" fillId="0" borderId="0" xfId="0" applyNumberFormat="1" applyFont="1"/>
    <xf numFmtId="1" fontId="12" fillId="0" borderId="0" xfId="0" applyNumberFormat="1" applyFont="1"/>
    <xf numFmtId="43" fontId="10" fillId="0" borderId="10" xfId="0" applyNumberFormat="1" applyFont="1" applyBorder="1"/>
    <xf numFmtId="185" fontId="12" fillId="0" borderId="0" xfId="1" applyNumberFormat="1" applyFont="1" applyAlignment="1"/>
    <xf numFmtId="0" fontId="15" fillId="0" borderId="10" xfId="0" applyFont="1" applyBorder="1"/>
    <xf numFmtId="182" fontId="15" fillId="0" borderId="10" xfId="2" applyNumberFormat="1" applyFont="1" applyBorder="1" applyAlignment="1"/>
    <xf numFmtId="0" fontId="12" fillId="0" borderId="12" xfId="0" applyFont="1" applyBorder="1"/>
    <xf numFmtId="181" fontId="12" fillId="0" borderId="12" xfId="0" applyNumberFormat="1" applyFont="1" applyBorder="1"/>
    <xf numFmtId="183" fontId="10" fillId="0" borderId="7" xfId="0" applyNumberFormat="1" applyFont="1" applyBorder="1" applyAlignment="1">
      <alignment horizontal="right"/>
    </xf>
    <xf numFmtId="182" fontId="15" fillId="10" borderId="0" xfId="0" applyNumberFormat="1" applyFont="1" applyFill="1"/>
    <xf numFmtId="181" fontId="10" fillId="10" borderId="0" xfId="0" applyNumberFormat="1" applyFont="1" applyFill="1"/>
    <xf numFmtId="183" fontId="10" fillId="10" borderId="2" xfId="0" applyNumberFormat="1" applyFont="1" applyFill="1" applyBorder="1" applyAlignment="1">
      <alignment horizontal="right"/>
    </xf>
    <xf numFmtId="183" fontId="10" fillId="10" borderId="0" xfId="0" applyNumberFormat="1" applyFont="1" applyFill="1" applyAlignment="1">
      <alignment horizontal="right"/>
    </xf>
    <xf numFmtId="181" fontId="10" fillId="5" borderId="2" xfId="0" applyNumberFormat="1" applyFont="1" applyFill="1" applyBorder="1"/>
    <xf numFmtId="181" fontId="10" fillId="5" borderId="0" xfId="0" applyNumberFormat="1" applyFont="1" applyFill="1"/>
    <xf numFmtId="181" fontId="10" fillId="5" borderId="7" xfId="0" applyNumberFormat="1" applyFont="1" applyFill="1" applyBorder="1"/>
    <xf numFmtId="183" fontId="10" fillId="10" borderId="7" xfId="0" applyNumberFormat="1" applyFont="1" applyFill="1" applyBorder="1" applyAlignment="1">
      <alignment horizontal="right"/>
    </xf>
    <xf numFmtId="184" fontId="10" fillId="10" borderId="0" xfId="0" applyNumberFormat="1" applyFont="1" applyFill="1"/>
    <xf numFmtId="182" fontId="15" fillId="10" borderId="0" xfId="2" applyNumberFormat="1" applyFont="1" applyFill="1" applyAlignment="1">
      <alignment horizontal="right"/>
    </xf>
    <xf numFmtId="0" fontId="20" fillId="0" borderId="0" xfId="0" applyFont="1"/>
    <xf numFmtId="181" fontId="16" fillId="0" borderId="0" xfId="0" applyNumberFormat="1" applyFont="1"/>
    <xf numFmtId="9" fontId="15" fillId="0" borderId="0" xfId="2" applyFont="1" applyBorder="1" applyAlignment="1"/>
    <xf numFmtId="181" fontId="21" fillId="0" borderId="0" xfId="0" applyNumberFormat="1" applyFont="1"/>
    <xf numFmtId="182" fontId="15" fillId="10" borderId="0" xfId="2" applyNumberFormat="1" applyFont="1" applyFill="1" applyAlignment="1"/>
    <xf numFmtId="182" fontId="15" fillId="0" borderId="0" xfId="2" applyNumberFormat="1" applyFont="1" applyFill="1" applyBorder="1" applyAlignment="1"/>
    <xf numFmtId="0" fontId="9" fillId="0" borderId="0" xfId="0" applyFont="1"/>
    <xf numFmtId="0" fontId="3" fillId="0" borderId="0" xfId="0" applyFont="1"/>
    <xf numFmtId="185" fontId="10" fillId="0" borderId="0" xfId="1" applyNumberFormat="1" applyFont="1" applyFill="1" applyBorder="1" applyAlignment="1"/>
    <xf numFmtId="181" fontId="13" fillId="0" borderId="0" xfId="0" applyNumberFormat="1" applyFont="1"/>
    <xf numFmtId="185" fontId="12" fillId="0" borderId="0" xfId="1" applyNumberFormat="1" applyFont="1" applyFill="1" applyBorder="1" applyAlignment="1"/>
    <xf numFmtId="185" fontId="13" fillId="0" borderId="0" xfId="1" applyNumberFormat="1" applyFont="1" applyFill="1" applyBorder="1" applyAlignment="1"/>
    <xf numFmtId="185" fontId="15" fillId="0" borderId="0" xfId="1" applyNumberFormat="1" applyFont="1" applyFill="1" applyBorder="1" applyAlignment="1"/>
    <xf numFmtId="185" fontId="10" fillId="0" borderId="0" xfId="1" applyNumberFormat="1" applyFont="1" applyFill="1" applyBorder="1" applyAlignment="1">
      <alignment horizontal="right"/>
    </xf>
    <xf numFmtId="185" fontId="15" fillId="0" borderId="0" xfId="1" applyNumberFormat="1" applyFont="1" applyFill="1" applyBorder="1" applyAlignment="1">
      <alignment horizontal="right"/>
    </xf>
    <xf numFmtId="185" fontId="20" fillId="0" borderId="0" xfId="1" applyNumberFormat="1" applyFont="1" applyFill="1" applyBorder="1" applyAlignment="1"/>
    <xf numFmtId="185" fontId="17" fillId="0" borderId="0" xfId="1" applyNumberFormat="1" applyFont="1" applyFill="1" applyBorder="1" applyAlignment="1"/>
    <xf numFmtId="43" fontId="22" fillId="5" borderId="0" xfId="1" applyFont="1" applyFill="1" applyAlignment="1">
      <alignment horizontal="left"/>
    </xf>
    <xf numFmtId="43" fontId="22" fillId="5" borderId="0" xfId="1" applyFont="1" applyFill="1" applyAlignment="1">
      <alignment horizontal="right"/>
    </xf>
    <xf numFmtId="43" fontId="22" fillId="5" borderId="0" xfId="1" applyFont="1" applyFill="1" applyAlignment="1"/>
    <xf numFmtId="185" fontId="10" fillId="0" borderId="10" xfId="1" applyNumberFormat="1" applyFont="1" applyFill="1" applyBorder="1" applyAlignment="1"/>
    <xf numFmtId="185" fontId="15" fillId="0" borderId="12" xfId="1" applyNumberFormat="1" applyFont="1" applyFill="1" applyBorder="1" applyAlignment="1"/>
    <xf numFmtId="0" fontId="10" fillId="0" borderId="0" xfId="0" quotePrefix="1" applyFont="1"/>
    <xf numFmtId="185" fontId="10" fillId="0" borderId="12" xfId="1" applyNumberFormat="1" applyFont="1" applyFill="1" applyBorder="1" applyAlignment="1"/>
    <xf numFmtId="185" fontId="12" fillId="0" borderId="12" xfId="1" applyNumberFormat="1" applyFont="1" applyFill="1" applyBorder="1" applyAlignment="1"/>
    <xf numFmtId="181" fontId="14" fillId="11" borderId="2" xfId="0" applyNumberFormat="1" applyFont="1" applyFill="1" applyBorder="1"/>
    <xf numFmtId="181" fontId="14" fillId="11" borderId="0" xfId="0" applyNumberFormat="1" applyFont="1" applyFill="1"/>
    <xf numFmtId="181" fontId="14" fillId="11" borderId="7" xfId="0" applyNumberFormat="1" applyFont="1" applyFill="1" applyBorder="1"/>
    <xf numFmtId="182" fontId="10" fillId="0" borderId="10" xfId="2" applyNumberFormat="1" applyFont="1" applyFill="1" applyBorder="1" applyAlignment="1"/>
    <xf numFmtId="181" fontId="10" fillId="11" borderId="2" xfId="0" applyNumberFormat="1" applyFont="1" applyFill="1" applyBorder="1"/>
    <xf numFmtId="181" fontId="10" fillId="11" borderId="0" xfId="0" applyNumberFormat="1" applyFont="1" applyFill="1"/>
    <xf numFmtId="181" fontId="10" fillId="11" borderId="7" xfId="0" applyNumberFormat="1" applyFont="1" applyFill="1" applyBorder="1"/>
    <xf numFmtId="182" fontId="10" fillId="11" borderId="10" xfId="2" applyNumberFormat="1" applyFont="1" applyFill="1" applyBorder="1" applyAlignment="1"/>
    <xf numFmtId="181" fontId="12" fillId="11" borderId="12" xfId="0" applyNumberFormat="1" applyFont="1" applyFill="1" applyBorder="1"/>
    <xf numFmtId="181" fontId="10" fillId="11" borderId="10" xfId="0" applyNumberFormat="1" applyFont="1" applyFill="1" applyBorder="1"/>
    <xf numFmtId="181" fontId="12" fillId="11" borderId="10" xfId="0" applyNumberFormat="1" applyFont="1" applyFill="1" applyBorder="1"/>
    <xf numFmtId="182" fontId="15" fillId="11" borderId="0" xfId="2" applyNumberFormat="1" applyFont="1" applyFill="1" applyBorder="1" applyAlignment="1"/>
    <xf numFmtId="181" fontId="12" fillId="0" borderId="2" xfId="0" applyNumberFormat="1" applyFont="1" applyBorder="1"/>
    <xf numFmtId="182" fontId="10" fillId="0" borderId="0" xfId="2" applyNumberFormat="1" applyFont="1" applyFill="1" applyBorder="1" applyAlignment="1"/>
    <xf numFmtId="185" fontId="23" fillId="0" borderId="0" xfId="1" applyNumberFormat="1" applyFont="1" applyFill="1" applyBorder="1" applyAlignment="1"/>
    <xf numFmtId="185" fontId="12" fillId="0" borderId="10" xfId="1" applyNumberFormat="1" applyFont="1" applyFill="1" applyBorder="1" applyAlignment="1"/>
    <xf numFmtId="185" fontId="12" fillId="0" borderId="0" xfId="1" applyNumberFormat="1" applyFont="1" applyFill="1" applyBorder="1" applyAlignment="1">
      <alignment horizontal="right"/>
    </xf>
    <xf numFmtId="185" fontId="10" fillId="0" borderId="10" xfId="1" applyNumberFormat="1" applyFont="1" applyFill="1" applyBorder="1" applyAlignment="1">
      <alignment horizontal="right"/>
    </xf>
    <xf numFmtId="181" fontId="10" fillId="0" borderId="12" xfId="0" applyNumberFormat="1" applyFont="1" applyBorder="1"/>
    <xf numFmtId="181" fontId="14" fillId="0" borderId="2" xfId="0" applyNumberFormat="1" applyFont="1" applyBorder="1"/>
    <xf numFmtId="181" fontId="14" fillId="0" borderId="7" xfId="0" applyNumberFormat="1" applyFont="1" applyBorder="1"/>
    <xf numFmtId="185" fontId="15" fillId="0" borderId="10" xfId="1" applyNumberFormat="1" applyFont="1" applyFill="1" applyBorder="1" applyAlignment="1"/>
    <xf numFmtId="185" fontId="24" fillId="0" borderId="0" xfId="1" applyNumberFormat="1" applyFont="1" applyFill="1" applyBorder="1" applyAlignment="1">
      <alignment horizontal="right"/>
    </xf>
    <xf numFmtId="182" fontId="15" fillId="0" borderId="0" xfId="2" applyNumberFormat="1" applyFont="1" applyFill="1" applyBorder="1" applyAlignment="1">
      <alignment horizontal="right"/>
    </xf>
    <xf numFmtId="181" fontId="12" fillId="0" borderId="0" xfId="0" applyNumberFormat="1" applyFont="1" applyAlignment="1">
      <alignment horizontal="right"/>
    </xf>
    <xf numFmtId="0" fontId="9" fillId="12" borderId="0" xfId="0" applyFont="1" applyFill="1"/>
    <xf numFmtId="0" fontId="3" fillId="12" borderId="0" xfId="0" applyFont="1" applyFill="1"/>
    <xf numFmtId="43" fontId="10" fillId="0" borderId="0" xfId="1" applyFont="1" applyAlignment="1"/>
    <xf numFmtId="0" fontId="3" fillId="0" borderId="10" xfId="0" applyFont="1" applyBorder="1"/>
    <xf numFmtId="185" fontId="10" fillId="0" borderId="10" xfId="1" applyNumberFormat="1" applyFont="1" applyBorder="1" applyAlignment="1"/>
    <xf numFmtId="182" fontId="10" fillId="0" borderId="0" xfId="2" applyNumberFormat="1" applyFont="1" applyAlignment="1"/>
    <xf numFmtId="185" fontId="10" fillId="10" borderId="10" xfId="1" applyNumberFormat="1" applyFont="1" applyFill="1" applyBorder="1" applyAlignment="1"/>
    <xf numFmtId="185" fontId="10" fillId="10" borderId="0" xfId="1" applyNumberFormat="1" applyFont="1" applyFill="1" applyAlignment="1"/>
    <xf numFmtId="181" fontId="10" fillId="10" borderId="10" xfId="0" applyNumberFormat="1" applyFont="1" applyFill="1" applyBorder="1"/>
    <xf numFmtId="182" fontId="10" fillId="10" borderId="0" xfId="0" applyNumberFormat="1" applyFont="1" applyFill="1"/>
    <xf numFmtId="0" fontId="15" fillId="11" borderId="0" xfId="0" applyFont="1" applyFill="1"/>
    <xf numFmtId="3" fontId="12" fillId="11" borderId="0" xfId="0" applyNumberFormat="1" applyFont="1" applyFill="1"/>
    <xf numFmtId="0" fontId="12" fillId="11" borderId="0" xfId="0" applyFont="1" applyFill="1"/>
    <xf numFmtId="185" fontId="12" fillId="10" borderId="0" xfId="0" applyNumberFormat="1" applyFont="1" applyFill="1"/>
    <xf numFmtId="185" fontId="10" fillId="0" borderId="0" xfId="0" applyNumberFormat="1" applyFont="1"/>
    <xf numFmtId="1" fontId="12" fillId="10" borderId="0" xfId="0" applyNumberFormat="1" applyFont="1" applyFill="1"/>
    <xf numFmtId="186" fontId="10" fillId="0" borderId="0" xfId="0" applyNumberFormat="1" applyFont="1"/>
    <xf numFmtId="185" fontId="10" fillId="10" borderId="0" xfId="0" applyNumberFormat="1" applyFont="1" applyFill="1"/>
    <xf numFmtId="185" fontId="15" fillId="11" borderId="0" xfId="1" applyNumberFormat="1" applyFont="1" applyFill="1" applyBorder="1" applyAlignment="1"/>
    <xf numFmtId="185" fontId="10" fillId="10" borderId="0" xfId="1" applyNumberFormat="1" applyFont="1" applyFill="1" applyBorder="1" applyAlignment="1"/>
    <xf numFmtId="181" fontId="10" fillId="10" borderId="1" xfId="0" applyNumberFormat="1" applyFont="1" applyFill="1" applyBorder="1"/>
    <xf numFmtId="182" fontId="10" fillId="10" borderId="10" xfId="2" applyNumberFormat="1" applyFont="1" applyFill="1" applyBorder="1" applyAlignment="1"/>
    <xf numFmtId="182" fontId="15" fillId="10" borderId="0" xfId="2" applyNumberFormat="1" applyFont="1" applyFill="1" applyBorder="1" applyAlignment="1"/>
    <xf numFmtId="181" fontId="10" fillId="10" borderId="4" xfId="0" applyNumberFormat="1" applyFont="1" applyFill="1" applyBorder="1"/>
    <xf numFmtId="181" fontId="10" fillId="10" borderId="6" xfId="0" applyNumberFormat="1" applyFont="1" applyFill="1" applyBorder="1"/>
    <xf numFmtId="185" fontId="12" fillId="10" borderId="0" xfId="1" applyNumberFormat="1" applyFont="1" applyFill="1" applyBorder="1" applyAlignment="1"/>
    <xf numFmtId="181" fontId="12" fillId="10" borderId="0" xfId="0" applyNumberFormat="1" applyFont="1" applyFill="1"/>
    <xf numFmtId="185" fontId="12" fillId="11" borderId="0" xfId="1" applyNumberFormat="1" applyFont="1" applyFill="1" applyBorder="1" applyAlignment="1"/>
    <xf numFmtId="0" fontId="10" fillId="11" borderId="0" xfId="0" applyFont="1" applyFill="1"/>
    <xf numFmtId="0" fontId="10" fillId="10" borderId="0" xfId="0" applyFont="1" applyFill="1"/>
    <xf numFmtId="185" fontId="10" fillId="11" borderId="0" xfId="1" applyNumberFormat="1" applyFont="1" applyFill="1" applyBorder="1" applyAlignment="1"/>
    <xf numFmtId="0" fontId="20" fillId="0" borderId="10" xfId="0" applyFont="1" applyBorder="1"/>
    <xf numFmtId="185" fontId="21" fillId="0" borderId="10" xfId="1" applyNumberFormat="1" applyFont="1" applyFill="1" applyBorder="1" applyAlignment="1"/>
    <xf numFmtId="182" fontId="15" fillId="0" borderId="10" xfId="2" applyNumberFormat="1" applyFont="1" applyFill="1" applyBorder="1" applyAlignment="1"/>
    <xf numFmtId="182" fontId="15" fillId="10" borderId="12" xfId="2" applyNumberFormat="1" applyFont="1" applyFill="1" applyBorder="1" applyAlignment="1"/>
    <xf numFmtId="185" fontId="10" fillId="0" borderId="10" xfId="0" applyNumberFormat="1" applyFont="1" applyBorder="1"/>
    <xf numFmtId="9" fontId="15" fillId="0" borderId="0" xfId="2" applyFont="1" applyFill="1" applyBorder="1" applyAlignment="1"/>
    <xf numFmtId="181" fontId="12" fillId="11" borderId="0" xfId="0" applyNumberFormat="1" applyFont="1" applyFill="1"/>
    <xf numFmtId="182" fontId="15" fillId="0" borderId="12" xfId="2" applyNumberFormat="1" applyFont="1" applyFill="1" applyBorder="1" applyAlignment="1"/>
    <xf numFmtId="185" fontId="12" fillId="10" borderId="0" xfId="1" applyNumberFormat="1" applyFont="1" applyFill="1" applyAlignment="1"/>
    <xf numFmtId="9" fontId="15" fillId="0" borderId="0" xfId="0" applyNumberFormat="1" applyFont="1"/>
    <xf numFmtId="185" fontId="20" fillId="11" borderId="0" xfId="1" applyNumberFormat="1" applyFont="1" applyFill="1" applyBorder="1" applyAlignment="1"/>
    <xf numFmtId="9" fontId="10" fillId="0" borderId="0" xfId="2" applyFont="1" applyFill="1" applyBorder="1" applyAlignment="1"/>
    <xf numFmtId="43" fontId="9" fillId="3" borderId="0" xfId="5" applyNumberFormat="1" applyFont="1">
      <alignment horizontal="right"/>
    </xf>
    <xf numFmtId="0" fontId="12" fillId="0" borderId="0" xfId="6" applyFont="1"/>
    <xf numFmtId="0" fontId="10" fillId="0" borderId="0" xfId="6" applyFont="1"/>
    <xf numFmtId="0" fontId="15" fillId="0" borderId="0" xfId="6" applyFont="1"/>
    <xf numFmtId="0" fontId="25" fillId="0" borderId="0" xfId="6"/>
    <xf numFmtId="0" fontId="32" fillId="0" borderId="0" xfId="6" applyFont="1"/>
    <xf numFmtId="0" fontId="33" fillId="4" borderId="0" xfId="6" applyFont="1" applyFill="1" applyAlignment="1">
      <alignment horizontal="center" vertical="center"/>
    </xf>
    <xf numFmtId="0" fontId="33" fillId="14" borderId="0" xfId="6" applyFont="1" applyFill="1" applyAlignment="1">
      <alignment horizontal="center" vertical="center"/>
    </xf>
    <xf numFmtId="0" fontId="33" fillId="14" borderId="0" xfId="6" applyFont="1" applyFill="1" applyAlignment="1">
      <alignment horizontal="center" vertical="center" wrapText="1"/>
    </xf>
    <xf numFmtId="0" fontId="35" fillId="0" borderId="0" xfId="11" applyNumberFormat="1" applyFont="1">
      <alignment vertical="center"/>
    </xf>
    <xf numFmtId="43" fontId="35" fillId="0" borderId="0" xfId="8" applyFont="1" applyBorder="1" applyAlignment="1">
      <alignment horizontal="center" vertical="center"/>
    </xf>
    <xf numFmtId="0" fontId="34" fillId="0" borderId="0" xfId="11" applyNumberFormat="1" applyFont="1">
      <alignment vertical="center"/>
    </xf>
    <xf numFmtId="43" fontId="34" fillId="0" borderId="0" xfId="8" applyFont="1" applyBorder="1" applyAlignment="1">
      <alignment horizontal="center" vertical="center"/>
    </xf>
    <xf numFmtId="43" fontId="35" fillId="0" borderId="0" xfId="8" applyFont="1" applyFill="1" applyBorder="1" applyAlignment="1">
      <alignment horizontal="center" vertical="center"/>
    </xf>
    <xf numFmtId="0" fontId="36" fillId="0" borderId="0" xfId="11" applyNumberFormat="1" applyFont="1">
      <alignment vertical="center"/>
    </xf>
    <xf numFmtId="189" fontId="37" fillId="0" borderId="0" xfId="10" applyFont="1" applyAlignment="1">
      <alignment horizontal="center" vertical="center"/>
    </xf>
    <xf numFmtId="43" fontId="34" fillId="0" borderId="0" xfId="8" applyFont="1" applyAlignment="1"/>
    <xf numFmtId="43" fontId="38" fillId="0" borderId="13" xfId="12" applyFont="1" applyFill="1" applyBorder="1" applyAlignment="1">
      <alignment horizontal="center" vertical="center"/>
    </xf>
    <xf numFmtId="43" fontId="38" fillId="0" borderId="13" xfId="8" applyFont="1" applyFill="1" applyBorder="1" applyAlignment="1">
      <alignment horizontal="center" vertical="center"/>
    </xf>
    <xf numFmtId="0" fontId="39" fillId="0" borderId="13" xfId="11" applyNumberFormat="1" applyFont="1" applyBorder="1">
      <alignment vertical="center"/>
    </xf>
    <xf numFmtId="43" fontId="39" fillId="0" borderId="13" xfId="8" applyFont="1" applyBorder="1" applyAlignment="1">
      <alignment horizontal="center" vertical="center"/>
    </xf>
    <xf numFmtId="0" fontId="40" fillId="0" borderId="13" xfId="11" applyNumberFormat="1" applyFont="1" applyBorder="1">
      <alignment vertical="center"/>
    </xf>
    <xf numFmtId="43" fontId="40" fillId="0" borderId="13" xfId="8" applyFont="1" applyBorder="1" applyAlignment="1">
      <alignment horizontal="center" vertical="center"/>
    </xf>
    <xf numFmtId="1" fontId="10" fillId="10" borderId="10" xfId="0" applyNumberFormat="1" applyFont="1" applyFill="1" applyBorder="1"/>
    <xf numFmtId="0" fontId="42" fillId="0" borderId="0" xfId="0" applyFont="1"/>
    <xf numFmtId="182" fontId="42" fillId="0" borderId="0" xfId="2" applyNumberFormat="1" applyFont="1" applyAlignment="1"/>
    <xf numFmtId="185" fontId="13" fillId="0" borderId="0" xfId="0" applyNumberFormat="1" applyFont="1"/>
    <xf numFmtId="0" fontId="42" fillId="10" borderId="0" xfId="0" applyFont="1" applyFill="1"/>
    <xf numFmtId="185" fontId="43" fillId="0" borderId="0" xfId="0" applyNumberFormat="1" applyFont="1"/>
    <xf numFmtId="1" fontId="3" fillId="0" borderId="0" xfId="0" applyNumberFormat="1" applyFont="1"/>
    <xf numFmtId="0" fontId="10" fillId="0" borderId="0" xfId="2" applyNumberFormat="1" applyFont="1" applyFill="1" applyBorder="1" applyAlignment="1"/>
    <xf numFmtId="176" fontId="12" fillId="0" borderId="0" xfId="5" applyFont="1" applyFill="1" applyAlignment="1">
      <alignment horizontal="left"/>
    </xf>
    <xf numFmtId="176" fontId="12" fillId="0" borderId="0" xfId="5" applyFont="1" applyFill="1">
      <alignment horizontal="right"/>
    </xf>
    <xf numFmtId="178" fontId="12" fillId="0" borderId="0" xfId="5" applyNumberFormat="1" applyFont="1" applyFill="1">
      <alignment horizontal="right"/>
    </xf>
    <xf numFmtId="0" fontId="3" fillId="0" borderId="0" xfId="6" applyFont="1"/>
    <xf numFmtId="181" fontId="12" fillId="0" borderId="0" xfId="6" applyNumberFormat="1" applyFont="1"/>
    <xf numFmtId="0" fontId="20" fillId="0" borderId="0" xfId="6" applyFont="1"/>
    <xf numFmtId="181" fontId="15" fillId="0" borderId="0" xfId="0" applyNumberFormat="1" applyFont="1"/>
    <xf numFmtId="43" fontId="12" fillId="5" borderId="0" xfId="1" applyFont="1" applyFill="1" applyAlignment="1">
      <alignment horizontal="left"/>
    </xf>
    <xf numFmtId="181" fontId="10" fillId="9" borderId="0" xfId="0" applyNumberFormat="1" applyFont="1" applyFill="1"/>
    <xf numFmtId="181" fontId="3" fillId="0" borderId="0" xfId="6" applyNumberFormat="1" applyFont="1"/>
    <xf numFmtId="181" fontId="10" fillId="0" borderId="0" xfId="6" applyNumberFormat="1" applyFont="1"/>
    <xf numFmtId="0" fontId="44" fillId="0" borderId="0" xfId="6" applyFont="1"/>
    <xf numFmtId="0" fontId="12" fillId="0" borderId="10" xfId="6" applyFont="1" applyBorder="1"/>
    <xf numFmtId="0" fontId="44" fillId="0" borderId="10" xfId="6" applyFont="1" applyBorder="1"/>
    <xf numFmtId="0" fontId="3" fillId="0" borderId="10" xfId="6" applyFont="1" applyBorder="1"/>
    <xf numFmtId="0" fontId="3" fillId="0" borderId="12" xfId="6" applyFont="1" applyBorder="1"/>
    <xf numFmtId="0" fontId="12" fillId="0" borderId="12" xfId="6" applyFont="1" applyBorder="1"/>
    <xf numFmtId="0" fontId="44" fillId="0" borderId="12" xfId="6" applyFont="1" applyBorder="1"/>
    <xf numFmtId="0" fontId="10" fillId="3" borderId="0" xfId="0" applyFont="1" applyFill="1"/>
    <xf numFmtId="43" fontId="10" fillId="3" borderId="0" xfId="1" applyFont="1" applyFill="1" applyAlignment="1"/>
    <xf numFmtId="43" fontId="10" fillId="3" borderId="0" xfId="0" applyNumberFormat="1" applyFont="1" applyFill="1"/>
    <xf numFmtId="185" fontId="10" fillId="5" borderId="0" xfId="0" applyNumberFormat="1" applyFont="1" applyFill="1"/>
    <xf numFmtId="0" fontId="3" fillId="10" borderId="0" xfId="0" applyFont="1" applyFill="1"/>
    <xf numFmtId="0" fontId="44" fillId="0" borderId="0" xfId="0" applyFont="1"/>
    <xf numFmtId="0" fontId="10" fillId="0" borderId="0" xfId="6" quotePrefix="1" applyFont="1"/>
    <xf numFmtId="0" fontId="10" fillId="0" borderId="10" xfId="6" applyFont="1" applyBorder="1"/>
    <xf numFmtId="0" fontId="26" fillId="0" borderId="0" xfId="0" applyFont="1" applyAlignment="1">
      <alignment vertical="center"/>
    </xf>
    <xf numFmtId="0" fontId="12" fillId="0" borderId="0" xfId="6" quotePrefix="1" applyFont="1"/>
    <xf numFmtId="0" fontId="10" fillId="0" borderId="10" xfId="6" quotePrefix="1" applyFont="1" applyBorder="1"/>
    <xf numFmtId="0" fontId="26" fillId="0" borderId="0" xfId="0" applyFont="1"/>
    <xf numFmtId="0" fontId="27" fillId="0" borderId="0" xfId="0" applyFont="1" applyAlignment="1">
      <alignment vertical="center"/>
    </xf>
    <xf numFmtId="43" fontId="10" fillId="5" borderId="0" xfId="1" applyFont="1" applyFill="1" applyAlignment="1">
      <alignment horizontal="left"/>
    </xf>
    <xf numFmtId="43" fontId="10" fillId="5" borderId="0" xfId="1" applyFont="1" applyFill="1" applyAlignment="1">
      <alignment horizontal="right"/>
    </xf>
    <xf numFmtId="43" fontId="10" fillId="5" borderId="0" xfId="1" applyFont="1" applyFill="1" applyAlignment="1"/>
    <xf numFmtId="0" fontId="10" fillId="7" borderId="0" xfId="0" applyFont="1" applyFill="1"/>
    <xf numFmtId="0" fontId="15" fillId="0" borderId="0" xfId="6" quotePrefix="1" applyFont="1"/>
    <xf numFmtId="0" fontId="12" fillId="0" borderId="0" xfId="6" quotePrefix="1" applyFont="1" applyAlignment="1">
      <alignment horizontal="center"/>
    </xf>
    <xf numFmtId="0" fontId="12" fillId="0" borderId="0" xfId="6" applyFont="1" applyAlignment="1">
      <alignment horizontal="center"/>
    </xf>
    <xf numFmtId="192" fontId="26" fillId="0" borderId="0" xfId="0" applyNumberFormat="1" applyFont="1" applyAlignment="1">
      <alignment horizontal="center" vertical="center"/>
    </xf>
    <xf numFmtId="0" fontId="10" fillId="0" borderId="0" xfId="6" applyFont="1" applyAlignment="1">
      <alignment horizontal="center"/>
    </xf>
    <xf numFmtId="193" fontId="26" fillId="0" borderId="0" xfId="0" applyNumberFormat="1" applyFont="1" applyAlignment="1">
      <alignment horizontal="center" vertical="center"/>
    </xf>
    <xf numFmtId="194" fontId="10" fillId="0" borderId="0" xfId="1" quotePrefix="1" applyNumberFormat="1" applyFont="1" applyAlignment="1">
      <alignment horizontal="center"/>
    </xf>
    <xf numFmtId="194" fontId="10" fillId="0" borderId="0" xfId="1" applyNumberFormat="1" applyFont="1" applyAlignment="1">
      <alignment horizontal="center"/>
    </xf>
    <xf numFmtId="195" fontId="46" fillId="0" borderId="0" xfId="13" applyFont="1" applyAlignment="1">
      <alignment horizontal="center" vertical="center"/>
    </xf>
    <xf numFmtId="0" fontId="50" fillId="0" borderId="0" xfId="13" applyNumberFormat="1" applyFont="1" applyAlignment="1">
      <alignment horizontal="center" vertical="center"/>
    </xf>
    <xf numFmtId="195" fontId="51" fillId="16" borderId="13" xfId="13" applyFont="1" applyFill="1" applyBorder="1" applyAlignment="1">
      <alignment horizontal="center" vertical="center"/>
    </xf>
    <xf numFmtId="43" fontId="51" fillId="16" borderId="13" xfId="13" applyNumberFormat="1" applyFont="1" applyFill="1" applyBorder="1" applyAlignment="1">
      <alignment horizontal="center" vertical="center"/>
    </xf>
    <xf numFmtId="195" fontId="53" fillId="0" borderId="0" xfId="13" applyFont="1" applyAlignment="1">
      <alignment horizontal="center" vertical="center"/>
    </xf>
    <xf numFmtId="195" fontId="53" fillId="0" borderId="13" xfId="13" applyFont="1" applyBorder="1" applyAlignment="1">
      <alignment horizontal="center" vertical="center"/>
    </xf>
    <xf numFmtId="38" fontId="53" fillId="0" borderId="13" xfId="13" applyNumberFormat="1" applyFont="1" applyBorder="1" applyAlignment="1">
      <alignment horizontal="center" vertical="center"/>
    </xf>
    <xf numFmtId="43" fontId="53" fillId="0" borderId="13" xfId="14" applyNumberFormat="1" applyFont="1" applyBorder="1" applyAlignment="1">
      <alignment horizontal="center" vertical="center"/>
    </xf>
    <xf numFmtId="43" fontId="55" fillId="17" borderId="13" xfId="8" applyFont="1" applyFill="1" applyBorder="1" applyAlignment="1">
      <alignment horizontal="center" vertical="center"/>
    </xf>
    <xf numFmtId="14" fontId="53" fillId="0" borderId="13" xfId="14" applyNumberFormat="1" applyFont="1" applyBorder="1" applyAlignment="1">
      <alignment horizontal="center" vertical="center"/>
    </xf>
    <xf numFmtId="10" fontId="3" fillId="0" borderId="13" xfId="9" applyNumberFormat="1" applyFont="1" applyFill="1" applyBorder="1" applyAlignment="1">
      <alignment horizontal="center" vertical="center"/>
    </xf>
    <xf numFmtId="14" fontId="54" fillId="0" borderId="13" xfId="13" applyNumberFormat="1" applyFont="1" applyBorder="1" applyAlignment="1">
      <alignment horizontal="center" vertical="center"/>
    </xf>
    <xf numFmtId="0" fontId="57" fillId="0" borderId="0" xfId="13" applyNumberFormat="1" applyFont="1" applyAlignment="1">
      <alignment horizontal="center" vertical="center"/>
    </xf>
    <xf numFmtId="195" fontId="53" fillId="0" borderId="0" xfId="13" applyFont="1">
      <alignment vertical="center"/>
    </xf>
    <xf numFmtId="198" fontId="53" fillId="0" borderId="0" xfId="13" applyNumberFormat="1" applyFont="1" applyAlignment="1">
      <alignment horizontal="center" vertical="center"/>
    </xf>
    <xf numFmtId="195" fontId="53" fillId="0" borderId="13" xfId="13" applyFont="1" applyBorder="1" applyAlignment="1">
      <alignment horizontal="center" vertical="center" wrapText="1"/>
    </xf>
    <xf numFmtId="196" fontId="53" fillId="0" borderId="13" xfId="13" applyNumberFormat="1" applyFont="1" applyBorder="1" applyAlignment="1">
      <alignment horizontal="center" vertical="center" wrapText="1"/>
    </xf>
    <xf numFmtId="14" fontId="53" fillId="0" borderId="13" xfId="15" applyNumberFormat="1" applyFont="1" applyBorder="1" applyAlignment="1">
      <alignment horizontal="center" vertical="center"/>
    </xf>
    <xf numFmtId="199" fontId="3" fillId="0" borderId="13" xfId="16" applyNumberFormat="1" applyFont="1" applyBorder="1" applyAlignment="1">
      <alignment horizontal="center" vertical="center" wrapText="1"/>
    </xf>
    <xf numFmtId="195" fontId="56" fillId="0" borderId="13" xfId="13" applyFont="1" applyBorder="1" applyAlignment="1">
      <alignment horizontal="center" vertical="center" wrapText="1"/>
    </xf>
    <xf numFmtId="38" fontId="53" fillId="0" borderId="13" xfId="17" applyNumberFormat="1" applyFont="1" applyBorder="1" applyAlignment="1">
      <alignment horizontal="center" vertical="center"/>
    </xf>
    <xf numFmtId="199" fontId="3" fillId="0" borderId="13" xfId="9" applyNumberFormat="1" applyFont="1" applyFill="1" applyBorder="1" applyAlignment="1">
      <alignment horizontal="center" vertical="center"/>
    </xf>
    <xf numFmtId="199" fontId="58" fillId="0" borderId="18" xfId="13" applyNumberFormat="1" applyFont="1" applyBorder="1" applyAlignment="1">
      <alignment horizontal="center" vertical="center" wrapText="1"/>
    </xf>
    <xf numFmtId="199" fontId="58" fillId="0" borderId="14" xfId="13" applyNumberFormat="1" applyFont="1" applyBorder="1" applyAlignment="1">
      <alignment horizontal="center" vertical="center" wrapText="1"/>
    </xf>
    <xf numFmtId="199" fontId="58" fillId="0" borderId="19" xfId="13" applyNumberFormat="1" applyFont="1" applyBorder="1" applyAlignment="1">
      <alignment horizontal="center" vertical="center" wrapText="1"/>
    </xf>
    <xf numFmtId="14" fontId="59" fillId="0" borderId="18" xfId="13" applyNumberFormat="1" applyFont="1" applyBorder="1" applyAlignment="1">
      <alignment horizontal="center" vertical="center"/>
    </xf>
    <xf numFmtId="199" fontId="58" fillId="0" borderId="13" xfId="13" applyNumberFormat="1" applyFont="1" applyBorder="1" applyAlignment="1">
      <alignment horizontal="center" vertical="center" wrapText="1"/>
    </xf>
    <xf numFmtId="14" fontId="59" fillId="0" borderId="20" xfId="13" applyNumberFormat="1" applyFont="1" applyBorder="1" applyAlignment="1">
      <alignment horizontal="center" vertical="center"/>
    </xf>
    <xf numFmtId="195" fontId="61" fillId="0" borderId="0" xfId="18" applyNumberFormat="1" applyFont="1" applyFill="1" applyAlignment="1" applyProtection="1">
      <alignment horizontal="center" vertical="center"/>
    </xf>
    <xf numFmtId="14" fontId="53" fillId="0" borderId="13" xfId="13" applyNumberFormat="1" applyFont="1" applyBorder="1" applyAlignment="1">
      <alignment horizontal="center" vertical="center"/>
    </xf>
    <xf numFmtId="14" fontId="53" fillId="0" borderId="13" xfId="19" applyNumberFormat="1" applyFont="1" applyBorder="1" applyAlignment="1">
      <alignment horizontal="center" vertical="center"/>
    </xf>
    <xf numFmtId="14" fontId="59" fillId="0" borderId="21" xfId="20" applyNumberFormat="1" applyFont="1" applyBorder="1" applyAlignment="1">
      <alignment horizontal="center" vertical="center"/>
    </xf>
    <xf numFmtId="14" fontId="53" fillId="0" borderId="13" xfId="21" applyNumberFormat="1" applyFont="1" applyBorder="1" applyAlignment="1">
      <alignment horizontal="center" vertical="center"/>
    </xf>
    <xf numFmtId="195" fontId="54" fillId="0" borderId="13" xfId="13" applyFont="1" applyBorder="1" applyAlignment="1">
      <alignment horizontal="center" vertical="center" wrapText="1"/>
    </xf>
    <xf numFmtId="200" fontId="10" fillId="5" borderId="13" xfId="22" applyNumberFormat="1" applyFont="1" applyFill="1" applyBorder="1" applyAlignment="1">
      <alignment horizontal="center" vertical="center"/>
    </xf>
    <xf numFmtId="199" fontId="58" fillId="0" borderId="21" xfId="13" applyNumberFormat="1" applyFont="1" applyBorder="1" applyAlignment="1">
      <alignment horizontal="center" vertical="center" wrapText="1"/>
    </xf>
    <xf numFmtId="14" fontId="63" fillId="0" borderId="13" xfId="13" applyNumberFormat="1" applyFont="1" applyBorder="1" applyAlignment="1">
      <alignment horizontal="center" vertical="center"/>
    </xf>
    <xf numFmtId="10" fontId="3" fillId="0" borderId="13" xfId="9" applyNumberFormat="1" applyFont="1" applyFill="1" applyBorder="1" applyAlignment="1">
      <alignment horizontal="center" vertical="center" wrapText="1"/>
    </xf>
    <xf numFmtId="14" fontId="59" fillId="0" borderId="13" xfId="13" applyNumberFormat="1" applyFont="1" applyBorder="1" applyAlignment="1">
      <alignment horizontal="center" vertical="center"/>
    </xf>
    <xf numFmtId="200" fontId="3" fillId="0" borderId="13" xfId="9" applyNumberFormat="1" applyFont="1" applyFill="1" applyBorder="1" applyAlignment="1">
      <alignment horizontal="center" vertical="center"/>
    </xf>
    <xf numFmtId="14" fontId="54" fillId="0" borderId="13" xfId="23" applyNumberFormat="1" applyFont="1" applyBorder="1" applyAlignment="1">
      <alignment horizontal="center" vertical="center"/>
    </xf>
    <xf numFmtId="14" fontId="53" fillId="0" borderId="13" xfId="20" applyNumberFormat="1" applyFont="1" applyBorder="1" applyAlignment="1">
      <alignment horizontal="center" vertical="center"/>
    </xf>
    <xf numFmtId="200" fontId="3" fillId="0" borderId="15" xfId="9" applyNumberFormat="1" applyFont="1" applyFill="1" applyBorder="1" applyAlignment="1">
      <alignment horizontal="center" vertical="center" wrapText="1"/>
    </xf>
    <xf numFmtId="14" fontId="59" fillId="0" borderId="21" xfId="13" applyNumberFormat="1" applyFont="1" applyBorder="1" applyAlignment="1">
      <alignment horizontal="center" vertical="center"/>
    </xf>
    <xf numFmtId="200" fontId="3" fillId="0" borderId="13" xfId="24" applyNumberFormat="1" applyFont="1" applyFill="1" applyBorder="1" applyAlignment="1">
      <alignment horizontal="center" vertical="center"/>
    </xf>
    <xf numFmtId="199" fontId="56" fillId="0" borderId="13" xfId="25" applyNumberFormat="1" applyFont="1" applyBorder="1" applyAlignment="1">
      <alignment horizontal="center" vertical="center"/>
    </xf>
    <xf numFmtId="200" fontId="28" fillId="0" borderId="15" xfId="26" applyNumberFormat="1" applyFont="1" applyFill="1" applyBorder="1" applyAlignment="1">
      <alignment horizontal="center" vertical="center" wrapText="1"/>
    </xf>
    <xf numFmtId="10" fontId="28" fillId="0" borderId="15" xfId="26" applyNumberFormat="1" applyFont="1" applyFill="1" applyBorder="1" applyAlignment="1">
      <alignment horizontal="center" vertical="center" wrapText="1"/>
    </xf>
    <xf numFmtId="10" fontId="53" fillId="0" borderId="13" xfId="9" applyNumberFormat="1" applyFont="1" applyFill="1" applyBorder="1" applyAlignment="1" applyProtection="1">
      <alignment horizontal="center" vertical="center"/>
    </xf>
    <xf numFmtId="14" fontId="53" fillId="0" borderId="14" xfId="13" applyNumberFormat="1" applyFont="1" applyBorder="1" applyAlignment="1">
      <alignment horizontal="center" vertical="center"/>
    </xf>
    <xf numFmtId="201" fontId="59" fillId="0" borderId="13" xfId="27" applyNumberFormat="1" applyFont="1" applyBorder="1" applyAlignment="1">
      <alignment horizontal="center" vertical="center" wrapText="1"/>
    </xf>
    <xf numFmtId="10" fontId="53" fillId="0" borderId="13" xfId="9" applyNumberFormat="1" applyFont="1" applyFill="1" applyBorder="1" applyAlignment="1" applyProtection="1">
      <alignment horizontal="center" vertical="center" wrapText="1"/>
    </xf>
    <xf numFmtId="201" fontId="59" fillId="0" borderId="15" xfId="27" applyNumberFormat="1" applyFont="1" applyBorder="1" applyAlignment="1">
      <alignment horizontal="center" vertical="center" wrapText="1"/>
    </xf>
    <xf numFmtId="10" fontId="66" fillId="0" borderId="16" xfId="18" quotePrefix="1" applyNumberFormat="1" applyFont="1" applyFill="1" applyBorder="1" applyAlignment="1" applyProtection="1">
      <alignment horizontal="center" vertical="center" wrapText="1"/>
    </xf>
    <xf numFmtId="195" fontId="66" fillId="0" borderId="16" xfId="18" quotePrefix="1" applyNumberFormat="1" applyFont="1" applyFill="1" applyBorder="1" applyAlignment="1" applyProtection="1">
      <alignment horizontal="center" vertical="center" wrapText="1"/>
    </xf>
    <xf numFmtId="202" fontId="53" fillId="0" borderId="13" xfId="13" applyNumberFormat="1" applyFont="1" applyBorder="1" applyAlignment="1">
      <alignment horizontal="center" vertical="center"/>
    </xf>
    <xf numFmtId="10" fontId="66" fillId="0" borderId="16" xfId="18" applyNumberFormat="1" applyFont="1" applyFill="1" applyBorder="1" applyAlignment="1" applyProtection="1">
      <alignment horizontal="center" vertical="center" wrapText="1"/>
    </xf>
    <xf numFmtId="195" fontId="66" fillId="0" borderId="17" xfId="18" quotePrefix="1" applyNumberFormat="1" applyFont="1" applyFill="1" applyBorder="1" applyAlignment="1" applyProtection="1">
      <alignment horizontal="center" vertical="center" wrapText="1"/>
    </xf>
    <xf numFmtId="196" fontId="53" fillId="0" borderId="15" xfId="13" applyNumberFormat="1" applyFont="1" applyBorder="1" applyAlignment="1">
      <alignment horizontal="center" vertical="center" wrapText="1"/>
    </xf>
    <xf numFmtId="195" fontId="66" fillId="0" borderId="16" xfId="18" applyNumberFormat="1" applyFont="1" applyFill="1" applyBorder="1" applyAlignment="1" applyProtection="1">
      <alignment horizontal="center" vertical="center" wrapText="1"/>
    </xf>
    <xf numFmtId="195" fontId="55" fillId="0" borderId="13" xfId="13" applyFont="1" applyBorder="1" applyAlignment="1">
      <alignment horizontal="center" vertical="center" wrapText="1"/>
    </xf>
    <xf numFmtId="43" fontId="55" fillId="17" borderId="13" xfId="13" applyNumberFormat="1" applyFont="1" applyFill="1" applyBorder="1" applyAlignment="1">
      <alignment horizontal="center" vertical="center"/>
    </xf>
    <xf numFmtId="14" fontId="55" fillId="0" borderId="13" xfId="13" applyNumberFormat="1" applyFont="1" applyBorder="1" applyAlignment="1">
      <alignment horizontal="center" vertical="center"/>
    </xf>
    <xf numFmtId="195" fontId="55" fillId="0" borderId="0" xfId="13" applyFont="1" applyAlignment="1">
      <alignment horizontal="center" vertical="center"/>
    </xf>
    <xf numFmtId="195" fontId="69" fillId="0" borderId="0" xfId="13" applyFont="1" applyAlignment="1">
      <alignment horizontal="center" vertical="center"/>
    </xf>
    <xf numFmtId="0" fontId="69" fillId="0" borderId="2" xfId="28" applyFont="1" applyBorder="1" applyAlignment="1">
      <alignment horizontal="center" vertical="center" wrapText="1"/>
    </xf>
    <xf numFmtId="195" fontId="69" fillId="0" borderId="0" xfId="13" applyFont="1" applyAlignment="1">
      <alignment horizontal="center" vertical="center" wrapText="1"/>
    </xf>
    <xf numFmtId="43" fontId="69" fillId="0" borderId="0" xfId="13" applyNumberFormat="1" applyFont="1" applyAlignment="1">
      <alignment horizontal="center" vertical="center"/>
    </xf>
    <xf numFmtId="43" fontId="69" fillId="0" borderId="0" xfId="8" applyFont="1" applyFill="1" applyAlignment="1">
      <alignment horizontal="center" vertical="center"/>
    </xf>
    <xf numFmtId="10" fontId="69" fillId="0" borderId="0" xfId="29" applyNumberFormat="1" applyFont="1" applyFill="1" applyAlignment="1">
      <alignment horizontal="center" vertical="center"/>
    </xf>
    <xf numFmtId="0" fontId="71" fillId="0" borderId="0" xfId="13" applyNumberFormat="1" applyFont="1" applyAlignment="1">
      <alignment horizontal="center" vertical="center"/>
    </xf>
    <xf numFmtId="0" fontId="69" fillId="0" borderId="13" xfId="28" applyFont="1" applyBorder="1" applyAlignment="1">
      <alignment horizontal="center" vertical="center" wrapText="1"/>
    </xf>
    <xf numFmtId="203" fontId="69" fillId="0" borderId="13" xfId="13" applyNumberFormat="1" applyFont="1" applyBorder="1" applyAlignment="1">
      <alignment horizontal="center" vertical="center"/>
    </xf>
    <xf numFmtId="0" fontId="69" fillId="0" borderId="13" xfId="28" applyFont="1" applyBorder="1" applyAlignment="1">
      <alignment horizontal="center" vertical="center"/>
    </xf>
    <xf numFmtId="204" fontId="69" fillId="0" borderId="0" xfId="13" applyNumberFormat="1" applyFont="1" applyAlignment="1">
      <alignment horizontal="center" vertical="center" wrapText="1"/>
    </xf>
    <xf numFmtId="204" fontId="69" fillId="0" borderId="0" xfId="13" applyNumberFormat="1" applyFont="1" applyAlignment="1">
      <alignment horizontal="center" vertical="center"/>
    </xf>
    <xf numFmtId="0" fontId="69" fillId="0" borderId="0" xfId="28" applyFont="1" applyAlignment="1">
      <alignment horizontal="center" vertical="center"/>
    </xf>
    <xf numFmtId="0" fontId="69" fillId="0" borderId="0" xfId="28" applyFont="1" applyAlignment="1">
      <alignment horizontal="center" vertical="center" wrapText="1"/>
    </xf>
    <xf numFmtId="204" fontId="69" fillId="0" borderId="0" xfId="28" applyNumberFormat="1" applyFont="1" applyAlignment="1">
      <alignment horizontal="center" vertical="center"/>
    </xf>
    <xf numFmtId="0" fontId="46" fillId="0" borderId="13" xfId="28" applyFont="1" applyBorder="1" applyAlignment="1">
      <alignment horizontal="center" vertical="center" wrapText="1"/>
    </xf>
    <xf numFmtId="205" fontId="46" fillId="0" borderId="13" xfId="30" applyNumberFormat="1" applyFont="1" applyFill="1" applyBorder="1" applyAlignment="1">
      <alignment horizontal="center" vertical="center"/>
    </xf>
    <xf numFmtId="0" fontId="69" fillId="0" borderId="0" xfId="13" applyNumberFormat="1" applyFont="1" applyAlignment="1">
      <alignment horizontal="center" vertical="center" wrapText="1"/>
    </xf>
    <xf numFmtId="0" fontId="71" fillId="0" borderId="0" xfId="13" applyNumberFormat="1" applyFont="1" applyAlignment="1">
      <alignment horizontal="center" vertical="center" wrapText="1"/>
    </xf>
    <xf numFmtId="195" fontId="72" fillId="0" borderId="0" xfId="13" applyFont="1" applyAlignment="1">
      <alignment horizontal="center" vertical="center" wrapText="1"/>
    </xf>
    <xf numFmtId="195" fontId="72" fillId="0" borderId="0" xfId="13" applyFont="1" applyAlignment="1">
      <alignment horizontal="center" vertical="center"/>
    </xf>
    <xf numFmtId="195" fontId="25" fillId="0" borderId="0" xfId="13">
      <alignment vertical="center"/>
    </xf>
    <xf numFmtId="43" fontId="15" fillId="5" borderId="0" xfId="1" applyFont="1" applyFill="1" applyAlignment="1">
      <alignment horizontal="left"/>
    </xf>
    <xf numFmtId="43" fontId="15" fillId="5" borderId="0" xfId="1" applyFont="1" applyFill="1" applyAlignment="1">
      <alignment horizontal="right"/>
    </xf>
    <xf numFmtId="43" fontId="15" fillId="5" borderId="0" xfId="1" applyFont="1" applyFill="1" applyAlignment="1"/>
    <xf numFmtId="0" fontId="27" fillId="0" borderId="0" xfId="0" applyFont="1"/>
    <xf numFmtId="191" fontId="3" fillId="0" borderId="0" xfId="6" applyNumberFormat="1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7" fillId="0" borderId="0" xfId="0" applyFont="1"/>
    <xf numFmtId="0" fontId="45" fillId="0" borderId="0" xfId="0" applyFont="1" applyAlignment="1">
      <alignment vertical="center"/>
    </xf>
    <xf numFmtId="0" fontId="80" fillId="0" borderId="0" xfId="0" applyFont="1" applyAlignment="1">
      <alignment horizontal="center"/>
    </xf>
    <xf numFmtId="182" fontId="10" fillId="0" borderId="0" xfId="6" applyNumberFormat="1" applyFont="1"/>
    <xf numFmtId="182" fontId="12" fillId="0" borderId="0" xfId="6" applyNumberFormat="1" applyFont="1"/>
    <xf numFmtId="0" fontId="10" fillId="7" borderId="10" xfId="6" applyFont="1" applyFill="1" applyBorder="1"/>
    <xf numFmtId="182" fontId="10" fillId="7" borderId="10" xfId="6" applyNumberFormat="1" applyFont="1" applyFill="1" applyBorder="1"/>
    <xf numFmtId="0" fontId="10" fillId="7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0" fillId="18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206" fontId="10" fillId="7" borderId="0" xfId="0" applyNumberFormat="1" applyFont="1" applyFill="1" applyAlignment="1">
      <alignment vertical="center"/>
    </xf>
    <xf numFmtId="191" fontId="81" fillId="18" borderId="0" xfId="0" applyNumberFormat="1" applyFont="1" applyFill="1" applyAlignment="1">
      <alignment horizontal="right" vertical="center"/>
    </xf>
    <xf numFmtId="191" fontId="81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208" fontId="12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181" fontId="10" fillId="5" borderId="0" xfId="0" applyNumberFormat="1" applyFont="1" applyFill="1" applyAlignment="1">
      <alignment vertical="center"/>
    </xf>
    <xf numFmtId="0" fontId="15" fillId="0" borderId="0" xfId="0" applyFont="1" applyAlignment="1">
      <alignment horizontal="center"/>
    </xf>
    <xf numFmtId="181" fontId="78" fillId="5" borderId="0" xfId="0" applyNumberFormat="1" applyFont="1" applyFill="1" applyAlignment="1">
      <alignment vertical="center"/>
    </xf>
    <xf numFmtId="212" fontId="10" fillId="0" borderId="0" xfId="0" applyNumberFormat="1" applyFont="1" applyAlignment="1">
      <alignment vertical="center"/>
    </xf>
    <xf numFmtId="191" fontId="20" fillId="0" borderId="0" xfId="0" applyNumberFormat="1" applyFont="1" applyAlignment="1">
      <alignment horizontal="center" vertical="center"/>
    </xf>
    <xf numFmtId="182" fontId="12" fillId="0" borderId="0" xfId="2" applyNumberFormat="1" applyFont="1" applyFill="1">
      <alignment vertical="center"/>
    </xf>
    <xf numFmtId="185" fontId="12" fillId="0" borderId="0" xfId="1" applyNumberFormat="1" applyFont="1" applyFill="1">
      <alignment vertical="center"/>
    </xf>
    <xf numFmtId="181" fontId="10" fillId="0" borderId="0" xfId="0" applyNumberFormat="1" applyFont="1" applyAlignment="1">
      <alignment vertical="center"/>
    </xf>
    <xf numFmtId="206" fontId="12" fillId="7" borderId="0" xfId="0" applyNumberFormat="1" applyFont="1" applyFill="1" applyAlignment="1">
      <alignment vertical="center"/>
    </xf>
    <xf numFmtId="0" fontId="26" fillId="0" borderId="7" xfId="0" applyFont="1" applyBorder="1" applyAlignment="1">
      <alignment vertical="center"/>
    </xf>
    <xf numFmtId="14" fontId="10" fillId="0" borderId="0" xfId="6" applyNumberFormat="1" applyFont="1" applyAlignment="1">
      <alignment horizontal="center"/>
    </xf>
    <xf numFmtId="212" fontId="10" fillId="0" borderId="0" xfId="6" applyNumberFormat="1" applyFont="1"/>
    <xf numFmtId="0" fontId="79" fillId="0" borderId="0" xfId="0" applyFont="1" applyAlignment="1">
      <alignment horizontal="center"/>
    </xf>
    <xf numFmtId="0" fontId="80" fillId="0" borderId="7" xfId="0" applyFont="1" applyBorder="1" applyAlignment="1">
      <alignment horizontal="center"/>
    </xf>
    <xf numFmtId="0" fontId="3" fillId="0" borderId="7" xfId="6" applyFont="1" applyBorder="1"/>
    <xf numFmtId="181" fontId="10" fillId="5" borderId="7" xfId="0" applyNumberFormat="1" applyFont="1" applyFill="1" applyBorder="1" applyAlignment="1">
      <alignment vertical="center"/>
    </xf>
    <xf numFmtId="0" fontId="10" fillId="0" borderId="1" xfId="6" applyFont="1" applyBorder="1"/>
    <xf numFmtId="0" fontId="3" fillId="0" borderId="2" xfId="6" applyFont="1" applyBorder="1"/>
    <xf numFmtId="212" fontId="10" fillId="19" borderId="3" xfId="0" applyNumberFormat="1" applyFont="1" applyFill="1" applyBorder="1" applyAlignment="1">
      <alignment vertical="center"/>
    </xf>
    <xf numFmtId="0" fontId="10" fillId="0" borderId="6" xfId="6" applyFont="1" applyBorder="1"/>
    <xf numFmtId="182" fontId="10" fillId="19" borderId="8" xfId="2" applyNumberFormat="1" applyFont="1" applyFill="1" applyBorder="1" applyAlignment="1"/>
    <xf numFmtId="9" fontId="22" fillId="10" borderId="0" xfId="1" applyNumberFormat="1" applyFont="1" applyFill="1" applyAlignment="1">
      <alignment horizontal="right"/>
    </xf>
    <xf numFmtId="0" fontId="82" fillId="10" borderId="0" xfId="6" applyFont="1" applyFill="1"/>
    <xf numFmtId="181" fontId="82" fillId="0" borderId="0" xfId="0" applyNumberFormat="1" applyFont="1"/>
    <xf numFmtId="3" fontId="83" fillId="0" borderId="0" xfId="0" applyNumberFormat="1" applyFont="1"/>
    <xf numFmtId="181" fontId="22" fillId="0" borderId="0" xfId="1" applyNumberFormat="1" applyFont="1" applyAlignment="1"/>
    <xf numFmtId="0" fontId="12" fillId="5" borderId="0" xfId="0" applyFont="1" applyFill="1"/>
    <xf numFmtId="181" fontId="82" fillId="8" borderId="2" xfId="0" applyNumberFormat="1" applyFont="1" applyFill="1" applyBorder="1"/>
    <xf numFmtId="181" fontId="82" fillId="8" borderId="3" xfId="0" applyNumberFormat="1" applyFont="1" applyFill="1" applyBorder="1"/>
    <xf numFmtId="181" fontId="82" fillId="8" borderId="0" xfId="0" applyNumberFormat="1" applyFont="1" applyFill="1"/>
    <xf numFmtId="181" fontId="82" fillId="8" borderId="5" xfId="0" applyNumberFormat="1" applyFont="1" applyFill="1" applyBorder="1"/>
    <xf numFmtId="181" fontId="82" fillId="8" borderId="7" xfId="0" applyNumberFormat="1" applyFont="1" applyFill="1" applyBorder="1"/>
    <xf numFmtId="181" fontId="82" fillId="8" borderId="8" xfId="0" applyNumberFormat="1" applyFont="1" applyFill="1" applyBorder="1"/>
    <xf numFmtId="181" fontId="82" fillId="0" borderId="10" xfId="0" applyNumberFormat="1" applyFont="1" applyBorder="1"/>
    <xf numFmtId="181" fontId="83" fillId="0" borderId="0" xfId="0" applyNumberFormat="1" applyFont="1"/>
    <xf numFmtId="181" fontId="83" fillId="0" borderId="10" xfId="0" applyNumberFormat="1" applyFont="1" applyBorder="1"/>
    <xf numFmtId="181" fontId="83" fillId="9" borderId="10" xfId="0" applyNumberFormat="1" applyFont="1" applyFill="1" applyBorder="1"/>
    <xf numFmtId="185" fontId="12" fillId="0" borderId="0" xfId="1" applyNumberFormat="1" applyFont="1" applyFill="1" applyAlignment="1"/>
    <xf numFmtId="185" fontId="83" fillId="0" borderId="12" xfId="1" applyNumberFormat="1" applyFont="1" applyFill="1" applyBorder="1" applyAlignment="1"/>
    <xf numFmtId="181" fontId="82" fillId="0" borderId="0" xfId="1" applyNumberFormat="1" applyFont="1" applyAlignment="1"/>
    <xf numFmtId="181" fontId="82" fillId="11" borderId="2" xfId="0" applyNumberFormat="1" applyFont="1" applyFill="1" applyBorder="1"/>
    <xf numFmtId="181" fontId="82" fillId="11" borderId="0" xfId="0" applyNumberFormat="1" applyFont="1" applyFill="1"/>
    <xf numFmtId="181" fontId="82" fillId="11" borderId="7" xfId="0" applyNumberFormat="1" applyFont="1" applyFill="1" applyBorder="1"/>
    <xf numFmtId="185" fontId="83" fillId="0" borderId="0" xfId="1" applyNumberFormat="1" applyFont="1" applyFill="1" applyBorder="1" applyAlignment="1"/>
    <xf numFmtId="0" fontId="82" fillId="0" borderId="0" xfId="0" applyFont="1"/>
    <xf numFmtId="182" fontId="22" fillId="0" borderId="0" xfId="0" applyNumberFormat="1" applyFont="1"/>
    <xf numFmtId="181" fontId="82" fillId="9" borderId="0" xfId="0" applyNumberFormat="1" applyFont="1" applyFill="1"/>
    <xf numFmtId="181" fontId="82" fillId="0" borderId="0" xfId="0" applyNumberFormat="1" applyFont="1" applyAlignment="1">
      <alignment horizontal="right"/>
    </xf>
    <xf numFmtId="181" fontId="82" fillId="0" borderId="2" xfId="0" applyNumberFormat="1" applyFont="1" applyBorder="1"/>
    <xf numFmtId="181" fontId="82" fillId="0" borderId="7" xfId="0" applyNumberFormat="1" applyFont="1" applyBorder="1"/>
    <xf numFmtId="185" fontId="83" fillId="0" borderId="10" xfId="1" applyNumberFormat="1" applyFont="1" applyFill="1" applyBorder="1" applyAlignment="1"/>
    <xf numFmtId="181" fontId="82" fillId="0" borderId="12" xfId="0" applyNumberFormat="1" applyFont="1" applyBorder="1"/>
    <xf numFmtId="181" fontId="83" fillId="0" borderId="12" xfId="0" applyNumberFormat="1" applyFont="1" applyBorder="1"/>
    <xf numFmtId="185" fontId="82" fillId="0" borderId="0" xfId="1" applyNumberFormat="1" applyFont="1" applyFill="1" applyBorder="1" applyAlignment="1"/>
    <xf numFmtId="181" fontId="22" fillId="0" borderId="0" xfId="0" applyNumberFormat="1" applyFont="1"/>
    <xf numFmtId="182" fontId="22" fillId="0" borderId="0" xfId="2" applyNumberFormat="1" applyFont="1" applyFill="1" applyBorder="1" applyAlignment="1"/>
    <xf numFmtId="185" fontId="13" fillId="0" borderId="0" xfId="1" applyNumberFormat="1" applyFont="1" applyAlignment="1"/>
    <xf numFmtId="181" fontId="13" fillId="0" borderId="0" xfId="6" applyNumberFormat="1" applyFont="1"/>
    <xf numFmtId="181" fontId="82" fillId="10" borderId="0" xfId="0" applyNumberFormat="1" applyFont="1" applyFill="1"/>
    <xf numFmtId="212" fontId="82" fillId="10" borderId="0" xfId="0" applyNumberFormat="1" applyFont="1" applyFill="1" applyAlignment="1">
      <alignment vertical="center"/>
    </xf>
    <xf numFmtId="181" fontId="14" fillId="5" borderId="0" xfId="0" applyNumberFormat="1" applyFont="1" applyFill="1" applyAlignment="1">
      <alignment vertical="center"/>
    </xf>
    <xf numFmtId="182" fontId="13" fillId="10" borderId="0" xfId="2" applyNumberFormat="1" applyFont="1" applyFill="1">
      <alignment vertical="center"/>
    </xf>
    <xf numFmtId="182" fontId="82" fillId="0" borderId="0" xfId="6" applyNumberFormat="1" applyFont="1"/>
    <xf numFmtId="14" fontId="82" fillId="10" borderId="0" xfId="6" applyNumberFormat="1" applyFont="1" applyFill="1"/>
    <xf numFmtId="180" fontId="9" fillId="3" borderId="23" xfId="5" applyNumberFormat="1" applyFont="1" applyBorder="1">
      <alignment horizontal="right"/>
    </xf>
    <xf numFmtId="181" fontId="3" fillId="18" borderId="2" xfId="0" applyNumberFormat="1" applyFont="1" applyFill="1" applyBorder="1"/>
    <xf numFmtId="181" fontId="3" fillId="18" borderId="3" xfId="0" applyNumberFormat="1" applyFont="1" applyFill="1" applyBorder="1"/>
    <xf numFmtId="181" fontId="3" fillId="18" borderId="0" xfId="0" applyNumberFormat="1" applyFont="1" applyFill="1"/>
    <xf numFmtId="181" fontId="3" fillId="18" borderId="5" xfId="0" applyNumberFormat="1" applyFont="1" applyFill="1" applyBorder="1"/>
    <xf numFmtId="181" fontId="3" fillId="18" borderId="7" xfId="0" applyNumberFormat="1" applyFont="1" applyFill="1" applyBorder="1"/>
    <xf numFmtId="181" fontId="3" fillId="18" borderId="8" xfId="0" applyNumberFormat="1" applyFont="1" applyFill="1" applyBorder="1"/>
    <xf numFmtId="183" fontId="3" fillId="18" borderId="2" xfId="0" applyNumberFormat="1" applyFont="1" applyFill="1" applyBorder="1" applyAlignment="1">
      <alignment horizontal="right"/>
    </xf>
    <xf numFmtId="183" fontId="3" fillId="18" borderId="3" xfId="0" applyNumberFormat="1" applyFont="1" applyFill="1" applyBorder="1" applyAlignment="1">
      <alignment horizontal="right"/>
    </xf>
    <xf numFmtId="183" fontId="3" fillId="18" borderId="0" xfId="0" applyNumberFormat="1" applyFont="1" applyFill="1" applyAlignment="1">
      <alignment horizontal="right"/>
    </xf>
    <xf numFmtId="183" fontId="3" fillId="18" borderId="5" xfId="0" applyNumberFormat="1" applyFont="1" applyFill="1" applyBorder="1" applyAlignment="1">
      <alignment horizontal="right"/>
    </xf>
    <xf numFmtId="183" fontId="3" fillId="18" borderId="7" xfId="0" applyNumberFormat="1" applyFont="1" applyFill="1" applyBorder="1" applyAlignment="1">
      <alignment horizontal="right"/>
    </xf>
    <xf numFmtId="183" fontId="3" fillId="18" borderId="8" xfId="0" applyNumberFormat="1" applyFont="1" applyFill="1" applyBorder="1" applyAlignment="1">
      <alignment horizontal="right"/>
    </xf>
    <xf numFmtId="191" fontId="10" fillId="0" borderId="0" xfId="0" applyNumberFormat="1" applyFont="1"/>
    <xf numFmtId="181" fontId="84" fillId="18" borderId="2" xfId="0" applyNumberFormat="1" applyFont="1" applyFill="1" applyBorder="1"/>
    <xf numFmtId="181" fontId="84" fillId="18" borderId="0" xfId="0" applyNumberFormat="1" applyFont="1" applyFill="1"/>
    <xf numFmtId="181" fontId="84" fillId="18" borderId="7" xfId="0" applyNumberFormat="1" applyFont="1" applyFill="1" applyBorder="1"/>
    <xf numFmtId="181" fontId="84" fillId="18" borderId="2" xfId="0" applyNumberFormat="1" applyFont="1" applyFill="1" applyBorder="1" applyAlignment="1">
      <alignment horizontal="right"/>
    </xf>
    <xf numFmtId="181" fontId="84" fillId="18" borderId="0" xfId="0" applyNumberFormat="1" applyFont="1" applyFill="1" applyAlignment="1">
      <alignment horizontal="right"/>
    </xf>
    <xf numFmtId="181" fontId="84" fillId="18" borderId="10" xfId="0" applyNumberFormat="1" applyFont="1" applyFill="1" applyBorder="1" applyAlignment="1">
      <alignment horizontal="right"/>
    </xf>
    <xf numFmtId="183" fontId="84" fillId="18" borderId="2" xfId="0" applyNumberFormat="1" applyFont="1" applyFill="1" applyBorder="1"/>
    <xf numFmtId="183" fontId="84" fillId="18" borderId="0" xfId="0" applyNumberFormat="1" applyFont="1" applyFill="1"/>
    <xf numFmtId="183" fontId="84" fillId="18" borderId="7" xfId="0" applyNumberFormat="1" applyFont="1" applyFill="1" applyBorder="1"/>
    <xf numFmtId="181" fontId="84" fillId="18" borderId="10" xfId="0" applyNumberFormat="1" applyFont="1" applyFill="1" applyBorder="1"/>
    <xf numFmtId="181" fontId="12" fillId="0" borderId="7" xfId="0" applyNumberFormat="1" applyFont="1" applyBorder="1"/>
    <xf numFmtId="181" fontId="12" fillId="10" borderId="0" xfId="1" applyNumberFormat="1" applyFont="1" applyFill="1" applyAlignment="1"/>
    <xf numFmtId="182" fontId="15" fillId="0" borderId="0" xfId="2" applyNumberFormat="1" applyFont="1" applyFill="1" applyAlignment="1"/>
    <xf numFmtId="9" fontId="10" fillId="0" borderId="0" xfId="0" applyNumberFormat="1" applyFont="1"/>
    <xf numFmtId="9" fontId="10" fillId="0" borderId="0" xfId="2" applyFont="1" applyAlignment="1"/>
    <xf numFmtId="182" fontId="15" fillId="0" borderId="0" xfId="2" applyNumberFormat="1" applyFont="1" applyBorder="1" applyAlignment="1"/>
    <xf numFmtId="183" fontId="84" fillId="18" borderId="3" xfId="0" applyNumberFormat="1" applyFont="1" applyFill="1" applyBorder="1"/>
    <xf numFmtId="183" fontId="84" fillId="18" borderId="5" xfId="0" applyNumberFormat="1" applyFont="1" applyFill="1" applyBorder="1"/>
    <xf numFmtId="183" fontId="84" fillId="18" borderId="8" xfId="0" applyNumberFormat="1" applyFont="1" applyFill="1" applyBorder="1"/>
    <xf numFmtId="0" fontId="12" fillId="0" borderId="0" xfId="0" applyFont="1" applyAlignment="1">
      <alignment horizontal="center"/>
    </xf>
    <xf numFmtId="0" fontId="77" fillId="7" borderId="0" xfId="0" applyFont="1" applyFill="1"/>
    <xf numFmtId="0" fontId="0" fillId="5" borderId="0" xfId="0" applyFill="1"/>
    <xf numFmtId="182" fontId="22" fillId="10" borderId="0" xfId="0" applyNumberFormat="1" applyFont="1" applyFill="1"/>
    <xf numFmtId="9" fontId="82" fillId="10" borderId="0" xfId="0" applyNumberFormat="1" applyFont="1" applyFill="1"/>
    <xf numFmtId="185" fontId="22" fillId="0" borderId="0" xfId="1" applyNumberFormat="1" applyFont="1" applyFill="1" applyBorder="1" applyAlignment="1"/>
    <xf numFmtId="0" fontId="83" fillId="7" borderId="0" xfId="0" applyFont="1" applyFill="1"/>
    <xf numFmtId="0" fontId="82" fillId="4" borderId="0" xfId="0" applyFont="1" applyFill="1"/>
    <xf numFmtId="0" fontId="82" fillId="3" borderId="0" xfId="0" applyFont="1" applyFill="1"/>
    <xf numFmtId="185" fontId="86" fillId="0" borderId="0" xfId="1" applyNumberFormat="1" applyFont="1" applyFill="1" applyBorder="1" applyAlignment="1"/>
    <xf numFmtId="0" fontId="83" fillId="0" borderId="0" xfId="0" applyFont="1"/>
    <xf numFmtId="9" fontId="82" fillId="10" borderId="0" xfId="6" applyNumberFormat="1" applyFont="1" applyFill="1"/>
    <xf numFmtId="43" fontId="15" fillId="0" borderId="0" xfId="1" applyFont="1" applyFill="1" applyBorder="1" applyAlignment="1"/>
    <xf numFmtId="214" fontId="15" fillId="0" borderId="0" xfId="1" applyNumberFormat="1" applyFont="1" applyFill="1" applyBorder="1" applyAlignment="1"/>
    <xf numFmtId="187" fontId="15" fillId="0" borderId="10" xfId="1" applyNumberFormat="1" applyFont="1" applyFill="1" applyBorder="1" applyAlignment="1"/>
    <xf numFmtId="185" fontId="83" fillId="0" borderId="0" xfId="1" applyNumberFormat="1" applyFont="1" applyFill="1">
      <alignment vertical="center"/>
    </xf>
    <xf numFmtId="185" fontId="14" fillId="5" borderId="0" xfId="1" applyNumberFormat="1" applyFont="1" applyFill="1" applyAlignment="1">
      <alignment horizontal="right"/>
    </xf>
    <xf numFmtId="0" fontId="45" fillId="7" borderId="0" xfId="0" applyFont="1" applyFill="1" applyAlignment="1">
      <alignment vertical="center"/>
    </xf>
    <xf numFmtId="0" fontId="45" fillId="7" borderId="0" xfId="0" applyFont="1" applyFill="1"/>
    <xf numFmtId="39" fontId="45" fillId="7" borderId="0" xfId="0" applyNumberFormat="1" applyFont="1" applyFill="1" applyAlignment="1">
      <alignment horizontal="right" vertical="center"/>
    </xf>
    <xf numFmtId="39" fontId="45" fillId="7" borderId="0" xfId="0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right" vertical="center"/>
    </xf>
    <xf numFmtId="182" fontId="37" fillId="0" borderId="0" xfId="0" applyNumberFormat="1" applyFont="1" applyAlignment="1">
      <alignment horizontal="right" vertical="center"/>
    </xf>
    <xf numFmtId="39" fontId="37" fillId="0" borderId="0" xfId="0" applyNumberFormat="1" applyFont="1" applyAlignment="1">
      <alignment horizontal="right" vertical="center"/>
    </xf>
    <xf numFmtId="39" fontId="87" fillId="0" borderId="0" xfId="0" applyNumberFormat="1" applyFont="1" applyAlignment="1">
      <alignment horizontal="right" vertical="center"/>
    </xf>
    <xf numFmtId="43" fontId="37" fillId="0" borderId="0" xfId="1" applyFont="1" applyFill="1" applyBorder="1" applyAlignment="1">
      <alignment vertical="center"/>
    </xf>
    <xf numFmtId="43" fontId="37" fillId="0" borderId="0" xfId="1" applyFont="1" applyFill="1" applyBorder="1" applyAlignment="1"/>
    <xf numFmtId="43" fontId="37" fillId="0" borderId="0" xfId="1" applyFont="1" applyFill="1" applyBorder="1" applyAlignment="1">
      <alignment horizontal="right" vertical="center"/>
    </xf>
    <xf numFmtId="43" fontId="3" fillId="0" borderId="0" xfId="1" applyFont="1" applyFill="1" applyBorder="1" applyAlignment="1"/>
    <xf numFmtId="43" fontId="80" fillId="0" borderId="0" xfId="1" applyFont="1" applyFill="1" applyBorder="1" applyAlignment="1">
      <alignment vertical="center"/>
    </xf>
    <xf numFmtId="43" fontId="80" fillId="0" borderId="0" xfId="1" applyFont="1" applyFill="1" applyBorder="1" applyAlignment="1">
      <alignment horizontal="right" vertical="center"/>
    </xf>
    <xf numFmtId="43" fontId="37" fillId="0" borderId="0" xfId="1" quotePrefix="1" applyFont="1" applyFill="1" applyBorder="1" applyAlignment="1">
      <alignment vertical="center"/>
    </xf>
    <xf numFmtId="43" fontId="3" fillId="0" borderId="0" xfId="1" applyFont="1" applyAlignment="1"/>
    <xf numFmtId="212" fontId="10" fillId="0" borderId="13" xfId="0" applyNumberFormat="1" applyFont="1" applyBorder="1" applyAlignment="1">
      <alignment vertical="center"/>
    </xf>
    <xf numFmtId="43" fontId="80" fillId="0" borderId="6" xfId="1" applyFont="1" applyFill="1" applyBorder="1" applyAlignment="1">
      <alignment horizontal="right" vertical="center"/>
    </xf>
    <xf numFmtId="43" fontId="80" fillId="0" borderId="7" xfId="1" applyFont="1" applyFill="1" applyBorder="1" applyAlignment="1">
      <alignment horizontal="right" vertical="center"/>
    </xf>
    <xf numFmtId="182" fontId="37" fillId="0" borderId="0" xfId="0" applyNumberFormat="1" applyFont="1" applyAlignment="1">
      <alignment horizontal="left" vertical="center"/>
    </xf>
    <xf numFmtId="43" fontId="88" fillId="0" borderId="8" xfId="1" applyFont="1" applyFill="1" applyBorder="1" applyAlignment="1">
      <alignment horizontal="right" vertical="center"/>
    </xf>
    <xf numFmtId="212" fontId="10" fillId="0" borderId="24" xfId="0" applyNumberFormat="1" applyFont="1" applyBorder="1" applyAlignment="1">
      <alignment vertical="center"/>
    </xf>
    <xf numFmtId="212" fontId="10" fillId="0" borderId="3" xfId="0" applyNumberFormat="1" applyFont="1" applyBorder="1" applyAlignment="1">
      <alignment vertical="center"/>
    </xf>
    <xf numFmtId="212" fontId="10" fillId="0" borderId="15" xfId="0" applyNumberFormat="1" applyFont="1" applyBorder="1" applyAlignment="1">
      <alignment vertical="center"/>
    </xf>
    <xf numFmtId="43" fontId="80" fillId="0" borderId="1" xfId="1" applyFont="1" applyFill="1" applyBorder="1" applyAlignment="1">
      <alignment horizontal="right" vertical="center"/>
    </xf>
    <xf numFmtId="0" fontId="3" fillId="0" borderId="3" xfId="6" applyFont="1" applyBorder="1"/>
    <xf numFmtId="43" fontId="37" fillId="0" borderId="13" xfId="1" applyFont="1" applyFill="1" applyBorder="1" applyAlignment="1">
      <alignment horizontal="center" vertical="center"/>
    </xf>
    <xf numFmtId="43" fontId="3" fillId="0" borderId="24" xfId="1" applyFont="1" applyBorder="1" applyAlignment="1"/>
    <xf numFmtId="43" fontId="3" fillId="0" borderId="25" xfId="1" applyFont="1" applyBorder="1" applyAlignment="1"/>
    <xf numFmtId="43" fontId="3" fillId="0" borderId="14" xfId="1" applyFont="1" applyBorder="1" applyAlignment="1"/>
    <xf numFmtId="182" fontId="88" fillId="0" borderId="8" xfId="1" applyNumberFormat="1" applyFont="1" applyFill="1" applyBorder="1" applyAlignment="1">
      <alignment horizontal="right" vertical="center"/>
    </xf>
    <xf numFmtId="182" fontId="10" fillId="0" borderId="13" xfId="2" applyNumberFormat="1" applyFont="1" applyFill="1" applyBorder="1" applyAlignment="1">
      <alignment vertical="center"/>
    </xf>
    <xf numFmtId="182" fontId="3" fillId="0" borderId="24" xfId="2" applyNumberFormat="1" applyFont="1" applyBorder="1" applyAlignment="1"/>
    <xf numFmtId="182" fontId="3" fillId="0" borderId="25" xfId="2" applyNumberFormat="1" applyFont="1" applyBorder="1" applyAlignment="1"/>
    <xf numFmtId="182" fontId="3" fillId="0" borderId="14" xfId="2" applyNumberFormat="1" applyFont="1" applyBorder="1" applyAlignment="1"/>
    <xf numFmtId="9" fontId="0" fillId="0" borderId="0" xfId="0" applyNumberFormat="1"/>
    <xf numFmtId="182" fontId="0" fillId="0" borderId="0" xfId="0" applyNumberFormat="1"/>
    <xf numFmtId="181" fontId="14" fillId="0" borderId="0" xfId="6" applyNumberFormat="1" applyFont="1"/>
    <xf numFmtId="185" fontId="13" fillId="0" borderId="0" xfId="1" applyNumberFormat="1" applyFont="1" applyFill="1" applyAlignment="1"/>
    <xf numFmtId="182" fontId="15" fillId="0" borderId="0" xfId="1" applyNumberFormat="1" applyFont="1" applyFill="1" applyBorder="1" applyAlignment="1"/>
    <xf numFmtId="182" fontId="10" fillId="0" borderId="0" xfId="0" applyNumberFormat="1" applyFont="1"/>
    <xf numFmtId="182" fontId="10" fillId="0" borderId="0" xfId="1" applyNumberFormat="1" applyFont="1" applyFill="1" applyBorder="1" applyAlignment="1"/>
    <xf numFmtId="182" fontId="20" fillId="0" borderId="0" xfId="1" applyNumberFormat="1" applyFont="1" applyFill="1" applyBorder="1" applyAlignment="1"/>
    <xf numFmtId="185" fontId="10" fillId="5" borderId="0" xfId="1" applyNumberFormat="1" applyFont="1" applyFill="1" applyBorder="1" applyAlignment="1"/>
    <xf numFmtId="182" fontId="15" fillId="10" borderId="0" xfId="1" applyNumberFormat="1" applyFont="1" applyFill="1" applyBorder="1" applyAlignment="1"/>
    <xf numFmtId="0" fontId="12" fillId="4" borderId="0" xfId="6" applyFont="1" applyFill="1"/>
    <xf numFmtId="0" fontId="15" fillId="4" borderId="0" xfId="6" applyFont="1" applyFill="1"/>
    <xf numFmtId="0" fontId="20" fillId="4" borderId="0" xfId="6" applyFont="1" applyFill="1"/>
    <xf numFmtId="182" fontId="12" fillId="4" borderId="0" xfId="6" applyNumberFormat="1" applyFont="1" applyFill="1"/>
    <xf numFmtId="182" fontId="22" fillId="10" borderId="0" xfId="2" applyNumberFormat="1" applyFont="1" applyFill="1" applyBorder="1" applyAlignment="1">
      <alignment horizontal="right"/>
    </xf>
    <xf numFmtId="182" fontId="15" fillId="10" borderId="0" xfId="2" applyNumberFormat="1" applyFont="1" applyFill="1" applyBorder="1" applyAlignment="1">
      <alignment horizontal="right"/>
    </xf>
    <xf numFmtId="213" fontId="0" fillId="0" borderId="0" xfId="0" applyNumberFormat="1"/>
    <xf numFmtId="177" fontId="11" fillId="0" borderId="5" xfId="3" applyNumberFormat="1" applyFont="1" applyBorder="1" applyAlignment="1">
      <alignment horizontal="center" vertical="center"/>
    </xf>
    <xf numFmtId="181" fontId="10" fillId="10" borderId="5" xfId="0" applyNumberFormat="1" applyFont="1" applyFill="1" applyBorder="1"/>
    <xf numFmtId="181" fontId="12" fillId="0" borderId="5" xfId="6" applyNumberFormat="1" applyFont="1" applyBorder="1"/>
    <xf numFmtId="0" fontId="3" fillId="0" borderId="5" xfId="6" applyFont="1" applyBorder="1"/>
    <xf numFmtId="177" fontId="11" fillId="0" borderId="16" xfId="3" applyNumberFormat="1" applyFont="1" applyBorder="1" applyAlignment="1">
      <alignment horizontal="center" vertical="center"/>
    </xf>
    <xf numFmtId="43" fontId="22" fillId="5" borderId="16" xfId="1" applyFont="1" applyFill="1" applyBorder="1" applyAlignment="1">
      <alignment horizontal="right"/>
    </xf>
    <xf numFmtId="181" fontId="14" fillId="0" borderId="16" xfId="0" applyNumberFormat="1" applyFont="1" applyBorder="1"/>
    <xf numFmtId="181" fontId="10" fillId="0" borderId="16" xfId="0" applyNumberFormat="1" applyFont="1" applyBorder="1"/>
    <xf numFmtId="181" fontId="12" fillId="0" borderId="16" xfId="0" applyNumberFormat="1" applyFont="1" applyBorder="1"/>
    <xf numFmtId="181" fontId="12" fillId="0" borderId="16" xfId="6" applyNumberFormat="1" applyFont="1" applyBorder="1"/>
    <xf numFmtId="181" fontId="10" fillId="0" borderId="16" xfId="6" applyNumberFormat="1" applyFont="1" applyBorder="1"/>
    <xf numFmtId="0" fontId="3" fillId="0" borderId="16" xfId="6" applyFont="1" applyBorder="1"/>
    <xf numFmtId="176" fontId="9" fillId="20" borderId="16" xfId="5" applyFont="1" applyFill="1" applyBorder="1">
      <alignment horizontal="right"/>
    </xf>
    <xf numFmtId="176" fontId="9" fillId="20" borderId="5" xfId="5" applyFont="1" applyFill="1" applyBorder="1">
      <alignment horizontal="right"/>
    </xf>
    <xf numFmtId="180" fontId="9" fillId="20" borderId="16" xfId="5" applyNumberFormat="1" applyFont="1" applyFill="1" applyBorder="1">
      <alignment horizontal="right"/>
    </xf>
    <xf numFmtId="180" fontId="9" fillId="20" borderId="5" xfId="5" applyNumberFormat="1" applyFont="1" applyFill="1" applyBorder="1">
      <alignment horizontal="right"/>
    </xf>
    <xf numFmtId="178" fontId="9" fillId="20" borderId="16" xfId="5" applyNumberFormat="1" applyFont="1" applyFill="1" applyBorder="1">
      <alignment horizontal="right"/>
    </xf>
    <xf numFmtId="178" fontId="9" fillId="20" borderId="5" xfId="5" applyNumberFormat="1" applyFont="1" applyFill="1" applyBorder="1">
      <alignment horizontal="right"/>
    </xf>
    <xf numFmtId="43" fontId="15" fillId="5" borderId="16" xfId="1" applyFont="1" applyFill="1" applyBorder="1" applyAlignment="1">
      <alignment horizontal="right"/>
    </xf>
    <xf numFmtId="185" fontId="14" fillId="5" borderId="16" xfId="1" applyNumberFormat="1" applyFont="1" applyFill="1" applyBorder="1" applyAlignment="1">
      <alignment horizontal="right"/>
    </xf>
    <xf numFmtId="9" fontId="22" fillId="10" borderId="16" xfId="1" applyNumberFormat="1" applyFont="1" applyFill="1" applyBorder="1" applyAlignment="1">
      <alignment horizontal="right"/>
    </xf>
    <xf numFmtId="181" fontId="13" fillId="0" borderId="16" xfId="0" applyNumberFormat="1" applyFont="1" applyBorder="1"/>
    <xf numFmtId="0" fontId="10" fillId="0" borderId="16" xfId="6" applyFont="1" applyBorder="1"/>
    <xf numFmtId="0" fontId="12" fillId="0" borderId="16" xfId="6" applyFont="1" applyBorder="1"/>
    <xf numFmtId="181" fontId="10" fillId="10" borderId="16" xfId="6" applyNumberFormat="1" applyFont="1" applyFill="1" applyBorder="1"/>
    <xf numFmtId="181" fontId="82" fillId="10" borderId="16" xfId="0" applyNumberFormat="1" applyFont="1" applyFill="1" applyBorder="1"/>
    <xf numFmtId="185" fontId="10" fillId="0" borderId="0" xfId="6" applyNumberFormat="1" applyFont="1"/>
    <xf numFmtId="212" fontId="14" fillId="10" borderId="0" xfId="0" applyNumberFormat="1" applyFont="1" applyFill="1" applyAlignment="1">
      <alignment vertical="center"/>
    </xf>
    <xf numFmtId="181" fontId="10" fillId="18" borderId="0" xfId="1" applyNumberFormat="1" applyFont="1" applyFill="1" applyAlignment="1"/>
    <xf numFmtId="185" fontId="15" fillId="18" borderId="0" xfId="1" applyNumberFormat="1" applyFont="1" applyFill="1" applyBorder="1" applyAlignment="1"/>
    <xf numFmtId="9" fontId="10" fillId="10" borderId="10" xfId="2" applyFont="1" applyFill="1" applyBorder="1" applyAlignment="1"/>
    <xf numFmtId="0" fontId="89" fillId="0" borderId="0" xfId="0" applyFont="1"/>
    <xf numFmtId="10" fontId="90" fillId="0" borderId="0" xfId="0" applyNumberFormat="1" applyFont="1" applyAlignment="1">
      <alignment horizontal="right" vertical="center" wrapText="1"/>
    </xf>
    <xf numFmtId="0" fontId="44" fillId="0" borderId="0" xfId="0" applyFont="1" applyAlignment="1">
      <alignment vertical="center" wrapText="1"/>
    </xf>
    <xf numFmtId="204" fontId="44" fillId="0" borderId="0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204" fontId="3" fillId="0" borderId="0" xfId="1" applyNumberFormat="1" applyFont="1" applyBorder="1" applyAlignment="1">
      <alignment horizontal="center" vertical="center" wrapText="1"/>
    </xf>
    <xf numFmtId="0" fontId="91" fillId="0" borderId="0" xfId="0" applyFont="1"/>
    <xf numFmtId="0" fontId="42" fillId="0" borderId="0" xfId="0" applyFont="1" applyAlignment="1">
      <alignment vertical="center" wrapText="1"/>
    </xf>
    <xf numFmtId="204" fontId="42" fillId="0" borderId="0" xfId="1" applyNumberFormat="1" applyFont="1" applyBorder="1" applyAlignment="1">
      <alignment horizontal="center" vertical="center" wrapText="1"/>
    </xf>
    <xf numFmtId="9" fontId="44" fillId="0" borderId="0" xfId="0" applyNumberFormat="1" applyFont="1" applyAlignment="1">
      <alignment horizontal="right" vertical="center" wrapText="1"/>
    </xf>
    <xf numFmtId="0" fontId="92" fillId="0" borderId="0" xfId="0" applyFont="1"/>
    <xf numFmtId="0" fontId="89" fillId="0" borderId="0" xfId="0" applyFont="1" applyAlignment="1">
      <alignment horizontal="center"/>
    </xf>
    <xf numFmtId="10" fontId="89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right" vertical="center"/>
    </xf>
    <xf numFmtId="0" fontId="93" fillId="3" borderId="0" xfId="0" applyFont="1" applyFill="1" applyAlignment="1">
      <alignment horizontal="right" vertical="center" wrapText="1"/>
    </xf>
    <xf numFmtId="0" fontId="44" fillId="3" borderId="0" xfId="0" applyFont="1" applyFill="1" applyAlignment="1">
      <alignment vertical="center" wrapText="1"/>
    </xf>
    <xf numFmtId="204" fontId="13" fillId="0" borderId="0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215" fontId="10" fillId="0" borderId="0" xfId="1" applyNumberFormat="1" applyFont="1" applyBorder="1" applyAlignment="1">
      <alignment horizontal="center" vertical="center" wrapText="1"/>
    </xf>
    <xf numFmtId="215" fontId="13" fillId="0" borderId="0" xfId="1" applyNumberFormat="1" applyFont="1" applyBorder="1" applyAlignment="1">
      <alignment horizontal="right" vertical="center" wrapText="1"/>
    </xf>
    <xf numFmtId="204" fontId="13" fillId="0" borderId="0" xfId="1" applyNumberFormat="1" applyFont="1" applyBorder="1" applyAlignment="1">
      <alignment horizontal="right" vertical="center" wrapText="1"/>
    </xf>
    <xf numFmtId="0" fontId="3" fillId="7" borderId="0" xfId="0" applyFont="1" applyFill="1"/>
    <xf numFmtId="187" fontId="3" fillId="7" borderId="0" xfId="0" applyNumberFormat="1" applyFont="1" applyFill="1"/>
    <xf numFmtId="182" fontId="13" fillId="0" borderId="0" xfId="0" applyNumberFormat="1" applyFont="1" applyAlignment="1">
      <alignment horizontal="right" vertical="center" wrapText="1"/>
    </xf>
    <xf numFmtId="182" fontId="44" fillId="0" borderId="0" xfId="0" applyNumberFormat="1" applyFont="1" applyAlignment="1">
      <alignment horizontal="right" vertical="center" wrapText="1"/>
    </xf>
    <xf numFmtId="182" fontId="3" fillId="0" borderId="0" xfId="0" applyNumberFormat="1" applyFont="1" applyAlignment="1">
      <alignment horizontal="right" vertical="center" wrapText="1"/>
    </xf>
    <xf numFmtId="18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9" fontId="89" fillId="0" borderId="0" xfId="0" applyNumberFormat="1" applyFont="1"/>
    <xf numFmtId="0" fontId="37" fillId="7" borderId="0" xfId="0" applyFont="1" applyFill="1" applyAlignment="1">
      <alignment vertical="center"/>
    </xf>
    <xf numFmtId="0" fontId="37" fillId="0" borderId="7" xfId="0" applyFont="1" applyBorder="1" applyAlignment="1">
      <alignment vertical="center"/>
    </xf>
    <xf numFmtId="0" fontId="45" fillId="0" borderId="7" xfId="0" applyFont="1" applyBorder="1" applyAlignment="1">
      <alignment vertical="center"/>
    </xf>
    <xf numFmtId="0" fontId="37" fillId="0" borderId="7" xfId="0" applyFont="1" applyBorder="1" applyAlignment="1">
      <alignment horizontal="right" vertical="center"/>
    </xf>
    <xf numFmtId="182" fontId="37" fillId="0" borderId="7" xfId="0" applyNumberFormat="1" applyFont="1" applyBorder="1" applyAlignment="1">
      <alignment horizontal="right" vertical="center"/>
    </xf>
    <xf numFmtId="39" fontId="37" fillId="0" borderId="7" xfId="0" applyNumberFormat="1" applyFont="1" applyBorder="1" applyAlignment="1">
      <alignment horizontal="right" vertical="center"/>
    </xf>
    <xf numFmtId="39" fontId="45" fillId="0" borderId="0" xfId="0" applyNumberFormat="1" applyFont="1" applyAlignment="1">
      <alignment vertical="center"/>
    </xf>
    <xf numFmtId="39" fontId="95" fillId="0" borderId="0" xfId="0" applyNumberFormat="1" applyFont="1" applyAlignment="1">
      <alignment vertical="center"/>
    </xf>
    <xf numFmtId="0" fontId="45" fillId="0" borderId="0" xfId="0" applyFont="1"/>
    <xf numFmtId="216" fontId="37" fillId="0" borderId="0" xfId="0" applyNumberFormat="1" applyFont="1" applyAlignment="1">
      <alignment horizontal="right" vertical="center"/>
    </xf>
    <xf numFmtId="37" fontId="95" fillId="0" borderId="0" xfId="0" applyNumberFormat="1" applyFont="1" applyAlignment="1">
      <alignment vertical="center"/>
    </xf>
    <xf numFmtId="0" fontId="80" fillId="0" borderId="0" xfId="0" applyFont="1" applyAlignment="1">
      <alignment vertical="center"/>
    </xf>
    <xf numFmtId="0" fontId="80" fillId="0" borderId="1" xfId="0" applyFont="1" applyBorder="1" applyAlignment="1">
      <alignment vertical="center"/>
    </xf>
    <xf numFmtId="216" fontId="80" fillId="0" borderId="2" xfId="0" applyNumberFormat="1" applyFont="1" applyBorder="1" applyAlignment="1">
      <alignment horizontal="right" vertical="center"/>
    </xf>
    <xf numFmtId="182" fontId="80" fillId="0" borderId="2" xfId="0" applyNumberFormat="1" applyFont="1" applyBorder="1" applyAlignment="1">
      <alignment horizontal="right" vertical="center"/>
    </xf>
    <xf numFmtId="182" fontId="80" fillId="0" borderId="3" xfId="0" applyNumberFormat="1" applyFont="1" applyBorder="1" applyAlignment="1">
      <alignment horizontal="right" vertical="center"/>
    </xf>
    <xf numFmtId="0" fontId="80" fillId="0" borderId="6" xfId="0" applyFont="1" applyBorder="1" applyAlignment="1">
      <alignment vertical="center"/>
    </xf>
    <xf numFmtId="216" fontId="80" fillId="0" borderId="7" xfId="0" applyNumberFormat="1" applyFont="1" applyBorder="1" applyAlignment="1">
      <alignment horizontal="right" vertical="center"/>
    </xf>
    <xf numFmtId="182" fontId="80" fillId="0" borderId="7" xfId="0" applyNumberFormat="1" applyFont="1" applyBorder="1" applyAlignment="1">
      <alignment horizontal="right" vertical="center"/>
    </xf>
    <xf numFmtId="182" fontId="80" fillId="0" borderId="8" xfId="0" applyNumberFormat="1" applyFont="1" applyBorder="1" applyAlignment="1">
      <alignment horizontal="right" vertical="center"/>
    </xf>
    <xf numFmtId="0" fontId="37" fillId="0" borderId="0" xfId="0" quotePrefix="1" applyFont="1" applyAlignment="1">
      <alignment vertical="center"/>
    </xf>
    <xf numFmtId="182" fontId="37" fillId="0" borderId="2" xfId="0" applyNumberFormat="1" applyFont="1" applyBorder="1" applyAlignment="1">
      <alignment horizontal="right" vertical="center"/>
    </xf>
    <xf numFmtId="182" fontId="37" fillId="0" borderId="2" xfId="2" applyNumberFormat="1" applyFont="1" applyBorder="1">
      <alignment vertical="center"/>
    </xf>
    <xf numFmtId="14" fontId="37" fillId="0" borderId="0" xfId="0" applyNumberFormat="1" applyFont="1" applyAlignment="1">
      <alignment horizontal="right" vertical="center"/>
    </xf>
    <xf numFmtId="216" fontId="80" fillId="0" borderId="0" xfId="0" applyNumberFormat="1" applyFont="1" applyAlignment="1">
      <alignment horizontal="right" vertical="center"/>
    </xf>
    <xf numFmtId="0" fontId="45" fillId="0" borderId="7" xfId="0" applyFont="1" applyBorder="1"/>
    <xf numFmtId="0" fontId="37" fillId="0" borderId="7" xfId="0" quotePrefix="1" applyFont="1" applyBorder="1" applyAlignment="1">
      <alignment vertical="center"/>
    </xf>
    <xf numFmtId="216" fontId="37" fillId="0" borderId="7" xfId="0" applyNumberFormat="1" applyFont="1" applyBorder="1" applyAlignment="1">
      <alignment horizontal="right" vertical="center"/>
    </xf>
    <xf numFmtId="0" fontId="80" fillId="0" borderId="7" xfId="0" applyFont="1" applyBorder="1"/>
    <xf numFmtId="0" fontId="37" fillId="0" borderId="2" xfId="0" applyFont="1" applyBorder="1"/>
    <xf numFmtId="0" fontId="45" fillId="0" borderId="2" xfId="0" applyFont="1" applyBorder="1"/>
    <xf numFmtId="0" fontId="80" fillId="0" borderId="2" xfId="0" applyFont="1" applyBorder="1"/>
    <xf numFmtId="215" fontId="44" fillId="0" borderId="0" xfId="1" applyNumberFormat="1" applyFont="1" applyBorder="1" applyAlignment="1">
      <alignment horizontal="right" vertical="center" wrapText="1"/>
    </xf>
    <xf numFmtId="0" fontId="96" fillId="0" borderId="0" xfId="0" applyFont="1"/>
    <xf numFmtId="182" fontId="89" fillId="0" borderId="0" xfId="0" applyNumberFormat="1" applyFont="1"/>
    <xf numFmtId="2" fontId="89" fillId="0" borderId="0" xfId="0" applyNumberFormat="1" applyFont="1"/>
    <xf numFmtId="37" fontId="45" fillId="0" borderId="0" xfId="0" applyNumberFormat="1" applyFont="1" applyAlignment="1">
      <alignment vertical="center"/>
    </xf>
    <xf numFmtId="0" fontId="27" fillId="0" borderId="0" xfId="0" quotePrefix="1" applyFont="1" applyAlignment="1">
      <alignment vertical="center"/>
    </xf>
    <xf numFmtId="0" fontId="27" fillId="0" borderId="7" xfId="0" quotePrefix="1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43" fontId="89" fillId="0" borderId="0" xfId="1" applyFont="1" applyBorder="1" applyAlignment="1"/>
    <xf numFmtId="9" fontId="89" fillId="0" borderId="0" xfId="2" applyFont="1" applyBorder="1" applyAlignment="1"/>
    <xf numFmtId="212" fontId="75" fillId="0" borderId="13" xfId="0" applyNumberFormat="1" applyFont="1" applyBorder="1" applyAlignment="1">
      <alignment vertical="center"/>
    </xf>
    <xf numFmtId="212" fontId="75" fillId="0" borderId="24" xfId="0" applyNumberFormat="1" applyFont="1" applyBorder="1" applyAlignment="1">
      <alignment vertical="center"/>
    </xf>
    <xf numFmtId="212" fontId="75" fillId="0" borderId="15" xfId="0" applyNumberFormat="1" applyFont="1" applyBorder="1" applyAlignment="1">
      <alignment vertical="center"/>
    </xf>
    <xf numFmtId="182" fontId="75" fillId="0" borderId="13" xfId="2" applyNumberFormat="1" applyFont="1" applyFill="1" applyBorder="1" applyAlignment="1">
      <alignment vertical="center"/>
    </xf>
    <xf numFmtId="183" fontId="3" fillId="0" borderId="0" xfId="6" applyNumberFormat="1" applyFont="1"/>
    <xf numFmtId="14" fontId="14" fillId="0" borderId="0" xfId="6" applyNumberFormat="1" applyFont="1"/>
    <xf numFmtId="182" fontId="37" fillId="0" borderId="0" xfId="2" applyNumberFormat="1" applyFont="1" applyBorder="1">
      <alignment vertical="center"/>
    </xf>
    <xf numFmtId="182" fontId="45" fillId="0" borderId="0" xfId="0" applyNumberFormat="1" applyFont="1" applyAlignment="1">
      <alignment horizontal="right" vertical="center"/>
    </xf>
    <xf numFmtId="0" fontId="37" fillId="0" borderId="0" xfId="0" applyFont="1"/>
    <xf numFmtId="182" fontId="45" fillId="0" borderId="2" xfId="0" applyNumberFormat="1" applyFont="1" applyBorder="1" applyAlignment="1">
      <alignment horizontal="right" vertical="center"/>
    </xf>
    <xf numFmtId="182" fontId="45" fillId="0" borderId="3" xfId="2" applyNumberFormat="1" applyFont="1" applyBorder="1">
      <alignment vertical="center"/>
    </xf>
    <xf numFmtId="182" fontId="45" fillId="0" borderId="5" xfId="2" applyNumberFormat="1" applyFont="1" applyBorder="1">
      <alignment vertical="center"/>
    </xf>
    <xf numFmtId="182" fontId="45" fillId="0" borderId="7" xfId="0" applyNumberFormat="1" applyFont="1" applyBorder="1" applyAlignment="1">
      <alignment horizontal="right" vertical="center"/>
    </xf>
    <xf numFmtId="182" fontId="45" fillId="0" borderId="8" xfId="2" applyNumberFormat="1" applyFont="1" applyBorder="1">
      <alignment vertical="center"/>
    </xf>
    <xf numFmtId="216" fontId="27" fillId="0" borderId="0" xfId="0" applyNumberFormat="1" applyFont="1" applyAlignment="1">
      <alignment horizontal="right" vertical="center"/>
    </xf>
    <xf numFmtId="182" fontId="27" fillId="0" borderId="0" xfId="0" applyNumberFormat="1" applyFont="1" applyAlignment="1">
      <alignment horizontal="right" vertical="center"/>
    </xf>
    <xf numFmtId="182" fontId="27" fillId="0" borderId="0" xfId="2" applyNumberFormat="1" applyFont="1" applyBorder="1" applyAlignment="1">
      <alignment horizontal="right" vertical="center"/>
    </xf>
    <xf numFmtId="0" fontId="26" fillId="0" borderId="2" xfId="0" applyFont="1" applyBorder="1" applyAlignment="1">
      <alignment vertical="center"/>
    </xf>
    <xf numFmtId="0" fontId="45" fillId="0" borderId="1" xfId="0" applyFont="1" applyBorder="1"/>
    <xf numFmtId="0" fontId="45" fillId="0" borderId="4" xfId="0" applyFont="1" applyBorder="1"/>
    <xf numFmtId="0" fontId="45" fillId="0" borderId="6" xfId="0" applyFont="1" applyBorder="1"/>
    <xf numFmtId="212" fontId="26" fillId="0" borderId="2" xfId="0" applyNumberFormat="1" applyFont="1" applyBorder="1" applyAlignment="1">
      <alignment vertical="center"/>
    </xf>
    <xf numFmtId="212" fontId="26" fillId="0" borderId="0" xfId="0" applyNumberFormat="1" applyFont="1" applyAlignment="1">
      <alignment vertical="center"/>
    </xf>
    <xf numFmtId="212" fontId="26" fillId="0" borderId="7" xfId="0" applyNumberFormat="1" applyFont="1" applyBorder="1" applyAlignment="1">
      <alignment vertical="center"/>
    </xf>
    <xf numFmtId="212" fontId="27" fillId="0" borderId="0" xfId="0" applyNumberFormat="1" applyFont="1" applyAlignment="1">
      <alignment vertical="center"/>
    </xf>
    <xf numFmtId="0" fontId="10" fillId="0" borderId="2" xfId="6" applyFont="1" applyBorder="1"/>
    <xf numFmtId="0" fontId="10" fillId="0" borderId="3" xfId="6" applyFont="1" applyBorder="1"/>
    <xf numFmtId="43" fontId="10" fillId="0" borderId="24" xfId="1" applyFont="1" applyBorder="1" applyAlignment="1"/>
    <xf numFmtId="43" fontId="10" fillId="0" borderId="25" xfId="1" applyFont="1" applyBorder="1" applyAlignment="1"/>
    <xf numFmtId="43" fontId="10" fillId="0" borderId="14" xfId="1" applyFont="1" applyBorder="1" applyAlignment="1"/>
    <xf numFmtId="182" fontId="10" fillId="0" borderId="24" xfId="2" applyNumberFormat="1" applyFont="1" applyBorder="1" applyAlignment="1"/>
    <xf numFmtId="182" fontId="10" fillId="0" borderId="25" xfId="2" applyNumberFormat="1" applyFont="1" applyBorder="1" applyAlignment="1"/>
    <xf numFmtId="182" fontId="10" fillId="0" borderId="14" xfId="2" applyNumberFormat="1" applyFont="1" applyBorder="1" applyAlignment="1"/>
    <xf numFmtId="9" fontId="12" fillId="0" borderId="0" xfId="5" applyNumberFormat="1" applyFont="1" applyFill="1">
      <alignment horizontal="right"/>
    </xf>
    <xf numFmtId="185" fontId="10" fillId="0" borderId="0" xfId="1" applyNumberFormat="1" applyFont="1" applyFill="1" applyAlignment="1"/>
    <xf numFmtId="185" fontId="10" fillId="15" borderId="0" xfId="1" applyNumberFormat="1" applyFont="1" applyFill="1" applyAlignment="1"/>
    <xf numFmtId="182" fontId="3" fillId="0" borderId="0" xfId="0" applyNumberFormat="1" applyFont="1"/>
    <xf numFmtId="182" fontId="44" fillId="0" borderId="0" xfId="0" applyNumberFormat="1" applyFont="1" applyAlignment="1">
      <alignment vertical="center" wrapText="1"/>
    </xf>
    <xf numFmtId="43" fontId="3" fillId="0" borderId="0" xfId="6" applyNumberFormat="1" applyFont="1"/>
    <xf numFmtId="182" fontId="91" fillId="0" borderId="0" xfId="0" applyNumberFormat="1" applyFont="1"/>
    <xf numFmtId="9" fontId="91" fillId="0" borderId="0" xfId="0" applyNumberFormat="1" applyFont="1"/>
    <xf numFmtId="9" fontId="91" fillId="0" borderId="0" xfId="2" applyFont="1" applyBorder="1" applyAlignment="1"/>
    <xf numFmtId="212" fontId="97" fillId="0" borderId="0" xfId="0" applyNumberFormat="1" applyFont="1" applyAlignment="1">
      <alignment vertical="center"/>
    </xf>
    <xf numFmtId="185" fontId="98" fillId="0" borderId="0" xfId="1" applyNumberFormat="1" applyFont="1" applyFill="1">
      <alignment vertical="center"/>
    </xf>
    <xf numFmtId="0" fontId="97" fillId="0" borderId="0" xfId="6" applyFont="1"/>
    <xf numFmtId="43" fontId="10" fillId="0" borderId="0" xfId="6" applyNumberFormat="1" applyFont="1"/>
    <xf numFmtId="0" fontId="9" fillId="3" borderId="0" xfId="0" applyFont="1" applyFill="1" applyAlignment="1">
      <alignment horizontal="right" vertical="center" wrapText="1"/>
    </xf>
    <xf numFmtId="185" fontId="10" fillId="5" borderId="0" xfId="1" applyNumberFormat="1" applyFont="1" applyFill="1" applyAlignment="1"/>
    <xf numFmtId="181" fontId="10" fillId="18" borderId="2" xfId="0" applyNumberFormat="1" applyFont="1" applyFill="1" applyBorder="1"/>
    <xf numFmtId="181" fontId="10" fillId="18" borderId="0" xfId="0" applyNumberFormat="1" applyFont="1" applyFill="1"/>
    <xf numFmtId="181" fontId="10" fillId="18" borderId="7" xfId="0" applyNumberFormat="1" applyFont="1" applyFill="1" applyBorder="1"/>
    <xf numFmtId="187" fontId="10" fillId="0" borderId="0" xfId="1" applyNumberFormat="1" applyFont="1" applyAlignment="1"/>
    <xf numFmtId="187" fontId="10" fillId="0" borderId="2" xfId="0" applyNumberFormat="1" applyFont="1" applyBorder="1" applyAlignment="1">
      <alignment horizontal="right"/>
    </xf>
    <xf numFmtId="187" fontId="10" fillId="18" borderId="2" xfId="0" applyNumberFormat="1" applyFont="1" applyFill="1" applyBorder="1"/>
    <xf numFmtId="187" fontId="10" fillId="0" borderId="0" xfId="0" applyNumberFormat="1" applyFont="1" applyAlignment="1">
      <alignment horizontal="right"/>
    </xf>
    <xf numFmtId="187" fontId="10" fillId="18" borderId="0" xfId="0" applyNumberFormat="1" applyFont="1" applyFill="1"/>
    <xf numFmtId="187" fontId="10" fillId="0" borderId="10" xfId="0" applyNumberFormat="1" applyFont="1" applyBorder="1" applyAlignment="1">
      <alignment horizontal="right"/>
    </xf>
    <xf numFmtId="187" fontId="10" fillId="18" borderId="10" xfId="0" applyNumberFormat="1" applyFont="1" applyFill="1" applyBorder="1"/>
    <xf numFmtId="187" fontId="10" fillId="18" borderId="2" xfId="0" applyNumberFormat="1" applyFont="1" applyFill="1" applyBorder="1" applyAlignment="1">
      <alignment horizontal="right"/>
    </xf>
    <xf numFmtId="187" fontId="10" fillId="18" borderId="0" xfId="0" applyNumberFormat="1" applyFont="1" applyFill="1" applyAlignment="1">
      <alignment horizontal="right"/>
    </xf>
    <xf numFmtId="187" fontId="10" fillId="18" borderId="10" xfId="0" applyNumberFormat="1" applyFont="1" applyFill="1" applyBorder="1" applyAlignment="1">
      <alignment horizontal="right"/>
    </xf>
    <xf numFmtId="9" fontId="82" fillId="0" borderId="0" xfId="0" applyNumberFormat="1" applyFont="1"/>
    <xf numFmtId="181" fontId="10" fillId="0" borderId="1" xfId="0" applyNumberFormat="1" applyFont="1" applyBorder="1"/>
    <xf numFmtId="181" fontId="10" fillId="0" borderId="4" xfId="0" applyNumberFormat="1" applyFont="1" applyBorder="1"/>
    <xf numFmtId="181" fontId="10" fillId="0" borderId="6" xfId="0" applyNumberFormat="1" applyFont="1" applyBorder="1"/>
    <xf numFmtId="9" fontId="22" fillId="0" borderId="0" xfId="0" applyNumberFormat="1" applyFont="1"/>
    <xf numFmtId="0" fontId="15" fillId="0" borderId="1" xfId="0" applyFont="1" applyBorder="1"/>
    <xf numFmtId="0" fontId="15" fillId="0" borderId="2" xfId="0" applyFont="1" applyBorder="1"/>
    <xf numFmtId="181" fontId="15" fillId="0" borderId="2" xfId="0" applyNumberFormat="1" applyFont="1" applyBorder="1"/>
    <xf numFmtId="9" fontId="15" fillId="0" borderId="2" xfId="2" applyFont="1" applyFill="1" applyBorder="1" applyAlignment="1"/>
    <xf numFmtId="9" fontId="15" fillId="10" borderId="1" xfId="2" applyFont="1" applyFill="1" applyBorder="1" applyAlignment="1"/>
    <xf numFmtId="9" fontId="15" fillId="10" borderId="2" xfId="2" applyFont="1" applyFill="1" applyBorder="1" applyAlignment="1"/>
    <xf numFmtId="9" fontId="15" fillId="10" borderId="3" xfId="2" applyFont="1" applyFill="1" applyBorder="1" applyAlignment="1"/>
    <xf numFmtId="9" fontId="22" fillId="10" borderId="0" xfId="2" applyFont="1" applyFill="1" applyBorder="1" applyAlignment="1"/>
    <xf numFmtId="0" fontId="15" fillId="0" borderId="4" xfId="0" applyFont="1" applyBorder="1"/>
    <xf numFmtId="9" fontId="15" fillId="10" borderId="4" xfId="2" applyFont="1" applyFill="1" applyBorder="1" applyAlignment="1"/>
    <xf numFmtId="9" fontId="15" fillId="10" borderId="0" xfId="2" applyFont="1" applyFill="1" applyBorder="1" applyAlignment="1"/>
    <xf numFmtId="9" fontId="15" fillId="10" borderId="5" xfId="2" applyFont="1" applyFill="1" applyBorder="1" applyAlignment="1"/>
    <xf numFmtId="0" fontId="15" fillId="0" borderId="6" xfId="0" applyFont="1" applyBorder="1"/>
    <xf numFmtId="0" fontId="15" fillId="0" borderId="7" xfId="0" applyFont="1" applyBorder="1"/>
    <xf numFmtId="181" fontId="15" fillId="0" borderId="7" xfId="0" applyNumberFormat="1" applyFont="1" applyBorder="1"/>
    <xf numFmtId="9" fontId="15" fillId="0" borderId="7" xfId="2" applyFont="1" applyFill="1" applyBorder="1" applyAlignment="1"/>
    <xf numFmtId="9" fontId="15" fillId="10" borderId="6" xfId="2" applyFont="1" applyFill="1" applyBorder="1" applyAlignment="1"/>
    <xf numFmtId="9" fontId="15" fillId="10" borderId="7" xfId="2" applyFont="1" applyFill="1" applyBorder="1" applyAlignment="1"/>
    <xf numFmtId="9" fontId="15" fillId="10" borderId="8" xfId="2" applyFont="1" applyFill="1" applyBorder="1" applyAlignment="1"/>
    <xf numFmtId="185" fontId="15" fillId="0" borderId="0" xfId="1" applyNumberFormat="1" applyFont="1" applyFill="1" applyAlignment="1"/>
    <xf numFmtId="9" fontId="15" fillId="0" borderId="3" xfId="2" applyFont="1" applyFill="1" applyBorder="1" applyAlignment="1"/>
    <xf numFmtId="9" fontId="22" fillId="0" borderId="0" xfId="2" applyFont="1" applyFill="1" applyBorder="1" applyAlignment="1"/>
    <xf numFmtId="9" fontId="15" fillId="0" borderId="5" xfId="2" applyFont="1" applyFill="1" applyBorder="1" applyAlignment="1"/>
    <xf numFmtId="9" fontId="15" fillId="0" borderId="8" xfId="2" applyFont="1" applyFill="1" applyBorder="1" applyAlignment="1"/>
    <xf numFmtId="187" fontId="12" fillId="0" borderId="0" xfId="1" applyNumberFormat="1" applyFont="1" applyAlignment="1"/>
    <xf numFmtId="9" fontId="83" fillId="10" borderId="0" xfId="0" applyNumberFormat="1" applyFont="1" applyFill="1"/>
    <xf numFmtId="218" fontId="83" fillId="0" borderId="0" xfId="0" applyNumberFormat="1" applyFont="1"/>
    <xf numFmtId="187" fontId="10" fillId="10" borderId="1" xfId="1" applyNumberFormat="1" applyFont="1" applyFill="1" applyBorder="1" applyAlignment="1"/>
    <xf numFmtId="187" fontId="10" fillId="10" borderId="2" xfId="1" applyNumberFormat="1" applyFont="1" applyFill="1" applyBorder="1" applyAlignment="1"/>
    <xf numFmtId="187" fontId="10" fillId="10" borderId="3" xfId="1" applyNumberFormat="1" applyFont="1" applyFill="1" applyBorder="1" applyAlignment="1"/>
    <xf numFmtId="218" fontId="82" fillId="10" borderId="0" xfId="2" applyNumberFormat="1" applyFont="1" applyFill="1" applyBorder="1" applyAlignment="1"/>
    <xf numFmtId="187" fontId="10" fillId="10" borderId="4" xfId="1" applyNumberFormat="1" applyFont="1" applyFill="1" applyBorder="1" applyAlignment="1"/>
    <xf numFmtId="187" fontId="10" fillId="10" borderId="0" xfId="1" applyNumberFormat="1" applyFont="1" applyFill="1" applyBorder="1" applyAlignment="1"/>
    <xf numFmtId="187" fontId="10" fillId="10" borderId="5" xfId="1" applyNumberFormat="1" applyFont="1" applyFill="1" applyBorder="1" applyAlignment="1"/>
    <xf numFmtId="187" fontId="10" fillId="10" borderId="11" xfId="1" applyNumberFormat="1" applyFont="1" applyFill="1" applyBorder="1" applyAlignment="1"/>
    <xf numFmtId="187" fontId="10" fillId="10" borderId="10" xfId="1" applyNumberFormat="1" applyFont="1" applyFill="1" applyBorder="1" applyAlignment="1"/>
    <xf numFmtId="187" fontId="10" fillId="10" borderId="9" xfId="1" applyNumberFormat="1" applyFont="1" applyFill="1" applyBorder="1" applyAlignment="1"/>
    <xf numFmtId="218" fontId="10" fillId="0" borderId="0" xfId="0" applyNumberFormat="1" applyFont="1"/>
    <xf numFmtId="0" fontId="14" fillId="0" borderId="0" xfId="0" applyFont="1"/>
    <xf numFmtId="218" fontId="10" fillId="10" borderId="13" xfId="1" applyNumberFormat="1" applyFont="1" applyFill="1" applyBorder="1" applyAlignment="1">
      <alignment horizontal="right"/>
    </xf>
    <xf numFmtId="182" fontId="10" fillId="0" borderId="10" xfId="0" applyNumberFormat="1" applyFont="1" applyBorder="1"/>
    <xf numFmtId="182" fontId="15" fillId="0" borderId="27" xfId="2" applyNumberFormat="1" applyFont="1" applyFill="1" applyBorder="1" applyAlignment="1"/>
    <xf numFmtId="182" fontId="15" fillId="10" borderId="24" xfId="2" applyNumberFormat="1" applyFont="1" applyFill="1" applyBorder="1" applyAlignment="1"/>
    <xf numFmtId="182" fontId="15" fillId="10" borderId="25" xfId="2" applyNumberFormat="1" applyFont="1" applyFill="1" applyBorder="1" applyAlignment="1"/>
    <xf numFmtId="182" fontId="15" fillId="10" borderId="14" xfId="2" applyNumberFormat="1" applyFont="1" applyFill="1" applyBorder="1" applyAlignment="1"/>
    <xf numFmtId="182" fontId="16" fillId="0" borderId="0" xfId="0" applyNumberFormat="1" applyFont="1"/>
    <xf numFmtId="182" fontId="16" fillId="10" borderId="0" xfId="0" applyNumberFormat="1" applyFont="1" applyFill="1"/>
    <xf numFmtId="9" fontId="15" fillId="0" borderId="25" xfId="2" applyFont="1" applyBorder="1" applyAlignment="1"/>
    <xf numFmtId="191" fontId="12" fillId="0" borderId="0" xfId="0" applyNumberFormat="1" applyFont="1" applyAlignment="1">
      <alignment horizontal="right"/>
    </xf>
    <xf numFmtId="218" fontId="12" fillId="0" borderId="0" xfId="0" applyNumberFormat="1" applyFont="1" applyAlignment="1">
      <alignment horizontal="right"/>
    </xf>
    <xf numFmtId="218" fontId="12" fillId="0" borderId="0" xfId="1" applyNumberFormat="1" applyFont="1" applyAlignment="1"/>
    <xf numFmtId="191" fontId="10" fillId="0" borderId="2" xfId="0" applyNumberFormat="1" applyFont="1" applyBorder="1" applyAlignment="1">
      <alignment horizontal="right"/>
    </xf>
    <xf numFmtId="218" fontId="10" fillId="0" borderId="2" xfId="0" applyNumberFormat="1" applyFont="1" applyBorder="1" applyAlignment="1">
      <alignment horizontal="right"/>
    </xf>
    <xf numFmtId="218" fontId="10" fillId="10" borderId="1" xfId="1" applyNumberFormat="1" applyFont="1" applyFill="1" applyBorder="1" applyAlignment="1"/>
    <xf numFmtId="218" fontId="10" fillId="10" borderId="2" xfId="1" applyNumberFormat="1" applyFont="1" applyFill="1" applyBorder="1" applyAlignment="1"/>
    <xf numFmtId="218" fontId="10" fillId="10" borderId="3" xfId="1" applyNumberFormat="1" applyFont="1" applyFill="1" applyBorder="1" applyAlignment="1"/>
    <xf numFmtId="191" fontId="10" fillId="0" borderId="0" xfId="0" applyNumberFormat="1" applyFont="1" applyAlignment="1">
      <alignment horizontal="right"/>
    </xf>
    <xf numFmtId="218" fontId="10" fillId="0" borderId="0" xfId="0" applyNumberFormat="1" applyFont="1" applyAlignment="1">
      <alignment horizontal="right"/>
    </xf>
    <xf numFmtId="218" fontId="10" fillId="10" borderId="4" xfId="1" applyNumberFormat="1" applyFont="1" applyFill="1" applyBorder="1" applyAlignment="1"/>
    <xf numFmtId="218" fontId="10" fillId="10" borderId="0" xfId="1" applyNumberFormat="1" applyFont="1" applyFill="1" applyBorder="1" applyAlignment="1"/>
    <xf numFmtId="218" fontId="10" fillId="10" borderId="5" xfId="1" applyNumberFormat="1" applyFont="1" applyFill="1" applyBorder="1" applyAlignment="1"/>
    <xf numFmtId="191" fontId="10" fillId="0" borderId="10" xfId="0" applyNumberFormat="1" applyFont="1" applyBorder="1" applyAlignment="1">
      <alignment horizontal="right"/>
    </xf>
    <xf numFmtId="2" fontId="75" fillId="0" borderId="0" xfId="0" applyNumberFormat="1" applyFont="1"/>
    <xf numFmtId="1" fontId="10" fillId="0" borderId="0" xfId="0" applyNumberFormat="1" applyFont="1"/>
    <xf numFmtId="218" fontId="10" fillId="0" borderId="3" xfId="0" applyNumberFormat="1" applyFont="1" applyBorder="1" applyAlignment="1">
      <alignment horizontal="right"/>
    </xf>
    <xf numFmtId="218" fontId="82" fillId="0" borderId="0" xfId="2" applyNumberFormat="1" applyFont="1" applyFill="1" applyBorder="1" applyAlignment="1"/>
    <xf numFmtId="218" fontId="10" fillId="0" borderId="5" xfId="0" applyNumberFormat="1" applyFont="1" applyBorder="1" applyAlignment="1">
      <alignment horizontal="right"/>
    </xf>
    <xf numFmtId="218" fontId="10" fillId="0" borderId="10" xfId="0" applyNumberFormat="1" applyFont="1" applyBorder="1" applyAlignment="1">
      <alignment horizontal="right"/>
    </xf>
    <xf numFmtId="218" fontId="10" fillId="0" borderId="9" xfId="0" applyNumberFormat="1" applyFont="1" applyBorder="1" applyAlignment="1">
      <alignment horizontal="right"/>
    </xf>
    <xf numFmtId="181" fontId="82" fillId="10" borderId="2" xfId="0" applyNumberFormat="1" applyFont="1" applyFill="1" applyBorder="1"/>
    <xf numFmtId="181" fontId="82" fillId="10" borderId="7" xfId="0" applyNumberFormat="1" applyFont="1" applyFill="1" applyBorder="1"/>
    <xf numFmtId="213" fontId="75" fillId="0" borderId="0" xfId="0" applyNumberFormat="1" applyFont="1"/>
    <xf numFmtId="218" fontId="82" fillId="10" borderId="2" xfId="0" applyNumberFormat="1" applyFont="1" applyFill="1" applyBorder="1" applyAlignment="1">
      <alignment horizontal="right"/>
    </xf>
    <xf numFmtId="218" fontId="10" fillId="10" borderId="1" xfId="1" applyNumberFormat="1" applyFont="1" applyFill="1" applyBorder="1" applyAlignment="1">
      <alignment horizontal="right"/>
    </xf>
    <xf numFmtId="218" fontId="10" fillId="10" borderId="2" xfId="1" applyNumberFormat="1" applyFont="1" applyFill="1" applyBorder="1" applyAlignment="1">
      <alignment horizontal="right"/>
    </xf>
    <xf numFmtId="218" fontId="10" fillId="10" borderId="3" xfId="1" applyNumberFormat="1" applyFont="1" applyFill="1" applyBorder="1" applyAlignment="1">
      <alignment horizontal="right"/>
    </xf>
    <xf numFmtId="218" fontId="82" fillId="10" borderId="0" xfId="2" applyNumberFormat="1" applyFont="1" applyFill="1" applyBorder="1" applyAlignment="1">
      <alignment horizontal="right"/>
    </xf>
    <xf numFmtId="218" fontId="82" fillId="10" borderId="0" xfId="0" applyNumberFormat="1" applyFont="1" applyFill="1" applyAlignment="1">
      <alignment horizontal="right"/>
    </xf>
    <xf numFmtId="218" fontId="10" fillId="10" borderId="4" xfId="1" applyNumberFormat="1" applyFont="1" applyFill="1" applyBorder="1" applyAlignment="1">
      <alignment horizontal="right"/>
    </xf>
    <xf numFmtId="218" fontId="10" fillId="10" borderId="0" xfId="1" applyNumberFormat="1" applyFont="1" applyFill="1" applyBorder="1" applyAlignment="1">
      <alignment horizontal="right"/>
    </xf>
    <xf numFmtId="218" fontId="10" fillId="10" borderId="5" xfId="1" applyNumberFormat="1" applyFont="1" applyFill="1" applyBorder="1" applyAlignment="1">
      <alignment horizontal="right"/>
    </xf>
    <xf numFmtId="218" fontId="82" fillId="10" borderId="10" xfId="0" applyNumberFormat="1" applyFont="1" applyFill="1" applyBorder="1" applyAlignment="1">
      <alignment horizontal="right"/>
    </xf>
    <xf numFmtId="218" fontId="10" fillId="10" borderId="11" xfId="1" applyNumberFormat="1" applyFont="1" applyFill="1" applyBorder="1" applyAlignment="1">
      <alignment horizontal="right"/>
    </xf>
    <xf numFmtId="218" fontId="10" fillId="10" borderId="10" xfId="1" applyNumberFormat="1" applyFont="1" applyFill="1" applyBorder="1" applyAlignment="1">
      <alignment horizontal="right"/>
    </xf>
    <xf numFmtId="218" fontId="10" fillId="10" borderId="9" xfId="1" applyNumberFormat="1" applyFont="1" applyFill="1" applyBorder="1" applyAlignment="1">
      <alignment horizontal="right"/>
    </xf>
    <xf numFmtId="191" fontId="75" fillId="0" borderId="0" xfId="0" applyNumberFormat="1" applyFont="1"/>
    <xf numFmtId="9" fontId="15" fillId="0" borderId="2" xfId="2" applyFont="1" applyBorder="1" applyAlignment="1"/>
    <xf numFmtId="9" fontId="15" fillId="0" borderId="7" xfId="2" applyFont="1" applyBorder="1" applyAlignment="1"/>
    <xf numFmtId="218" fontId="10" fillId="0" borderId="0" xfId="1" applyNumberFormat="1" applyFont="1" applyAlignment="1">
      <alignment horizontal="right"/>
    </xf>
    <xf numFmtId="218" fontId="10" fillId="10" borderId="2" xfId="0" applyNumberFormat="1" applyFont="1" applyFill="1" applyBorder="1" applyAlignment="1">
      <alignment horizontal="right"/>
    </xf>
    <xf numFmtId="218" fontId="10" fillId="10" borderId="0" xfId="0" applyNumberFormat="1" applyFont="1" applyFill="1" applyAlignment="1">
      <alignment horizontal="right"/>
    </xf>
    <xf numFmtId="218" fontId="10" fillId="10" borderId="7" xfId="0" applyNumberFormat="1" applyFont="1" applyFill="1" applyBorder="1" applyAlignment="1">
      <alignment horizontal="right"/>
    </xf>
    <xf numFmtId="181" fontId="82" fillId="10" borderId="1" xfId="0" applyNumberFormat="1" applyFont="1" applyFill="1" applyBorder="1"/>
    <xf numFmtId="181" fontId="82" fillId="10" borderId="4" xfId="0" applyNumberFormat="1" applyFont="1" applyFill="1" applyBorder="1"/>
    <xf numFmtId="181" fontId="82" fillId="10" borderId="6" xfId="0" applyNumberFormat="1" applyFont="1" applyFill="1" applyBorder="1"/>
    <xf numFmtId="0" fontId="14" fillId="6" borderId="0" xfId="0" applyFont="1" applyFill="1"/>
    <xf numFmtId="9" fontId="15" fillId="0" borderId="3" xfId="2" applyFont="1" applyBorder="1" applyAlignment="1"/>
    <xf numFmtId="9" fontId="15" fillId="0" borderId="5" xfId="2" applyFont="1" applyBorder="1" applyAlignment="1"/>
    <xf numFmtId="9" fontId="15" fillId="0" borderId="8" xfId="2" applyFont="1" applyBorder="1" applyAlignment="1"/>
    <xf numFmtId="187" fontId="10" fillId="0" borderId="0" xfId="1" applyNumberFormat="1" applyFont="1" applyAlignment="1">
      <alignment horizontal="right"/>
    </xf>
    <xf numFmtId="218" fontId="10" fillId="10" borderId="6" xfId="1" applyNumberFormat="1" applyFont="1" applyFill="1" applyBorder="1" applyAlignment="1">
      <alignment horizontal="right"/>
    </xf>
    <xf numFmtId="218" fontId="10" fillId="10" borderId="7" xfId="1" applyNumberFormat="1" applyFont="1" applyFill="1" applyBorder="1" applyAlignment="1">
      <alignment horizontal="right"/>
    </xf>
    <xf numFmtId="218" fontId="10" fillId="10" borderId="8" xfId="1" applyNumberFormat="1" applyFont="1" applyFill="1" applyBorder="1" applyAlignment="1">
      <alignment horizontal="right"/>
    </xf>
    <xf numFmtId="181" fontId="12" fillId="18" borderId="0" xfId="0" applyNumberFormat="1" applyFont="1" applyFill="1"/>
    <xf numFmtId="181" fontId="82" fillId="18" borderId="2" xfId="0" applyNumberFormat="1" applyFont="1" applyFill="1" applyBorder="1"/>
    <xf numFmtId="181" fontId="82" fillId="18" borderId="0" xfId="0" applyNumberFormat="1" applyFont="1" applyFill="1"/>
    <xf numFmtId="181" fontId="82" fillId="18" borderId="7" xfId="0" applyNumberFormat="1" applyFont="1" applyFill="1" applyBorder="1"/>
    <xf numFmtId="187" fontId="10" fillId="18" borderId="0" xfId="1" applyNumberFormat="1" applyFont="1" applyFill="1" applyAlignment="1">
      <alignment horizontal="right"/>
    </xf>
    <xf numFmtId="182" fontId="10" fillId="0" borderId="0" xfId="2" applyNumberFormat="1" applyFont="1" applyBorder="1" applyAlignment="1"/>
    <xf numFmtId="187" fontId="10" fillId="0" borderId="9" xfId="0" applyNumberFormat="1" applyFont="1" applyBorder="1" applyAlignment="1">
      <alignment horizontal="right"/>
    </xf>
    <xf numFmtId="181" fontId="10" fillId="10" borderId="3" xfId="0" applyNumberFormat="1" applyFont="1" applyFill="1" applyBorder="1"/>
    <xf numFmtId="181" fontId="10" fillId="10" borderId="8" xfId="0" applyNumberFormat="1" applyFont="1" applyFill="1" applyBorder="1"/>
    <xf numFmtId="187" fontId="10" fillId="10" borderId="1" xfId="1" applyNumberFormat="1" applyFont="1" applyFill="1" applyBorder="1" applyAlignment="1">
      <alignment horizontal="right"/>
    </xf>
    <xf numFmtId="187" fontId="10" fillId="10" borderId="2" xfId="1" applyNumberFormat="1" applyFont="1" applyFill="1" applyBorder="1" applyAlignment="1">
      <alignment horizontal="right"/>
    </xf>
    <xf numFmtId="187" fontId="10" fillId="10" borderId="3" xfId="1" applyNumberFormat="1" applyFont="1" applyFill="1" applyBorder="1" applyAlignment="1">
      <alignment horizontal="right"/>
    </xf>
    <xf numFmtId="187" fontId="10" fillId="10" borderId="4" xfId="1" applyNumberFormat="1" applyFont="1" applyFill="1" applyBorder="1" applyAlignment="1">
      <alignment horizontal="right"/>
    </xf>
    <xf numFmtId="187" fontId="10" fillId="10" borderId="0" xfId="1" applyNumberFormat="1" applyFont="1" applyFill="1" applyBorder="1" applyAlignment="1">
      <alignment horizontal="right"/>
    </xf>
    <xf numFmtId="187" fontId="10" fillId="10" borderId="5" xfId="1" applyNumberFormat="1" applyFont="1" applyFill="1" applyBorder="1" applyAlignment="1">
      <alignment horizontal="right"/>
    </xf>
    <xf numFmtId="187" fontId="10" fillId="10" borderId="6" xfId="1" applyNumberFormat="1" applyFont="1" applyFill="1" applyBorder="1" applyAlignment="1">
      <alignment horizontal="right"/>
    </xf>
    <xf numFmtId="187" fontId="10" fillId="10" borderId="7" xfId="1" applyNumberFormat="1" applyFont="1" applyFill="1" applyBorder="1" applyAlignment="1">
      <alignment horizontal="right"/>
    </xf>
    <xf numFmtId="187" fontId="10" fillId="10" borderId="8" xfId="1" applyNumberFormat="1" applyFont="1" applyFill="1" applyBorder="1" applyAlignment="1">
      <alignment horizontal="right"/>
    </xf>
    <xf numFmtId="182" fontId="22" fillId="5" borderId="0" xfId="0" applyNumberFormat="1" applyFont="1" applyFill="1"/>
    <xf numFmtId="182" fontId="15" fillId="5" borderId="0" xfId="0" applyNumberFormat="1" applyFont="1" applyFill="1"/>
    <xf numFmtId="187" fontId="10" fillId="0" borderId="0" xfId="0" applyNumberFormat="1" applyFont="1"/>
    <xf numFmtId="187" fontId="10" fillId="0" borderId="2" xfId="0" applyNumberFormat="1" applyFont="1" applyBorder="1"/>
    <xf numFmtId="187" fontId="10" fillId="0" borderId="10" xfId="0" applyNumberFormat="1" applyFont="1" applyBorder="1"/>
    <xf numFmtId="187" fontId="10" fillId="10" borderId="11" xfId="1" applyNumberFormat="1" applyFont="1" applyFill="1" applyBorder="1" applyAlignment="1">
      <alignment horizontal="right"/>
    </xf>
    <xf numFmtId="187" fontId="10" fillId="10" borderId="10" xfId="1" applyNumberFormat="1" applyFont="1" applyFill="1" applyBorder="1" applyAlignment="1">
      <alignment horizontal="right"/>
    </xf>
    <xf numFmtId="187" fontId="10" fillId="10" borderId="9" xfId="1" applyNumberFormat="1" applyFont="1" applyFill="1" applyBorder="1" applyAlignment="1">
      <alignment horizontal="right"/>
    </xf>
    <xf numFmtId="2" fontId="10" fillId="0" borderId="0" xfId="0" applyNumberFormat="1" applyFont="1"/>
    <xf numFmtId="181" fontId="10" fillId="10" borderId="2" xfId="0" applyNumberFormat="1" applyFont="1" applyFill="1" applyBorder="1"/>
    <xf numFmtId="181" fontId="10" fillId="10" borderId="7" xfId="0" applyNumberFormat="1" applyFont="1" applyFill="1" applyBorder="1"/>
    <xf numFmtId="9" fontId="15" fillId="10" borderId="24" xfId="0" applyNumberFormat="1" applyFont="1" applyFill="1" applyBorder="1"/>
    <xf numFmtId="9" fontId="15" fillId="10" borderId="25" xfId="0" applyNumberFormat="1" applyFont="1" applyFill="1" applyBorder="1"/>
    <xf numFmtId="9" fontId="15" fillId="10" borderId="14" xfId="0" applyNumberFormat="1" applyFont="1" applyFill="1" applyBorder="1"/>
    <xf numFmtId="187" fontId="10" fillId="10" borderId="1" xfId="0" applyNumberFormat="1" applyFont="1" applyFill="1" applyBorder="1" applyAlignment="1">
      <alignment horizontal="right"/>
    </xf>
    <xf numFmtId="187" fontId="10" fillId="10" borderId="3" xfId="0" applyNumberFormat="1" applyFont="1" applyFill="1" applyBorder="1" applyAlignment="1">
      <alignment horizontal="right"/>
    </xf>
    <xf numFmtId="187" fontId="10" fillId="10" borderId="4" xfId="0" applyNumberFormat="1" applyFont="1" applyFill="1" applyBorder="1" applyAlignment="1">
      <alignment horizontal="right"/>
    </xf>
    <xf numFmtId="187" fontId="10" fillId="10" borderId="5" xfId="0" applyNumberFormat="1" applyFont="1" applyFill="1" applyBorder="1" applyAlignment="1">
      <alignment horizontal="right"/>
    </xf>
    <xf numFmtId="187" fontId="10" fillId="0" borderId="7" xfId="0" applyNumberFormat="1" applyFont="1" applyBorder="1" applyAlignment="1">
      <alignment horizontal="right"/>
    </xf>
    <xf numFmtId="187" fontId="10" fillId="10" borderId="6" xfId="0" applyNumberFormat="1" applyFont="1" applyFill="1" applyBorder="1" applyAlignment="1">
      <alignment horizontal="right"/>
    </xf>
    <xf numFmtId="187" fontId="10" fillId="10" borderId="8" xfId="0" applyNumberFormat="1" applyFont="1" applyFill="1" applyBorder="1" applyAlignment="1">
      <alignment horizontal="right"/>
    </xf>
    <xf numFmtId="181" fontId="83" fillId="0" borderId="25" xfId="0" applyNumberFormat="1" applyFont="1" applyBorder="1"/>
    <xf numFmtId="181" fontId="10" fillId="8" borderId="7" xfId="0" applyNumberFormat="1" applyFont="1" applyFill="1" applyBorder="1"/>
    <xf numFmtId="184" fontId="12" fillId="0" borderId="0" xfId="1" applyNumberFormat="1" applyFont="1" applyBorder="1" applyAlignment="1"/>
    <xf numFmtId="184" fontId="12" fillId="10" borderId="0" xfId="0" applyNumberFormat="1" applyFont="1" applyFill="1"/>
    <xf numFmtId="185" fontId="83" fillId="0" borderId="0" xfId="1" applyNumberFormat="1" applyFont="1" applyAlignment="1"/>
    <xf numFmtId="181" fontId="10" fillId="10" borderId="13" xfId="1" applyNumberFormat="1" applyFont="1" applyFill="1" applyBorder="1" applyAlignment="1">
      <alignment horizontal="right"/>
    </xf>
    <xf numFmtId="182" fontId="15" fillId="0" borderId="0" xfId="2" applyNumberFormat="1" applyFont="1" applyBorder="1" applyAlignment="1">
      <alignment horizontal="right"/>
    </xf>
    <xf numFmtId="182" fontId="15" fillId="10" borderId="5" xfId="0" applyNumberFormat="1" applyFont="1" applyFill="1" applyBorder="1"/>
    <xf numFmtId="182" fontId="15" fillId="0" borderId="7" xfId="2" applyNumberFormat="1" applyFont="1" applyBorder="1" applyAlignment="1">
      <alignment horizontal="right"/>
    </xf>
    <xf numFmtId="182" fontId="15" fillId="10" borderId="7" xfId="0" applyNumberFormat="1" applyFont="1" applyFill="1" applyBorder="1"/>
    <xf numFmtId="182" fontId="15" fillId="10" borderId="8" xfId="0" applyNumberFormat="1" applyFont="1" applyFill="1" applyBorder="1"/>
    <xf numFmtId="185" fontId="12" fillId="22" borderId="0" xfId="1" applyNumberFormat="1" applyFont="1" applyFill="1" applyAlignment="1"/>
    <xf numFmtId="181" fontId="10" fillId="22" borderId="0" xfId="0" applyNumberFormat="1" applyFont="1" applyFill="1"/>
    <xf numFmtId="181" fontId="82" fillId="22" borderId="0" xfId="0" applyNumberFormat="1" applyFont="1" applyFill="1"/>
    <xf numFmtId="185" fontId="10" fillId="22" borderId="0" xfId="1" applyNumberFormat="1" applyFont="1" applyFill="1" applyAlignment="1"/>
    <xf numFmtId="186" fontId="82" fillId="0" borderId="0" xfId="0" applyNumberFormat="1" applyFont="1"/>
    <xf numFmtId="185" fontId="82" fillId="0" borderId="0" xfId="0" applyNumberFormat="1" applyFont="1"/>
    <xf numFmtId="180" fontId="12" fillId="0" borderId="0" xfId="5" applyNumberFormat="1" applyFont="1" applyFill="1">
      <alignment horizontal="right"/>
    </xf>
    <xf numFmtId="0" fontId="12" fillId="0" borderId="1" xfId="0" applyFont="1" applyBorder="1"/>
    <xf numFmtId="0" fontId="12" fillId="0" borderId="2" xfId="0" applyFont="1" applyBorder="1"/>
    <xf numFmtId="185" fontId="83" fillId="0" borderId="2" xfId="1" applyNumberFormat="1" applyFont="1" applyBorder="1" applyAlignment="1"/>
    <xf numFmtId="185" fontId="12" fillId="0" borderId="2" xfId="0" applyNumberFormat="1" applyFont="1" applyBorder="1"/>
    <xf numFmtId="185" fontId="12" fillId="0" borderId="3" xfId="0" applyNumberFormat="1" applyFont="1" applyBorder="1"/>
    <xf numFmtId="185" fontId="82" fillId="0" borderId="0" xfId="1" applyNumberFormat="1" applyFont="1" applyBorder="1" applyAlignment="1"/>
    <xf numFmtId="185" fontId="10" fillId="0" borderId="5" xfId="0" applyNumberFormat="1" applyFont="1" applyBorder="1"/>
    <xf numFmtId="0" fontId="12" fillId="0" borderId="4" xfId="0" applyFont="1" applyBorder="1"/>
    <xf numFmtId="185" fontId="83" fillId="0" borderId="0" xfId="1" applyNumberFormat="1" applyFont="1" applyBorder="1" applyAlignment="1"/>
    <xf numFmtId="185" fontId="12" fillId="0" borderId="5" xfId="0" applyNumberFormat="1" applyFont="1" applyBorder="1"/>
    <xf numFmtId="185" fontId="82" fillId="0" borderId="7" xfId="1" applyNumberFormat="1" applyFont="1" applyBorder="1" applyAlignment="1"/>
    <xf numFmtId="185" fontId="10" fillId="0" borderId="7" xfId="0" applyNumberFormat="1" applyFont="1" applyBorder="1"/>
    <xf numFmtId="185" fontId="10" fillId="0" borderId="8" xfId="0" applyNumberFormat="1" applyFont="1" applyBorder="1"/>
    <xf numFmtId="180" fontId="20" fillId="0" borderId="0" xfId="5" applyNumberFormat="1" applyFont="1" applyFill="1">
      <alignment horizontal="right"/>
    </xf>
    <xf numFmtId="0" fontId="20" fillId="0" borderId="1" xfId="0" applyFont="1" applyBorder="1"/>
    <xf numFmtId="0" fontId="20" fillId="0" borderId="2" xfId="0" applyFont="1" applyBorder="1"/>
    <xf numFmtId="9" fontId="20" fillId="0" borderId="2" xfId="2" applyFont="1" applyBorder="1" applyAlignment="1"/>
    <xf numFmtId="9" fontId="20" fillId="0" borderId="3" xfId="2" applyFont="1" applyBorder="1" applyAlignment="1"/>
    <xf numFmtId="0" fontId="99" fillId="0" borderId="0" xfId="0" applyFont="1"/>
    <xf numFmtId="0" fontId="20" fillId="0" borderId="4" xfId="0" applyFont="1" applyBorder="1"/>
    <xf numFmtId="9" fontId="20" fillId="0" borderId="0" xfId="2" applyFont="1" applyBorder="1" applyAlignment="1"/>
    <xf numFmtId="9" fontId="20" fillId="0" borderId="5" xfId="2" applyFont="1" applyBorder="1" applyAlignment="1"/>
    <xf numFmtId="194" fontId="15" fillId="0" borderId="2" xfId="1" applyNumberFormat="1" applyFont="1" applyBorder="1" applyAlignment="1"/>
    <xf numFmtId="194" fontId="15" fillId="0" borderId="3" xfId="1" applyNumberFormat="1" applyFont="1" applyBorder="1" applyAlignment="1"/>
    <xf numFmtId="194" fontId="15" fillId="0" borderId="0" xfId="1" applyNumberFormat="1" applyFont="1" applyBorder="1" applyAlignment="1"/>
    <xf numFmtId="194" fontId="15" fillId="0" borderId="5" xfId="1" applyNumberFormat="1" applyFont="1" applyBorder="1" applyAlignment="1"/>
    <xf numFmtId="194" fontId="15" fillId="10" borderId="0" xfId="1" applyNumberFormat="1" applyFont="1" applyFill="1" applyBorder="1" applyAlignment="1"/>
    <xf numFmtId="0" fontId="20" fillId="0" borderId="6" xfId="0" applyFont="1" applyBorder="1"/>
    <xf numFmtId="0" fontId="20" fillId="0" borderId="7" xfId="0" applyFont="1" applyBorder="1"/>
    <xf numFmtId="194" fontId="15" fillId="0" borderId="7" xfId="1" applyNumberFormat="1" applyFont="1" applyBorder="1" applyAlignment="1"/>
    <xf numFmtId="194" fontId="15" fillId="0" borderId="8" xfId="1" applyNumberFormat="1" applyFont="1" applyBorder="1" applyAlignment="1"/>
    <xf numFmtId="9" fontId="20" fillId="0" borderId="7" xfId="2" applyFont="1" applyBorder="1" applyAlignment="1"/>
    <xf numFmtId="0" fontId="100" fillId="0" borderId="0" xfId="0" applyFont="1"/>
    <xf numFmtId="0" fontId="34" fillId="0" borderId="0" xfId="0" applyFont="1"/>
    <xf numFmtId="0" fontId="34" fillId="0" borderId="0" xfId="0" applyFont="1" applyAlignment="1">
      <alignment horizontal="right"/>
    </xf>
    <xf numFmtId="0" fontId="34" fillId="2" borderId="0" xfId="0" applyFont="1" applyFill="1"/>
    <xf numFmtId="0" fontId="100" fillId="2" borderId="0" xfId="0" applyFont="1" applyFill="1"/>
    <xf numFmtId="0" fontId="102" fillId="0" borderId="0" xfId="0" applyFont="1"/>
    <xf numFmtId="220" fontId="103" fillId="0" borderId="0" xfId="34" applyNumberFormat="1" applyFont="1">
      <alignment horizontal="right" vertical="center"/>
    </xf>
    <xf numFmtId="220" fontId="104" fillId="0" borderId="0" xfId="34" applyNumberFormat="1" applyFont="1">
      <alignment horizontal="right" vertical="center"/>
    </xf>
    <xf numFmtId="220" fontId="105" fillId="0" borderId="0" xfId="34" applyNumberFormat="1" applyFont="1">
      <alignment horizontal="right" vertical="center"/>
    </xf>
    <xf numFmtId="220" fontId="106" fillId="0" borderId="0" xfId="34" applyNumberFormat="1" applyFont="1">
      <alignment horizontal="right" vertical="center"/>
    </xf>
    <xf numFmtId="0" fontId="34" fillId="3" borderId="0" xfId="0" applyFont="1" applyFill="1"/>
    <xf numFmtId="0" fontId="44" fillId="3" borderId="0" xfId="0" applyFont="1" applyFill="1"/>
    <xf numFmtId="0" fontId="107" fillId="3" borderId="0" xfId="0" applyFont="1" applyFill="1"/>
    <xf numFmtId="0" fontId="108" fillId="3" borderId="0" xfId="0" applyFont="1" applyFill="1" applyAlignment="1">
      <alignment horizontal="centerContinuous"/>
    </xf>
    <xf numFmtId="0" fontId="109" fillId="3" borderId="0" xfId="0" applyFont="1" applyFill="1" applyAlignment="1">
      <alignment horizontal="centerContinuous"/>
    </xf>
    <xf numFmtId="0" fontId="110" fillId="3" borderId="0" xfId="0" applyFont="1" applyFill="1" applyAlignment="1">
      <alignment horizontal="centerContinuous"/>
    </xf>
    <xf numFmtId="0" fontId="100" fillId="3" borderId="0" xfId="0" applyFont="1" applyFill="1"/>
    <xf numFmtId="221" fontId="107" fillId="3" borderId="0" xfId="0" applyNumberFormat="1" applyFont="1" applyFill="1"/>
    <xf numFmtId="221" fontId="107" fillId="3" borderId="0" xfId="0" applyNumberFormat="1" applyFont="1" applyFill="1" applyAlignment="1">
      <alignment horizontal="right"/>
    </xf>
    <xf numFmtId="222" fontId="107" fillId="3" borderId="0" xfId="0" applyNumberFormat="1" applyFont="1" applyFill="1"/>
    <xf numFmtId="221" fontId="107" fillId="3" borderId="0" xfId="0" applyNumberFormat="1" applyFont="1" applyFill="1" applyAlignment="1">
      <alignment horizontal="center"/>
    </xf>
    <xf numFmtId="0" fontId="111" fillId="3" borderId="0" xfId="0" applyFont="1" applyFill="1"/>
    <xf numFmtId="0" fontId="112" fillId="0" borderId="0" xfId="0" applyFont="1"/>
    <xf numFmtId="0" fontId="113" fillId="0" borderId="0" xfId="0" applyFont="1"/>
    <xf numFmtId="0" fontId="114" fillId="0" borderId="0" xfId="0" applyFont="1"/>
    <xf numFmtId="2" fontId="115" fillId="0" borderId="0" xfId="0" applyNumberFormat="1" applyFont="1"/>
    <xf numFmtId="2" fontId="116" fillId="0" borderId="0" xfId="0" applyNumberFormat="1" applyFont="1"/>
    <xf numFmtId="0" fontId="100" fillId="0" borderId="0" xfId="0" applyFont="1" applyAlignment="1">
      <alignment horizontal="right"/>
    </xf>
    <xf numFmtId="0" fontId="117" fillId="0" borderId="0" xfId="0" applyFont="1"/>
    <xf numFmtId="0" fontId="77" fillId="23" borderId="0" xfId="0" applyFont="1" applyFill="1"/>
    <xf numFmtId="0" fontId="118" fillId="23" borderId="0" xfId="0" applyFont="1" applyFill="1"/>
    <xf numFmtId="0" fontId="34" fillId="23" borderId="0" xfId="0" applyFont="1" applyFill="1"/>
    <xf numFmtId="219" fontId="113" fillId="0" borderId="0" xfId="35" applyNumberFormat="1" applyFont="1" applyFill="1" applyBorder="1" applyAlignment="1">
      <alignment horizontal="right" vertical="center"/>
    </xf>
    <xf numFmtId="0" fontId="35" fillId="0" borderId="0" xfId="0" applyFont="1"/>
    <xf numFmtId="0" fontId="119" fillId="0" borderId="2" xfId="0" applyFont="1" applyBorder="1"/>
    <xf numFmtId="219" fontId="119" fillId="0" borderId="2" xfId="35" applyNumberFormat="1" applyFont="1" applyFill="1" applyBorder="1" applyAlignment="1">
      <alignment horizontal="right" vertical="center"/>
    </xf>
    <xf numFmtId="0" fontId="119" fillId="0" borderId="0" xfId="0" applyFont="1"/>
    <xf numFmtId="219" fontId="119" fillId="0" borderId="0" xfId="35" applyNumberFormat="1" applyFont="1" applyFill="1" applyBorder="1" applyAlignment="1">
      <alignment horizontal="right" vertical="center"/>
    </xf>
    <xf numFmtId="219" fontId="116" fillId="21" borderId="26" xfId="35" applyNumberFormat="1" applyFont="1" applyAlignment="1">
      <alignment horizontal="right" vertical="center"/>
    </xf>
    <xf numFmtId="219" fontId="116" fillId="10" borderId="26" xfId="35" applyNumberFormat="1" applyFont="1" applyFill="1" applyAlignment="1">
      <alignment horizontal="right" vertical="center"/>
    </xf>
    <xf numFmtId="205" fontId="35" fillId="0" borderId="0" xfId="36" applyNumberFormat="1" applyFont="1"/>
    <xf numFmtId="219" fontId="34" fillId="24" borderId="0" xfId="0" applyNumberFormat="1" applyFont="1" applyFill="1" applyAlignment="1">
      <alignment horizontal="right" vertical="center"/>
    </xf>
    <xf numFmtId="219" fontId="119" fillId="0" borderId="0" xfId="0" applyNumberFormat="1" applyFont="1"/>
    <xf numFmtId="219" fontId="34" fillId="0" borderId="0" xfId="0" applyNumberFormat="1" applyFont="1"/>
    <xf numFmtId="9" fontId="116" fillId="21" borderId="26" xfId="37" applyFont="1" applyFill="1" applyBorder="1" applyAlignment="1">
      <alignment horizontal="right" vertical="center"/>
    </xf>
    <xf numFmtId="219" fontId="35" fillId="0" borderId="0" xfId="0" applyNumberFormat="1" applyFont="1"/>
    <xf numFmtId="185" fontId="113" fillId="0" borderId="0" xfId="1" applyNumberFormat="1" applyFont="1" applyAlignment="1"/>
    <xf numFmtId="219" fontId="122" fillId="0" borderId="0" xfId="0" applyNumberFormat="1" applyFont="1"/>
    <xf numFmtId="9" fontId="113" fillId="0" borderId="0" xfId="2" applyFont="1" applyAlignment="1"/>
    <xf numFmtId="219" fontId="123" fillId="0" borderId="0" xfId="0" applyNumberFormat="1" applyFont="1"/>
    <xf numFmtId="223" fontId="113" fillId="0" borderId="0" xfId="35" applyNumberFormat="1" applyFont="1" applyFill="1" applyBorder="1" applyAlignment="1">
      <alignment horizontal="right" vertical="center"/>
    </xf>
    <xf numFmtId="220" fontId="116" fillId="0" borderId="0" xfId="35" applyNumberFormat="1" applyFont="1" applyFill="1" applyBorder="1" applyAlignment="1">
      <alignment horizontal="right" vertical="center"/>
    </xf>
    <xf numFmtId="224" fontId="121" fillId="10" borderId="13" xfId="35" applyNumberFormat="1" applyFont="1" applyFill="1" applyBorder="1" applyAlignment="1">
      <alignment horizontal="right" vertical="center"/>
    </xf>
    <xf numFmtId="0" fontId="10" fillId="23" borderId="0" xfId="0" applyFont="1" applyFill="1"/>
    <xf numFmtId="0" fontId="113" fillId="23" borderId="0" xfId="0" applyFont="1" applyFill="1"/>
    <xf numFmtId="0" fontId="124" fillId="0" borderId="0" xfId="0" applyFont="1"/>
    <xf numFmtId="0" fontId="125" fillId="0" borderId="0" xfId="0" applyFont="1"/>
    <xf numFmtId="219" fontId="125" fillId="0" borderId="0" xfId="35" applyNumberFormat="1" applyFont="1" applyFill="1" applyBorder="1" applyAlignment="1">
      <alignment horizontal="right" vertical="center"/>
    </xf>
    <xf numFmtId="0" fontId="126" fillId="0" borderId="0" xfId="0" applyFont="1"/>
    <xf numFmtId="219" fontId="120" fillId="21" borderId="26" xfId="35" applyNumberFormat="1" applyFont="1" applyAlignment="1">
      <alignment horizontal="right" vertical="center"/>
    </xf>
    <xf numFmtId="219" fontId="116" fillId="24" borderId="0" xfId="0" applyNumberFormat="1" applyFont="1" applyFill="1" applyAlignment="1">
      <alignment horizontal="right" vertical="center"/>
    </xf>
    <xf numFmtId="219" fontId="112" fillId="24" borderId="0" xfId="0" applyNumberFormat="1" applyFont="1" applyFill="1" applyAlignment="1">
      <alignment horizontal="right" vertical="center"/>
    </xf>
    <xf numFmtId="9" fontId="116" fillId="21" borderId="0" xfId="37" applyFont="1" applyFill="1" applyBorder="1" applyAlignment="1">
      <alignment horizontal="right" vertical="center"/>
    </xf>
    <xf numFmtId="0" fontId="127" fillId="0" borderId="0" xfId="0" applyFont="1"/>
    <xf numFmtId="219" fontId="122" fillId="18" borderId="0" xfId="0" applyNumberFormat="1" applyFont="1" applyFill="1"/>
    <xf numFmtId="9" fontId="113" fillId="18" borderId="0" xfId="2" applyFont="1" applyFill="1" applyAlignment="1"/>
    <xf numFmtId="9" fontId="121" fillId="10" borderId="13" xfId="2" applyFont="1" applyFill="1" applyBorder="1" applyAlignment="1">
      <alignment horizontal="right" vertical="center"/>
    </xf>
    <xf numFmtId="224" fontId="116" fillId="0" borderId="0" xfId="35" applyNumberFormat="1" applyFont="1" applyFill="1" applyBorder="1" applyAlignment="1">
      <alignment horizontal="right" vertical="center"/>
    </xf>
    <xf numFmtId="219" fontId="121" fillId="0" borderId="0" xfId="35" applyNumberFormat="1" applyFont="1" applyFill="1" applyBorder="1" applyAlignment="1">
      <alignment horizontal="right" vertical="center"/>
    </xf>
    <xf numFmtId="185" fontId="121" fillId="0" borderId="0" xfId="1" applyNumberFormat="1" applyFont="1" applyAlignment="1"/>
    <xf numFmtId="224" fontId="113" fillId="0" borderId="0" xfId="35" applyNumberFormat="1" applyFont="1" applyFill="1" applyBorder="1" applyAlignment="1">
      <alignment horizontal="right" vertical="center"/>
    </xf>
    <xf numFmtId="0" fontId="121" fillId="10" borderId="13" xfId="0" applyFont="1" applyFill="1" applyBorder="1"/>
    <xf numFmtId="9" fontId="121" fillId="10" borderId="24" xfId="2" applyFont="1" applyFill="1" applyBorder="1" applyAlignment="1">
      <alignment horizontal="right" vertical="center"/>
    </xf>
    <xf numFmtId="224" fontId="121" fillId="10" borderId="24" xfId="35" applyNumberFormat="1" applyFont="1" applyFill="1" applyBorder="1" applyAlignment="1">
      <alignment horizontal="right" vertical="center"/>
    </xf>
    <xf numFmtId="219" fontId="119" fillId="5" borderId="0" xfId="0" applyNumberFormat="1" applyFont="1" applyFill="1"/>
    <xf numFmtId="0" fontId="35" fillId="5" borderId="0" xfId="0" applyFont="1" applyFill="1"/>
    <xf numFmtId="9" fontId="121" fillId="5" borderId="0" xfId="2" applyFont="1" applyFill="1" applyBorder="1" applyAlignment="1">
      <alignment horizontal="right" vertical="center"/>
    </xf>
    <xf numFmtId="219" fontId="122" fillId="5" borderId="0" xfId="0" applyNumberFormat="1" applyFont="1" applyFill="1"/>
    <xf numFmtId="219" fontId="123" fillId="5" borderId="0" xfId="0" applyNumberFormat="1" applyFont="1" applyFill="1"/>
    <xf numFmtId="0" fontId="34" fillId="5" borderId="0" xfId="0" applyFont="1" applyFill="1"/>
    <xf numFmtId="219" fontId="113" fillId="5" borderId="0" xfId="35" applyNumberFormat="1" applyFont="1" applyFill="1" applyBorder="1" applyAlignment="1">
      <alignment horizontal="right" vertical="center"/>
    </xf>
    <xf numFmtId="224" fontId="121" fillId="5" borderId="0" xfId="35" applyNumberFormat="1" applyFont="1" applyFill="1" applyBorder="1" applyAlignment="1">
      <alignment horizontal="right" vertical="center"/>
    </xf>
    <xf numFmtId="185" fontId="121" fillId="10" borderId="13" xfId="1" applyNumberFormat="1" applyFont="1" applyFill="1" applyBorder="1" applyAlignment="1"/>
    <xf numFmtId="0" fontId="128" fillId="0" borderId="0" xfId="0" applyFont="1"/>
    <xf numFmtId="219" fontId="128" fillId="0" borderId="0" xfId="0" applyNumberFormat="1" applyFont="1"/>
    <xf numFmtId="185" fontId="34" fillId="0" borderId="0" xfId="1" applyNumberFormat="1" applyFont="1" applyAlignment="1"/>
    <xf numFmtId="219" fontId="116" fillId="8" borderId="26" xfId="35" applyNumberFormat="1" applyFont="1" applyFill="1" applyAlignment="1">
      <alignment horizontal="right" vertical="center"/>
    </xf>
    <xf numFmtId="0" fontId="9" fillId="2" borderId="0" xfId="0" applyFont="1" applyFill="1"/>
    <xf numFmtId="0" fontId="24" fillId="2" borderId="0" xfId="0" applyFont="1" applyFill="1"/>
    <xf numFmtId="181" fontId="12" fillId="25" borderId="0" xfId="0" applyNumberFormat="1" applyFont="1" applyFill="1"/>
    <xf numFmtId="181" fontId="10" fillId="25" borderId="0" xfId="0" applyNumberFormat="1" applyFont="1" applyFill="1"/>
    <xf numFmtId="181" fontId="10" fillId="25" borderId="10" xfId="0" applyNumberFormat="1" applyFont="1" applyFill="1" applyBorder="1"/>
    <xf numFmtId="181" fontId="83" fillId="25" borderId="0" xfId="0" applyNumberFormat="1" applyFont="1" applyFill="1"/>
    <xf numFmtId="185" fontId="82" fillId="0" borderId="0" xfId="1" applyNumberFormat="1" applyFont="1" applyFill="1" applyAlignment="1">
      <alignment horizontal="right"/>
    </xf>
    <xf numFmtId="185" fontId="10" fillId="0" borderId="0" xfId="1" applyNumberFormat="1" applyFont="1" applyFill="1" applyAlignment="1">
      <alignment horizontal="right"/>
    </xf>
    <xf numFmtId="43" fontId="12" fillId="5" borderId="0" xfId="1" applyFont="1" applyFill="1" applyAlignment="1">
      <alignment horizontal="right"/>
    </xf>
    <xf numFmtId="185" fontId="83" fillId="0" borderId="0" xfId="1" applyNumberFormat="1" applyFont="1" applyFill="1" applyAlignment="1">
      <alignment horizontal="right"/>
    </xf>
    <xf numFmtId="185" fontId="83" fillId="5" borderId="0" xfId="1" applyNumberFormat="1" applyFont="1" applyFill="1" applyAlignment="1">
      <alignment horizontal="right"/>
    </xf>
    <xf numFmtId="43" fontId="12" fillId="5" borderId="0" xfId="1" applyFont="1" applyFill="1" applyAlignment="1"/>
    <xf numFmtId="9" fontId="83" fillId="0" borderId="0" xfId="0" applyNumberFormat="1" applyFont="1"/>
    <xf numFmtId="184" fontId="10" fillId="0" borderId="2" xfId="0" applyNumberFormat="1" applyFont="1" applyBorder="1" applyAlignment="1">
      <alignment horizontal="right"/>
    </xf>
    <xf numFmtId="184" fontId="82" fillId="18" borderId="2" xfId="0" applyNumberFormat="1" applyFont="1" applyFill="1" applyBorder="1"/>
    <xf numFmtId="184" fontId="10" fillId="0" borderId="7" xfId="0" applyNumberFormat="1" applyFont="1" applyBorder="1" applyAlignment="1">
      <alignment horizontal="right"/>
    </xf>
    <xf numFmtId="184" fontId="82" fillId="18" borderId="7" xfId="0" applyNumberFormat="1" applyFont="1" applyFill="1" applyBorder="1"/>
    <xf numFmtId="185" fontId="10" fillId="10" borderId="2" xfId="1" applyNumberFormat="1" applyFont="1" applyFill="1" applyBorder="1" applyAlignment="1">
      <alignment horizontal="right"/>
    </xf>
    <xf numFmtId="185" fontId="10" fillId="10" borderId="3" xfId="1" applyNumberFormat="1" applyFont="1" applyFill="1" applyBorder="1" applyAlignment="1">
      <alignment horizontal="right"/>
    </xf>
    <xf numFmtId="185" fontId="10" fillId="10" borderId="0" xfId="1" applyNumberFormat="1" applyFont="1" applyFill="1" applyBorder="1" applyAlignment="1">
      <alignment horizontal="right"/>
    </xf>
    <xf numFmtId="185" fontId="10" fillId="10" borderId="5" xfId="1" applyNumberFormat="1" applyFont="1" applyFill="1" applyBorder="1" applyAlignment="1">
      <alignment horizontal="right"/>
    </xf>
    <xf numFmtId="185" fontId="10" fillId="10" borderId="7" xfId="1" applyNumberFormat="1" applyFont="1" applyFill="1" applyBorder="1" applyAlignment="1">
      <alignment horizontal="right"/>
    </xf>
    <xf numFmtId="185" fontId="10" fillId="10" borderId="8" xfId="1" applyNumberFormat="1" applyFont="1" applyFill="1" applyBorder="1" applyAlignment="1">
      <alignment horizontal="right"/>
    </xf>
    <xf numFmtId="224" fontId="121" fillId="0" borderId="0" xfId="35" applyNumberFormat="1" applyFont="1" applyFill="1" applyBorder="1" applyAlignment="1">
      <alignment horizontal="right" vertical="center"/>
    </xf>
    <xf numFmtId="185" fontId="121" fillId="0" borderId="0" xfId="1" applyNumberFormat="1" applyFont="1" applyFill="1" applyAlignment="1"/>
    <xf numFmtId="185" fontId="113" fillId="0" borderId="0" xfId="1" applyNumberFormat="1" applyFont="1" applyFill="1" applyAlignment="1"/>
    <xf numFmtId="0" fontId="113" fillId="0" borderId="0" xfId="35" applyNumberFormat="1" applyFont="1" applyFill="1" applyBorder="1" applyAlignment="1">
      <alignment horizontal="right" vertical="center"/>
    </xf>
    <xf numFmtId="185" fontId="12" fillId="0" borderId="0" xfId="1" applyNumberFormat="1" applyFont="1" applyFill="1" applyAlignment="1">
      <alignment horizontal="right"/>
    </xf>
    <xf numFmtId="185" fontId="10" fillId="18" borderId="0" xfId="1" applyNumberFormat="1" applyFont="1" applyFill="1" applyAlignment="1">
      <alignment horizontal="right"/>
    </xf>
    <xf numFmtId="185" fontId="82" fillId="10" borderId="0" xfId="1" applyNumberFormat="1" applyFont="1" applyFill="1" applyAlignment="1">
      <alignment horizontal="right"/>
    </xf>
    <xf numFmtId="43" fontId="10" fillId="0" borderId="0" xfId="1" applyFont="1" applyFill="1" applyAlignment="1">
      <alignment horizontal="left"/>
    </xf>
    <xf numFmtId="43" fontId="10" fillId="0" borderId="0" xfId="1" applyFont="1" applyFill="1" applyAlignment="1">
      <alignment horizontal="right"/>
    </xf>
    <xf numFmtId="43" fontId="10" fillId="0" borderId="0" xfId="1" applyFont="1" applyFill="1" applyAlignment="1"/>
    <xf numFmtId="43" fontId="12" fillId="0" borderId="0" xfId="1" applyFont="1" applyFill="1" applyAlignment="1">
      <alignment horizontal="left"/>
    </xf>
    <xf numFmtId="184" fontId="75" fillId="0" borderId="0" xfId="1" applyNumberFormat="1" applyFont="1" applyFill="1" applyBorder="1" applyAlignment="1"/>
    <xf numFmtId="181" fontId="82" fillId="10" borderId="3" xfId="0" applyNumberFormat="1" applyFont="1" applyFill="1" applyBorder="1"/>
    <xf numFmtId="181" fontId="82" fillId="10" borderId="5" xfId="0" applyNumberFormat="1" applyFont="1" applyFill="1" applyBorder="1"/>
    <xf numFmtId="181" fontId="82" fillId="10" borderId="8" xfId="0" applyNumberFormat="1" applyFont="1" applyFill="1" applyBorder="1"/>
    <xf numFmtId="184" fontId="129" fillId="0" borderId="0" xfId="1" applyNumberFormat="1" applyFont="1" applyFill="1" applyBorder="1" applyAlignment="1"/>
    <xf numFmtId="184" fontId="130" fillId="0" borderId="0" xfId="1" applyNumberFormat="1" applyFont="1" applyFill="1" applyBorder="1" applyAlignment="1"/>
    <xf numFmtId="182" fontId="15" fillId="0" borderId="5" xfId="0" applyNumberFormat="1" applyFont="1" applyBorder="1"/>
    <xf numFmtId="182" fontId="15" fillId="11" borderId="0" xfId="2" applyNumberFormat="1" applyFont="1" applyFill="1" applyBorder="1" applyAlignment="1">
      <alignment horizontal="right"/>
    </xf>
    <xf numFmtId="182" fontId="15" fillId="11" borderId="7" xfId="2" applyNumberFormat="1" applyFont="1" applyFill="1" applyBorder="1" applyAlignment="1">
      <alignment horizontal="right"/>
    </xf>
    <xf numFmtId="182" fontId="15" fillId="11" borderId="2" xfId="0" applyNumberFormat="1" applyFont="1" applyFill="1" applyBorder="1"/>
    <xf numFmtId="182" fontId="15" fillId="11" borderId="0" xfId="0" applyNumberFormat="1" applyFont="1" applyFill="1"/>
    <xf numFmtId="182" fontId="15" fillId="11" borderId="7" xfId="0" applyNumberFormat="1" applyFont="1" applyFill="1" applyBorder="1"/>
    <xf numFmtId="181" fontId="82" fillId="5" borderId="0" xfId="0" applyNumberFormat="1" applyFont="1" applyFill="1"/>
    <xf numFmtId="181" fontId="82" fillId="5" borderId="10" xfId="0" applyNumberFormat="1" applyFont="1" applyFill="1" applyBorder="1"/>
    <xf numFmtId="218" fontId="10" fillId="10" borderId="11" xfId="1" applyNumberFormat="1" applyFont="1" applyFill="1" applyBorder="1" applyAlignment="1"/>
    <xf numFmtId="218" fontId="10" fillId="10" borderId="10" xfId="1" applyNumberFormat="1" applyFont="1" applyFill="1" applyBorder="1" applyAlignment="1"/>
    <xf numFmtId="218" fontId="10" fillId="10" borderId="9" xfId="1" applyNumberFormat="1" applyFont="1" applyFill="1" applyBorder="1" applyAlignment="1"/>
    <xf numFmtId="218" fontId="10" fillId="18" borderId="0" xfId="0" applyNumberFormat="1" applyFont="1" applyFill="1"/>
    <xf numFmtId="0" fontId="24" fillId="6" borderId="0" xfId="0" applyFont="1" applyFill="1"/>
    <xf numFmtId="218" fontId="10" fillId="10" borderId="0" xfId="0" applyNumberFormat="1" applyFont="1" applyFill="1"/>
    <xf numFmtId="9" fontId="15" fillId="0" borderId="0" xfId="2" applyFont="1" applyFill="1" applyBorder="1" applyAlignment="1">
      <alignment horizontal="right"/>
    </xf>
    <xf numFmtId="9" fontId="15" fillId="0" borderId="7" xfId="2" applyFont="1" applyFill="1" applyBorder="1" applyAlignment="1">
      <alignment horizontal="right"/>
    </xf>
    <xf numFmtId="9" fontId="16" fillId="10" borderId="0" xfId="2" applyFont="1" applyFill="1" applyAlignment="1"/>
    <xf numFmtId="9" fontId="15" fillId="10" borderId="13" xfId="2" applyFont="1" applyFill="1" applyBorder="1" applyAlignment="1"/>
    <xf numFmtId="182" fontId="15" fillId="10" borderId="5" xfId="2" applyNumberFormat="1" applyFont="1" applyFill="1" applyBorder="1" applyAlignment="1"/>
    <xf numFmtId="218" fontId="82" fillId="0" borderId="0" xfId="0" applyNumberFormat="1" applyFont="1"/>
    <xf numFmtId="218" fontId="10" fillId="18" borderId="2" xfId="0" applyNumberFormat="1" applyFont="1" applyFill="1" applyBorder="1"/>
    <xf numFmtId="218" fontId="10" fillId="18" borderId="7" xfId="0" applyNumberFormat="1" applyFont="1" applyFill="1" applyBorder="1"/>
    <xf numFmtId="218" fontId="10" fillId="18" borderId="10" xfId="0" applyNumberFormat="1" applyFont="1" applyFill="1" applyBorder="1"/>
    <xf numFmtId="185" fontId="12" fillId="18" borderId="0" xfId="1" applyNumberFormat="1" applyFont="1" applyFill="1" applyBorder="1" applyAlignment="1"/>
    <xf numFmtId="218" fontId="10" fillId="18" borderId="2" xfId="0" applyNumberFormat="1" applyFont="1" applyFill="1" applyBorder="1" applyAlignment="1">
      <alignment horizontal="right"/>
    </xf>
    <xf numFmtId="218" fontId="10" fillId="18" borderId="0" xfId="0" applyNumberFormat="1" applyFont="1" applyFill="1" applyAlignment="1">
      <alignment horizontal="right"/>
    </xf>
    <xf numFmtId="218" fontId="10" fillId="18" borderId="10" xfId="0" applyNumberFormat="1" applyFont="1" applyFill="1" applyBorder="1" applyAlignment="1">
      <alignment horizontal="right"/>
    </xf>
    <xf numFmtId="9" fontId="10" fillId="0" borderId="10" xfId="2" applyFont="1" applyFill="1" applyBorder="1" applyAlignment="1"/>
    <xf numFmtId="218" fontId="10" fillId="18" borderId="7" xfId="0" applyNumberFormat="1" applyFont="1" applyFill="1" applyBorder="1" applyAlignment="1">
      <alignment horizontal="right"/>
    </xf>
    <xf numFmtId="182" fontId="15" fillId="0" borderId="10" xfId="0" applyNumberFormat="1" applyFont="1" applyBorder="1"/>
    <xf numFmtId="185" fontId="12" fillId="5" borderId="0" xfId="1" applyNumberFormat="1" applyFont="1" applyFill="1" applyBorder="1" applyAlignment="1"/>
    <xf numFmtId="182" fontId="15" fillId="5" borderId="10" xfId="0" applyNumberFormat="1" applyFont="1" applyFill="1" applyBorder="1"/>
    <xf numFmtId="218" fontId="10" fillId="11" borderId="2" xfId="0" applyNumberFormat="1" applyFont="1" applyFill="1" applyBorder="1" applyAlignment="1">
      <alignment horizontal="right"/>
    </xf>
    <xf numFmtId="218" fontId="10" fillId="11" borderId="0" xfId="0" applyNumberFormat="1" applyFont="1" applyFill="1" applyAlignment="1">
      <alignment horizontal="right"/>
    </xf>
    <xf numFmtId="218" fontId="10" fillId="11" borderId="10" xfId="0" applyNumberFormat="1" applyFont="1" applyFill="1" applyBorder="1" applyAlignment="1">
      <alignment horizontal="right"/>
    </xf>
    <xf numFmtId="185" fontId="83" fillId="0" borderId="0" xfId="0" applyNumberFormat="1" applyFont="1"/>
    <xf numFmtId="185" fontId="14" fillId="0" borderId="0" xfId="1" applyNumberFormat="1" applyFont="1" applyAlignment="1"/>
    <xf numFmtId="185" fontId="14" fillId="0" borderId="10" xfId="1" applyNumberFormat="1" applyFont="1" applyBorder="1" applyAlignment="1"/>
    <xf numFmtId="0" fontId="82" fillId="0" borderId="0" xfId="6" applyFont="1"/>
    <xf numFmtId="181" fontId="82" fillId="10" borderId="0" xfId="6" applyNumberFormat="1" applyFont="1" applyFill="1"/>
    <xf numFmtId="185" fontId="82" fillId="0" borderId="0" xfId="1" applyNumberFormat="1" applyFont="1" applyAlignment="1"/>
    <xf numFmtId="185" fontId="14" fillId="0" borderId="0" xfId="1" applyNumberFormat="1" applyFont="1" applyFill="1" applyBorder="1" applyAlignment="1"/>
    <xf numFmtId="185" fontId="14" fillId="0" borderId="0" xfId="1" applyNumberFormat="1" applyFont="1" applyFill="1" applyAlignment="1">
      <alignment horizontal="right"/>
    </xf>
    <xf numFmtId="182" fontId="15" fillId="25" borderId="0" xfId="2" applyNumberFormat="1" applyFont="1" applyFill="1" applyAlignment="1"/>
    <xf numFmtId="181" fontId="82" fillId="0" borderId="0" xfId="6" applyNumberFormat="1" applyFont="1"/>
    <xf numFmtId="0" fontId="42" fillId="0" borderId="0" xfId="6" applyFont="1"/>
    <xf numFmtId="181" fontId="42" fillId="0" borderId="0" xfId="6" applyNumberFormat="1" applyFont="1"/>
    <xf numFmtId="185" fontId="13" fillId="0" borderId="0" xfId="1" applyNumberFormat="1" applyFont="1" applyFill="1" applyAlignment="1">
      <alignment horizontal="right"/>
    </xf>
    <xf numFmtId="0" fontId="82" fillId="10" borderId="0" xfId="0" applyFont="1" applyFill="1"/>
    <xf numFmtId="0" fontId="82" fillId="10" borderId="10" xfId="0" applyFont="1" applyFill="1" applyBorder="1"/>
    <xf numFmtId="181" fontId="82" fillId="10" borderId="10" xfId="0" applyNumberFormat="1" applyFont="1" applyFill="1" applyBorder="1"/>
    <xf numFmtId="0" fontId="3" fillId="0" borderId="0" xfId="6" applyFont="1" applyFill="1"/>
    <xf numFmtId="0" fontId="10" fillId="0" borderId="0" xfId="6" applyFont="1" applyFill="1"/>
    <xf numFmtId="181" fontId="14" fillId="18" borderId="0" xfId="0" applyNumberFormat="1" applyFont="1" applyFill="1"/>
    <xf numFmtId="181" fontId="14" fillId="0" borderId="0" xfId="0" applyNumberFormat="1" applyFont="1" applyFill="1"/>
    <xf numFmtId="0" fontId="44" fillId="0" borderId="16" xfId="6" applyFont="1" applyBorder="1"/>
    <xf numFmtId="0" fontId="44" fillId="0" borderId="5" xfId="6" applyFont="1" applyBorder="1"/>
    <xf numFmtId="185" fontId="12" fillId="0" borderId="0" xfId="6" applyNumberFormat="1" applyFont="1"/>
    <xf numFmtId="0" fontId="10" fillId="10" borderId="0" xfId="6" applyFont="1" applyFill="1"/>
    <xf numFmtId="181" fontId="10" fillId="0" borderId="0" xfId="6" applyNumberFormat="1" applyFont="1" applyBorder="1"/>
    <xf numFmtId="177" fontId="11" fillId="0" borderId="0" xfId="3" applyNumberFormat="1" applyFont="1" applyBorder="1" applyAlignment="1">
      <alignment horizontal="center" vertical="center"/>
    </xf>
    <xf numFmtId="43" fontId="22" fillId="5" borderId="0" xfId="1" applyFont="1" applyFill="1" applyBorder="1" applyAlignment="1">
      <alignment horizontal="right"/>
    </xf>
    <xf numFmtId="181" fontId="14" fillId="0" borderId="0" xfId="6" applyNumberFormat="1" applyFont="1" applyBorder="1"/>
    <xf numFmtId="181" fontId="12" fillId="0" borderId="0" xfId="6" applyNumberFormat="1" applyFont="1" applyBorder="1"/>
    <xf numFmtId="0" fontId="3" fillId="0" borderId="0" xfId="6" applyFont="1" applyBorder="1"/>
    <xf numFmtId="0" fontId="44" fillId="0" borderId="0" xfId="6" applyFont="1" applyBorder="1"/>
    <xf numFmtId="181" fontId="14" fillId="0" borderId="16" xfId="6" applyNumberFormat="1" applyFont="1" applyBorder="1"/>
    <xf numFmtId="0" fontId="82" fillId="0" borderId="16" xfId="6" applyFont="1" applyBorder="1"/>
    <xf numFmtId="0" fontId="82" fillId="0" borderId="16" xfId="6" quotePrefix="1" applyFont="1" applyBorder="1"/>
    <xf numFmtId="181" fontId="14" fillId="5" borderId="0" xfId="0" applyNumberFormat="1" applyFont="1" applyFill="1"/>
    <xf numFmtId="176" fontId="9" fillId="3" borderId="0" xfId="5" applyFont="1" applyBorder="1">
      <alignment horizontal="right"/>
    </xf>
    <xf numFmtId="180" fontId="9" fillId="3" borderId="0" xfId="5" applyNumberFormat="1" applyFont="1" applyBorder="1">
      <alignment horizontal="right"/>
    </xf>
    <xf numFmtId="178" fontId="9" fillId="3" borderId="0" xfId="5" applyNumberFormat="1" applyFont="1" applyBorder="1">
      <alignment horizontal="right"/>
    </xf>
    <xf numFmtId="181" fontId="82" fillId="10" borderId="0" xfId="6" applyNumberFormat="1" applyFont="1" applyFill="1" applyBorder="1"/>
    <xf numFmtId="43" fontId="22" fillId="5" borderId="5" xfId="1" applyFont="1" applyFill="1" applyBorder="1" applyAlignment="1">
      <alignment horizontal="right"/>
    </xf>
    <xf numFmtId="185" fontId="12" fillId="5" borderId="0" xfId="1" applyNumberFormat="1" applyFont="1" applyFill="1" applyAlignment="1"/>
    <xf numFmtId="0" fontId="44" fillId="0" borderId="0" xfId="6" applyFont="1" applyFill="1"/>
    <xf numFmtId="185" fontId="3" fillId="0" borderId="0" xfId="1" applyNumberFormat="1" applyFont="1" applyFill="1" applyAlignment="1"/>
    <xf numFmtId="185" fontId="3" fillId="0" borderId="0" xfId="6" applyNumberFormat="1" applyFont="1" applyFill="1"/>
    <xf numFmtId="183" fontId="10" fillId="0" borderId="0" xfId="6" applyNumberFormat="1" applyFont="1" applyFill="1"/>
    <xf numFmtId="184" fontId="12" fillId="5" borderId="0" xfId="1" applyNumberFormat="1" applyFont="1" applyFill="1" applyAlignment="1">
      <alignment horizontal="right"/>
    </xf>
    <xf numFmtId="184" fontId="10" fillId="0" borderId="0" xfId="1" applyNumberFormat="1" applyFont="1" applyFill="1" applyAlignment="1">
      <alignment horizontal="right"/>
    </xf>
    <xf numFmtId="184" fontId="82" fillId="10" borderId="0" xfId="1" applyNumberFormat="1" applyFont="1" applyFill="1" applyAlignment="1">
      <alignment horizontal="right"/>
    </xf>
    <xf numFmtId="184" fontId="82" fillId="0" borderId="0" xfId="1" applyNumberFormat="1" applyFont="1" applyFill="1" applyAlignment="1">
      <alignment horizontal="right"/>
    </xf>
    <xf numFmtId="9" fontId="121" fillId="0" borderId="0" xfId="2" applyFont="1" applyAlignment="1"/>
    <xf numFmtId="219" fontId="122" fillId="0" borderId="0" xfId="0" applyNumberFormat="1" applyFont="1" applyFill="1"/>
    <xf numFmtId="219" fontId="119" fillId="0" borderId="0" xfId="0" applyNumberFormat="1" applyFont="1" applyFill="1"/>
    <xf numFmtId="43" fontId="75" fillId="0" borderId="0" xfId="1" applyFont="1" applyAlignment="1"/>
    <xf numFmtId="9" fontId="113" fillId="0" borderId="0" xfId="2" applyFont="1" applyFill="1" applyAlignment="1"/>
    <xf numFmtId="223" fontId="121" fillId="10" borderId="13" xfId="35" applyNumberFormat="1" applyFont="1" applyFill="1" applyBorder="1" applyAlignment="1">
      <alignment horizontal="right" vertical="center"/>
    </xf>
    <xf numFmtId="9" fontId="121" fillId="0" borderId="0" xfId="2" applyFont="1" applyFill="1" applyAlignment="1"/>
    <xf numFmtId="194" fontId="113" fillId="0" borderId="0" xfId="0" applyNumberFormat="1" applyFont="1" applyFill="1"/>
    <xf numFmtId="0" fontId="34" fillId="0" borderId="0" xfId="0" applyFont="1" applyFill="1"/>
    <xf numFmtId="204" fontId="42" fillId="0" borderId="0" xfId="1" applyNumberFormat="1" applyFont="1" applyAlignment="1"/>
    <xf numFmtId="204" fontId="42" fillId="0" borderId="16" xfId="1" applyNumberFormat="1" applyFont="1" applyBorder="1" applyAlignment="1"/>
    <xf numFmtId="204" fontId="42" fillId="0" borderId="5" xfId="1" applyNumberFormat="1" applyFont="1" applyBorder="1" applyAlignment="1"/>
    <xf numFmtId="204" fontId="42" fillId="0" borderId="0" xfId="1" applyNumberFormat="1" applyFont="1" applyBorder="1" applyAlignment="1"/>
    <xf numFmtId="43" fontId="12" fillId="5" borderId="0" xfId="1" applyNumberFormat="1" applyFont="1" applyFill="1" applyAlignment="1"/>
    <xf numFmtId="219" fontId="119" fillId="18" borderId="0" xfId="0" applyNumberFormat="1" applyFont="1" applyFill="1"/>
    <xf numFmtId="0" fontId="3" fillId="0" borderId="0" xfId="0" applyFont="1" applyFill="1"/>
    <xf numFmtId="0" fontId="12" fillId="0" borderId="0" xfId="0" applyFont="1" applyFill="1"/>
    <xf numFmtId="182" fontId="15" fillId="0" borderId="0" xfId="2" applyNumberFormat="1" applyFont="1" applyFill="1" applyAlignment="1">
      <alignment horizontal="right"/>
    </xf>
    <xf numFmtId="182" fontId="20" fillId="0" borderId="0" xfId="2" applyNumberFormat="1" applyFont="1" applyAlignment="1">
      <alignment horizontal="right"/>
    </xf>
    <xf numFmtId="185" fontId="10" fillId="0" borderId="0" xfId="0" applyNumberFormat="1" applyFont="1" applyFill="1"/>
    <xf numFmtId="9" fontId="15" fillId="10" borderId="0" xfId="2" applyFont="1" applyFill="1" applyAlignment="1"/>
    <xf numFmtId="9" fontId="22" fillId="10" borderId="0" xfId="0" applyNumberFormat="1" applyFont="1" applyFill="1"/>
    <xf numFmtId="0" fontId="10" fillId="0" borderId="0" xfId="0" applyFont="1" applyFill="1" applyBorder="1"/>
    <xf numFmtId="0" fontId="10" fillId="0" borderId="0" xfId="0" applyFont="1" applyBorder="1"/>
    <xf numFmtId="0" fontId="3" fillId="0" borderId="0" xfId="0" applyFont="1" applyBorder="1"/>
    <xf numFmtId="0" fontId="12" fillId="0" borderId="0" xfId="0" applyFont="1" applyBorder="1"/>
    <xf numFmtId="0" fontId="12" fillId="0" borderId="0" xfId="0" applyFont="1" applyFill="1" applyBorder="1"/>
    <xf numFmtId="179" fontId="9" fillId="0" borderId="0" xfId="5" applyNumberFormat="1" applyFont="1" applyFill="1">
      <alignment horizontal="right"/>
    </xf>
    <xf numFmtId="178" fontId="9" fillId="0" borderId="0" xfId="5" applyNumberFormat="1" applyFont="1" applyFill="1">
      <alignment horizontal="right"/>
    </xf>
    <xf numFmtId="180" fontId="9" fillId="0" borderId="0" xfId="5" applyNumberFormat="1" applyFont="1" applyFill="1">
      <alignment horizontal="right"/>
    </xf>
    <xf numFmtId="219" fontId="119" fillId="0" borderId="0" xfId="0" applyNumberFormat="1" applyFont="1" applyAlignment="1">
      <alignment horizontal="right"/>
    </xf>
    <xf numFmtId="0" fontId="15" fillId="0" borderId="0" xfId="0" applyFont="1" applyBorder="1"/>
    <xf numFmtId="9" fontId="125" fillId="0" borderId="0" xfId="2" applyFont="1" applyAlignment="1">
      <alignment horizontal="right"/>
    </xf>
    <xf numFmtId="0" fontId="133" fillId="0" borderId="0" xfId="0" applyFont="1" applyBorder="1"/>
    <xf numFmtId="215" fontId="13" fillId="25" borderId="0" xfId="1" applyNumberFormat="1" applyFont="1" applyFill="1" applyBorder="1" applyAlignment="1">
      <alignment horizontal="right" vertical="center" wrapText="1"/>
    </xf>
    <xf numFmtId="182" fontId="3" fillId="0" borderId="2" xfId="0" applyNumberFormat="1" applyFont="1" applyBorder="1" applyAlignment="1">
      <alignment horizontal="right" vertical="center" wrapText="1"/>
    </xf>
    <xf numFmtId="182" fontId="3" fillId="0" borderId="3" xfId="0" applyNumberFormat="1" applyFont="1" applyBorder="1" applyAlignment="1">
      <alignment horizontal="right" vertical="center" wrapText="1"/>
    </xf>
    <xf numFmtId="182" fontId="3" fillId="0" borderId="0" xfId="0" applyNumberFormat="1" applyFont="1" applyBorder="1" applyAlignment="1">
      <alignment horizontal="right" vertical="center" wrapText="1"/>
    </xf>
    <xf numFmtId="182" fontId="3" fillId="0" borderId="5" xfId="0" applyNumberFormat="1" applyFont="1" applyBorder="1" applyAlignment="1">
      <alignment horizontal="right" vertical="center" wrapText="1"/>
    </xf>
    <xf numFmtId="204" fontId="42" fillId="0" borderId="2" xfId="1" applyNumberFormat="1" applyFont="1" applyBorder="1" applyAlignment="1">
      <alignment horizontal="center" vertical="center" wrapText="1"/>
    </xf>
    <xf numFmtId="204" fontId="42" fillId="0" borderId="7" xfId="1" applyNumberFormat="1" applyFont="1" applyBorder="1" applyAlignment="1">
      <alignment horizontal="center" vertical="center" wrapText="1"/>
    </xf>
    <xf numFmtId="0" fontId="134" fillId="0" borderId="0" xfId="0" applyFont="1"/>
    <xf numFmtId="0" fontId="42" fillId="0" borderId="0" xfId="0" applyFont="1" applyFill="1"/>
    <xf numFmtId="0" fontId="15" fillId="0" borderId="0" xfId="0" applyFont="1" applyFill="1" applyBorder="1"/>
    <xf numFmtId="9" fontId="22" fillId="0" borderId="0" xfId="0" applyNumberFormat="1" applyFont="1" applyFill="1" applyBorder="1"/>
    <xf numFmtId="43" fontId="3" fillId="0" borderId="0" xfId="0" applyNumberFormat="1" applyFont="1"/>
    <xf numFmtId="185" fontId="83" fillId="25" borderId="2" xfId="1" applyNumberFormat="1" applyFont="1" applyFill="1" applyBorder="1" applyAlignment="1"/>
    <xf numFmtId="185" fontId="82" fillId="25" borderId="0" xfId="1" applyNumberFormat="1" applyFont="1" applyFill="1" applyBorder="1" applyAlignment="1"/>
    <xf numFmtId="185" fontId="83" fillId="25" borderId="0" xfId="1" applyNumberFormat="1" applyFont="1" applyFill="1" applyBorder="1" applyAlignment="1"/>
    <xf numFmtId="185" fontId="82" fillId="25" borderId="7" xfId="1" applyNumberFormat="1" applyFont="1" applyFill="1" applyBorder="1" applyAlignment="1"/>
    <xf numFmtId="43" fontId="83" fillId="0" borderId="2" xfId="1" applyNumberFormat="1" applyFont="1" applyBorder="1" applyAlignment="1"/>
    <xf numFmtId="43" fontId="82" fillId="0" borderId="0" xfId="1" applyNumberFormat="1" applyFont="1" applyBorder="1" applyAlignment="1"/>
    <xf numFmtId="43" fontId="83" fillId="0" borderId="0" xfId="1" applyNumberFormat="1" applyFont="1" applyBorder="1" applyAlignment="1"/>
    <xf numFmtId="43" fontId="82" fillId="0" borderId="7" xfId="1" applyNumberFormat="1" applyFont="1" applyBorder="1" applyAlignment="1"/>
    <xf numFmtId="9" fontId="20" fillId="25" borderId="2" xfId="2" applyFont="1" applyFill="1" applyBorder="1" applyAlignment="1"/>
    <xf numFmtId="9" fontId="15" fillId="25" borderId="0" xfId="2" applyFont="1" applyFill="1" applyBorder="1" applyAlignment="1"/>
    <xf numFmtId="9" fontId="20" fillId="25" borderId="0" xfId="2" applyFont="1" applyFill="1" applyBorder="1" applyAlignment="1"/>
    <xf numFmtId="0" fontId="20" fillId="0" borderId="0" xfId="0" applyFont="1" applyBorder="1"/>
    <xf numFmtId="9" fontId="15" fillId="25" borderId="7" xfId="2" applyFont="1" applyFill="1" applyBorder="1" applyAlignment="1"/>
    <xf numFmtId="43" fontId="12" fillId="0" borderId="2" xfId="0" applyNumberFormat="1" applyFont="1" applyBorder="1"/>
    <xf numFmtId="43" fontId="12" fillId="0" borderId="3" xfId="0" applyNumberFormat="1" applyFont="1" applyBorder="1"/>
    <xf numFmtId="43" fontId="10" fillId="0" borderId="0" xfId="0" applyNumberFormat="1" applyFont="1" applyBorder="1"/>
    <xf numFmtId="43" fontId="10" fillId="0" borderId="5" xfId="0" applyNumberFormat="1" applyFont="1" applyBorder="1"/>
    <xf numFmtId="43" fontId="10" fillId="0" borderId="7" xfId="0" applyNumberFormat="1" applyFont="1" applyBorder="1"/>
    <xf numFmtId="43" fontId="10" fillId="0" borderId="8" xfId="0" applyNumberFormat="1" applyFont="1" applyBorder="1"/>
    <xf numFmtId="182" fontId="22" fillId="0" borderId="0" xfId="0" applyNumberFormat="1" applyFont="1" applyFill="1"/>
    <xf numFmtId="182" fontId="15" fillId="0" borderId="0" xfId="0" applyNumberFormat="1" applyFont="1" applyFill="1"/>
    <xf numFmtId="9" fontId="15" fillId="0" borderId="1" xfId="2" applyFont="1" applyFill="1" applyBorder="1" applyAlignment="1"/>
    <xf numFmtId="0" fontId="10" fillId="5" borderId="0" xfId="0" applyFont="1" applyFill="1" applyBorder="1"/>
    <xf numFmtId="0" fontId="3" fillId="5" borderId="0" xfId="0" applyFont="1" applyFill="1"/>
    <xf numFmtId="0" fontId="12" fillId="5" borderId="0" xfId="0" applyFont="1" applyFill="1" applyBorder="1"/>
    <xf numFmtId="0" fontId="44" fillId="5" borderId="0" xfId="0" applyFont="1" applyFill="1"/>
    <xf numFmtId="187" fontId="10" fillId="5" borderId="0" xfId="1" applyNumberFormat="1" applyFont="1" applyFill="1" applyAlignment="1"/>
    <xf numFmtId="187" fontId="14" fillId="5" borderId="0" xfId="1" applyNumberFormat="1" applyFont="1" applyFill="1" applyAlignment="1"/>
    <xf numFmtId="9" fontId="10" fillId="5" borderId="0" xfId="2" applyNumberFormat="1" applyFont="1" applyFill="1" applyAlignment="1"/>
    <xf numFmtId="9" fontId="125" fillId="0" borderId="0" xfId="2" applyNumberFormat="1" applyFont="1" applyAlignment="1"/>
    <xf numFmtId="9" fontId="3" fillId="0" borderId="0" xfId="0" applyNumberFormat="1" applyFont="1" applyBorder="1"/>
    <xf numFmtId="9" fontId="123" fillId="0" borderId="0" xfId="0" applyNumberFormat="1" applyFont="1"/>
    <xf numFmtId="181" fontId="10" fillId="0" borderId="0" xfId="0" applyNumberFormat="1" applyFont="1" applyBorder="1"/>
    <xf numFmtId="181" fontId="82" fillId="8" borderId="0" xfId="0" applyNumberFormat="1" applyFont="1" applyFill="1" applyBorder="1"/>
    <xf numFmtId="218" fontId="10" fillId="10" borderId="24" xfId="1" applyNumberFormat="1" applyFont="1" applyFill="1" applyBorder="1" applyAlignment="1">
      <alignment horizontal="right"/>
    </xf>
    <xf numFmtId="218" fontId="10" fillId="10" borderId="14" xfId="1" applyNumberFormat="1" applyFont="1" applyFill="1" applyBorder="1" applyAlignment="1">
      <alignment horizontal="right"/>
    </xf>
    <xf numFmtId="181" fontId="10" fillId="5" borderId="24" xfId="0" applyNumberFormat="1" applyFont="1" applyFill="1" applyBorder="1"/>
    <xf numFmtId="181" fontId="10" fillId="5" borderId="14" xfId="0" applyNumberFormat="1" applyFont="1" applyFill="1" applyBorder="1"/>
    <xf numFmtId="218" fontId="82" fillId="10" borderId="24" xfId="0" applyNumberFormat="1" applyFont="1" applyFill="1" applyBorder="1" applyAlignment="1">
      <alignment horizontal="right"/>
    </xf>
    <xf numFmtId="218" fontId="82" fillId="10" borderId="14" xfId="0" applyNumberFormat="1" applyFont="1" applyFill="1" applyBorder="1" applyAlignment="1">
      <alignment horizontal="right"/>
    </xf>
    <xf numFmtId="181" fontId="82" fillId="0" borderId="24" xfId="0" applyNumberFormat="1" applyFont="1" applyFill="1" applyBorder="1"/>
    <xf numFmtId="181" fontId="82" fillId="0" borderId="14" xfId="0" applyNumberFormat="1" applyFont="1" applyFill="1" applyBorder="1"/>
    <xf numFmtId="181" fontId="10" fillId="0" borderId="24" xfId="0" applyNumberFormat="1" applyFont="1" applyBorder="1"/>
    <xf numFmtId="181" fontId="10" fillId="0" borderId="14" xfId="0" applyNumberFormat="1" applyFont="1" applyBorder="1"/>
    <xf numFmtId="187" fontId="10" fillId="10" borderId="24" xfId="0" applyNumberFormat="1" applyFont="1" applyFill="1" applyBorder="1" applyAlignment="1">
      <alignment horizontal="right"/>
    </xf>
    <xf numFmtId="187" fontId="10" fillId="10" borderId="14" xfId="0" applyNumberFormat="1" applyFont="1" applyFill="1" applyBorder="1" applyAlignment="1">
      <alignment horizontal="right"/>
    </xf>
    <xf numFmtId="219" fontId="113" fillId="0" borderId="0" xfId="0" applyNumberFormat="1" applyFont="1"/>
    <xf numFmtId="219" fontId="123" fillId="0" borderId="0" xfId="0" applyNumberFormat="1" applyFont="1" applyFill="1"/>
    <xf numFmtId="219" fontId="113" fillId="0" borderId="0" xfId="0" applyNumberFormat="1" applyFont="1" applyFill="1"/>
    <xf numFmtId="9" fontId="10" fillId="0" borderId="0" xfId="2" applyNumberFormat="1" applyFont="1" applyFill="1" applyAlignment="1"/>
    <xf numFmtId="0" fontId="9" fillId="6" borderId="0" xfId="0" applyFont="1" applyFill="1" applyBorder="1"/>
    <xf numFmtId="0" fontId="24" fillId="6" borderId="0" xfId="0" applyFont="1" applyFill="1" applyBorder="1"/>
    <xf numFmtId="225" fontId="97" fillId="0" borderId="0" xfId="0" applyNumberFormat="1" applyFont="1" applyAlignment="1">
      <alignment vertical="center"/>
    </xf>
    <xf numFmtId="43" fontId="12" fillId="0" borderId="0" xfId="6" applyNumberFormat="1" applyFont="1"/>
    <xf numFmtId="43" fontId="27" fillId="0" borderId="13" xfId="1" applyFont="1" applyFill="1" applyBorder="1" applyAlignment="1">
      <alignment horizontal="center" vertical="center"/>
    </xf>
    <xf numFmtId="208" fontId="83" fillId="10" borderId="0" xfId="0" applyNumberFormat="1" applyFont="1" applyFill="1" applyAlignment="1">
      <alignment horizontal="right" vertical="center"/>
    </xf>
    <xf numFmtId="0" fontId="45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45" fillId="0" borderId="0" xfId="0" applyFont="1" applyFill="1"/>
    <xf numFmtId="39" fontId="45" fillId="0" borderId="0" xfId="0" applyNumberFormat="1" applyFont="1" applyFill="1" applyAlignment="1">
      <alignment horizontal="right" vertical="center"/>
    </xf>
    <xf numFmtId="39" fontId="45" fillId="0" borderId="0" xfId="0" applyNumberFormat="1" applyFont="1" applyFill="1" applyAlignment="1">
      <alignment vertical="center"/>
    </xf>
    <xf numFmtId="0" fontId="10" fillId="0" borderId="0" xfId="6" applyFont="1" applyBorder="1" applyAlignment="1">
      <alignment horizontal="center"/>
    </xf>
    <xf numFmtId="182" fontId="10" fillId="0" borderId="0" xfId="2" applyNumberFormat="1" applyFont="1" applyBorder="1" applyAlignment="1">
      <alignment horizontal="center"/>
    </xf>
    <xf numFmtId="185" fontId="75" fillId="0" borderId="13" xfId="1" applyNumberFormat="1" applyFont="1" applyBorder="1" applyAlignment="1">
      <alignment vertical="center"/>
    </xf>
    <xf numFmtId="185" fontId="10" fillId="0" borderId="13" xfId="1" applyNumberFormat="1" applyFont="1" applyBorder="1" applyAlignment="1">
      <alignment vertical="center"/>
    </xf>
    <xf numFmtId="182" fontId="89" fillId="0" borderId="0" xfId="2" applyNumberFormat="1" applyFont="1" applyAlignment="1"/>
    <xf numFmtId="185" fontId="83" fillId="10" borderId="0" xfId="0" applyNumberFormat="1" applyFont="1" applyFill="1"/>
    <xf numFmtId="181" fontId="10" fillId="10" borderId="1" xfId="1" applyNumberFormat="1" applyFont="1" applyFill="1" applyBorder="1" applyAlignment="1">
      <alignment horizontal="right"/>
    </xf>
    <xf numFmtId="181" fontId="10" fillId="10" borderId="2" xfId="1" applyNumberFormat="1" applyFont="1" applyFill="1" applyBorder="1" applyAlignment="1">
      <alignment horizontal="right"/>
    </xf>
    <xf numFmtId="181" fontId="10" fillId="10" borderId="3" xfId="1" applyNumberFormat="1" applyFont="1" applyFill="1" applyBorder="1" applyAlignment="1">
      <alignment horizontal="right"/>
    </xf>
    <xf numFmtId="185" fontId="13" fillId="5" borderId="0" xfId="1" applyNumberFormat="1" applyFont="1" applyFill="1" applyAlignment="1">
      <alignment horizontal="right"/>
    </xf>
    <xf numFmtId="0" fontId="12" fillId="4" borderId="0" xfId="0" applyFont="1" applyFill="1" applyBorder="1"/>
    <xf numFmtId="179" fontId="9" fillId="4" borderId="0" xfId="5" applyNumberFormat="1" applyFont="1" applyFill="1">
      <alignment horizontal="right"/>
    </xf>
    <xf numFmtId="178" fontId="9" fillId="4" borderId="0" xfId="5" applyNumberFormat="1" applyFont="1" applyFill="1">
      <alignment horizontal="right"/>
    </xf>
    <xf numFmtId="180" fontId="9" fillId="4" borderId="0" xfId="5" applyNumberFormat="1" applyFont="1" applyFill="1">
      <alignment horizontal="right"/>
    </xf>
    <xf numFmtId="0" fontId="9" fillId="4" borderId="0" xfId="0" applyFont="1" applyFill="1" applyBorder="1"/>
    <xf numFmtId="0" fontId="44" fillId="0" borderId="0" xfId="0" applyFont="1" applyBorder="1"/>
    <xf numFmtId="185" fontId="12" fillId="11" borderId="0" xfId="1" applyNumberFormat="1" applyFont="1" applyFill="1" applyAlignment="1">
      <alignment horizontal="right"/>
    </xf>
    <xf numFmtId="185" fontId="10" fillId="11" borderId="0" xfId="1" applyNumberFormat="1" applyFont="1" applyFill="1" applyAlignment="1">
      <alignment horizontal="right"/>
    </xf>
    <xf numFmtId="181" fontId="13" fillId="10" borderId="0" xfId="0" applyNumberFormat="1" applyFont="1" applyFill="1"/>
    <xf numFmtId="181" fontId="14" fillId="10" borderId="0" xfId="0" applyNumberFormat="1" applyFont="1" applyFill="1"/>
    <xf numFmtId="185" fontId="82" fillId="10" borderId="0" xfId="1" applyNumberFormat="1" applyFont="1" applyFill="1" applyBorder="1" applyAlignment="1"/>
    <xf numFmtId="0" fontId="12" fillId="0" borderId="0" xfId="6" applyFont="1" applyBorder="1"/>
    <xf numFmtId="181" fontId="12" fillId="0" borderId="0" xfId="0" applyNumberFormat="1" applyFont="1" applyBorder="1"/>
    <xf numFmtId="181" fontId="10" fillId="0" borderId="28" xfId="0" applyNumberFormat="1" applyFont="1" applyBorder="1"/>
    <xf numFmtId="0" fontId="10" fillId="0" borderId="0" xfId="6" applyFont="1" applyBorder="1"/>
    <xf numFmtId="182" fontId="20" fillId="0" borderId="2" xfId="2" applyNumberFormat="1" applyFont="1" applyBorder="1" applyAlignment="1"/>
    <xf numFmtId="182" fontId="20" fillId="0" borderId="3" xfId="2" applyNumberFormat="1" applyFont="1" applyBorder="1" applyAlignment="1"/>
    <xf numFmtId="182" fontId="22" fillId="10" borderId="5" xfId="0" applyNumberFormat="1" applyFont="1" applyFill="1" applyBorder="1"/>
    <xf numFmtId="182" fontId="20" fillId="0" borderId="0" xfId="2" applyNumberFormat="1" applyFont="1" applyBorder="1" applyAlignment="1"/>
    <xf numFmtId="182" fontId="20" fillId="0" borderId="5" xfId="2" applyNumberFormat="1" applyFont="1" applyBorder="1" applyAlignment="1"/>
    <xf numFmtId="182" fontId="22" fillId="10" borderId="0" xfId="0" applyNumberFormat="1" applyFont="1" applyFill="1" applyBorder="1"/>
    <xf numFmtId="181" fontId="83" fillId="0" borderId="0" xfId="0" applyNumberFormat="1" applyFont="1" applyBorder="1"/>
    <xf numFmtId="9" fontId="82" fillId="0" borderId="0" xfId="0" applyNumberFormat="1" applyFont="1" applyFill="1"/>
    <xf numFmtId="182" fontId="22" fillId="10" borderId="7" xfId="0" applyNumberFormat="1" applyFont="1" applyFill="1" applyBorder="1"/>
    <xf numFmtId="182" fontId="22" fillId="0" borderId="0" xfId="0" applyNumberFormat="1" applyFont="1" applyFill="1" applyBorder="1"/>
    <xf numFmtId="43" fontId="10" fillId="10" borderId="0" xfId="0" applyNumberFormat="1" applyFont="1" applyFill="1" applyBorder="1"/>
    <xf numFmtId="219" fontId="35" fillId="5" borderId="0" xfId="0" applyNumberFormat="1" applyFont="1" applyFill="1"/>
    <xf numFmtId="219" fontId="116" fillId="5" borderId="29" xfId="35" applyNumberFormat="1" applyFont="1" applyFill="1" applyBorder="1" applyAlignment="1">
      <alignment horizontal="right" vertical="center"/>
    </xf>
    <xf numFmtId="219" fontId="116" fillId="10" borderId="13" xfId="35" applyNumberFormat="1" applyFont="1" applyFill="1" applyBorder="1" applyAlignment="1">
      <alignment horizontal="right" vertical="center"/>
    </xf>
    <xf numFmtId="185" fontId="82" fillId="10" borderId="0" xfId="1" applyNumberFormat="1" applyFont="1" applyFill="1" applyAlignment="1"/>
    <xf numFmtId="181" fontId="3" fillId="0" borderId="0" xfId="6" applyNumberFormat="1" applyFont="1" applyBorder="1"/>
    <xf numFmtId="43" fontId="3" fillId="10" borderId="0" xfId="0" applyNumberFormat="1" applyFont="1" applyFill="1"/>
    <xf numFmtId="43" fontId="14" fillId="0" borderId="0" xfId="0" applyNumberFormat="1" applyFont="1"/>
    <xf numFmtId="181" fontId="82" fillId="25" borderId="0" xfId="6" applyNumberFormat="1" applyFont="1" applyFill="1"/>
    <xf numFmtId="224" fontId="121" fillId="10" borderId="17" xfId="35" applyNumberFormat="1" applyFont="1" applyFill="1" applyBorder="1" applyAlignment="1">
      <alignment horizontal="right" vertical="center"/>
    </xf>
    <xf numFmtId="219" fontId="121" fillId="10" borderId="13" xfId="35" applyNumberFormat="1" applyFont="1" applyFill="1" applyBorder="1" applyAlignment="1">
      <alignment horizontal="right" vertical="center"/>
    </xf>
    <xf numFmtId="185" fontId="91" fillId="0" borderId="0" xfId="1" applyNumberFormat="1" applyFont="1" applyAlignment="1"/>
    <xf numFmtId="185" fontId="3" fillId="0" borderId="0" xfId="6" applyNumberFormat="1" applyFont="1"/>
    <xf numFmtId="219" fontId="121" fillId="10" borderId="26" xfId="35" applyNumberFormat="1" applyFont="1" applyFill="1" applyAlignment="1">
      <alignment horizontal="right" vertical="center"/>
    </xf>
    <xf numFmtId="182" fontId="83" fillId="0" borderId="0" xfId="2" applyNumberFormat="1" applyFont="1" applyAlignment="1"/>
    <xf numFmtId="182" fontId="12" fillId="0" borderId="0" xfId="2" applyNumberFormat="1" applyFont="1" applyAlignment="1"/>
    <xf numFmtId="10" fontId="82" fillId="0" borderId="0" xfId="6" applyNumberFormat="1" applyFont="1" applyFill="1"/>
    <xf numFmtId="0" fontId="12" fillId="0" borderId="0" xfId="6" applyFont="1" applyFill="1"/>
    <xf numFmtId="9" fontId="82" fillId="10" borderId="0" xfId="2" applyFont="1" applyFill="1" applyAlignment="1">
      <alignment vertical="center"/>
    </xf>
    <xf numFmtId="0" fontId="27" fillId="0" borderId="0" xfId="0" quotePrefix="1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5" fillId="0" borderId="0" xfId="0" applyFont="1" applyBorder="1"/>
    <xf numFmtId="182" fontId="37" fillId="0" borderId="0" xfId="0" applyNumberFormat="1" applyFont="1" applyBorder="1" applyAlignment="1">
      <alignment horizontal="right" vertical="center"/>
    </xf>
    <xf numFmtId="216" fontId="10" fillId="0" borderId="24" xfId="0" applyNumberFormat="1" applyFont="1" applyBorder="1" applyAlignment="1">
      <alignment vertical="center"/>
    </xf>
    <xf numFmtId="181" fontId="12" fillId="0" borderId="28" xfId="0" applyNumberFormat="1" applyFont="1" applyBorder="1"/>
    <xf numFmtId="181" fontId="12" fillId="0" borderId="30" xfId="0" applyNumberFormat="1" applyFont="1" applyBorder="1"/>
    <xf numFmtId="182" fontId="14" fillId="0" borderId="0" xfId="2" applyNumberFormat="1" applyFont="1" applyAlignment="1"/>
    <xf numFmtId="181" fontId="83" fillId="0" borderId="0" xfId="6" applyNumberFormat="1" applyFont="1"/>
    <xf numFmtId="181" fontId="82" fillId="18" borderId="0" xfId="6" applyNumberFormat="1" applyFont="1" applyFill="1"/>
    <xf numFmtId="185" fontId="14" fillId="18" borderId="0" xfId="1" applyNumberFormat="1" applyFont="1" applyFill="1" applyAlignment="1">
      <alignment horizontal="right"/>
    </xf>
    <xf numFmtId="226" fontId="3" fillId="0" borderId="0" xfId="6" applyNumberFormat="1" applyFont="1"/>
    <xf numFmtId="226" fontId="3" fillId="0" borderId="16" xfId="6" applyNumberFormat="1" applyFont="1" applyBorder="1"/>
    <xf numFmtId="226" fontId="3" fillId="0" borderId="0" xfId="6" applyNumberFormat="1" applyFont="1" applyBorder="1"/>
    <xf numFmtId="187" fontId="22" fillId="5" borderId="0" xfId="1" applyNumberFormat="1" applyFont="1" applyFill="1" applyAlignment="1"/>
    <xf numFmtId="187" fontId="3" fillId="0" borderId="0" xfId="1" applyNumberFormat="1" applyFont="1" applyAlignment="1"/>
    <xf numFmtId="187" fontId="3" fillId="0" borderId="0" xfId="1" applyNumberFormat="1" applyFont="1" applyFill="1" applyAlignment="1"/>
    <xf numFmtId="187" fontId="42" fillId="0" borderId="0" xfId="1" applyNumberFormat="1" applyFont="1" applyAlignment="1"/>
    <xf numFmtId="187" fontId="44" fillId="0" borderId="10" xfId="1" applyNumberFormat="1" applyFont="1" applyBorder="1" applyAlignment="1"/>
    <xf numFmtId="187" fontId="44" fillId="0" borderId="0" xfId="1" applyNumberFormat="1" applyFont="1" applyBorder="1" applyAlignment="1"/>
    <xf numFmtId="187" fontId="3" fillId="0" borderId="10" xfId="1" applyNumberFormat="1" applyFont="1" applyBorder="1" applyAlignment="1"/>
    <xf numFmtId="187" fontId="44" fillId="0" borderId="12" xfId="1" applyNumberFormat="1" applyFont="1" applyBorder="1" applyAlignment="1"/>
    <xf numFmtId="181" fontId="14" fillId="0" borderId="0" xfId="6" applyNumberFormat="1" applyFont="1" applyFill="1"/>
    <xf numFmtId="0" fontId="14" fillId="0" borderId="16" xfId="6" applyFont="1" applyFill="1" applyBorder="1"/>
    <xf numFmtId="181" fontId="14" fillId="0" borderId="0" xfId="6" applyNumberFormat="1" applyFont="1" applyFill="1" applyBorder="1"/>
    <xf numFmtId="181" fontId="10" fillId="0" borderId="0" xfId="6" applyNumberFormat="1" applyFont="1" applyFill="1"/>
    <xf numFmtId="0" fontId="136" fillId="0" borderId="0" xfId="0" applyFont="1"/>
    <xf numFmtId="185" fontId="136" fillId="0" borderId="0" xfId="1" applyNumberFormat="1" applyFont="1" applyAlignment="1"/>
    <xf numFmtId="0" fontId="137" fillId="0" borderId="0" xfId="0" applyFont="1"/>
    <xf numFmtId="185" fontId="137" fillId="0" borderId="0" xfId="1" applyNumberFormat="1" applyFont="1" applyAlignment="1"/>
    <xf numFmtId="9" fontId="136" fillId="0" borderId="0" xfId="2" applyFont="1" applyAlignment="1"/>
    <xf numFmtId="0" fontId="14" fillId="0" borderId="0" xfId="0" applyFont="1" applyAlignment="1">
      <alignment vertical="center" wrapText="1"/>
    </xf>
    <xf numFmtId="204" fontId="14" fillId="0" borderId="0" xfId="1" applyNumberFormat="1" applyFont="1" applyBorder="1" applyAlignment="1">
      <alignment horizontal="right" vertical="center" wrapText="1"/>
    </xf>
    <xf numFmtId="182" fontId="3" fillId="0" borderId="0" xfId="0" applyNumberFormat="1" applyFont="1" applyAlignment="1">
      <alignment vertical="center" wrapText="1"/>
    </xf>
    <xf numFmtId="227" fontId="15" fillId="10" borderId="0" xfId="0" applyNumberFormat="1" applyFont="1" applyFill="1"/>
    <xf numFmtId="182" fontId="22" fillId="10" borderId="0" xfId="2" applyNumberFormat="1" applyFont="1" applyFill="1" applyBorder="1" applyAlignment="1"/>
    <xf numFmtId="181" fontId="10" fillId="0" borderId="5" xfId="6" applyNumberFormat="1" applyFont="1" applyBorder="1"/>
    <xf numFmtId="181" fontId="82" fillId="0" borderId="16" xfId="6" applyNumberFormat="1" applyFont="1" applyBorder="1"/>
    <xf numFmtId="181" fontId="3" fillId="0" borderId="16" xfId="6" applyNumberFormat="1" applyFont="1" applyBorder="1"/>
    <xf numFmtId="181" fontId="10" fillId="0" borderId="0" xfId="6" applyNumberFormat="1" applyFont="1" applyFill="1" applyBorder="1"/>
    <xf numFmtId="0" fontId="3" fillId="5" borderId="0" xfId="6" applyFont="1" applyFill="1"/>
    <xf numFmtId="0" fontId="10" fillId="5" borderId="0" xfId="6" applyFont="1" applyFill="1"/>
    <xf numFmtId="9" fontId="3" fillId="0" borderId="0" xfId="2" applyFont="1" applyFill="1" applyAlignment="1"/>
    <xf numFmtId="204" fontId="3" fillId="0" borderId="2" xfId="1" applyNumberFormat="1" applyFont="1" applyBorder="1" applyAlignment="1">
      <alignment horizontal="center" vertical="center" wrapText="1"/>
    </xf>
    <xf numFmtId="204" fontId="3" fillId="0" borderId="7" xfId="1" applyNumberFormat="1" applyFont="1" applyBorder="1" applyAlignment="1">
      <alignment horizontal="center" vertical="center" wrapText="1"/>
    </xf>
    <xf numFmtId="181" fontId="3" fillId="0" borderId="0" xfId="0" applyNumberFormat="1" applyFont="1"/>
    <xf numFmtId="213" fontId="3" fillId="0" borderId="0" xfId="0" applyNumberFormat="1" applyFont="1"/>
    <xf numFmtId="228" fontId="3" fillId="0" borderId="0" xfId="0" applyNumberFormat="1" applyFont="1"/>
    <xf numFmtId="215" fontId="89" fillId="0" borderId="0" xfId="0" applyNumberFormat="1" applyFont="1"/>
    <xf numFmtId="0" fontId="42" fillId="0" borderId="0" xfId="0" applyFont="1" applyBorder="1" applyAlignment="1">
      <alignment horizontal="left" vertical="center" wrapText="1" indent="1"/>
    </xf>
    <xf numFmtId="0" fontId="10" fillId="0" borderId="0" xfId="0" applyFont="1" applyFill="1"/>
    <xf numFmtId="181" fontId="12" fillId="0" borderId="0" xfId="0" applyNumberFormat="1" applyFont="1" applyFill="1"/>
    <xf numFmtId="181" fontId="82" fillId="0" borderId="2" xfId="0" applyNumberFormat="1" applyFont="1" applyFill="1" applyBorder="1"/>
    <xf numFmtId="181" fontId="10" fillId="0" borderId="1" xfId="0" applyNumberFormat="1" applyFont="1" applyFill="1" applyBorder="1"/>
    <xf numFmtId="181" fontId="82" fillId="0" borderId="0" xfId="0" applyNumberFormat="1" applyFont="1" applyFill="1"/>
    <xf numFmtId="181" fontId="10" fillId="0" borderId="4" xfId="0" applyNumberFormat="1" applyFont="1" applyFill="1" applyBorder="1"/>
    <xf numFmtId="181" fontId="82" fillId="0" borderId="7" xfId="0" applyNumberFormat="1" applyFont="1" applyFill="1" applyBorder="1"/>
    <xf numFmtId="181" fontId="10" fillId="0" borderId="24" xfId="0" applyNumberFormat="1" applyFont="1" applyFill="1" applyBorder="1"/>
    <xf numFmtId="181" fontId="10" fillId="0" borderId="14" xfId="0" applyNumberFormat="1" applyFont="1" applyFill="1" applyBorder="1"/>
    <xf numFmtId="181" fontId="10" fillId="0" borderId="6" xfId="0" applyNumberFormat="1" applyFont="1" applyFill="1" applyBorder="1"/>
    <xf numFmtId="181" fontId="15" fillId="0" borderId="0" xfId="0" applyNumberFormat="1" applyFont="1" applyFill="1"/>
    <xf numFmtId="9" fontId="15" fillId="0" borderId="0" xfId="2" applyFont="1" applyFill="1" applyAlignment="1"/>
    <xf numFmtId="181" fontId="15" fillId="0" borderId="2" xfId="0" applyNumberFormat="1" applyFont="1" applyFill="1" applyBorder="1"/>
    <xf numFmtId="9" fontId="15" fillId="0" borderId="4" xfId="2" applyFont="1" applyFill="1" applyBorder="1" applyAlignment="1"/>
    <xf numFmtId="181" fontId="15" fillId="0" borderId="7" xfId="0" applyNumberFormat="1" applyFont="1" applyFill="1" applyBorder="1"/>
    <xf numFmtId="9" fontId="15" fillId="0" borderId="6" xfId="2" applyFont="1" applyFill="1" applyBorder="1" applyAlignment="1"/>
    <xf numFmtId="187" fontId="10" fillId="0" borderId="0" xfId="1" applyNumberFormat="1" applyFont="1" applyFill="1" applyAlignment="1">
      <alignment horizontal="right"/>
    </xf>
    <xf numFmtId="187" fontId="10" fillId="0" borderId="2" xfId="0" applyNumberFormat="1" applyFont="1" applyFill="1" applyBorder="1" applyAlignment="1">
      <alignment horizontal="right"/>
    </xf>
    <xf numFmtId="187" fontId="10" fillId="0" borderId="0" xfId="0" applyNumberFormat="1" applyFont="1" applyFill="1" applyAlignment="1">
      <alignment horizontal="right"/>
    </xf>
    <xf numFmtId="187" fontId="10" fillId="0" borderId="10" xfId="0" applyNumberFormat="1" applyFont="1" applyFill="1" applyBorder="1" applyAlignment="1">
      <alignment horizontal="right"/>
    </xf>
    <xf numFmtId="187" fontId="10" fillId="0" borderId="9" xfId="0" applyNumberFormat="1" applyFont="1" applyFill="1" applyBorder="1" applyAlignment="1">
      <alignment horizontal="right"/>
    </xf>
    <xf numFmtId="181" fontId="83" fillId="0" borderId="0" xfId="0" applyNumberFormat="1" applyFont="1" applyFill="1"/>
    <xf numFmtId="2" fontId="75" fillId="0" borderId="0" xfId="0" applyNumberFormat="1" applyFont="1" applyFill="1" applyBorder="1"/>
    <xf numFmtId="181" fontId="12" fillId="0" borderId="0" xfId="0" applyNumberFormat="1" applyFont="1" applyFill="1" applyBorder="1"/>
    <xf numFmtId="181" fontId="82" fillId="0" borderId="0" xfId="0" applyNumberFormat="1" applyFont="1" applyFill="1" applyBorder="1"/>
    <xf numFmtId="181" fontId="10" fillId="0" borderId="0" xfId="0" applyNumberFormat="1" applyFont="1" applyFill="1" applyBorder="1"/>
    <xf numFmtId="181" fontId="15" fillId="0" borderId="0" xfId="0" applyNumberFormat="1" applyFont="1" applyFill="1" applyBorder="1"/>
    <xf numFmtId="187" fontId="10" fillId="0" borderId="0" xfId="1" applyNumberFormat="1" applyFont="1" applyFill="1" applyBorder="1" applyAlignment="1">
      <alignment horizontal="right"/>
    </xf>
    <xf numFmtId="187" fontId="10" fillId="0" borderId="0" xfId="0" applyNumberFormat="1" applyFont="1" applyFill="1" applyBorder="1" applyAlignment="1">
      <alignment horizontal="right"/>
    </xf>
    <xf numFmtId="218" fontId="10" fillId="0" borderId="0" xfId="1" applyNumberFormat="1" applyFont="1" applyFill="1" applyBorder="1" applyAlignment="1">
      <alignment horizontal="right"/>
    </xf>
    <xf numFmtId="181" fontId="83" fillId="0" borderId="0" xfId="0" applyNumberFormat="1" applyFont="1" applyFill="1" applyBorder="1"/>
    <xf numFmtId="181" fontId="10" fillId="0" borderId="2" xfId="0" applyNumberFormat="1" applyFont="1" applyFill="1" applyBorder="1"/>
    <xf numFmtId="181" fontId="10" fillId="0" borderId="7" xfId="0" applyNumberFormat="1" applyFont="1" applyFill="1" applyBorder="1"/>
    <xf numFmtId="218" fontId="10" fillId="0" borderId="2" xfId="1" applyNumberFormat="1" applyFont="1" applyFill="1" applyBorder="1" applyAlignment="1">
      <alignment horizontal="right"/>
    </xf>
    <xf numFmtId="187" fontId="10" fillId="0" borderId="7" xfId="0" applyNumberFormat="1" applyFont="1" applyFill="1" applyBorder="1" applyAlignment="1">
      <alignment horizontal="right"/>
    </xf>
    <xf numFmtId="218" fontId="10" fillId="0" borderId="7" xfId="1" applyNumberFormat="1" applyFont="1" applyFill="1" applyBorder="1" applyAlignment="1">
      <alignment horizontal="right"/>
    </xf>
    <xf numFmtId="9" fontId="15" fillId="0" borderId="1" xfId="2" applyFont="1" applyBorder="1" applyAlignment="1"/>
    <xf numFmtId="9" fontId="15" fillId="0" borderId="4" xfId="2" applyFont="1" applyBorder="1" applyAlignment="1"/>
    <xf numFmtId="9" fontId="15" fillId="0" borderId="6" xfId="2" applyFont="1" applyBorder="1" applyAlignment="1"/>
    <xf numFmtId="191" fontId="10" fillId="0" borderId="0" xfId="0" applyNumberFormat="1" applyFont="1" applyFill="1"/>
    <xf numFmtId="218" fontId="82" fillId="0" borderId="0" xfId="2" applyNumberFormat="1" applyFont="1" applyFill="1" applyBorder="1" applyAlignment="1">
      <alignment horizontal="right"/>
    </xf>
    <xf numFmtId="182" fontId="16" fillId="0" borderId="0" xfId="0" applyNumberFormat="1" applyFont="1" applyFill="1"/>
    <xf numFmtId="182" fontId="15" fillId="10" borderId="24" xfId="2" applyNumberFormat="1" applyFont="1" applyFill="1" applyBorder="1" applyAlignment="1">
      <alignment horizontal="right"/>
    </xf>
    <xf numFmtId="218" fontId="10" fillId="0" borderId="0" xfId="0" applyNumberFormat="1" applyFont="1" applyFill="1" applyBorder="1"/>
    <xf numFmtId="0" fontId="15" fillId="0" borderId="0" xfId="0" applyFont="1" applyFill="1"/>
    <xf numFmtId="181" fontId="10" fillId="10" borderId="0" xfId="0" applyNumberFormat="1" applyFont="1" applyFill="1" applyBorder="1"/>
    <xf numFmtId="187" fontId="10" fillId="0" borderId="2" xfId="1" applyNumberFormat="1" applyFont="1" applyBorder="1" applyAlignment="1">
      <alignment horizontal="right"/>
    </xf>
    <xf numFmtId="187" fontId="10" fillId="0" borderId="3" xfId="1" applyNumberFormat="1" applyFont="1" applyBorder="1" applyAlignment="1">
      <alignment horizontal="right"/>
    </xf>
    <xf numFmtId="187" fontId="10" fillId="0" borderId="0" xfId="1" applyNumberFormat="1" applyFont="1" applyBorder="1" applyAlignment="1">
      <alignment horizontal="right"/>
    </xf>
    <xf numFmtId="187" fontId="10" fillId="0" borderId="5" xfId="1" applyNumberFormat="1" applyFont="1" applyBorder="1" applyAlignment="1">
      <alignment horizontal="right"/>
    </xf>
    <xf numFmtId="0" fontId="10" fillId="0" borderId="0" xfId="0" applyFont="1" applyFill="1" applyAlignment="1">
      <alignment horizontal="right"/>
    </xf>
    <xf numFmtId="187" fontId="10" fillId="0" borderId="10" xfId="1" applyNumberFormat="1" applyFont="1" applyBorder="1" applyAlignment="1">
      <alignment horizontal="right"/>
    </xf>
    <xf numFmtId="187" fontId="10" fillId="0" borderId="9" xfId="1" applyNumberFormat="1" applyFont="1" applyBorder="1" applyAlignment="1">
      <alignment horizontal="right"/>
    </xf>
    <xf numFmtId="181" fontId="15" fillId="0" borderId="0" xfId="0" applyNumberFormat="1" applyFont="1" applyBorder="1"/>
    <xf numFmtId="187" fontId="10" fillId="0" borderId="1" xfId="1" applyNumberFormat="1" applyFont="1" applyFill="1" applyBorder="1" applyAlignment="1">
      <alignment horizontal="right"/>
    </xf>
    <xf numFmtId="187" fontId="10" fillId="0" borderId="4" xfId="1" applyNumberFormat="1" applyFont="1" applyFill="1" applyBorder="1" applyAlignment="1">
      <alignment horizontal="right"/>
    </xf>
    <xf numFmtId="187" fontId="10" fillId="0" borderId="11" xfId="1" applyNumberFormat="1" applyFont="1" applyFill="1" applyBorder="1" applyAlignment="1">
      <alignment horizontal="right"/>
    </xf>
    <xf numFmtId="181" fontId="10" fillId="0" borderId="0" xfId="0" applyNumberFormat="1" applyFont="1" applyFill="1"/>
    <xf numFmtId="218" fontId="10" fillId="0" borderId="0" xfId="0" applyNumberFormat="1" applyFont="1" applyFill="1"/>
    <xf numFmtId="182" fontId="10" fillId="0" borderId="10" xfId="0" applyNumberFormat="1" applyFont="1" applyFill="1" applyBorder="1"/>
    <xf numFmtId="218" fontId="10" fillId="0" borderId="0" xfId="0" applyNumberFormat="1" applyFont="1" applyBorder="1"/>
    <xf numFmtId="187" fontId="10" fillId="0" borderId="31" xfId="0" applyNumberFormat="1" applyFont="1" applyFill="1" applyBorder="1" applyAlignment="1">
      <alignment horizontal="right"/>
    </xf>
    <xf numFmtId="187" fontId="10" fillId="0" borderId="27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42" fillId="0" borderId="2" xfId="0" applyFont="1" applyBorder="1" applyAlignment="1">
      <alignment horizontal="left" vertical="center" wrapText="1" indent="1"/>
    </xf>
    <xf numFmtId="0" fontId="42" fillId="0" borderId="7" xfId="0" applyFont="1" applyBorder="1" applyAlignment="1">
      <alignment horizontal="left" vertical="center" wrapText="1" indent="1"/>
    </xf>
    <xf numFmtId="0" fontId="89" fillId="0" borderId="0" xfId="0" applyFont="1" applyAlignment="1"/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4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96" fillId="0" borderId="0" xfId="0" applyFont="1" applyAlignment="1"/>
    <xf numFmtId="0" fontId="91" fillId="0" borderId="0" xfId="0" applyFont="1" applyAlignment="1"/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184" fontId="10" fillId="0" borderId="0" xfId="0" applyNumberFormat="1" applyFont="1" applyBorder="1" applyAlignment="1">
      <alignment horizontal="right"/>
    </xf>
    <xf numFmtId="184" fontId="82" fillId="18" borderId="0" xfId="0" applyNumberFormat="1" applyFont="1" applyFill="1" applyBorder="1"/>
    <xf numFmtId="181" fontId="82" fillId="0" borderId="0" xfId="0" applyNumberFormat="1" applyFont="1" applyBorder="1"/>
    <xf numFmtId="181" fontId="82" fillId="18" borderId="0" xfId="0" applyNumberFormat="1" applyFont="1" applyFill="1" applyBorder="1"/>
    <xf numFmtId="191" fontId="12" fillId="0" borderId="0" xfId="0" applyNumberFormat="1" applyFont="1" applyBorder="1"/>
    <xf numFmtId="191" fontId="10" fillId="0" borderId="0" xfId="0" applyNumberFormat="1" applyFont="1" applyBorder="1"/>
    <xf numFmtId="181" fontId="83" fillId="10" borderId="0" xfId="0" applyNumberFormat="1" applyFont="1" applyFill="1"/>
    <xf numFmtId="185" fontId="13" fillId="0" borderId="0" xfId="6" applyNumberFormat="1" applyFont="1"/>
    <xf numFmtId="182" fontId="12" fillId="0" borderId="16" xfId="2" applyNumberFormat="1" applyFont="1" applyBorder="1" applyAlignment="1"/>
    <xf numFmtId="185" fontId="12" fillId="0" borderId="16" xfId="6" applyNumberFormat="1" applyFont="1" applyBorder="1"/>
    <xf numFmtId="204" fontId="89" fillId="0" borderId="0" xfId="0" applyNumberFormat="1" applyFont="1"/>
    <xf numFmtId="182" fontId="83" fillId="10" borderId="0" xfId="2" applyNumberFormat="1" applyFont="1" applyFill="1">
      <alignment vertical="center"/>
    </xf>
    <xf numFmtId="182" fontId="10" fillId="0" borderId="0" xfId="37" applyNumberFormat="1" applyFont="1"/>
    <xf numFmtId="182" fontId="82" fillId="10" borderId="0" xfId="6" applyNumberFormat="1" applyFont="1" applyFill="1"/>
    <xf numFmtId="219" fontId="120" fillId="10" borderId="13" xfId="35" applyNumberFormat="1" applyFont="1" applyFill="1" applyBorder="1" applyAlignment="1">
      <alignment horizontal="right" vertical="center"/>
    </xf>
    <xf numFmtId="219" fontId="116" fillId="0" borderId="0" xfId="35" applyNumberFormat="1" applyFont="1" applyFill="1" applyBorder="1" applyAlignment="1">
      <alignment horizontal="right" vertical="center"/>
    </xf>
    <xf numFmtId="219" fontId="116" fillId="21" borderId="32" xfId="35" applyNumberFormat="1" applyFont="1" applyBorder="1" applyAlignment="1">
      <alignment horizontal="right" vertical="center"/>
    </xf>
    <xf numFmtId="219" fontId="34" fillId="0" borderId="0" xfId="0" applyNumberFormat="1" applyFont="1" applyFill="1" applyAlignment="1">
      <alignment horizontal="right" vertical="center"/>
    </xf>
    <xf numFmtId="219" fontId="116" fillId="8" borderId="32" xfId="35" applyNumberFormat="1" applyFont="1" applyFill="1" applyBorder="1" applyAlignment="1">
      <alignment horizontal="right" vertical="center"/>
    </xf>
    <xf numFmtId="219" fontId="116" fillId="10" borderId="32" xfId="35" applyNumberFormat="1" applyFont="1" applyFill="1" applyBorder="1" applyAlignment="1">
      <alignment horizontal="right" vertical="center"/>
    </xf>
    <xf numFmtId="0" fontId="119" fillId="0" borderId="0" xfId="0" applyFont="1" applyBorder="1"/>
    <xf numFmtId="194" fontId="132" fillId="10" borderId="13" xfId="0" applyNumberFormat="1" applyFont="1" applyFill="1" applyBorder="1"/>
    <xf numFmtId="9" fontId="121" fillId="10" borderId="13" xfId="2" applyFont="1" applyFill="1" applyBorder="1" applyAlignment="1"/>
    <xf numFmtId="219" fontId="34" fillId="0" borderId="0" xfId="0" applyNumberFormat="1" applyFont="1" applyFill="1" applyBorder="1" applyAlignment="1">
      <alignment horizontal="right" vertical="center"/>
    </xf>
    <xf numFmtId="0" fontId="35" fillId="0" borderId="0" xfId="0" applyFont="1" applyFill="1" applyBorder="1"/>
    <xf numFmtId="219" fontId="121" fillId="10" borderId="32" xfId="35" applyNumberFormat="1" applyFont="1" applyFill="1" applyBorder="1" applyAlignment="1">
      <alignment horizontal="right" vertical="center"/>
    </xf>
    <xf numFmtId="219" fontId="119" fillId="10" borderId="13" xfId="35" applyNumberFormat="1" applyFont="1" applyFill="1" applyBorder="1" applyAlignment="1">
      <alignment horizontal="right" vertical="center"/>
    </xf>
    <xf numFmtId="219" fontId="122" fillId="10" borderId="13" xfId="35" applyNumberFormat="1" applyFont="1" applyFill="1" applyBorder="1" applyAlignment="1">
      <alignment horizontal="right" vertical="center"/>
    </xf>
    <xf numFmtId="194" fontId="15" fillId="10" borderId="5" xfId="1" applyNumberFormat="1" applyFont="1" applyFill="1" applyBorder="1" applyAlignment="1"/>
    <xf numFmtId="43" fontId="10" fillId="10" borderId="5" xfId="0" applyNumberFormat="1" applyFont="1" applyFill="1" applyBorder="1"/>
    <xf numFmtId="182" fontId="22" fillId="0" borderId="5" xfId="0" applyNumberFormat="1" applyFont="1" applyFill="1" applyBorder="1"/>
    <xf numFmtId="181" fontId="83" fillId="5" borderId="0" xfId="0" applyNumberFormat="1" applyFont="1" applyFill="1"/>
    <xf numFmtId="0" fontId="9" fillId="2" borderId="16" xfId="0" applyFont="1" applyFill="1" applyBorder="1"/>
    <xf numFmtId="177" fontId="11" fillId="0" borderId="4" xfId="3" applyNumberFormat="1" applyFont="1" applyBorder="1" applyAlignment="1">
      <alignment horizontal="center" vertical="center"/>
    </xf>
    <xf numFmtId="176" fontId="9" fillId="20" borderId="4" xfId="5" applyFont="1" applyFill="1" applyBorder="1">
      <alignment horizontal="right"/>
    </xf>
    <xf numFmtId="180" fontId="9" fillId="20" borderId="4" xfId="5" applyNumberFormat="1" applyFont="1" applyFill="1" applyBorder="1">
      <alignment horizontal="right"/>
    </xf>
    <xf numFmtId="178" fontId="9" fillId="20" borderId="4" xfId="5" applyNumberFormat="1" applyFont="1" applyFill="1" applyBorder="1">
      <alignment horizontal="right"/>
    </xf>
    <xf numFmtId="43" fontId="15" fillId="5" borderId="4" xfId="1" applyFont="1" applyFill="1" applyBorder="1" applyAlignment="1">
      <alignment horizontal="right"/>
    </xf>
    <xf numFmtId="0" fontId="9" fillId="2" borderId="4" xfId="0" applyFont="1" applyFill="1" applyBorder="1"/>
    <xf numFmtId="185" fontId="14" fillId="5" borderId="4" xfId="1" applyNumberFormat="1" applyFont="1" applyFill="1" applyBorder="1" applyAlignment="1">
      <alignment horizontal="right"/>
    </xf>
    <xf numFmtId="9" fontId="22" fillId="10" borderId="4" xfId="1" applyNumberFormat="1" applyFont="1" applyFill="1" applyBorder="1" applyAlignment="1">
      <alignment horizontal="right"/>
    </xf>
    <xf numFmtId="181" fontId="13" fillId="0" borderId="4" xfId="0" applyNumberFormat="1" applyFont="1" applyBorder="1"/>
    <xf numFmtId="181" fontId="14" fillId="0" borderId="4" xfId="0" applyNumberFormat="1" applyFont="1" applyBorder="1"/>
    <xf numFmtId="181" fontId="12" fillId="0" borderId="4" xfId="0" applyNumberFormat="1" applyFont="1" applyBorder="1"/>
    <xf numFmtId="0" fontId="10" fillId="0" borderId="4" xfId="6" applyFont="1" applyBorder="1"/>
    <xf numFmtId="0" fontId="3" fillId="0" borderId="4" xfId="6" applyFont="1" applyBorder="1"/>
    <xf numFmtId="0" fontId="12" fillId="0" borderId="4" xfId="6" applyFont="1" applyBorder="1"/>
    <xf numFmtId="0" fontId="44" fillId="0" borderId="4" xfId="6" applyFont="1" applyBorder="1"/>
    <xf numFmtId="181" fontId="10" fillId="10" borderId="4" xfId="6" applyNumberFormat="1" applyFont="1" applyFill="1" applyBorder="1"/>
    <xf numFmtId="181" fontId="14" fillId="10" borderId="4" xfId="6" applyNumberFormat="1" applyFont="1" applyFill="1" applyBorder="1"/>
    <xf numFmtId="182" fontId="44" fillId="0" borderId="4" xfId="2" applyNumberFormat="1" applyFont="1" applyBorder="1" applyAlignment="1"/>
    <xf numFmtId="181" fontId="82" fillId="10" borderId="4" xfId="6" applyNumberFormat="1" applyFont="1" applyFill="1" applyBorder="1"/>
    <xf numFmtId="185" fontId="13" fillId="0" borderId="4" xfId="1" applyNumberFormat="1" applyFont="1" applyBorder="1" applyAlignment="1"/>
    <xf numFmtId="0" fontId="82" fillId="0" borderId="4" xfId="6" applyFont="1" applyBorder="1"/>
    <xf numFmtId="0" fontId="3" fillId="11" borderId="0" xfId="0" applyFont="1" applyFill="1" applyBorder="1"/>
    <xf numFmtId="219" fontId="119" fillId="11" borderId="0" xfId="0" applyNumberFormat="1" applyFont="1" applyFill="1"/>
    <xf numFmtId="219" fontId="123" fillId="11" borderId="0" xfId="0" applyNumberFormat="1" applyFont="1" applyFill="1"/>
    <xf numFmtId="9" fontId="10" fillId="11" borderId="0" xfId="2" applyNumberFormat="1" applyFont="1" applyFill="1" applyAlignment="1"/>
    <xf numFmtId="0" fontId="3" fillId="11" borderId="0" xfId="0" applyFont="1" applyFill="1"/>
    <xf numFmtId="187" fontId="10" fillId="11" borderId="0" xfId="1" applyNumberFormat="1" applyFont="1" applyFill="1" applyAlignment="1"/>
    <xf numFmtId="187" fontId="14" fillId="11" borderId="0" xfId="1" applyNumberFormat="1" applyFont="1" applyFill="1" applyAlignment="1"/>
    <xf numFmtId="0" fontId="15" fillId="5" borderId="0" xfId="0" applyFont="1" applyFill="1"/>
    <xf numFmtId="9" fontId="82" fillId="5" borderId="0" xfId="0" applyNumberFormat="1" applyFont="1" applyFill="1"/>
    <xf numFmtId="2" fontId="24" fillId="0" borderId="0" xfId="0" applyNumberFormat="1" applyFont="1"/>
    <xf numFmtId="182" fontId="15" fillId="10" borderId="13" xfId="2" applyNumberFormat="1" applyFont="1" applyFill="1" applyBorder="1" applyAlignment="1">
      <alignment horizontal="right"/>
    </xf>
    <xf numFmtId="191" fontId="24" fillId="0" borderId="0" xfId="0" applyNumberFormat="1" applyFont="1"/>
    <xf numFmtId="218" fontId="10" fillId="11" borderId="0" xfId="0" applyNumberFormat="1" applyFont="1" applyFill="1"/>
    <xf numFmtId="0" fontId="0" fillId="0" borderId="0" xfId="0" applyFill="1"/>
    <xf numFmtId="218" fontId="12" fillId="0" borderId="0" xfId="1" applyNumberFormat="1" applyFont="1" applyFill="1" applyAlignment="1"/>
    <xf numFmtId="182" fontId="10" fillId="0" borderId="0" xfId="2" applyNumberFormat="1" applyFont="1" applyFill="1" applyAlignment="1"/>
    <xf numFmtId="0" fontId="9" fillId="0" borderId="0" xfId="0" applyFont="1" applyFill="1" applyBorder="1"/>
    <xf numFmtId="0" fontId="82" fillId="0" borderId="0" xfId="0" applyFont="1" applyFill="1"/>
    <xf numFmtId="185" fontId="9" fillId="0" borderId="0" xfId="1" applyNumberFormat="1" applyFont="1" applyFill="1" applyBorder="1" applyAlignment="1"/>
    <xf numFmtId="185" fontId="138" fillId="0" borderId="0" xfId="1" applyNumberFormat="1" applyFont="1" applyFill="1" applyBorder="1" applyAlignment="1"/>
    <xf numFmtId="185" fontId="24" fillId="0" borderId="0" xfId="1" applyNumberFormat="1" applyFont="1" applyFill="1" applyBorder="1" applyAlignment="1"/>
    <xf numFmtId="0" fontId="24" fillId="0" borderId="0" xfId="0" applyFont="1" applyFill="1" applyBorder="1"/>
    <xf numFmtId="0" fontId="138" fillId="0" borderId="0" xfId="0" applyFont="1" applyFill="1" applyBorder="1"/>
    <xf numFmtId="43" fontId="22" fillId="0" borderId="0" xfId="1" applyFont="1" applyFill="1" applyAlignment="1"/>
    <xf numFmtId="0" fontId="9" fillId="20" borderId="0" xfId="6" applyFont="1" applyFill="1"/>
    <xf numFmtId="0" fontId="24" fillId="20" borderId="0" xfId="6" applyFont="1" applyFill="1"/>
    <xf numFmtId="177" fontId="82" fillId="10" borderId="0" xfId="2" applyNumberFormat="1" applyFont="1" applyFill="1" applyAlignment="1">
      <alignment vertical="center"/>
    </xf>
    <xf numFmtId="182" fontId="3" fillId="0" borderId="0" xfId="6" applyNumberFormat="1" applyFont="1"/>
    <xf numFmtId="218" fontId="10" fillId="0" borderId="0" xfId="1" applyNumberFormat="1" applyFont="1" applyFill="1" applyAlignment="1"/>
    <xf numFmtId="0" fontId="83" fillId="0" borderId="0" xfId="0" applyFont="1" applyFill="1"/>
    <xf numFmtId="182" fontId="10" fillId="26" borderId="0" xfId="2" applyNumberFormat="1" applyFont="1" applyFill="1" applyAlignment="1"/>
    <xf numFmtId="185" fontId="10" fillId="10" borderId="0" xfId="6" applyNumberFormat="1" applyFont="1" applyFill="1"/>
    <xf numFmtId="181" fontId="26" fillId="0" borderId="0" xfId="0" applyNumberFormat="1" applyFont="1"/>
    <xf numFmtId="9" fontId="26" fillId="0" borderId="0" xfId="2" applyFont="1" applyAlignment="1"/>
    <xf numFmtId="0" fontId="37" fillId="0" borderId="7" xfId="0" applyFont="1" applyFill="1" applyBorder="1" applyAlignment="1">
      <alignment horizontal="right" vertical="center"/>
    </xf>
    <xf numFmtId="230" fontId="37" fillId="0" borderId="0" xfId="0" applyNumberFormat="1" applyFont="1" applyFill="1" applyAlignment="1">
      <alignment horizontal="right" vertical="center"/>
    </xf>
    <xf numFmtId="230" fontId="80" fillId="0" borderId="2" xfId="0" applyNumberFormat="1" applyFont="1" applyFill="1" applyBorder="1" applyAlignment="1">
      <alignment horizontal="right" vertical="center"/>
    </xf>
    <xf numFmtId="230" fontId="80" fillId="0" borderId="7" xfId="0" applyNumberFormat="1" applyFont="1" applyFill="1" applyBorder="1" applyAlignment="1">
      <alignment horizontal="right" vertical="center"/>
    </xf>
    <xf numFmtId="230" fontId="37" fillId="0" borderId="0" xfId="0" applyNumberFormat="1" applyFont="1" applyFill="1" applyBorder="1" applyAlignment="1">
      <alignment horizontal="right" vertical="center"/>
    </xf>
    <xf numFmtId="230" fontId="37" fillId="0" borderId="7" xfId="0" applyNumberFormat="1" applyFont="1" applyFill="1" applyBorder="1" applyAlignment="1">
      <alignment horizontal="right" vertical="center"/>
    </xf>
    <xf numFmtId="231" fontId="3" fillId="0" borderId="0" xfId="6" applyNumberFormat="1" applyFont="1"/>
    <xf numFmtId="185" fontId="10" fillId="0" borderId="0" xfId="1" applyNumberFormat="1" applyFont="1" applyFill="1">
      <alignment vertical="center"/>
    </xf>
    <xf numFmtId="0" fontId="24" fillId="5" borderId="0" xfId="6" applyFont="1" applyFill="1"/>
    <xf numFmtId="38" fontId="24" fillId="5" borderId="0" xfId="0" applyNumberFormat="1" applyFont="1" applyFill="1" applyAlignment="1">
      <alignment vertical="center"/>
    </xf>
    <xf numFmtId="181" fontId="24" fillId="5" borderId="0" xfId="0" applyNumberFormat="1" applyFont="1" applyFill="1"/>
    <xf numFmtId="185" fontId="24" fillId="5" borderId="0" xfId="1" applyNumberFormat="1" applyFont="1" applyFill="1" applyBorder="1" applyAlignment="1"/>
    <xf numFmtId="185" fontId="9" fillId="5" borderId="0" xfId="1" applyNumberFormat="1" applyFont="1" applyFill="1" applyBorder="1" applyAlignment="1"/>
    <xf numFmtId="185" fontId="138" fillId="5" borderId="0" xfId="1" applyNumberFormat="1" applyFont="1" applyFill="1" applyBorder="1" applyAlignment="1"/>
    <xf numFmtId="182" fontId="138" fillId="5" borderId="0" xfId="1" applyNumberFormat="1" applyFont="1" applyFill="1" applyBorder="1" applyAlignment="1"/>
    <xf numFmtId="185" fontId="93" fillId="5" borderId="0" xfId="1" applyNumberFormat="1" applyFont="1" applyFill="1" applyBorder="1" applyAlignment="1"/>
    <xf numFmtId="0" fontId="24" fillId="5" borderId="0" xfId="0" applyFont="1" applyFill="1" applyBorder="1"/>
    <xf numFmtId="180" fontId="9" fillId="5" borderId="0" xfId="5" applyNumberFormat="1" applyFont="1" applyFill="1" applyBorder="1">
      <alignment horizontal="right"/>
    </xf>
    <xf numFmtId="43" fontId="138" fillId="5" borderId="0" xfId="1" applyFont="1" applyFill="1" applyBorder="1" applyAlignment="1"/>
    <xf numFmtId="0" fontId="9" fillId="5" borderId="0" xfId="0" applyFont="1" applyFill="1" applyBorder="1"/>
    <xf numFmtId="181" fontId="24" fillId="5" borderId="0" xfId="0" applyNumberFormat="1" applyFont="1" applyFill="1" applyBorder="1"/>
    <xf numFmtId="9" fontId="24" fillId="5" borderId="0" xfId="0" applyNumberFormat="1" applyFont="1" applyFill="1" applyBorder="1"/>
    <xf numFmtId="181" fontId="138" fillId="5" borderId="0" xfId="0" applyNumberFormat="1" applyFont="1" applyFill="1" applyBorder="1"/>
    <xf numFmtId="9" fontId="138" fillId="5" borderId="0" xfId="0" applyNumberFormat="1" applyFont="1" applyFill="1" applyBorder="1"/>
    <xf numFmtId="0" fontId="138" fillId="5" borderId="0" xfId="0" applyFont="1" applyFill="1" applyBorder="1"/>
    <xf numFmtId="191" fontId="9" fillId="5" borderId="0" xfId="0" applyNumberFormat="1" applyFont="1" applyFill="1" applyBorder="1"/>
    <xf numFmtId="9" fontId="9" fillId="5" borderId="0" xfId="0" applyNumberFormat="1" applyFont="1" applyFill="1" applyBorder="1"/>
    <xf numFmtId="182" fontId="138" fillId="5" borderId="0" xfId="0" applyNumberFormat="1" applyFont="1" applyFill="1" applyBorder="1"/>
    <xf numFmtId="185" fontId="15" fillId="5" borderId="0" xfId="1" applyNumberFormat="1" applyFont="1" applyFill="1" applyBorder="1" applyAlignment="1"/>
    <xf numFmtId="185" fontId="20" fillId="5" borderId="0" xfId="1" applyNumberFormat="1" applyFont="1" applyFill="1" applyBorder="1" applyAlignment="1"/>
    <xf numFmtId="191" fontId="24" fillId="5" borderId="0" xfId="0" applyNumberFormat="1" applyFont="1" applyFill="1" applyBorder="1"/>
    <xf numFmtId="0" fontId="24" fillId="5" borderId="0" xfId="0" applyFont="1" applyFill="1" applyBorder="1" applyAlignment="1">
      <alignment horizontal="right"/>
    </xf>
    <xf numFmtId="181" fontId="9" fillId="5" borderId="0" xfId="0" applyNumberFormat="1" applyFont="1" applyFill="1" applyBorder="1"/>
    <xf numFmtId="185" fontId="24" fillId="5" borderId="0" xfId="0" applyNumberFormat="1" applyFont="1" applyFill="1" applyBorder="1"/>
    <xf numFmtId="39" fontId="139" fillId="0" borderId="0" xfId="0" applyNumberFormat="1" applyFont="1" applyAlignment="1">
      <alignment vertical="center"/>
    </xf>
    <xf numFmtId="14" fontId="140" fillId="0" borderId="0" xfId="0" applyNumberFormat="1" applyFont="1" applyAlignment="1">
      <alignment horizontal="right" vertical="center"/>
    </xf>
    <xf numFmtId="0" fontId="139" fillId="0" borderId="0" xfId="0" applyFont="1"/>
    <xf numFmtId="216" fontId="140" fillId="0" borderId="0" xfId="0" applyNumberFormat="1" applyFont="1" applyAlignment="1">
      <alignment horizontal="right" vertical="center"/>
    </xf>
    <xf numFmtId="0" fontId="141" fillId="0" borderId="0" xfId="0" applyFont="1"/>
    <xf numFmtId="37" fontId="139" fillId="0" borderId="0" xfId="0" applyNumberFormat="1" applyFont="1" applyAlignment="1">
      <alignment vertical="center"/>
    </xf>
    <xf numFmtId="185" fontId="141" fillId="0" borderId="0" xfId="1" applyNumberFormat="1" applyFont="1" applyAlignment="1"/>
    <xf numFmtId="37" fontId="140" fillId="0" borderId="0" xfId="0" applyNumberFormat="1" applyFont="1" applyAlignment="1">
      <alignment vertical="center"/>
    </xf>
    <xf numFmtId="0" fontId="140" fillId="0" borderId="0" xfId="0" applyFont="1"/>
    <xf numFmtId="229" fontId="10" fillId="0" borderId="13" xfId="0" applyNumberFormat="1" applyFont="1" applyBorder="1" applyAlignment="1">
      <alignment vertical="center"/>
    </xf>
    <xf numFmtId="229" fontId="75" fillId="0" borderId="13" xfId="0" applyNumberFormat="1" applyFont="1" applyBorder="1" applyAlignment="1">
      <alignment vertical="center"/>
    </xf>
    <xf numFmtId="229" fontId="10" fillId="19" borderId="3" xfId="0" applyNumberFormat="1" applyFont="1" applyFill="1" applyBorder="1" applyAlignment="1">
      <alignment vertical="center"/>
    </xf>
    <xf numFmtId="9" fontId="10" fillId="0" borderId="0" xfId="2" applyFont="1" applyFill="1" applyAlignment="1"/>
    <xf numFmtId="204" fontId="3" fillId="5" borderId="0" xfId="1" applyNumberFormat="1" applyFont="1" applyFill="1" applyBorder="1" applyAlignment="1">
      <alignment horizontal="center" vertical="center" wrapText="1"/>
    </xf>
    <xf numFmtId="182" fontId="3" fillId="5" borderId="0" xfId="0" applyNumberFormat="1" applyFont="1" applyFill="1" applyBorder="1" applyAlignment="1">
      <alignment horizontal="right" vertical="center" wrapText="1"/>
    </xf>
    <xf numFmtId="182" fontId="3" fillId="5" borderId="5" xfId="0" applyNumberFormat="1" applyFont="1" applyFill="1" applyBorder="1" applyAlignment="1">
      <alignment horizontal="right" vertical="center" wrapText="1"/>
    </xf>
    <xf numFmtId="204" fontId="3" fillId="5" borderId="7" xfId="1" applyNumberFormat="1" applyFont="1" applyFill="1" applyBorder="1" applyAlignment="1">
      <alignment horizontal="center" vertical="center" wrapText="1"/>
    </xf>
    <xf numFmtId="182" fontId="3" fillId="5" borderId="7" xfId="0" applyNumberFormat="1" applyFont="1" applyFill="1" applyBorder="1" applyAlignment="1">
      <alignment horizontal="right" vertical="center" wrapText="1"/>
    </xf>
    <xf numFmtId="182" fontId="3" fillId="5" borderId="8" xfId="0" applyNumberFormat="1" applyFont="1" applyFill="1" applyBorder="1" applyAlignment="1">
      <alignment horizontal="right" vertical="center" wrapText="1"/>
    </xf>
    <xf numFmtId="204" fontId="44" fillId="5" borderId="0" xfId="1" applyNumberFormat="1" applyFont="1" applyFill="1" applyBorder="1" applyAlignment="1">
      <alignment horizontal="center" vertical="center" wrapText="1"/>
    </xf>
    <xf numFmtId="182" fontId="44" fillId="5" borderId="0" xfId="0" applyNumberFormat="1" applyFont="1" applyFill="1" applyAlignment="1">
      <alignment horizontal="right" vertical="center" wrapText="1"/>
    </xf>
    <xf numFmtId="204" fontId="3" fillId="5" borderId="2" xfId="1" applyNumberFormat="1" applyFont="1" applyFill="1" applyBorder="1" applyAlignment="1">
      <alignment horizontal="center" vertical="center" wrapText="1"/>
    </xf>
    <xf numFmtId="182" fontId="3" fillId="5" borderId="2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right" vertical="center" wrapText="1"/>
    </xf>
    <xf numFmtId="182" fontId="3" fillId="5" borderId="0" xfId="0" applyNumberFormat="1" applyFont="1" applyFill="1" applyAlignment="1">
      <alignment horizontal="right" vertical="center" wrapText="1"/>
    </xf>
    <xf numFmtId="204" fontId="13" fillId="5" borderId="0" xfId="1" applyNumberFormat="1" applyFont="1" applyFill="1" applyBorder="1" applyAlignment="1">
      <alignment horizontal="center" vertical="center" wrapText="1"/>
    </xf>
    <xf numFmtId="182" fontId="13" fillId="5" borderId="0" xfId="0" applyNumberFormat="1" applyFont="1" applyFill="1" applyAlignment="1">
      <alignment horizontal="right" vertical="center" wrapText="1"/>
    </xf>
    <xf numFmtId="204" fontId="42" fillId="5" borderId="2" xfId="1" applyNumberFormat="1" applyFont="1" applyFill="1" applyBorder="1" applyAlignment="1">
      <alignment horizontal="center" vertical="center" wrapText="1"/>
    </xf>
    <xf numFmtId="182" fontId="42" fillId="5" borderId="2" xfId="0" applyNumberFormat="1" applyFont="1" applyFill="1" applyBorder="1" applyAlignment="1">
      <alignment horizontal="right" vertical="center" wrapText="1"/>
    </xf>
    <xf numFmtId="182" fontId="42" fillId="5" borderId="3" xfId="0" applyNumberFormat="1" applyFont="1" applyFill="1" applyBorder="1" applyAlignment="1">
      <alignment horizontal="right" vertical="center" wrapText="1"/>
    </xf>
    <xf numFmtId="204" fontId="42" fillId="5" borderId="0" xfId="1" applyNumberFormat="1" applyFont="1" applyFill="1" applyBorder="1" applyAlignment="1">
      <alignment horizontal="center" vertical="center" wrapText="1"/>
    </xf>
    <xf numFmtId="182" fontId="42" fillId="5" borderId="0" xfId="0" applyNumberFormat="1" applyFont="1" applyFill="1" applyBorder="1" applyAlignment="1">
      <alignment horizontal="right" vertical="center" wrapText="1"/>
    </xf>
    <xf numFmtId="182" fontId="42" fillId="5" borderId="5" xfId="0" applyNumberFormat="1" applyFont="1" applyFill="1" applyBorder="1" applyAlignment="1">
      <alignment horizontal="right" vertical="center" wrapText="1"/>
    </xf>
    <xf numFmtId="204" fontId="42" fillId="5" borderId="7" xfId="1" applyNumberFormat="1" applyFont="1" applyFill="1" applyBorder="1" applyAlignment="1">
      <alignment horizontal="center" vertical="center" wrapText="1"/>
    </xf>
    <xf numFmtId="182" fontId="42" fillId="5" borderId="7" xfId="0" applyNumberFormat="1" applyFont="1" applyFill="1" applyBorder="1" applyAlignment="1">
      <alignment horizontal="right" vertical="center" wrapText="1"/>
    </xf>
    <xf numFmtId="182" fontId="42" fillId="5" borderId="8" xfId="0" applyNumberFormat="1" applyFont="1" applyFill="1" applyBorder="1" applyAlignment="1">
      <alignment horizontal="right" vertical="center" wrapText="1"/>
    </xf>
    <xf numFmtId="215" fontId="10" fillId="5" borderId="0" xfId="1" applyNumberFormat="1" applyFont="1" applyFill="1" applyBorder="1" applyAlignment="1">
      <alignment horizontal="center" vertical="center" wrapText="1"/>
    </xf>
    <xf numFmtId="182" fontId="44" fillId="5" borderId="0" xfId="0" applyNumberFormat="1" applyFont="1" applyFill="1" applyAlignment="1">
      <alignment vertical="center" wrapText="1"/>
    </xf>
    <xf numFmtId="182" fontId="90" fillId="5" borderId="0" xfId="0" applyNumberFormat="1" applyFont="1" applyFill="1" applyAlignment="1">
      <alignment vertical="center" wrapText="1"/>
    </xf>
    <xf numFmtId="182" fontId="3" fillId="5" borderId="0" xfId="0" applyNumberFormat="1" applyFont="1" applyFill="1" applyAlignment="1">
      <alignment vertical="top" wrapText="1"/>
    </xf>
    <xf numFmtId="204" fontId="13" fillId="5" borderId="0" xfId="1" applyNumberFormat="1" applyFont="1" applyFill="1" applyBorder="1" applyAlignment="1">
      <alignment horizontal="right" vertical="center" wrapText="1"/>
    </xf>
    <xf numFmtId="0" fontId="12" fillId="0" borderId="0" xfId="6" applyFont="1" applyBorder="1" applyAlignment="1">
      <alignment horizontal="center"/>
    </xf>
    <xf numFmtId="0" fontId="10" fillId="0" borderId="0" xfId="6" applyFont="1" applyBorder="1" applyAlignment="1">
      <alignment horizontal="center"/>
    </xf>
    <xf numFmtId="43" fontId="27" fillId="0" borderId="15" xfId="1" applyFont="1" applyFill="1" applyBorder="1" applyAlignment="1">
      <alignment horizontal="center" vertical="center" wrapText="1"/>
    </xf>
    <xf numFmtId="43" fontId="27" fillId="0" borderId="16" xfId="1" applyFont="1" applyFill="1" applyBorder="1" applyAlignment="1">
      <alignment horizontal="center" vertical="center" wrapText="1"/>
    </xf>
    <xf numFmtId="43" fontId="27" fillId="0" borderId="17" xfId="1" applyFont="1" applyFill="1" applyBorder="1" applyAlignment="1">
      <alignment horizontal="center" vertical="center" wrapText="1"/>
    </xf>
    <xf numFmtId="176" fontId="9" fillId="2" borderId="0" xfId="4" applyFont="1" applyAlignment="1">
      <alignment horizontal="center" vertical="center"/>
    </xf>
    <xf numFmtId="43" fontId="27" fillId="0" borderId="14" xfId="1" applyFont="1" applyFill="1" applyBorder="1" applyAlignment="1">
      <alignment horizontal="center" vertical="center"/>
    </xf>
    <xf numFmtId="43" fontId="27" fillId="0" borderId="13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right" vertical="center" wrapText="1"/>
    </xf>
    <xf numFmtId="0" fontId="9" fillId="5" borderId="0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195" fontId="47" fillId="0" borderId="7" xfId="13" applyFont="1" applyBorder="1" applyAlignment="1">
      <alignment horizontal="center" vertical="center"/>
    </xf>
    <xf numFmtId="195" fontId="49" fillId="0" borderId="7" xfId="13" applyFont="1" applyBorder="1" applyAlignment="1">
      <alignment horizontal="center" vertical="center"/>
    </xf>
    <xf numFmtId="43" fontId="49" fillId="0" borderId="7" xfId="13" applyNumberFormat="1" applyFont="1" applyBorder="1" applyAlignment="1">
      <alignment horizontal="center" vertical="center"/>
    </xf>
    <xf numFmtId="195" fontId="53" fillId="0" borderId="15" xfId="13" applyFont="1" applyBorder="1" applyAlignment="1">
      <alignment horizontal="center" vertical="center"/>
    </xf>
    <xf numFmtId="195" fontId="53" fillId="0" borderId="16" xfId="13" applyFont="1" applyBorder="1" applyAlignment="1">
      <alignment horizontal="center" vertical="center"/>
    </xf>
    <xf numFmtId="195" fontId="53" fillId="0" borderId="17" xfId="13" applyFont="1" applyBorder="1" applyAlignment="1">
      <alignment horizontal="center" vertical="center"/>
    </xf>
    <xf numFmtId="195" fontId="53" fillId="0" borderId="15" xfId="13" applyFont="1" applyBorder="1" applyAlignment="1">
      <alignment horizontal="center" vertical="center" wrapText="1"/>
    </xf>
    <xf numFmtId="195" fontId="53" fillId="0" borderId="16" xfId="13" applyFont="1" applyBorder="1" applyAlignment="1">
      <alignment horizontal="center" vertical="center" wrapText="1"/>
    </xf>
    <xf numFmtId="195" fontId="53" fillId="0" borderId="17" xfId="13" applyFont="1" applyBorder="1" applyAlignment="1">
      <alignment horizontal="center" vertical="center" wrapText="1"/>
    </xf>
    <xf numFmtId="196" fontId="53" fillId="0" borderId="15" xfId="13" applyNumberFormat="1" applyFont="1" applyBorder="1" applyAlignment="1">
      <alignment horizontal="center" vertical="center" wrapText="1"/>
    </xf>
    <xf numFmtId="196" fontId="53" fillId="0" borderId="16" xfId="13" applyNumberFormat="1" applyFont="1" applyBorder="1" applyAlignment="1">
      <alignment horizontal="center" vertical="center" wrapText="1"/>
    </xf>
    <xf numFmtId="196" fontId="53" fillId="0" borderId="17" xfId="13" applyNumberFormat="1" applyFont="1" applyBorder="1" applyAlignment="1">
      <alignment horizontal="center" vertical="center" wrapText="1"/>
    </xf>
    <xf numFmtId="195" fontId="56" fillId="0" borderId="15" xfId="13" applyFont="1" applyBorder="1" applyAlignment="1">
      <alignment horizontal="center" vertical="center" wrapText="1"/>
    </xf>
    <xf numFmtId="195" fontId="54" fillId="0" borderId="15" xfId="13" applyFont="1" applyBorder="1" applyAlignment="1">
      <alignment horizontal="center" vertical="center" wrapText="1"/>
    </xf>
    <xf numFmtId="195" fontId="54" fillId="0" borderId="16" xfId="13" applyFont="1" applyBorder="1" applyAlignment="1">
      <alignment horizontal="center" vertical="center" wrapText="1"/>
    </xf>
    <xf numFmtId="195" fontId="54" fillId="0" borderId="17" xfId="13" applyFont="1" applyBorder="1" applyAlignment="1">
      <alignment horizontal="center" vertical="center" wrapText="1"/>
    </xf>
    <xf numFmtId="195" fontId="62" fillId="0" borderId="15" xfId="13" applyFont="1" applyBorder="1" applyAlignment="1">
      <alignment horizontal="center" vertical="center" wrapText="1"/>
    </xf>
    <xf numFmtId="195" fontId="62" fillId="0" borderId="17" xfId="13" applyFont="1" applyBorder="1" applyAlignment="1">
      <alignment horizontal="center" vertical="center" wrapText="1"/>
    </xf>
    <xf numFmtId="196" fontId="63" fillId="0" borderId="15" xfId="13" applyNumberFormat="1" applyFont="1" applyBorder="1" applyAlignment="1">
      <alignment horizontal="center" vertical="center" wrapText="1"/>
    </xf>
    <xf numFmtId="196" fontId="63" fillId="0" borderId="17" xfId="13" applyNumberFormat="1" applyFont="1" applyBorder="1" applyAlignment="1">
      <alignment horizontal="center" vertical="center" wrapText="1"/>
    </xf>
    <xf numFmtId="195" fontId="62" fillId="0" borderId="16" xfId="13" applyFont="1" applyBorder="1" applyAlignment="1">
      <alignment horizontal="center" vertical="center" wrapText="1"/>
    </xf>
    <xf numFmtId="196" fontId="63" fillId="0" borderId="16" xfId="13" applyNumberFormat="1" applyFont="1" applyBorder="1" applyAlignment="1">
      <alignment horizontal="center" vertical="center" wrapText="1"/>
    </xf>
    <xf numFmtId="196" fontId="53" fillId="0" borderId="13" xfId="13" applyNumberFormat="1" applyFont="1" applyBorder="1" applyAlignment="1">
      <alignment horizontal="center" vertical="center" wrapText="1"/>
    </xf>
    <xf numFmtId="195" fontId="54" fillId="0" borderId="13" xfId="13" applyFont="1" applyBorder="1" applyAlignment="1">
      <alignment horizontal="center" vertical="center" wrapText="1"/>
    </xf>
    <xf numFmtId="195" fontId="68" fillId="0" borderId="13" xfId="18" quotePrefix="1" applyNumberFormat="1" applyFont="1" applyFill="1" applyBorder="1" applyAlignment="1" applyProtection="1">
      <alignment horizontal="center" vertical="center" wrapText="1"/>
    </xf>
    <xf numFmtId="195" fontId="68" fillId="0" borderId="13" xfId="18" applyNumberFormat="1" applyFont="1" applyFill="1" applyBorder="1" applyAlignment="1" applyProtection="1">
      <alignment horizontal="center" vertical="center" wrapText="1"/>
    </xf>
    <xf numFmtId="195" fontId="55" fillId="0" borderId="13" xfId="13" applyFont="1" applyBorder="1" applyAlignment="1">
      <alignment horizontal="center" vertical="center" wrapText="1"/>
    </xf>
    <xf numFmtId="14" fontId="55" fillId="0" borderId="13" xfId="13" applyNumberFormat="1" applyFont="1" applyBorder="1" applyAlignment="1">
      <alignment horizontal="center" vertical="center"/>
    </xf>
    <xf numFmtId="0" fontId="31" fillId="13" borderId="0" xfId="6" applyFont="1" applyFill="1" applyAlignment="1">
      <alignment horizontal="center" vertical="center"/>
    </xf>
    <xf numFmtId="216" fontId="142" fillId="0" borderId="0" xfId="0" applyNumberFormat="1" applyFont="1" applyAlignment="1">
      <alignment horizontal="right" vertical="center"/>
    </xf>
    <xf numFmtId="0" fontId="143" fillId="0" borderId="0" xfId="0" applyFont="1"/>
    <xf numFmtId="0" fontId="143" fillId="0" borderId="0" xfId="0" applyFont="1" applyAlignment="1">
      <alignment horizontal="right"/>
    </xf>
    <xf numFmtId="217" fontId="95" fillId="0" borderId="0" xfId="0" applyNumberFormat="1" applyFont="1" applyAlignment="1">
      <alignment vertical="center"/>
    </xf>
    <xf numFmtId="216" fontId="88" fillId="0" borderId="0" xfId="0" applyNumberFormat="1" applyFont="1" applyAlignment="1">
      <alignment horizontal="right" vertical="center"/>
    </xf>
    <xf numFmtId="181" fontId="143" fillId="0" borderId="0" xfId="0" applyNumberFormat="1" applyFont="1" applyAlignment="1">
      <alignment horizontal="right"/>
    </xf>
    <xf numFmtId="43" fontId="143" fillId="0" borderId="0" xfId="1" applyFont="1" applyAlignment="1">
      <alignment horizontal="right"/>
    </xf>
    <xf numFmtId="212" fontId="143" fillId="0" borderId="0" xfId="0" applyNumberFormat="1" applyFont="1" applyAlignment="1">
      <alignment horizontal="right"/>
    </xf>
    <xf numFmtId="0" fontId="144" fillId="0" borderId="0" xfId="0" applyFont="1" applyAlignment="1">
      <alignment vertical="center"/>
    </xf>
    <xf numFmtId="0" fontId="142" fillId="0" borderId="0" xfId="0" applyFont="1" applyAlignment="1">
      <alignment vertical="center"/>
    </xf>
    <xf numFmtId="0" fontId="95" fillId="0" borderId="0" xfId="0" applyFont="1"/>
    <xf numFmtId="216" fontId="145" fillId="0" borderId="0" xfId="0" applyNumberFormat="1" applyFont="1" applyAlignment="1">
      <alignment horizontal="right" vertical="center"/>
    </xf>
    <xf numFmtId="181" fontId="24" fillId="5" borderId="0" xfId="0" applyNumberFormat="1" applyFont="1" applyFill="1" applyAlignment="1">
      <alignment horizontal="right" vertical="center"/>
    </xf>
    <xf numFmtId="182" fontId="143" fillId="0" borderId="0" xfId="0" applyNumberFormat="1" applyFont="1" applyAlignment="1">
      <alignment horizontal="right"/>
    </xf>
  </cellXfs>
  <cellStyles count="40">
    <cellStyle name="Hardcode" xfId="34"/>
    <cellStyle name="Normal 2 2 3" xfId="38"/>
    <cellStyle name="Normal 2 3" xfId="39"/>
    <cellStyle name="Normal 44 2 2 5" xfId="28"/>
    <cellStyle name="百分比" xfId="2" builtinId="5"/>
    <cellStyle name="百分比 10" xfId="26"/>
    <cellStyle name="百分比 11 2" xfId="29"/>
    <cellStyle name="百分比 2" xfId="9"/>
    <cellStyle name="百分比 2 2 2 2" xfId="22"/>
    <cellStyle name="百分比 3" xfId="37"/>
    <cellStyle name="百分比 6 6 15 2 4 37 4 2 10 7 35 11 7 5 6 2 3 4 2 2 3 2 3 7 26 3 11 2 5 17 6 4 16 3 7 4 7 3 4 3 2 2 2 2 3 5 4 2 2 6 7 5 6 14 2 2 2 16 4 3 2 4 14 3 6 10 2 4 6 4 2 2 3 4 2 2 3 3 3 2 3 2 2 2 3 2 2 4 2 2 2 2 2 2 5 2 5 2 3 3 76 10 30 2" xfId="16"/>
    <cellStyle name="百分比 9" xfId="24"/>
    <cellStyle name="常规" xfId="0" builtinId="0"/>
    <cellStyle name="常规 159" xfId="27"/>
    <cellStyle name="常规 2" xfId="6"/>
    <cellStyle name="常规 2 2" xfId="7"/>
    <cellStyle name="常规 2 3" xfId="11"/>
    <cellStyle name="常规 25 2" xfId="17"/>
    <cellStyle name="常规 27 2" xfId="13"/>
    <cellStyle name="常规 3" xfId="32"/>
    <cellStyle name="常规 4 6" xfId="25"/>
    <cellStyle name="常规 4 7 15 2 4 19" xfId="23"/>
    <cellStyle name="常规 4 7 15 2 4 37 4 2 10 7 35 11 7 5 6 2 3 4 2 2 3 2 3 7 26 3 11 2 5 17 6 4 16 3 7 4 7 3 4 3 2 2 2 2 3 5 4 2 2 6 7 5 6 14 2 2 2 16 4 3 2 4 14 3 6 10 2 4 6 4 2 2 3 4 2 2 3 3 3 2 3 2 2 2 3 2 2 4 2 2 2 2 2 2 5 2 5 2 3 3" xfId="14"/>
    <cellStyle name="常规 4 7 15 2 4 37 4 2 10 7 35 11 7 5 6 2 3 4 2 2 3 2 3 7 26 3 11 2 5 17 6 4 16 3 7 4 7 3 4 3 2 2 2 2 3 5 4 2 2 6 7 5 6 14 2 2 2 16 4 3 2 4 14 3 6 10 2 4 6 4 2 2 3 4 2 2 3 3 3 2 3 2 2 2 3 2 2 4 2 2 2 2 2 2 5 2 5 2 3 3 77 10 30 2" xfId="15"/>
    <cellStyle name="常规 4 7 15 2 4 37 4 2 10 7 35 11 7 5 6 2 3 4 2 2 3 2 3 7 26 3 11 2 5 17 6 4 16 3 7 4 7 3 4 3 2 2 2 2 3 5 4 2 2 6 7 5 6 14 2 2 2 16 4 3 2 4 14 3 6 10 2 4 6 4 2 2 3 4 2 2 3 3 3 2 3 2 2 2 3 2 2 4 2 2 2 2 2 2 5 2 5 2 3 3 77 10 30 5 5 13 10 12 6" xfId="20"/>
    <cellStyle name="常规 4 7 15 2 4 37 4 2 10 7 35 11 7 5 6 2 3 4 2 2 3 2 3 7 26 3 11 2 5 17 6 4 16 3 7 4 7 3 4 3 2 2 2 2 3 5 4 2 2 6 7 5 6 14 2 2 2 16 4 3 2 4 14 3 6 10 2 4 6 4 2 2 3 4 2 2 3 3 3 2 3 2 2 2 3 2 2 4 2 2 2 2 2 2 5 2 5 2 3 3 77 10 5" xfId="19"/>
    <cellStyle name="常规 4 7 15 2 4 37 4 2 10 7 35 11 7 5 6 2 3 4 2 2 3 2 3 7 26 3 11 2 5 17 6 4 16 3 7 4 7 3 4 3 2 2 2 2 3 5 4 2 2 6 7 5 6 14 2 2 2 16 4 3 2 4 14 3 6 10 2 4 6 4 2 2 3 4 2 2 3 3 3 2 3 2 2 2 3 2 2 4 2 2 2 2 2 2 5 2 5 2 3 3 8" xfId="21"/>
    <cellStyle name="超链接 2" xfId="18"/>
    <cellStyle name="大标题" xfId="4"/>
    <cellStyle name="副标题" xfId="5"/>
    <cellStyle name="解释性文本" xfId="3" builtinId="53"/>
    <cellStyle name="千位分隔" xfId="1" builtinId="3"/>
    <cellStyle name="千位分隔 10 2 2 2" xfId="30"/>
    <cellStyle name="千位分隔 2" xfId="8"/>
    <cellStyle name="千位分隔 2 2" xfId="10"/>
    <cellStyle name="千位分隔 2 3" xfId="12"/>
    <cellStyle name="千位分隔 3" xfId="33"/>
    <cellStyle name="千位分隔 4" xfId="36"/>
    <cellStyle name="数字" xfId="31"/>
    <cellStyle name="注释 2" xfId="35"/>
  </cellStyles>
  <dxfs count="75"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</dxfs>
  <tableStyles count="0" defaultTableStyle="TableStyleMedium2" defaultPivotStyle="PivotStyleLight16"/>
  <colors>
    <mruColors>
      <color rgb="FF0033CC"/>
      <color rgb="FF006600"/>
      <color rgb="FFE2E3E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3\&#36130;&#21153;&#25253;&#34920;&#21450;&#20998;&#26512;&#25253;&#21578;\&#33406;&#20848;&#24471;&#36130;&#21153;&#25253;&#34920;\2018&#24180;&#36130;&#21153;&#25253;&#34920;\2016&#24180;&#29616;&#37329;&#27969;&#37327;&#34920;&#24213;&#312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月底稿"/>
      <sheetName val="现金流量表01"/>
      <sheetName val="2月底稿"/>
      <sheetName val="现金流量表02"/>
      <sheetName val="3月底稿"/>
      <sheetName val="现金流量表03"/>
      <sheetName val="4月底稿"/>
      <sheetName val="现金流量表04"/>
      <sheetName val="5月底稿"/>
      <sheetName val="现金流量表05"/>
      <sheetName val="6月底稿"/>
      <sheetName val="现金流量表06"/>
      <sheetName val="7月底稿"/>
      <sheetName val="现金流量表07"/>
      <sheetName val="8月底稿"/>
      <sheetName val="现金流量表08"/>
      <sheetName val="9月底稿"/>
      <sheetName val="现金流量表09"/>
      <sheetName val="10月底稿"/>
      <sheetName val="现金流量10"/>
      <sheetName val="11月底稿"/>
      <sheetName val="现金流量表11"/>
      <sheetName val="12月底稿"/>
      <sheetName val="现金流量表1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自定义 1">
      <a:dk1>
        <a:srgbClr val="75787B"/>
      </a:dk1>
      <a:lt1>
        <a:sysClr val="window" lastClr="FFFFFF"/>
      </a:lt1>
      <a:dk2>
        <a:srgbClr val="5E8AB4"/>
      </a:dk2>
      <a:lt2>
        <a:srgbClr val="A4C8E1"/>
      </a:lt2>
      <a:accent1>
        <a:srgbClr val="004976"/>
      </a:accent1>
      <a:accent2>
        <a:srgbClr val="94B7BB"/>
      </a:accent2>
      <a:accent3>
        <a:srgbClr val="686E9F"/>
      </a:accent3>
      <a:accent4>
        <a:srgbClr val="71C5E8"/>
      </a:accent4>
      <a:accent5>
        <a:srgbClr val="B1E4E3"/>
      </a:accent5>
      <a:accent6>
        <a:srgbClr val="C8102E"/>
      </a:accent6>
      <a:hlink>
        <a:srgbClr val="5E8AB4"/>
      </a:hlink>
      <a:folHlink>
        <a:srgbClr val="A4C8E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X206"/>
  <sheetViews>
    <sheetView showGridLines="0" tabSelected="1" topLeftCell="J13" zoomScale="160" zoomScaleNormal="160" workbookViewId="0">
      <selection activeCell="N124" sqref="N124"/>
    </sheetView>
  </sheetViews>
  <sheetFormatPr defaultColWidth="8.6640625" defaultRowHeight="14.5" outlineLevelRow="1"/>
  <cols>
    <col min="1" max="4" width="2.4140625" style="216" customWidth="1"/>
    <col min="5" max="5" width="14.6640625" style="216" customWidth="1"/>
    <col min="6" max="6" width="14.58203125" style="216" customWidth="1"/>
    <col min="7" max="7" width="12.83203125" style="216" customWidth="1"/>
    <col min="8" max="8" width="19.25" style="216" customWidth="1"/>
    <col min="9" max="9" width="11.5" style="216" customWidth="1"/>
    <col min="10" max="10" width="19.75" style="216" customWidth="1"/>
    <col min="11" max="11" width="11.5" style="216" customWidth="1"/>
    <col min="12" max="12" width="14.83203125" style="216" customWidth="1"/>
    <col min="13" max="18" width="11.5" style="216" customWidth="1"/>
    <col min="19" max="21" width="8.6640625" style="216"/>
    <col min="22" max="22" width="9.58203125" style="216" bestFit="1" customWidth="1"/>
    <col min="23" max="16384" width="8.6640625" style="216"/>
  </cols>
  <sheetData>
    <row r="1" spans="1:19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</row>
    <row r="2" spans="1:19" s="1" customFormat="1" ht="20.25" customHeight="1">
      <c r="A2" s="1579" t="s">
        <v>614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</row>
    <row r="3" spans="1:19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>
        <v>2025</v>
      </c>
      <c r="N3" s="4">
        <v>2026</v>
      </c>
      <c r="O3" s="4">
        <v>2027</v>
      </c>
      <c r="P3" s="4">
        <v>2028</v>
      </c>
      <c r="Q3" s="4">
        <v>2029</v>
      </c>
      <c r="R3" s="4">
        <v>2030</v>
      </c>
    </row>
    <row r="4" spans="1:19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</row>
    <row r="5" spans="1:19" s="1" customFormat="1" ht="14.25" customHeight="1">
      <c r="A5" s="5" t="s">
        <v>613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9">
        <v>45657</v>
      </c>
      <c r="M5" s="9">
        <v>46022</v>
      </c>
      <c r="N5" s="9">
        <v>46387</v>
      </c>
      <c r="O5" s="9">
        <v>46752</v>
      </c>
      <c r="P5" s="9">
        <v>46753</v>
      </c>
      <c r="Q5" s="9">
        <v>47483</v>
      </c>
      <c r="R5" s="9">
        <v>47848</v>
      </c>
    </row>
    <row r="6" spans="1:19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s="184" customFormat="1" ht="14.25" customHeight="1">
      <c r="A7" s="213"/>
      <c r="B7" s="213"/>
      <c r="C7" s="214"/>
      <c r="D7" s="214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</row>
    <row r="8" spans="1:19" s="1" customFormat="1" ht="14.25" customHeight="1">
      <c r="A8" s="356" t="s">
        <v>8</v>
      </c>
      <c r="B8" s="357" t="s">
        <v>615</v>
      </c>
      <c r="C8" s="357"/>
      <c r="D8" s="247"/>
      <c r="E8" s="247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49"/>
    </row>
    <row r="9" spans="1:19" s="183" customFormat="1"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1:19" s="218" customFormat="1">
      <c r="B10" s="184" t="s">
        <v>616</v>
      </c>
      <c r="C10" s="185"/>
      <c r="D10" s="185"/>
      <c r="F10" s="434">
        <v>46022</v>
      </c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</row>
    <row r="11" spans="1:19" s="1507" customFormat="1" hidden="1">
      <c r="B11" s="1507" t="s">
        <v>617</v>
      </c>
      <c r="F11" s="1507">
        <v>2</v>
      </c>
      <c r="G11" s="1508" t="s">
        <v>649</v>
      </c>
      <c r="H11" s="1509"/>
      <c r="I11" s="1509"/>
      <c r="J11" s="1509"/>
      <c r="K11" s="1509"/>
      <c r="L11" s="1509"/>
      <c r="M11" s="1509"/>
      <c r="N11" s="1509"/>
      <c r="O11" s="1509"/>
      <c r="P11" s="1509"/>
      <c r="Q11" s="1509"/>
      <c r="R11" s="1509"/>
    </row>
    <row r="12" spans="1:19" s="184" customFormat="1">
      <c r="B12" s="184" t="s">
        <v>618</v>
      </c>
      <c r="F12" s="393">
        <v>365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9" s="184" customFormat="1"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19" s="184" customFormat="1"/>
    <row r="15" spans="1:19" s="18" customFormat="1" ht="14.25" customHeight="1">
      <c r="A15" s="357" t="s">
        <v>8</v>
      </c>
      <c r="B15" s="357" t="s">
        <v>623</v>
      </c>
      <c r="C15" s="357"/>
      <c r="D15" s="26"/>
      <c r="E15" s="26"/>
      <c r="F15" s="379"/>
      <c r="G15" s="379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49"/>
    </row>
    <row r="16" spans="1:19" s="218" customFormat="1">
      <c r="B16" s="185"/>
      <c r="C16" s="185"/>
      <c r="D16" s="18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</row>
    <row r="17" spans="2:18" s="218" customFormat="1">
      <c r="B17" s="531" t="s">
        <v>706</v>
      </c>
      <c r="C17" s="532"/>
      <c r="D17" s="532"/>
      <c r="E17" s="533"/>
      <c r="F17" s="533"/>
      <c r="G17" s="533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</row>
    <row r="18" spans="2:18" s="184" customFormat="1">
      <c r="B18" s="358" t="s">
        <v>619</v>
      </c>
      <c r="C18" s="359"/>
      <c r="D18" s="360"/>
      <c r="E18" s="359"/>
      <c r="F18" s="359"/>
      <c r="G18" s="366"/>
      <c r="H18" s="20"/>
      <c r="I18" s="348"/>
      <c r="J18" s="347"/>
      <c r="K18" s="363"/>
      <c r="L18" s="347"/>
      <c r="O18" s="347"/>
      <c r="P18" s="367"/>
      <c r="Q18" s="20"/>
      <c r="R18" s="20"/>
    </row>
    <row r="19" spans="2:18" s="185" customFormat="1">
      <c r="B19" s="361" t="s">
        <v>620</v>
      </c>
      <c r="C19" s="347"/>
      <c r="D19" s="1"/>
      <c r="E19" s="347"/>
      <c r="F19" s="368"/>
      <c r="G19" s="1211">
        <v>1130</v>
      </c>
      <c r="H19" s="175"/>
      <c r="I19" s="361"/>
      <c r="J19" s="347"/>
      <c r="K19" s="1"/>
      <c r="L19" s="347"/>
      <c r="O19" s="368"/>
      <c r="P19" s="369"/>
      <c r="Q19" s="175"/>
      <c r="R19" s="175"/>
    </row>
    <row r="20" spans="2:18" s="184" customFormat="1">
      <c r="B20" s="362"/>
      <c r="C20" s="347" t="s">
        <v>653</v>
      </c>
      <c r="D20" s="363"/>
      <c r="E20" s="347"/>
      <c r="F20" s="370"/>
      <c r="G20" s="431">
        <f>利润表!N44</f>
        <v>131.26852833687414</v>
      </c>
      <c r="H20" s="184" t="s">
        <v>624</v>
      </c>
      <c r="I20" s="431">
        <f>利润表!L44</f>
        <v>105.49077863108919</v>
      </c>
      <c r="J20" s="184" t="s">
        <v>813</v>
      </c>
      <c r="K20" s="431">
        <f ca="1">利润表!O44</f>
        <v>154.33575618181658</v>
      </c>
      <c r="L20" s="378"/>
      <c r="O20" s="370"/>
      <c r="P20" s="371"/>
    </row>
    <row r="21" spans="2:18" s="183" customFormat="1">
      <c r="B21" s="362"/>
      <c r="C21" s="347" t="s">
        <v>654</v>
      </c>
      <c r="D21" s="363"/>
      <c r="E21" s="347"/>
      <c r="F21" s="372"/>
      <c r="G21" s="374">
        <f>G19/G20</f>
        <v>8.6083085893983924</v>
      </c>
      <c r="H21" s="223" t="s">
        <v>625</v>
      </c>
      <c r="I21" s="374">
        <f>G19/I20</f>
        <v>10.711836756383347</v>
      </c>
      <c r="J21" s="223" t="s">
        <v>814</v>
      </c>
      <c r="K21" s="374">
        <f ca="1">G19/K20</f>
        <v>7.3216993129498373</v>
      </c>
      <c r="L21" s="223"/>
      <c r="O21" s="217"/>
      <c r="P21" s="217"/>
      <c r="Q21" s="217"/>
      <c r="R21" s="217"/>
    </row>
    <row r="22" spans="2:18" s="218" customFormat="1">
      <c r="B22" s="364"/>
      <c r="C22" s="347" t="s">
        <v>626</v>
      </c>
      <c r="D22" s="1"/>
      <c r="E22" s="347"/>
      <c r="F22" s="370"/>
      <c r="G22" s="431">
        <f>资产负债表!M95</f>
        <v>-434.27010294570169</v>
      </c>
      <c r="H22" s="175"/>
      <c r="J22" s="181"/>
      <c r="K22" s="175"/>
      <c r="L22" s="175"/>
      <c r="O22" s="175"/>
      <c r="P22" s="175"/>
      <c r="Q22" s="175"/>
      <c r="R22" s="175"/>
    </row>
    <row r="23" spans="2:18" s="183" customFormat="1">
      <c r="B23" s="364"/>
      <c r="C23" s="347"/>
      <c r="D23" s="1"/>
      <c r="E23" s="347"/>
      <c r="F23" s="370"/>
      <c r="G23" s="373"/>
      <c r="L23" s="184"/>
      <c r="M23" s="382"/>
    </row>
    <row r="24" spans="2:18" s="184" customFormat="1">
      <c r="B24" s="361" t="s">
        <v>621</v>
      </c>
      <c r="C24" s="348"/>
      <c r="D24" s="18"/>
      <c r="E24" s="347"/>
      <c r="F24" s="368"/>
      <c r="G24" s="369">
        <f>G19+G22</f>
        <v>695.72989705429836</v>
      </c>
      <c r="J24" s="348"/>
      <c r="K24" s="363"/>
    </row>
    <row r="25" spans="2:18" s="184" customFormat="1">
      <c r="B25" s="362"/>
      <c r="C25" s="347" t="s">
        <v>655</v>
      </c>
      <c r="D25" s="363"/>
      <c r="E25" s="347"/>
      <c r="F25" s="370"/>
      <c r="G25" s="523">
        <f>利润表!N40</f>
        <v>55.900016863540209</v>
      </c>
      <c r="H25" s="223" t="s">
        <v>627</v>
      </c>
      <c r="I25" s="431">
        <f>利润表!L40</f>
        <v>37.933252510246042</v>
      </c>
      <c r="J25" s="223" t="s">
        <v>815</v>
      </c>
      <c r="K25" s="431">
        <f ca="1">利润表!O40</f>
        <v>81.940584695694227</v>
      </c>
      <c r="N25" s="217"/>
      <c r="O25" s="217"/>
      <c r="P25" s="217"/>
      <c r="Q25" s="217"/>
      <c r="R25" s="217"/>
    </row>
    <row r="26" spans="2:18" s="218" customFormat="1">
      <c r="B26" s="362"/>
      <c r="C26" s="347" t="s">
        <v>656</v>
      </c>
      <c r="D26" s="363"/>
      <c r="E26" s="347"/>
      <c r="F26" s="372"/>
      <c r="G26" s="374">
        <f>G24/G25</f>
        <v>12.445969359055342</v>
      </c>
      <c r="H26" s="181" t="s">
        <v>628</v>
      </c>
      <c r="I26" s="374">
        <f>G24/I25</f>
        <v>18.340897524312652</v>
      </c>
      <c r="J26" s="181" t="s">
        <v>816</v>
      </c>
      <c r="K26" s="374">
        <f ca="1">G24/K25</f>
        <v>8.4906630778637489</v>
      </c>
      <c r="L26" s="184"/>
      <c r="M26" s="184"/>
      <c r="N26" s="175"/>
      <c r="O26" s="175"/>
      <c r="P26" s="175"/>
      <c r="Q26" s="175"/>
      <c r="R26" s="175"/>
    </row>
    <row r="27" spans="2:18" s="218" customFormat="1">
      <c r="B27" s="362"/>
      <c r="C27" s="347"/>
      <c r="D27" s="363"/>
      <c r="E27" s="347"/>
      <c r="F27" s="372"/>
      <c r="G27" s="374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</row>
    <row r="28" spans="2:18" s="184" customFormat="1">
      <c r="B28" s="361" t="s">
        <v>622</v>
      </c>
      <c r="C28" s="348"/>
      <c r="D28" s="361"/>
      <c r="E28" s="347"/>
      <c r="F28" s="375"/>
      <c r="G28" s="1422">
        <v>0.34970000000000001</v>
      </c>
    </row>
    <row r="29" spans="2:18" s="184" customFormat="1">
      <c r="B29" s="361"/>
      <c r="C29" s="348"/>
      <c r="D29" s="361"/>
      <c r="E29" s="347"/>
      <c r="F29" s="375"/>
      <c r="G29" s="376"/>
    </row>
    <row r="30" spans="2:18" s="184" customFormat="1">
      <c r="B30" s="363" t="s">
        <v>780</v>
      </c>
      <c r="C30" s="348"/>
      <c r="D30" s="361"/>
      <c r="E30" s="347"/>
      <c r="F30" s="375"/>
      <c r="G30" s="377">
        <f>G24*G37</f>
        <v>452.43315205441024</v>
      </c>
      <c r="I30" s="223"/>
      <c r="J30" s="217"/>
      <c r="K30" s="217"/>
      <c r="L30" s="217"/>
    </row>
    <row r="31" spans="2:18" s="184" customFormat="1"/>
    <row r="32" spans="2:18" s="184" customFormat="1">
      <c r="B32" s="358" t="s">
        <v>629</v>
      </c>
      <c r="C32" s="359"/>
      <c r="D32" s="360"/>
      <c r="E32" s="359"/>
      <c r="F32" s="359"/>
      <c r="G32" s="366"/>
    </row>
    <row r="33" spans="2:10" s="184" customFormat="1">
      <c r="F33" s="184" t="s">
        <v>633</v>
      </c>
      <c r="G33" s="184" t="s">
        <v>634</v>
      </c>
    </row>
    <row r="34" spans="2:10" s="184" customFormat="1">
      <c r="B34" s="184" t="s">
        <v>630</v>
      </c>
      <c r="F34" s="433">
        <v>0.34970000000000001</v>
      </c>
      <c r="G34" s="352">
        <f>G28</f>
        <v>0.34970000000000001</v>
      </c>
    </row>
    <row r="35" spans="2:10" s="184" customFormat="1">
      <c r="B35" s="184" t="s">
        <v>631</v>
      </c>
      <c r="F35" s="433">
        <f>11.28%+10.68%+4.64%</f>
        <v>0.26600000000000001</v>
      </c>
      <c r="G35" s="352"/>
    </row>
    <row r="36" spans="2:10" s="184" customFormat="1">
      <c r="B36" s="184" t="s">
        <v>632</v>
      </c>
      <c r="F36" s="352">
        <f>1-SUM(F34:F35)</f>
        <v>0.38429999999999997</v>
      </c>
      <c r="G36" s="352"/>
    </row>
    <row r="37" spans="2:10" s="184" customFormat="1" ht="15" thickBot="1">
      <c r="B37" s="354" t="s">
        <v>835</v>
      </c>
      <c r="C37" s="354"/>
      <c r="D37" s="354"/>
      <c r="E37" s="354"/>
      <c r="F37" s="355"/>
      <c r="G37" s="355">
        <f>1-G34</f>
        <v>0.65029999999999999</v>
      </c>
    </row>
    <row r="38" spans="2:10" s="184" customFormat="1">
      <c r="B38" s="183" t="s">
        <v>635</v>
      </c>
      <c r="C38" s="183"/>
      <c r="D38" s="183"/>
      <c r="E38" s="183"/>
      <c r="F38" s="353">
        <f>SUM(F34:F37)</f>
        <v>1</v>
      </c>
      <c r="G38" s="353">
        <f>SUM(G34:G37)</f>
        <v>1</v>
      </c>
    </row>
    <row r="39" spans="2:10" s="184" customFormat="1">
      <c r="B39" s="183"/>
      <c r="C39" s="183"/>
      <c r="D39" s="183"/>
      <c r="E39" s="183"/>
      <c r="F39" s="353"/>
      <c r="G39" s="353"/>
    </row>
    <row r="40" spans="2:10" s="184" customFormat="1">
      <c r="B40" s="531" t="s">
        <v>703</v>
      </c>
      <c r="C40" s="531"/>
      <c r="D40" s="531"/>
      <c r="E40" s="531"/>
      <c r="F40" s="534"/>
      <c r="G40" s="534"/>
    </row>
    <row r="41" spans="2:10" s="184" customFormat="1">
      <c r="B41" s="183"/>
      <c r="C41" s="183"/>
      <c r="D41" s="183"/>
      <c r="E41" s="183"/>
      <c r="F41" s="353"/>
      <c r="G41" s="353"/>
    </row>
    <row r="42" spans="2:10" s="184" customFormat="1">
      <c r="B42" s="363" t="s">
        <v>780</v>
      </c>
      <c r="C42" s="348"/>
      <c r="D42" s="361"/>
      <c r="E42" s="347"/>
      <c r="F42" s="375"/>
      <c r="G42" s="483">
        <v>100</v>
      </c>
      <c r="H42" s="184" t="s">
        <v>729</v>
      </c>
      <c r="J42" s="1496">
        <f>G42/2</f>
        <v>50</v>
      </c>
    </row>
    <row r="43" spans="2:10" s="184" customFormat="1">
      <c r="B43" s="183"/>
      <c r="C43" s="183"/>
      <c r="D43" s="183"/>
      <c r="E43" s="183"/>
      <c r="F43" s="353"/>
      <c r="G43" s="353"/>
    </row>
    <row r="44" spans="2:10" s="184" customFormat="1">
      <c r="B44" s="358" t="s">
        <v>629</v>
      </c>
      <c r="C44" s="359"/>
      <c r="D44" s="360"/>
      <c r="E44" s="359"/>
      <c r="F44" s="359"/>
      <c r="G44" s="366"/>
      <c r="H44" s="366"/>
    </row>
    <row r="45" spans="2:10" s="184" customFormat="1">
      <c r="F45" s="184" t="s">
        <v>633</v>
      </c>
      <c r="G45" s="184" t="s">
        <v>634</v>
      </c>
      <c r="H45" s="184" t="s">
        <v>837</v>
      </c>
    </row>
    <row r="46" spans="2:10" s="184" customFormat="1">
      <c r="B46" s="184" t="s">
        <v>630</v>
      </c>
      <c r="F46" s="433">
        <f>G34</f>
        <v>0.34970000000000001</v>
      </c>
      <c r="G46" s="352">
        <f>G24*G28/(G24+G42)</f>
        <v>0.30575292684181538</v>
      </c>
      <c r="H46" s="352">
        <f>G46*(1-H49)</f>
        <v>0.27517763415763385</v>
      </c>
    </row>
    <row r="47" spans="2:10" s="184" customFormat="1">
      <c r="B47" s="184" t="s">
        <v>631</v>
      </c>
      <c r="F47" s="433"/>
      <c r="G47" s="352"/>
    </row>
    <row r="48" spans="2:10" s="184" customFormat="1">
      <c r="B48" s="184" t="s">
        <v>632</v>
      </c>
      <c r="F48" s="352"/>
      <c r="G48" s="352"/>
    </row>
    <row r="49" spans="2:18" s="184" customFormat="1">
      <c r="B49" s="184" t="s">
        <v>836</v>
      </c>
      <c r="F49" s="352"/>
      <c r="G49" s="433"/>
      <c r="H49" s="1424">
        <v>0.1</v>
      </c>
    </row>
    <row r="50" spans="2:18" s="184" customFormat="1" ht="15" thickBot="1">
      <c r="B50" s="354" t="s">
        <v>835</v>
      </c>
      <c r="C50" s="354"/>
      <c r="D50" s="354"/>
      <c r="E50" s="354"/>
      <c r="F50" s="355">
        <f>G37</f>
        <v>0.65029999999999999</v>
      </c>
      <c r="G50" s="355">
        <f>1-SUM(G46:G49)</f>
        <v>0.69424707315818468</v>
      </c>
      <c r="H50" s="355">
        <f>1-SUM(H46:H49)</f>
        <v>0.62482236584236617</v>
      </c>
    </row>
    <row r="51" spans="2:18" s="184" customFormat="1">
      <c r="B51" s="183" t="s">
        <v>635</v>
      </c>
      <c r="C51" s="183"/>
      <c r="D51" s="183"/>
      <c r="E51" s="183"/>
      <c r="F51" s="353">
        <f>SUM(F46:F50)</f>
        <v>1</v>
      </c>
      <c r="G51" s="353">
        <f>SUM(G46:G50)</f>
        <v>1</v>
      </c>
      <c r="H51" s="353">
        <f>SUM(H46:H50)</f>
        <v>1</v>
      </c>
    </row>
    <row r="52" spans="2:18" s="184" customFormat="1">
      <c r="B52" s="183"/>
      <c r="C52" s="183"/>
      <c r="D52" s="183"/>
      <c r="E52" s="183"/>
      <c r="F52" s="353"/>
      <c r="G52" s="353"/>
    </row>
    <row r="53" spans="2:18" s="184" customFormat="1">
      <c r="B53" s="531" t="s">
        <v>635</v>
      </c>
      <c r="C53" s="531"/>
      <c r="D53" s="531"/>
      <c r="E53" s="531"/>
      <c r="F53" s="534"/>
      <c r="G53" s="534"/>
    </row>
    <row r="54" spans="2:18" s="184" customFormat="1">
      <c r="B54" s="183"/>
      <c r="C54" s="183"/>
      <c r="D54" s="183"/>
      <c r="E54" s="183"/>
      <c r="F54" s="353"/>
      <c r="G54" s="353"/>
    </row>
    <row r="55" spans="2:18" s="184" customFormat="1">
      <c r="B55" s="183" t="s">
        <v>782</v>
      </c>
      <c r="C55" s="183"/>
      <c r="D55" s="183"/>
      <c r="E55" s="183"/>
      <c r="F55" s="353"/>
      <c r="G55" s="377">
        <f>G30+G42</f>
        <v>552.43315205441024</v>
      </c>
    </row>
    <row r="56" spans="2:18" s="184" customFormat="1">
      <c r="B56" s="183" t="s">
        <v>783</v>
      </c>
      <c r="C56" s="183"/>
      <c r="D56" s="183"/>
      <c r="E56" s="183"/>
      <c r="F56" s="353"/>
      <c r="G56" s="353">
        <f>G50</f>
        <v>0.69424707315818468</v>
      </c>
    </row>
    <row r="57" spans="2:18" s="218" customFormat="1">
      <c r="B57" s="362"/>
      <c r="C57" s="347"/>
      <c r="D57" s="363"/>
      <c r="E57" s="347"/>
      <c r="F57" s="372"/>
      <c r="G57" s="374"/>
      <c r="H57" s="181"/>
      <c r="J57" s="374"/>
      <c r="K57" s="175"/>
      <c r="L57" s="175"/>
      <c r="M57" s="175"/>
      <c r="N57" s="175"/>
      <c r="O57" s="175"/>
      <c r="P57" s="175"/>
      <c r="Q57" s="175"/>
      <c r="R57" s="175"/>
    </row>
    <row r="58" spans="2:18" s="218" customFormat="1">
      <c r="B58" s="362"/>
      <c r="C58" s="347"/>
      <c r="D58" s="363"/>
      <c r="E58" s="347"/>
      <c r="F58" s="372"/>
      <c r="G58" s="374"/>
      <c r="H58" s="181"/>
      <c r="J58" s="374"/>
      <c r="K58" s="175"/>
      <c r="L58" s="175"/>
      <c r="M58" s="175"/>
      <c r="N58" s="175"/>
      <c r="O58" s="175"/>
      <c r="P58" s="175"/>
      <c r="Q58" s="175"/>
      <c r="R58" s="175"/>
    </row>
    <row r="59" spans="2:18" s="218" customFormat="1">
      <c r="B59" s="183" t="s">
        <v>1185</v>
      </c>
      <c r="C59" s="183"/>
      <c r="D59" s="183"/>
      <c r="E59" s="183"/>
      <c r="F59" s="353"/>
      <c r="G59" s="377">
        <f>G19</f>
        <v>1130</v>
      </c>
      <c r="H59" s="686"/>
      <c r="I59" s="686"/>
      <c r="J59" s="184"/>
      <c r="K59" s="686"/>
      <c r="L59" s="175"/>
      <c r="M59" s="175"/>
      <c r="N59" s="175"/>
      <c r="O59" s="175"/>
      <c r="P59" s="175"/>
      <c r="Q59" s="175"/>
      <c r="R59" s="175"/>
    </row>
    <row r="60" spans="2:18" s="218" customFormat="1">
      <c r="B60" s="362"/>
      <c r="C60" s="181" t="s">
        <v>654</v>
      </c>
      <c r="G60" s="374">
        <f>G59/G20</f>
        <v>8.6083085893983924</v>
      </c>
      <c r="H60" s="181" t="s">
        <v>625</v>
      </c>
      <c r="I60" s="374">
        <f>G59/I20</f>
        <v>10.711836756383347</v>
      </c>
      <c r="J60" s="181" t="s">
        <v>814</v>
      </c>
      <c r="K60" s="374">
        <f ca="1">G59/K20</f>
        <v>7.3216993129498373</v>
      </c>
      <c r="L60" s="175"/>
      <c r="M60" s="175"/>
      <c r="N60" s="175"/>
      <c r="O60" s="175"/>
      <c r="P60" s="175"/>
      <c r="Q60" s="175"/>
      <c r="R60" s="175"/>
    </row>
    <row r="61" spans="2:18" s="218" customFormat="1">
      <c r="B61" s="362"/>
      <c r="C61" s="347"/>
      <c r="D61" s="363"/>
      <c r="E61" s="347"/>
      <c r="F61" s="372"/>
      <c r="G61" s="374"/>
      <c r="H61" s="181"/>
      <c r="J61" s="374"/>
      <c r="K61" s="175"/>
      <c r="L61" s="175"/>
      <c r="M61" s="175"/>
      <c r="N61" s="175"/>
      <c r="O61" s="175"/>
      <c r="P61" s="175"/>
      <c r="Q61" s="175"/>
      <c r="R61" s="175"/>
    </row>
    <row r="62" spans="2:18" s="218" customFormat="1">
      <c r="B62" s="362"/>
      <c r="C62" s="347"/>
      <c r="D62" s="363"/>
      <c r="E62" s="347"/>
      <c r="F62" s="372"/>
      <c r="G62" s="374"/>
      <c r="H62" s="181"/>
      <c r="J62" s="374"/>
      <c r="K62" s="175"/>
      <c r="L62" s="175"/>
      <c r="M62" s="175"/>
      <c r="N62" s="175"/>
      <c r="O62" s="175"/>
      <c r="P62" s="175"/>
      <c r="Q62" s="175"/>
      <c r="R62" s="175"/>
    </row>
    <row r="63" spans="2:18" s="184" customFormat="1">
      <c r="B63" s="183" t="s">
        <v>1184</v>
      </c>
      <c r="C63" s="183"/>
      <c r="D63" s="183"/>
      <c r="E63" s="183"/>
      <c r="F63" s="353"/>
      <c r="G63" s="377">
        <f>G55/G56</f>
        <v>795.72989705429836</v>
      </c>
      <c r="H63" s="686"/>
      <c r="I63" s="686"/>
      <c r="K63" s="686"/>
    </row>
    <row r="64" spans="2:18" s="218" customFormat="1">
      <c r="B64" s="362"/>
      <c r="C64" s="181" t="s">
        <v>713</v>
      </c>
      <c r="G64" s="374">
        <f>G63/G25</f>
        <v>14.234877585042359</v>
      </c>
      <c r="H64" s="347" t="s">
        <v>712</v>
      </c>
      <c r="I64" s="374">
        <f>G63/I25</f>
        <v>20.977107007614652</v>
      </c>
      <c r="J64" s="347" t="s">
        <v>825</v>
      </c>
      <c r="K64" s="374">
        <f ca="1">G63/K25</f>
        <v>9.7110595440517038</v>
      </c>
      <c r="L64" s="363"/>
      <c r="M64" s="347"/>
      <c r="N64" s="372"/>
      <c r="P64" s="175"/>
      <c r="Q64" s="175"/>
      <c r="R64" s="175"/>
    </row>
    <row r="65" spans="1:19" s="218" customFormat="1">
      <c r="B65" s="362"/>
      <c r="C65" s="347"/>
      <c r="D65" s="363"/>
      <c r="E65" s="347"/>
      <c r="F65" s="372"/>
      <c r="G65" s="374"/>
      <c r="H65" s="181"/>
      <c r="J65" s="175"/>
      <c r="K65" s="175"/>
      <c r="L65" s="175"/>
      <c r="M65" s="175"/>
      <c r="N65" s="175"/>
      <c r="O65" s="175"/>
      <c r="P65" s="175"/>
      <c r="Q65" s="175"/>
      <c r="R65" s="175"/>
    </row>
    <row r="66" spans="1:19" s="218" customFormat="1" hidden="1">
      <c r="B66" s="183" t="s">
        <v>786</v>
      </c>
      <c r="C66" s="347"/>
      <c r="D66" s="363"/>
      <c r="E66" s="347"/>
      <c r="F66" s="372"/>
      <c r="G66" s="377">
        <f>G63-资产负债表!N87</f>
        <v>1175.5735939780848</v>
      </c>
      <c r="H66" s="181"/>
      <c r="J66" s="175"/>
      <c r="K66" s="175"/>
      <c r="L66" s="175"/>
      <c r="M66" s="175"/>
      <c r="N66" s="175"/>
      <c r="O66" s="175"/>
      <c r="P66" s="175"/>
      <c r="Q66" s="175"/>
      <c r="R66" s="175"/>
    </row>
    <row r="67" spans="1:19" s="183" customFormat="1" hidden="1">
      <c r="B67" s="362"/>
      <c r="C67" s="223" t="s">
        <v>714</v>
      </c>
      <c r="G67" s="374">
        <f>G66/G20</f>
        <v>8.9554869615145893</v>
      </c>
      <c r="H67" s="347" t="s">
        <v>715</v>
      </c>
      <c r="I67" s="374">
        <f>G66/I20</f>
        <v>11.143851711334619</v>
      </c>
      <c r="J67" s="347" t="s">
        <v>826</v>
      </c>
      <c r="K67" s="374">
        <f ca="1">G66/K20</f>
        <v>7.6169879427887732</v>
      </c>
      <c r="M67" s="363"/>
      <c r="N67" s="347"/>
      <c r="O67" s="372"/>
      <c r="Q67" s="217"/>
      <c r="R67" s="217"/>
    </row>
    <row r="68" spans="1:19" s="184" customFormat="1" hidden="1">
      <c r="B68" s="183"/>
      <c r="C68" s="183"/>
      <c r="D68" s="183"/>
      <c r="E68" s="183"/>
      <c r="F68" s="353"/>
      <c r="G68" s="352"/>
      <c r="J68" s="217"/>
      <c r="K68" s="374"/>
    </row>
    <row r="69" spans="1:19" s="218" customFormat="1" hidden="1">
      <c r="B69" s="183" t="s">
        <v>787</v>
      </c>
      <c r="C69" s="347"/>
      <c r="D69" s="363"/>
      <c r="E69" s="347"/>
      <c r="F69" s="372"/>
      <c r="G69" s="377">
        <f>G63-资产负债表!P87</f>
        <v>1050.1336969237866</v>
      </c>
      <c r="H69" s="181"/>
      <c r="J69" s="184"/>
      <c r="K69" s="184"/>
      <c r="L69" s="175"/>
      <c r="M69" s="175"/>
      <c r="N69" s="175"/>
      <c r="O69" s="175"/>
      <c r="P69" s="175"/>
      <c r="Q69" s="175"/>
      <c r="R69" s="175"/>
    </row>
    <row r="70" spans="1:19" s="183" customFormat="1" hidden="1">
      <c r="B70" s="362"/>
      <c r="C70" s="223" t="s">
        <v>714</v>
      </c>
      <c r="D70" s="363"/>
      <c r="E70" s="347"/>
      <c r="F70" s="372"/>
      <c r="G70" s="374">
        <f>G69/G20</f>
        <v>7.9998893126068324</v>
      </c>
      <c r="H70" s="347" t="s">
        <v>715</v>
      </c>
      <c r="I70" s="374">
        <f>G69/I20</f>
        <v>9.9547440122344657</v>
      </c>
      <c r="J70" s="347" t="s">
        <v>826</v>
      </c>
      <c r="K70" s="374">
        <f ca="1">G69/K20</f>
        <v>6.8042151922764251</v>
      </c>
      <c r="O70" s="217"/>
      <c r="P70" s="217"/>
      <c r="Q70" s="217"/>
      <c r="R70" s="217"/>
    </row>
    <row r="71" spans="1:19" s="183" customFormat="1">
      <c r="B71" s="362"/>
      <c r="C71" s="223"/>
      <c r="D71" s="363"/>
      <c r="E71" s="347"/>
      <c r="F71" s="372"/>
      <c r="G71" s="374"/>
      <c r="H71" s="347"/>
      <c r="I71" s="374"/>
      <c r="J71" s="347"/>
      <c r="K71" s="374"/>
      <c r="O71" s="217"/>
      <c r="P71" s="217"/>
      <c r="Q71" s="217"/>
      <c r="R71" s="217"/>
    </row>
    <row r="72" spans="1:19" s="183" customFormat="1">
      <c r="B72" s="183" t="s">
        <v>1186</v>
      </c>
      <c r="F72" s="353"/>
      <c r="G72" s="377">
        <f>G55/H50</f>
        <v>884.14433006033153</v>
      </c>
      <c r="H72" s="686"/>
      <c r="I72" s="686"/>
      <c r="J72" s="184"/>
      <c r="K72" s="686"/>
      <c r="O72" s="217"/>
      <c r="P72" s="217"/>
      <c r="Q72" s="217"/>
      <c r="R72" s="217"/>
    </row>
    <row r="73" spans="1:19" s="183" customFormat="1">
      <c r="B73" s="362"/>
      <c r="C73" s="181" t="s">
        <v>713</v>
      </c>
      <c r="D73" s="218"/>
      <c r="E73" s="218"/>
      <c r="F73" s="218"/>
      <c r="G73" s="374">
        <f>G72/G25</f>
        <v>15.816530650047065</v>
      </c>
      <c r="H73" s="347" t="s">
        <v>712</v>
      </c>
      <c r="I73" s="374">
        <f>G72/I25</f>
        <v>23.307896675127392</v>
      </c>
      <c r="J73" s="347" t="s">
        <v>825</v>
      </c>
      <c r="K73" s="374">
        <f ca="1">G72/K25</f>
        <v>10.790066160057448</v>
      </c>
      <c r="O73" s="217"/>
      <c r="P73" s="217"/>
      <c r="Q73" s="217"/>
      <c r="R73" s="217"/>
    </row>
    <row r="74" spans="1:19" s="183" customFormat="1">
      <c r="B74" s="362"/>
      <c r="C74" s="223"/>
      <c r="D74" s="363"/>
      <c r="E74" s="347"/>
      <c r="F74" s="372"/>
      <c r="G74" s="374"/>
      <c r="H74" s="347"/>
      <c r="I74" s="374"/>
      <c r="J74" s="347"/>
      <c r="K74" s="374"/>
      <c r="O74" s="217"/>
      <c r="P74" s="217"/>
      <c r="Q74" s="217"/>
      <c r="R74" s="217"/>
    </row>
    <row r="75" spans="1:19" s="184" customFormat="1">
      <c r="B75" s="363"/>
      <c r="C75" s="183"/>
      <c r="D75" s="183"/>
      <c r="E75" s="183"/>
      <c r="F75" s="353"/>
      <c r="G75" s="353"/>
    </row>
    <row r="76" spans="1:19" s="18" customFormat="1" ht="14.25" customHeight="1">
      <c r="A76" s="357" t="s">
        <v>8</v>
      </c>
      <c r="B76" s="357" t="s">
        <v>636</v>
      </c>
      <c r="C76" s="357"/>
      <c r="D76" s="26"/>
      <c r="E76" s="26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26"/>
      <c r="Q76" s="26"/>
      <c r="R76" s="469"/>
      <c r="S76" s="349"/>
    </row>
    <row r="77" spans="1:19" s="184" customFormat="1"/>
    <row r="78" spans="1:19">
      <c r="B78" s="184" t="s">
        <v>657</v>
      </c>
      <c r="G78" s="430">
        <v>10</v>
      </c>
      <c r="J78" s="184" t="s">
        <v>637</v>
      </c>
      <c r="K78" s="184"/>
      <c r="L78" s="434">
        <v>47848</v>
      </c>
    </row>
    <row r="79" spans="1:19">
      <c r="B79" s="184" t="s">
        <v>800</v>
      </c>
      <c r="G79" s="374">
        <f ca="1">R93/利润表!S40</f>
        <v>16.84387130913904</v>
      </c>
    </row>
    <row r="80" spans="1:19">
      <c r="B80" s="184" t="s">
        <v>834</v>
      </c>
      <c r="G80" s="374">
        <f ca="1">(R93-R92)/利润表!S40</f>
        <v>14.315211301612692</v>
      </c>
    </row>
    <row r="81" spans="2:24">
      <c r="B81" s="184" t="s">
        <v>1135</v>
      </c>
      <c r="G81" s="1270">
        <v>0.1</v>
      </c>
    </row>
    <row r="82" spans="2:24">
      <c r="B82" s="184" t="s">
        <v>1136</v>
      </c>
      <c r="G82" s="1270">
        <v>0.1</v>
      </c>
    </row>
    <row r="83" spans="2:24">
      <c r="B83" s="184" t="s">
        <v>1191</v>
      </c>
      <c r="G83" s="1491">
        <v>1</v>
      </c>
      <c r="H83" s="216" t="s">
        <v>1203</v>
      </c>
    </row>
    <row r="84" spans="2:24">
      <c r="B84" s="184"/>
      <c r="G84" s="374"/>
    </row>
    <row r="85" spans="2:24">
      <c r="B85" s="184" t="s">
        <v>638</v>
      </c>
      <c r="L85" s="250" t="s">
        <v>644</v>
      </c>
      <c r="M85" s="252"/>
      <c r="N85" s="252"/>
      <c r="O85" s="252"/>
      <c r="P85" s="252"/>
      <c r="Q85" s="252"/>
      <c r="R85" s="252"/>
    </row>
    <row r="86" spans="2:24">
      <c r="L86" s="381">
        <f>F10</f>
        <v>46022</v>
      </c>
      <c r="M86" s="381">
        <v>46022</v>
      </c>
      <c r="N86" s="381">
        <v>46387</v>
      </c>
      <c r="O86" s="381">
        <v>46752</v>
      </c>
      <c r="P86" s="381">
        <v>47118</v>
      </c>
      <c r="Q86" s="381">
        <v>47483</v>
      </c>
      <c r="R86" s="381">
        <v>47848</v>
      </c>
      <c r="T86" s="184" t="s">
        <v>1187</v>
      </c>
    </row>
    <row r="87" spans="2:24">
      <c r="B87" s="239" t="s">
        <v>639</v>
      </c>
      <c r="C87" s="239"/>
      <c r="D87" s="239"/>
      <c r="E87" s="351"/>
      <c r="M87" s="382">
        <f>$G$78</f>
        <v>10</v>
      </c>
      <c r="N87" s="382">
        <f t="shared" ref="N87:R87" si="0">$G$78</f>
        <v>10</v>
      </c>
      <c r="O87" s="382">
        <f t="shared" si="0"/>
        <v>10</v>
      </c>
      <c r="P87" s="382">
        <f t="shared" si="0"/>
        <v>10</v>
      </c>
      <c r="Q87" s="382">
        <f t="shared" si="0"/>
        <v>10</v>
      </c>
      <c r="R87" s="382">
        <f t="shared" si="0"/>
        <v>10</v>
      </c>
      <c r="T87" s="184"/>
    </row>
    <row r="88" spans="2:24">
      <c r="B88" s="239" t="s">
        <v>640</v>
      </c>
      <c r="C88" s="239"/>
      <c r="D88" s="239"/>
      <c r="E88" s="351"/>
      <c r="M88" s="431">
        <f>利润表!N44</f>
        <v>131.26852833687414</v>
      </c>
      <c r="N88" s="431">
        <f ca="1">利润表!O44</f>
        <v>154.33575618181658</v>
      </c>
      <c r="O88" s="431">
        <f ca="1">利润表!P44</f>
        <v>190.90881666880344</v>
      </c>
      <c r="P88" s="431">
        <f ca="1">利润表!Q44</f>
        <v>225.52223768541882</v>
      </c>
      <c r="Q88" s="431">
        <f ca="1">利润表!R44</f>
        <v>261.9912327620662</v>
      </c>
      <c r="R88" s="431">
        <f ca="1">利润表!S44</f>
        <v>302.50123053446566</v>
      </c>
      <c r="T88" s="1423">
        <f ca="1">POWER(R88/M88,1/5)-1</f>
        <v>0.18171651726611748</v>
      </c>
    </row>
    <row r="89" spans="2:24">
      <c r="B89" s="239" t="s">
        <v>620</v>
      </c>
      <c r="C89" s="239"/>
      <c r="D89" s="239"/>
      <c r="E89" s="351"/>
      <c r="M89" s="371">
        <f>M87*M88</f>
        <v>1312.6852833687415</v>
      </c>
      <c r="N89" s="371">
        <f t="shared" ref="N89:R89" ca="1" si="1">N87*N88</f>
        <v>1543.3575618181658</v>
      </c>
      <c r="O89" s="371">
        <f t="shared" ca="1" si="1"/>
        <v>1909.0881666880343</v>
      </c>
      <c r="P89" s="371">
        <f t="shared" ca="1" si="1"/>
        <v>2255.222376854188</v>
      </c>
      <c r="Q89" s="371">
        <f t="shared" ca="1" si="1"/>
        <v>2619.9123276206619</v>
      </c>
      <c r="R89" s="371">
        <f t="shared" ca="1" si="1"/>
        <v>3025.0123053446569</v>
      </c>
      <c r="S89" s="679"/>
      <c r="U89" s="679"/>
    </row>
    <row r="90" spans="2:24">
      <c r="B90" s="239" t="s">
        <v>645</v>
      </c>
      <c r="C90" s="239"/>
      <c r="D90" s="239"/>
      <c r="E90" s="351"/>
      <c r="M90" s="431">
        <f>资产负债表!P87</f>
        <v>-254.40379986948815</v>
      </c>
      <c r="N90" s="431">
        <f ca="1">资产负债表!Q87</f>
        <v>-212.49920600099574</v>
      </c>
      <c r="O90" s="431">
        <f ca="1">资产负债表!R87</f>
        <v>-151.68032766494616</v>
      </c>
      <c r="P90" s="431">
        <f ca="1">资产负债表!S87</f>
        <v>-40.610040126783417</v>
      </c>
      <c r="Q90" s="431">
        <f ca="1">资产负债表!T87</f>
        <v>106.96170401207013</v>
      </c>
      <c r="R90" s="431">
        <f ca="1">资产负债表!U87</f>
        <v>285.06916702684333</v>
      </c>
    </row>
    <row r="91" spans="2:24">
      <c r="B91" s="239"/>
      <c r="C91" s="239" t="s">
        <v>831</v>
      </c>
      <c r="D91" s="239"/>
      <c r="E91" s="351"/>
      <c r="M91" s="431">
        <f>M90-M92</f>
        <v>-371.72999999999996</v>
      </c>
      <c r="N91" s="431">
        <f t="shared" ref="N91:R91" ca="1" si="2">N90-N92</f>
        <v>-339.85167066077082</v>
      </c>
      <c r="O91" s="431">
        <f t="shared" ca="1" si="2"/>
        <v>-307.85167066077082</v>
      </c>
      <c r="P91" s="431">
        <f t="shared" ca="1" si="2"/>
        <v>-275.85167066077082</v>
      </c>
      <c r="Q91" s="431">
        <f t="shared" ca="1" si="2"/>
        <v>-243.85167066077082</v>
      </c>
      <c r="R91" s="431">
        <f t="shared" ca="1" si="2"/>
        <v>-211.85167066077082</v>
      </c>
    </row>
    <row r="92" spans="2:24">
      <c r="B92" s="239"/>
      <c r="C92" s="239" t="s">
        <v>832</v>
      </c>
      <c r="D92" s="239"/>
      <c r="E92" s="351"/>
      <c r="M92" s="431">
        <f>资产负债表!P11</f>
        <v>117.32620013051181</v>
      </c>
      <c r="N92" s="431">
        <f ca="1">资产负债表!Q11</f>
        <v>127.35246465977508</v>
      </c>
      <c r="O92" s="431">
        <f ca="1">资产负债表!R11</f>
        <v>156.17134299582466</v>
      </c>
      <c r="P92" s="431">
        <f ca="1">资产负债表!S11</f>
        <v>235.2416305339874</v>
      </c>
      <c r="Q92" s="431">
        <f ca="1">资产负债表!T11</f>
        <v>350.81337467284095</v>
      </c>
      <c r="R92" s="431">
        <f ca="1">资产负债表!U11</f>
        <v>496.92083768761415</v>
      </c>
    </row>
    <row r="93" spans="2:24">
      <c r="B93" s="239" t="s">
        <v>621</v>
      </c>
      <c r="C93" s="239"/>
      <c r="D93" s="239"/>
      <c r="E93" s="351"/>
      <c r="M93" s="371">
        <f t="shared" ref="M93:R93" si="3">SUM(M89:M90)</f>
        <v>1058.2814834992532</v>
      </c>
      <c r="N93" s="371">
        <f t="shared" ca="1" si="3"/>
        <v>1330.8583558171699</v>
      </c>
      <c r="O93" s="371">
        <f t="shared" ca="1" si="3"/>
        <v>1757.4078390230882</v>
      </c>
      <c r="P93" s="371">
        <f t="shared" ca="1" si="3"/>
        <v>2214.6123367274045</v>
      </c>
      <c r="Q93" s="371">
        <f t="shared" ca="1" si="3"/>
        <v>2726.8740316327321</v>
      </c>
      <c r="R93" s="371">
        <f t="shared" ca="1" si="3"/>
        <v>3310.0814723715002</v>
      </c>
      <c r="X93" s="679"/>
    </row>
    <row r="94" spans="2:24">
      <c r="B94" s="239" t="s">
        <v>1105</v>
      </c>
      <c r="C94" s="239"/>
      <c r="D94" s="239"/>
      <c r="E94" s="351"/>
      <c r="M94" s="431">
        <f>-'债务&amp;权益'!P84</f>
        <v>0</v>
      </c>
      <c r="N94" s="431">
        <f>-'债务&amp;权益'!Q84</f>
        <v>0</v>
      </c>
      <c r="O94" s="431">
        <f ca="1">-'债务&amp;权益'!R84</f>
        <v>0</v>
      </c>
      <c r="P94" s="431">
        <f ca="1">-'债务&amp;权益'!S84</f>
        <v>0</v>
      </c>
      <c r="Q94" s="431">
        <f ca="1">-'债务&amp;权益'!T84</f>
        <v>0</v>
      </c>
      <c r="R94" s="431">
        <f ca="1">-'债务&amp;权益'!U84</f>
        <v>0</v>
      </c>
      <c r="V94" s="679"/>
    </row>
    <row r="95" spans="2:24">
      <c r="B95" s="239"/>
      <c r="C95" s="239"/>
      <c r="D95" s="239"/>
      <c r="E95" s="350"/>
      <c r="M95" s="371"/>
      <c r="N95" s="371"/>
      <c r="O95" s="371"/>
      <c r="P95" s="371"/>
      <c r="Q95" s="371"/>
      <c r="R95" s="371"/>
    </row>
    <row r="96" spans="2:24">
      <c r="B96" s="243" t="s">
        <v>784</v>
      </c>
      <c r="C96" s="239"/>
      <c r="D96" s="239"/>
      <c r="E96" s="350"/>
    </row>
    <row r="97" spans="1:22">
      <c r="B97" s="243"/>
      <c r="C97" s="239" t="s">
        <v>641</v>
      </c>
      <c r="D97" s="239"/>
      <c r="E97" s="350"/>
      <c r="M97" s="352">
        <f>$H$50</f>
        <v>0.62482236584236617</v>
      </c>
      <c r="N97" s="352">
        <f t="shared" ref="N97:R97" si="4">$H$50</f>
        <v>0.62482236584236617</v>
      </c>
      <c r="O97" s="352">
        <f t="shared" si="4"/>
        <v>0.62482236584236617</v>
      </c>
      <c r="P97" s="352">
        <f t="shared" si="4"/>
        <v>0.62482236584236617</v>
      </c>
      <c r="Q97" s="352">
        <f t="shared" si="4"/>
        <v>0.62482236584236617</v>
      </c>
      <c r="R97" s="352">
        <f t="shared" si="4"/>
        <v>0.62482236584236617</v>
      </c>
    </row>
    <row r="98" spans="1:22">
      <c r="B98" s="239"/>
      <c r="C98" s="239" t="s">
        <v>642</v>
      </c>
      <c r="D98" s="239"/>
      <c r="E98" s="351"/>
      <c r="L98" s="371">
        <f>-G30-G42</f>
        <v>-552.43315205441024</v>
      </c>
      <c r="M98" s="371"/>
      <c r="N98" s="371"/>
      <c r="O98" s="371"/>
      <c r="P98" s="371"/>
      <c r="Q98" s="371"/>
      <c r="R98" s="371"/>
    </row>
    <row r="99" spans="1:22">
      <c r="B99" s="239"/>
      <c r="C99" s="239" t="s">
        <v>1106</v>
      </c>
      <c r="D99" s="239"/>
      <c r="E99" s="351"/>
      <c r="L99" s="371"/>
      <c r="M99" s="371">
        <f>M94*M97*(1-$G$82)</f>
        <v>0</v>
      </c>
      <c r="N99" s="371">
        <f t="shared" ref="N99:R99" si="5">N94*N97*(1-$G$82)</f>
        <v>0</v>
      </c>
      <c r="O99" s="371">
        <f t="shared" ca="1" si="5"/>
        <v>0</v>
      </c>
      <c r="P99" s="371">
        <f t="shared" ca="1" si="5"/>
        <v>0</v>
      </c>
      <c r="Q99" s="371">
        <f t="shared" ca="1" si="5"/>
        <v>0</v>
      </c>
      <c r="R99" s="371">
        <f t="shared" ca="1" si="5"/>
        <v>0</v>
      </c>
    </row>
    <row r="100" spans="1:22">
      <c r="B100" s="380"/>
      <c r="C100" s="380" t="s">
        <v>643</v>
      </c>
      <c r="D100" s="380"/>
      <c r="E100" s="384"/>
      <c r="F100" s="385"/>
      <c r="G100" s="385"/>
      <c r="H100" s="385"/>
      <c r="I100" s="385"/>
      <c r="J100" s="385"/>
      <c r="K100" s="385"/>
      <c r="L100" s="386"/>
      <c r="M100" s="386">
        <f t="shared" ref="M100:Q100" si="6">IF($L$78=M86,M97*M93-(M97*M93-$G$55)*$G$81,0)</f>
        <v>0</v>
      </c>
      <c r="N100" s="386">
        <f t="shared" si="6"/>
        <v>0</v>
      </c>
      <c r="O100" s="386">
        <f t="shared" si="6"/>
        <v>0</v>
      </c>
      <c r="P100" s="386">
        <f t="shared" si="6"/>
        <v>0</v>
      </c>
      <c r="Q100" s="386">
        <f t="shared" si="6"/>
        <v>0</v>
      </c>
      <c r="R100" s="386">
        <f ca="1">IF($L$78=R86,R97*R93-(R97*R93-$G$55)*$G$81,0)</f>
        <v>1916.6349582337702</v>
      </c>
      <c r="S100" s="1505"/>
    </row>
    <row r="101" spans="1:22">
      <c r="B101" s="239"/>
      <c r="C101" s="243" t="s">
        <v>785</v>
      </c>
      <c r="D101" s="239"/>
      <c r="E101" s="383"/>
      <c r="L101" s="217">
        <f>SUM(L98:L100)</f>
        <v>-552.43315205441024</v>
      </c>
      <c r="M101" s="217">
        <f t="shared" ref="M101:R101" si="7">SUM(M98:M100)</f>
        <v>0</v>
      </c>
      <c r="N101" s="217">
        <f t="shared" si="7"/>
        <v>0</v>
      </c>
      <c r="O101" s="217">
        <f t="shared" ca="1" si="7"/>
        <v>0</v>
      </c>
      <c r="P101" s="217">
        <f t="shared" ca="1" si="7"/>
        <v>0</v>
      </c>
      <c r="Q101" s="217">
        <f t="shared" ca="1" si="7"/>
        <v>0</v>
      </c>
      <c r="R101" s="217">
        <f t="shared" ca="1" si="7"/>
        <v>1916.6349582337702</v>
      </c>
    </row>
    <row r="103" spans="1:22">
      <c r="B103" s="387" t="s">
        <v>357</v>
      </c>
      <c r="C103" s="388"/>
      <c r="D103" s="388"/>
      <c r="E103" s="388"/>
      <c r="F103" s="388"/>
      <c r="G103" s="1544">
        <f ca="1">-SUM(M101:R101)/L101</f>
        <v>3.469442322760885</v>
      </c>
      <c r="I103" s="683"/>
      <c r="J103" s="684"/>
      <c r="K103" s="684"/>
      <c r="L103" s="1506" t="s">
        <v>1188</v>
      </c>
      <c r="M103" s="1495">
        <f>M99/$G$55</f>
        <v>0</v>
      </c>
      <c r="N103" s="1495">
        <f>N99/$G$55</f>
        <v>0</v>
      </c>
      <c r="O103" s="1495">
        <f t="shared" ref="O103:R103" ca="1" si="8">O99/$G$55</f>
        <v>0</v>
      </c>
      <c r="P103" s="1495">
        <f t="shared" ca="1" si="8"/>
        <v>0</v>
      </c>
      <c r="Q103" s="1495">
        <f t="shared" ca="1" si="8"/>
        <v>0</v>
      </c>
      <c r="R103" s="1495">
        <f t="shared" ca="1" si="8"/>
        <v>0</v>
      </c>
      <c r="T103" s="1492"/>
    </row>
    <row r="104" spans="1:22">
      <c r="B104" s="390" t="s">
        <v>358</v>
      </c>
      <c r="C104" s="385"/>
      <c r="D104" s="385"/>
      <c r="E104" s="385"/>
      <c r="F104" s="385"/>
      <c r="G104" s="391">
        <f ca="1">XIRR(L101:R101,L86:R86)</f>
        <v>0.28230920433998108</v>
      </c>
      <c r="I104" s="685"/>
      <c r="J104" s="685"/>
      <c r="K104" s="1208"/>
      <c r="L104" s="683"/>
    </row>
    <row r="105" spans="1:22">
      <c r="I105" s="685"/>
      <c r="J105" s="684"/>
      <c r="K105" s="684"/>
      <c r="L105" s="684"/>
    </row>
    <row r="106" spans="1:22">
      <c r="I106" s="685"/>
      <c r="J106" s="685"/>
      <c r="K106" s="683"/>
      <c r="L106" s="683"/>
    </row>
    <row r="107" spans="1:22" s="486" customFormat="1" ht="13.5">
      <c r="A107" s="485"/>
      <c r="B107" s="599" t="s">
        <v>789</v>
      </c>
      <c r="D107" s="485"/>
      <c r="E107" s="485"/>
      <c r="F107" s="487"/>
      <c r="G107" s="488"/>
      <c r="H107" s="488"/>
      <c r="I107" s="488"/>
      <c r="J107" s="488"/>
      <c r="K107" s="488"/>
      <c r="L107" s="488"/>
    </row>
    <row r="108" spans="1:22" s="607" customFormat="1" ht="13.5">
      <c r="A108" s="350"/>
      <c r="B108" s="350"/>
      <c r="C108" s="600"/>
      <c r="D108" s="601"/>
      <c r="E108" s="624"/>
      <c r="F108" s="1499" t="s">
        <v>790</v>
      </c>
      <c r="G108" s="603" t="s">
        <v>791</v>
      </c>
      <c r="H108" s="604" t="s">
        <v>792</v>
      </c>
      <c r="I108" s="606">
        <v>1</v>
      </c>
      <c r="J108" s="1533"/>
      <c r="K108" s="1534"/>
      <c r="L108" s="1534"/>
      <c r="M108" s="1534"/>
      <c r="N108" s="1534"/>
      <c r="O108" s="1534"/>
      <c r="P108" s="1535"/>
      <c r="Q108" s="1535"/>
      <c r="R108" s="1535"/>
      <c r="S108" s="1535"/>
      <c r="T108" s="1535"/>
    </row>
    <row r="109" spans="1:22" s="607" customFormat="1" ht="13.5">
      <c r="A109" s="350"/>
      <c r="B109" s="350"/>
      <c r="C109" s="489" t="s">
        <v>809</v>
      </c>
      <c r="D109" s="628"/>
      <c r="E109" s="629"/>
      <c r="F109" s="1500">
        <f ca="1">利润表!S44/利润表!N44</f>
        <v>2.3044459655871012</v>
      </c>
      <c r="G109" s="491">
        <f ca="1">F109/F117</f>
        <v>0.66421221372352657</v>
      </c>
      <c r="H109" s="491">
        <f t="shared" ref="H109:H116" ca="1" si="9">$H$117*G109</f>
        <v>0.18751322156918623</v>
      </c>
      <c r="I109" s="605"/>
      <c r="J109" s="1615"/>
      <c r="K109" s="1615"/>
      <c r="L109" s="1615"/>
      <c r="M109" s="1615"/>
      <c r="N109" s="1615"/>
      <c r="O109" s="1615"/>
      <c r="P109" s="1616"/>
      <c r="Q109" s="1617" t="s">
        <v>1192</v>
      </c>
      <c r="R109" s="1617" t="s">
        <v>1193</v>
      </c>
      <c r="S109" s="1617" t="s">
        <v>1201</v>
      </c>
      <c r="T109" s="1537"/>
      <c r="U109" s="242"/>
      <c r="V109" s="242"/>
    </row>
    <row r="110" spans="1:22" s="607" customFormat="1" ht="13">
      <c r="A110" s="350"/>
      <c r="B110" s="350"/>
      <c r="C110" s="610"/>
      <c r="D110" s="611" t="s">
        <v>794</v>
      </c>
      <c r="E110" s="630"/>
      <c r="F110" s="1501">
        <f>利润表!S8/利润表!N8</f>
        <v>1.6858185386982047</v>
      </c>
      <c r="G110" s="613">
        <f ca="1">F110/(F110+F111)*G109</f>
        <v>0.36679417380191598</v>
      </c>
      <c r="H110" s="614">
        <f t="shared" ca="1" si="9"/>
        <v>0.10354937136255964</v>
      </c>
      <c r="I110" s="605"/>
      <c r="J110" s="1618"/>
      <c r="K110" s="1619"/>
      <c r="L110" s="1619"/>
      <c r="M110" s="1619"/>
      <c r="N110" s="1619"/>
      <c r="O110" s="1619"/>
      <c r="P110" s="1616" t="s">
        <v>1194</v>
      </c>
      <c r="Q110" s="1620">
        <f>G20</f>
        <v>131.26852833687414</v>
      </c>
      <c r="R110" s="1620">
        <f ca="1">R88</f>
        <v>302.50123053446566</v>
      </c>
      <c r="S110" s="1621">
        <f ca="1">R110/Q110</f>
        <v>2.3044459655871012</v>
      </c>
      <c r="T110" s="1537"/>
      <c r="U110" s="242"/>
      <c r="V110" s="242"/>
    </row>
    <row r="111" spans="1:22" s="607" customFormat="1" ht="13">
      <c r="A111" s="350"/>
      <c r="B111" s="350"/>
      <c r="C111" s="610"/>
      <c r="D111" s="615" t="s">
        <v>810</v>
      </c>
      <c r="E111" s="627"/>
      <c r="F111" s="1502">
        <f ca="1">利润表!S45/利润表!N45</f>
        <v>1.3669596772655037</v>
      </c>
      <c r="G111" s="617">
        <f ca="1">F111/(F111+F110)*G109</f>
        <v>0.2974180399216107</v>
      </c>
      <c r="H111" s="618">
        <f t="shared" ca="1" si="9"/>
        <v>8.3963850206626639E-2</v>
      </c>
      <c r="I111" s="605"/>
      <c r="J111" s="609"/>
      <c r="K111" s="1619"/>
      <c r="L111" s="1619"/>
      <c r="M111" s="1619"/>
      <c r="N111" s="1619"/>
      <c r="O111" s="1619"/>
      <c r="P111" s="1616" t="s">
        <v>1195</v>
      </c>
      <c r="Q111" s="1622">
        <f>G21</f>
        <v>8.6083085893983924</v>
      </c>
      <c r="R111" s="1622">
        <f>R87</f>
        <v>10</v>
      </c>
      <c r="S111" s="1621">
        <f>R111/Q111</f>
        <v>1.1616683923617181</v>
      </c>
      <c r="T111" s="1537"/>
      <c r="U111" s="242"/>
      <c r="V111" s="242"/>
    </row>
    <row r="112" spans="1:22" s="607" customFormat="1">
      <c r="A112" s="350"/>
      <c r="B112" s="350"/>
      <c r="C112" s="636" t="s">
        <v>1202</v>
      </c>
      <c r="D112" s="243"/>
      <c r="F112" s="1500">
        <f ca="1">S112-S110</f>
        <v>0.37255607454091377</v>
      </c>
      <c r="G112" s="491">
        <f ca="1">F112/F$117</f>
        <v>0.10738212077970044</v>
      </c>
      <c r="H112" s="491">
        <f t="shared" ca="1" si="9"/>
        <v>3.0314961077656979E-2</v>
      </c>
      <c r="I112" s="605"/>
      <c r="J112" s="1623" t="s">
        <v>823</v>
      </c>
      <c r="K112" s="1624"/>
      <c r="L112" s="1625"/>
      <c r="M112" s="1626">
        <f ca="1">S112</f>
        <v>2.677002040128015</v>
      </c>
      <c r="N112" s="1615"/>
      <c r="O112" s="1615"/>
      <c r="P112" s="1616" t="s">
        <v>1196</v>
      </c>
      <c r="Q112" s="1627">
        <f>Q110*Q111</f>
        <v>1130</v>
      </c>
      <c r="R112" s="1627">
        <f ca="1">R110*R111</f>
        <v>3025.0123053446569</v>
      </c>
      <c r="S112" s="1621">
        <f ca="1">R112/Q112</f>
        <v>2.677002040128015</v>
      </c>
      <c r="T112" s="1537"/>
      <c r="U112" s="242"/>
      <c r="V112" s="242"/>
    </row>
    <row r="113" spans="1:22" s="607" customFormat="1" ht="13.5">
      <c r="A113" s="350"/>
      <c r="B113" s="350"/>
      <c r="C113" s="636" t="s">
        <v>811</v>
      </c>
      <c r="D113" s="243"/>
      <c r="F113" s="1500">
        <f ca="1">M113-M112</f>
        <v>1.4828032966138189</v>
      </c>
      <c r="G113" s="491">
        <f ca="1">F113/F$117</f>
        <v>0.42738952219671017</v>
      </c>
      <c r="H113" s="491">
        <f t="shared" ca="1" si="9"/>
        <v>0.12065599595459793</v>
      </c>
      <c r="I113" s="605"/>
      <c r="J113" s="1623" t="s">
        <v>824</v>
      </c>
      <c r="K113" s="1624"/>
      <c r="L113" s="1625"/>
      <c r="M113" s="1615">
        <f ca="1">R93/G63</f>
        <v>4.1598053367418339</v>
      </c>
      <c r="N113" s="1615"/>
      <c r="O113" s="1615"/>
      <c r="P113" s="1616" t="s">
        <v>645</v>
      </c>
      <c r="Q113" s="1620">
        <f>G22+G42</f>
        <v>-334.27010294570169</v>
      </c>
      <c r="R113" s="1620">
        <f ca="1">R90</f>
        <v>285.06916702684333</v>
      </c>
      <c r="S113" s="1621">
        <f ca="1">S114-S112</f>
        <v>1.4828032966138189</v>
      </c>
      <c r="T113" s="1537"/>
      <c r="U113" s="242"/>
      <c r="V113" s="242"/>
    </row>
    <row r="114" spans="1:22" s="607" customFormat="1" ht="13.5">
      <c r="A114" s="350"/>
      <c r="B114" s="350"/>
      <c r="C114" s="1271" t="s">
        <v>812</v>
      </c>
      <c r="D114" s="1272"/>
      <c r="E114" s="1273"/>
      <c r="F114" s="1503">
        <f ca="1">-SUM(M99:R99)/L98</f>
        <v>0</v>
      </c>
      <c r="G114" s="491">
        <f ca="1">F114/F$117</f>
        <v>0</v>
      </c>
      <c r="H114" s="1274">
        <f t="shared" ca="1" si="9"/>
        <v>0</v>
      </c>
      <c r="I114" s="605"/>
      <c r="J114" s="609"/>
      <c r="K114" s="1615"/>
      <c r="L114" s="1615"/>
      <c r="M114" s="1615"/>
      <c r="N114" s="1615"/>
      <c r="O114" s="1615"/>
      <c r="P114" s="1616" t="s">
        <v>621</v>
      </c>
      <c r="Q114" s="1620">
        <f>Q112+Q113</f>
        <v>795.72989705429836</v>
      </c>
      <c r="R114" s="1620">
        <f ca="1">R112+R113</f>
        <v>3310.0814723715002</v>
      </c>
      <c r="S114" s="1621">
        <f ca="1">R114/Q114</f>
        <v>4.1598053367418339</v>
      </c>
      <c r="T114" s="1537"/>
      <c r="U114" s="242"/>
      <c r="V114" s="242"/>
    </row>
    <row r="115" spans="1:22" s="607" customFormat="1" ht="13.5">
      <c r="A115" s="350"/>
      <c r="C115" s="1271" t="s">
        <v>1200</v>
      </c>
      <c r="D115" s="1272"/>
      <c r="E115" s="1273"/>
      <c r="F115" s="1503">
        <f ca="1">F117-F116-F114-F113-F112-F109</f>
        <v>-0.41598053367418375</v>
      </c>
      <c r="G115" s="491">
        <f ca="1">F115/F$117</f>
        <v>-0.11989838566999381</v>
      </c>
      <c r="H115" s="1274">
        <f t="shared" ca="1" si="9"/>
        <v>-3.3848417860144142E-2</v>
      </c>
      <c r="I115" s="605"/>
      <c r="J115" s="609"/>
      <c r="K115" s="1615"/>
      <c r="L115" s="1615"/>
      <c r="M115" s="1615"/>
      <c r="N115" s="1615"/>
      <c r="O115" s="1615"/>
      <c r="P115" s="1616" t="s">
        <v>641</v>
      </c>
      <c r="Q115" s="1628">
        <f>G56</f>
        <v>0.69424707315818468</v>
      </c>
      <c r="R115" s="1628">
        <f>R97</f>
        <v>0.62482236584236617</v>
      </c>
      <c r="S115" s="1628">
        <f>R115/Q115</f>
        <v>0.89999999999999991</v>
      </c>
      <c r="T115" s="1539"/>
      <c r="U115" s="1497"/>
      <c r="V115" s="1498"/>
    </row>
    <row r="116" spans="1:22" s="607" customFormat="1">
      <c r="A116" s="350"/>
      <c r="B116" s="350"/>
      <c r="C116" s="637" t="s">
        <v>1137</v>
      </c>
      <c r="D116" s="638"/>
      <c r="E116" s="624"/>
      <c r="F116" s="1504">
        <f ca="1">-R117/Q116</f>
        <v>-0.27438248030676499</v>
      </c>
      <c r="G116" s="603">
        <f ca="1">F116/F$117</f>
        <v>-7.9085471029943247E-2</v>
      </c>
      <c r="H116" s="603">
        <f t="shared" ca="1" si="9"/>
        <v>-2.2326556401315902E-2</v>
      </c>
      <c r="I116" s="605"/>
      <c r="J116" s="609"/>
      <c r="K116" s="1615"/>
      <c r="L116" s="1615"/>
      <c r="M116" s="1615"/>
      <c r="N116" s="1615"/>
      <c r="O116" s="1615"/>
      <c r="P116" s="1616" t="s">
        <v>1197</v>
      </c>
      <c r="Q116" s="1627">
        <f>Q114*Q115</f>
        <v>552.43315205441024</v>
      </c>
      <c r="R116" s="1627">
        <f ca="1">R114*R115</f>
        <v>2068.2129366981435</v>
      </c>
      <c r="S116" s="1616"/>
      <c r="T116" s="1537"/>
      <c r="U116" s="242"/>
      <c r="V116" s="242"/>
    </row>
    <row r="117" spans="1:22" s="607" customFormat="1">
      <c r="A117" s="350"/>
      <c r="B117" s="350"/>
      <c r="C117" s="489" t="s">
        <v>799</v>
      </c>
      <c r="D117" s="489"/>
      <c r="F117" s="1500">
        <f ca="1">G103</f>
        <v>3.469442322760885</v>
      </c>
      <c r="G117" s="1274">
        <f ca="1">SUM(G109,G112:G116)</f>
        <v>1</v>
      </c>
      <c r="H117" s="647">
        <f ca="1">G104</f>
        <v>0.28230920433998108</v>
      </c>
      <c r="I117" s="605"/>
      <c r="J117" s="609"/>
      <c r="K117" s="1615"/>
      <c r="L117" s="1615"/>
      <c r="M117" s="1615"/>
      <c r="N117" s="1615"/>
      <c r="O117" s="1615"/>
      <c r="P117" s="1616" t="s">
        <v>1198</v>
      </c>
      <c r="Q117" s="1617"/>
      <c r="R117" s="1627">
        <f ca="1">(R116-Q116)*G81</f>
        <v>151.57797846437333</v>
      </c>
      <c r="S117" s="1616"/>
      <c r="T117" s="1537"/>
      <c r="U117" s="242"/>
      <c r="V117" s="242"/>
    </row>
    <row r="118" spans="1:22" s="607" customFormat="1" ht="13">
      <c r="A118" s="350"/>
      <c r="B118" s="350"/>
      <c r="C118" s="489"/>
      <c r="D118" s="489"/>
      <c r="F118" s="608"/>
      <c r="G118" s="491"/>
      <c r="H118" s="647"/>
      <c r="I118" s="605"/>
      <c r="J118" s="609"/>
      <c r="K118" s="1615"/>
      <c r="L118" s="1615"/>
      <c r="M118" s="1615"/>
      <c r="N118" s="1615"/>
      <c r="O118" s="1615"/>
      <c r="P118" s="1616" t="s">
        <v>1199</v>
      </c>
      <c r="Q118" s="1617"/>
      <c r="R118" s="1620">
        <f ca="1">R116-R117</f>
        <v>1916.6349582337702</v>
      </c>
      <c r="S118" s="1616"/>
      <c r="T118" s="1537"/>
      <c r="U118" s="242"/>
      <c r="V118" s="242"/>
    </row>
    <row r="119" spans="1:22" s="607" customFormat="1" ht="13.5">
      <c r="A119" s="350"/>
      <c r="B119" s="239"/>
      <c r="C119" s="243"/>
      <c r="D119" s="243"/>
      <c r="E119" s="242"/>
      <c r="F119" s="655" t="s">
        <v>829</v>
      </c>
      <c r="G119" s="656" t="s">
        <v>822</v>
      </c>
      <c r="H119" s="656" t="s">
        <v>790</v>
      </c>
      <c r="I119" s="657" t="s">
        <v>792</v>
      </c>
      <c r="J119" s="1538"/>
      <c r="K119" s="1536"/>
      <c r="L119" s="1536"/>
      <c r="M119" s="1536"/>
      <c r="N119" s="1536"/>
      <c r="O119" s="1536"/>
      <c r="P119" s="1535"/>
      <c r="Q119" s="1535"/>
      <c r="R119" s="1535"/>
      <c r="S119" s="1535"/>
      <c r="T119" s="1535"/>
    </row>
    <row r="120" spans="1:22" s="649" customFormat="1" ht="13.5">
      <c r="A120" s="489"/>
      <c r="C120" s="243" t="s">
        <v>817</v>
      </c>
      <c r="D120" s="489"/>
      <c r="F120" s="491">
        <f ca="1">利润表!S45-利润表!N45</f>
        <v>4.1833026394782286E-2</v>
      </c>
      <c r="G120" s="491">
        <f ca="1">F120/$F$120</f>
        <v>1</v>
      </c>
      <c r="H120" s="665">
        <f ca="1">F111</f>
        <v>1.3669596772655037</v>
      </c>
      <c r="I120" s="647">
        <f ca="1">H111</f>
        <v>8.3963850206626639E-2</v>
      </c>
      <c r="J120" s="1540"/>
      <c r="K120" s="1536"/>
      <c r="L120" s="1536"/>
      <c r="M120" s="1536"/>
      <c r="N120" s="1536"/>
      <c r="O120" s="1536"/>
      <c r="P120" s="1541"/>
      <c r="Q120" s="1541"/>
      <c r="R120" s="1541"/>
      <c r="S120" s="1541"/>
      <c r="T120" s="1541"/>
    </row>
    <row r="121" spans="1:22" s="607" customFormat="1" ht="13">
      <c r="A121" s="350"/>
      <c r="B121" s="350"/>
      <c r="C121" s="659"/>
      <c r="D121" s="658" t="s">
        <v>818</v>
      </c>
      <c r="E121" s="629"/>
      <c r="F121" s="650">
        <f>利润表!S11-利润表!N11</f>
        <v>2.7224244434149503E-2</v>
      </c>
      <c r="G121" s="650">
        <f t="shared" ref="G121:G124" ca="1" si="10">F121/$F$120</f>
        <v>0.65078352632754066</v>
      </c>
      <c r="H121" s="662">
        <f ca="1">$H$120*G121</f>
        <v>0.88959483911840143</v>
      </c>
      <c r="I121" s="651">
        <f ca="1">G121*$I$120</f>
        <v>5.464229052150589E-2</v>
      </c>
      <c r="J121" s="635"/>
      <c r="K121" s="608"/>
      <c r="L121" s="608"/>
      <c r="M121" s="608"/>
      <c r="N121" s="608"/>
      <c r="O121" s="608"/>
    </row>
    <row r="122" spans="1:22" s="607" customFormat="1" ht="13">
      <c r="A122" s="350"/>
      <c r="B122" s="350"/>
      <c r="C122" s="660"/>
      <c r="D122" s="239" t="s">
        <v>819</v>
      </c>
      <c r="F122" s="648">
        <f>-(利润表!S16-利润表!N16)</f>
        <v>1.4228068862060045E-2</v>
      </c>
      <c r="G122" s="648">
        <f t="shared" ca="1" si="10"/>
        <v>0.34011569537877545</v>
      </c>
      <c r="H122" s="663">
        <f t="shared" ref="H122:H123" ca="1" si="11">$H$120*G122</f>
        <v>0.46492444118790327</v>
      </c>
      <c r="I122" s="652">
        <f ca="1">G122*$I$120</f>
        <v>2.8557423299706158E-2</v>
      </c>
      <c r="J122" s="635"/>
      <c r="K122" s="608"/>
      <c r="L122" s="608"/>
      <c r="M122" s="608"/>
      <c r="N122" s="608"/>
      <c r="O122" s="608"/>
    </row>
    <row r="123" spans="1:22" s="607" customFormat="1" ht="13">
      <c r="A123" s="350"/>
      <c r="B123" s="350"/>
      <c r="C123" s="660"/>
      <c r="D123" s="239" t="s">
        <v>820</v>
      </c>
      <c r="F123" s="648">
        <f>-(利润表!S14-利润表!N14)</f>
        <v>-1.5515725028571181E-4</v>
      </c>
      <c r="G123" s="648">
        <f t="shared" ca="1" si="10"/>
        <v>-3.7089654671760524E-3</v>
      </c>
      <c r="H123" s="663">
        <f t="shared" ca="1" si="11"/>
        <v>-5.0700062379998752E-3</v>
      </c>
      <c r="I123" s="652">
        <f ca="1">G123*$I$120</f>
        <v>-3.1141902090752106E-4</v>
      </c>
      <c r="J123" s="635"/>
      <c r="K123" s="608"/>
      <c r="L123" s="608"/>
      <c r="M123" s="608"/>
      <c r="N123" s="608"/>
      <c r="O123" s="608"/>
    </row>
    <row r="124" spans="1:22" s="607" customFormat="1" ht="13">
      <c r="A124" s="350"/>
      <c r="B124" s="350"/>
      <c r="C124" s="661"/>
      <c r="D124" s="380" t="s">
        <v>821</v>
      </c>
      <c r="E124" s="624"/>
      <c r="F124" s="653">
        <f ca="1">F120-SUM(F121:F123)</f>
        <v>5.3587034885844986E-4</v>
      </c>
      <c r="G124" s="653">
        <f t="shared" ca="1" si="10"/>
        <v>1.28097437608599E-2</v>
      </c>
      <c r="H124" s="664">
        <f ca="1">$H$120*G124</f>
        <v>1.7510403197198848E-2</v>
      </c>
      <c r="I124" s="654">
        <f ca="1">G124*$I$120</f>
        <v>1.0755554063221107E-3</v>
      </c>
      <c r="J124" s="635"/>
      <c r="K124" s="608"/>
      <c r="L124" s="608"/>
      <c r="M124" s="608"/>
      <c r="N124" s="608"/>
      <c r="O124" s="608"/>
    </row>
    <row r="125" spans="1:22">
      <c r="J125" s="184"/>
    </row>
    <row r="127" spans="1:22" s="486" customFormat="1">
      <c r="A127" s="485" t="s">
        <v>8</v>
      </c>
      <c r="B127" s="357" t="s">
        <v>707</v>
      </c>
      <c r="D127" s="485"/>
      <c r="E127" s="485"/>
      <c r="F127" s="487"/>
      <c r="G127" s="488"/>
      <c r="H127" s="488"/>
      <c r="I127" s="488"/>
      <c r="J127" s="488"/>
      <c r="K127" s="488"/>
      <c r="L127" s="488"/>
    </row>
    <row r="128" spans="1:22" s="1214" customFormat="1">
      <c r="A128" s="1212"/>
      <c r="B128" s="1213"/>
      <c r="D128" s="1212"/>
      <c r="E128" s="1212"/>
      <c r="F128" s="1215"/>
      <c r="G128" s="1216"/>
      <c r="H128" s="1216"/>
      <c r="I128" s="1216"/>
      <c r="J128" s="1216"/>
      <c r="K128" s="1216"/>
      <c r="L128" s="1216"/>
    </row>
    <row r="129" spans="2:17">
      <c r="B129" s="489"/>
      <c r="C129" s="350"/>
      <c r="D129" s="490"/>
      <c r="E129" s="505" t="s">
        <v>357</v>
      </c>
      <c r="H129" s="492"/>
    </row>
    <row r="130" spans="2:17">
      <c r="B130" s="494"/>
      <c r="C130" s="495"/>
      <c r="D130" s="496"/>
      <c r="E130" s="496"/>
      <c r="F130" s="496"/>
      <c r="G130" s="496"/>
      <c r="Q130" s="497"/>
    </row>
    <row r="131" spans="2:17">
      <c r="B131" s="498"/>
      <c r="C131" s="498"/>
      <c r="D131" s="499"/>
      <c r="E131" s="510"/>
      <c r="F131" s="666"/>
      <c r="G131" s="667"/>
      <c r="H131" s="1580" t="s">
        <v>717</v>
      </c>
      <c r="I131" s="1581"/>
      <c r="J131" s="1581"/>
      <c r="K131" s="1581"/>
      <c r="L131" s="1581"/>
      <c r="M131" s="1581"/>
      <c r="N131" s="1581"/>
      <c r="O131" s="1581"/>
      <c r="P131" s="1581"/>
      <c r="Q131" s="497"/>
    </row>
    <row r="132" spans="2:17">
      <c r="B132" s="498"/>
      <c r="C132" s="498"/>
      <c r="D132" s="499"/>
      <c r="E132" s="503"/>
      <c r="F132" s="504"/>
      <c r="G132" s="506">
        <f ca="1">G103</f>
        <v>3.469442322760885</v>
      </c>
      <c r="H132" s="509">
        <f t="shared" ref="H132" si="12">I132-1</f>
        <v>6</v>
      </c>
      <c r="I132" s="509">
        <f t="shared" ref="I132" si="13">J132-1</f>
        <v>7</v>
      </c>
      <c r="J132" s="509">
        <f t="shared" ref="J132" si="14">K132-1</f>
        <v>8</v>
      </c>
      <c r="K132" s="509">
        <f>L132-1</f>
        <v>9</v>
      </c>
      <c r="L132" s="643">
        <v>10</v>
      </c>
      <c r="M132" s="509">
        <f>L132+1</f>
        <v>11</v>
      </c>
      <c r="N132" s="509">
        <f t="shared" ref="N132" si="15">M132+1</f>
        <v>12</v>
      </c>
      <c r="O132" s="509">
        <f t="shared" ref="O132" si="16">N132+1</f>
        <v>13</v>
      </c>
      <c r="P132" s="509">
        <f t="shared" ref="P132" si="17">O132+1</f>
        <v>14</v>
      </c>
      <c r="Q132" s="497"/>
    </row>
    <row r="133" spans="2:17">
      <c r="B133" s="500"/>
      <c r="C133" s="494"/>
      <c r="D133" s="496"/>
      <c r="E133" s="1576" t="s">
        <v>1098</v>
      </c>
      <c r="F133" s="1275">
        <f>G133/$M$88</f>
        <v>5.561119708195422</v>
      </c>
      <c r="G133" s="1220">
        <f t="shared" ref="G133:G135" si="18">G134-100</f>
        <v>730</v>
      </c>
      <c r="H133" s="1542">
        <f t="dataTable" ref="H133:P141" dt2D="1" dtr="1" r1="G78" r2="G19" ca="1"/>
        <v>4.398543067762815</v>
      </c>
      <c r="I133" s="1542">
        <v>5.0177179103936638</v>
      </c>
      <c r="J133" s="1542">
        <v>5.6368927530245125</v>
      </c>
      <c r="K133" s="1542">
        <v>6.2560675956553622</v>
      </c>
      <c r="L133" s="1543">
        <v>6.8752424382862101</v>
      </c>
      <c r="M133" s="1542">
        <v>7.4944172809170588</v>
      </c>
      <c r="N133" s="1542">
        <v>8.1135921235479067</v>
      </c>
      <c r="O133" s="1542">
        <v>8.7327669661787564</v>
      </c>
      <c r="P133" s="1542">
        <v>9.351941808809606</v>
      </c>
      <c r="Q133" s="497"/>
    </row>
    <row r="134" spans="2:17">
      <c r="B134" s="500"/>
      <c r="C134" s="494"/>
      <c r="D134" s="496"/>
      <c r="E134" s="1577"/>
      <c r="F134" s="1275">
        <f t="shared" ref="F134:F141" si="19">G134/$M$88</f>
        <v>6.3229169284961646</v>
      </c>
      <c r="G134" s="1220">
        <f t="shared" si="18"/>
        <v>830</v>
      </c>
      <c r="H134" s="1542">
        <v>3.5314291225871437</v>
      </c>
      <c r="I134" s="1542">
        <v>4.0257023108473202</v>
      </c>
      <c r="J134" s="1542">
        <v>4.5199754991074972</v>
      </c>
      <c r="K134" s="1542">
        <v>5.0142486873676742</v>
      </c>
      <c r="L134" s="1543">
        <v>5.5085218756278502</v>
      </c>
      <c r="M134" s="1542">
        <v>6.0027950638880281</v>
      </c>
      <c r="N134" s="1542">
        <v>6.4970682521482042</v>
      </c>
      <c r="O134" s="1542">
        <v>6.9913414404083811</v>
      </c>
      <c r="P134" s="1542">
        <v>7.4856146286685572</v>
      </c>
      <c r="Q134" s="497"/>
    </row>
    <row r="135" spans="2:17">
      <c r="B135" s="494"/>
      <c r="C135" s="494"/>
      <c r="D135" s="496"/>
      <c r="E135" s="1577"/>
      <c r="F135" s="1275">
        <f t="shared" si="19"/>
        <v>7.0847141487969072</v>
      </c>
      <c r="G135" s="1220">
        <f t="shared" si="18"/>
        <v>930</v>
      </c>
      <c r="H135" s="1542">
        <v>2.9554249402295842</v>
      </c>
      <c r="I135" s="1542">
        <v>3.3667287843785778</v>
      </c>
      <c r="J135" s="1542">
        <v>3.7780326285275718</v>
      </c>
      <c r="K135" s="1542">
        <v>4.1893364726765654</v>
      </c>
      <c r="L135" s="1543">
        <v>4.6006403168255599</v>
      </c>
      <c r="M135" s="1542">
        <v>5.0119441609745525</v>
      </c>
      <c r="N135" s="1542">
        <v>5.4232480051235461</v>
      </c>
      <c r="O135" s="1542">
        <v>5.8345518492725406</v>
      </c>
      <c r="P135" s="1542">
        <v>6.2458556934215341</v>
      </c>
      <c r="Q135" s="497"/>
    </row>
    <row r="136" spans="2:17">
      <c r="B136" s="497"/>
      <c r="C136" s="497"/>
      <c r="D136" s="497"/>
      <c r="E136" s="1577"/>
      <c r="F136" s="1275">
        <f t="shared" si="19"/>
        <v>7.8465113690976498</v>
      </c>
      <c r="G136" s="1220">
        <f>G137-100</f>
        <v>1030</v>
      </c>
      <c r="H136" s="1542">
        <v>2.5450034602386595</v>
      </c>
      <c r="I136" s="1542">
        <v>2.897188981904971</v>
      </c>
      <c r="J136" s="1542">
        <v>3.2493745035712824</v>
      </c>
      <c r="K136" s="1542">
        <v>3.6015600252375939</v>
      </c>
      <c r="L136" s="1543">
        <v>3.9537455469039058</v>
      </c>
      <c r="M136" s="1542">
        <v>4.3059310685702155</v>
      </c>
      <c r="N136" s="1542">
        <v>4.6581165902365278</v>
      </c>
      <c r="O136" s="1542">
        <v>5.0103021119028393</v>
      </c>
      <c r="P136" s="1542">
        <v>5.3624876335691498</v>
      </c>
      <c r="Q136" s="497"/>
    </row>
    <row r="137" spans="2:17">
      <c r="B137" s="501"/>
      <c r="C137" s="501"/>
      <c r="D137" s="501"/>
      <c r="E137" s="1577"/>
      <c r="F137" s="1275">
        <f t="shared" si="19"/>
        <v>8.6083085893983924</v>
      </c>
      <c r="G137" s="1219">
        <v>1130</v>
      </c>
      <c r="H137" s="1543">
        <v>2.2377379585540069</v>
      </c>
      <c r="I137" s="1543">
        <v>2.5456640496057266</v>
      </c>
      <c r="J137" s="1543">
        <v>2.8535901406574458</v>
      </c>
      <c r="K137" s="1543">
        <v>3.1615162317091654</v>
      </c>
      <c r="L137" s="1543">
        <v>3.469442322760885</v>
      </c>
      <c r="M137" s="1543">
        <v>3.7773684138126038</v>
      </c>
      <c r="N137" s="1543">
        <v>4.085294504864323</v>
      </c>
      <c r="O137" s="1543">
        <v>4.3932205959160431</v>
      </c>
      <c r="P137" s="1543">
        <v>4.7011466869677623</v>
      </c>
      <c r="Q137" s="501"/>
    </row>
    <row r="138" spans="2:17">
      <c r="B138" s="501"/>
      <c r="C138" s="501"/>
      <c r="D138" s="501"/>
      <c r="E138" s="1577"/>
      <c r="F138" s="1275">
        <f t="shared" si="19"/>
        <v>9.370105809699135</v>
      </c>
      <c r="G138" s="1220">
        <f>G137+100</f>
        <v>1230</v>
      </c>
      <c r="H138" s="1542">
        <v>1.9990791881384857</v>
      </c>
      <c r="I138" s="1542">
        <v>2.2726281648319184</v>
      </c>
      <c r="J138" s="1542">
        <v>2.5461771415253511</v>
      </c>
      <c r="K138" s="1542">
        <v>2.8197261182187838</v>
      </c>
      <c r="L138" s="1543">
        <v>3.093275094912217</v>
      </c>
      <c r="M138" s="1542">
        <v>3.3668240716056497</v>
      </c>
      <c r="N138" s="1542">
        <v>3.6403730482990828</v>
      </c>
      <c r="O138" s="1542">
        <v>3.9139220249925146</v>
      </c>
      <c r="P138" s="1542">
        <v>4.1874710016859478</v>
      </c>
      <c r="Q138" s="501"/>
    </row>
    <row r="139" spans="2:17">
      <c r="B139" s="501"/>
      <c r="C139" s="501"/>
      <c r="D139" s="501"/>
      <c r="E139" s="1577"/>
      <c r="F139" s="1275">
        <f t="shared" si="19"/>
        <v>10.131903029999878</v>
      </c>
      <c r="G139" s="1220">
        <f t="shared" ref="G139:G141" si="20">G138+100</f>
        <v>1330</v>
      </c>
      <c r="H139" s="1542">
        <v>1.808356865372382</v>
      </c>
      <c r="I139" s="1542">
        <v>2.0544336352452026</v>
      </c>
      <c r="J139" s="1542">
        <v>2.3005104051180223</v>
      </c>
      <c r="K139" s="1542">
        <v>2.5465871749908424</v>
      </c>
      <c r="L139" s="1543">
        <v>2.7926639448636621</v>
      </c>
      <c r="M139" s="1542">
        <v>3.0387407147364813</v>
      </c>
      <c r="N139" s="1542">
        <v>3.2848174846093015</v>
      </c>
      <c r="O139" s="1542">
        <v>3.530894254482122</v>
      </c>
      <c r="P139" s="1542">
        <v>3.7769710243549408</v>
      </c>
      <c r="Q139" s="501"/>
    </row>
    <row r="140" spans="2:17">
      <c r="B140" s="501"/>
      <c r="C140" s="501"/>
      <c r="D140" s="501"/>
      <c r="E140" s="1577"/>
      <c r="F140" s="1275">
        <f t="shared" si="19"/>
        <v>10.893700250300622</v>
      </c>
      <c r="G140" s="1220">
        <f t="shared" si="20"/>
        <v>1430</v>
      </c>
      <c r="H140" s="1542">
        <v>1.6524464653764495</v>
      </c>
      <c r="I140" s="1542">
        <v>1.876065440629048</v>
      </c>
      <c r="J140" s="1542">
        <v>2.0996844158816463</v>
      </c>
      <c r="K140" s="1542">
        <v>2.3233033911342442</v>
      </c>
      <c r="L140" s="1543">
        <v>2.546922366386843</v>
      </c>
      <c r="M140" s="1542">
        <v>2.7705413416394413</v>
      </c>
      <c r="N140" s="1542">
        <v>2.9941603168920392</v>
      </c>
      <c r="O140" s="1542">
        <v>3.2177792921446375</v>
      </c>
      <c r="P140" s="1542">
        <v>3.4413982673972354</v>
      </c>
      <c r="Q140" s="501"/>
    </row>
    <row r="141" spans="2:17">
      <c r="B141" s="501"/>
      <c r="C141" s="501"/>
      <c r="D141" s="501"/>
      <c r="E141" s="1577"/>
      <c r="F141" s="1275">
        <f t="shared" si="19"/>
        <v>11.655497470601365</v>
      </c>
      <c r="G141" s="1220">
        <f t="shared" si="20"/>
        <v>1530</v>
      </c>
      <c r="H141" s="1542">
        <v>1.5226139280115367</v>
      </c>
      <c r="I141" s="1542">
        <v>1.7275314410189</v>
      </c>
      <c r="J141" s="1542">
        <v>1.9324489540262633</v>
      </c>
      <c r="K141" s="1542">
        <v>2.1373664670336265</v>
      </c>
      <c r="L141" s="1543">
        <v>2.3422839800409898</v>
      </c>
      <c r="M141" s="1542">
        <v>2.5472014930483526</v>
      </c>
      <c r="N141" s="1542">
        <v>2.7521190060557159</v>
      </c>
      <c r="O141" s="1542">
        <v>2.9570365190630792</v>
      </c>
      <c r="P141" s="1542">
        <v>3.1619540320704416</v>
      </c>
      <c r="Q141" s="501"/>
    </row>
    <row r="142" spans="2:17">
      <c r="B142" s="501"/>
      <c r="C142" s="501"/>
      <c r="D142" s="501"/>
      <c r="E142" s="1578"/>
      <c r="F142" s="512" t="s">
        <v>654</v>
      </c>
      <c r="G142" s="1210" t="s">
        <v>1098</v>
      </c>
      <c r="H142" s="668"/>
      <c r="I142" s="669"/>
      <c r="J142" s="669"/>
      <c r="K142" s="669"/>
      <c r="L142" s="669"/>
      <c r="M142" s="669"/>
      <c r="N142" s="669"/>
      <c r="O142" s="669"/>
      <c r="P142" s="670"/>
      <c r="Q142" s="501"/>
    </row>
    <row r="143" spans="2:17">
      <c r="B143" s="501"/>
      <c r="C143" s="501"/>
      <c r="D143" s="501"/>
      <c r="E143" s="141"/>
      <c r="F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501"/>
    </row>
    <row r="144" spans="2:17">
      <c r="E144" s="505" t="s">
        <v>358</v>
      </c>
      <c r="F144" s="184"/>
      <c r="G144" s="184"/>
      <c r="H144" s="492"/>
      <c r="I144" s="184"/>
      <c r="J144" s="184"/>
      <c r="K144" s="184"/>
      <c r="L144" s="184"/>
      <c r="M144" s="184"/>
      <c r="N144" s="184"/>
      <c r="O144" s="184"/>
      <c r="P144" s="184"/>
    </row>
    <row r="145" spans="2:16">
      <c r="E145" s="496"/>
      <c r="F145" s="496"/>
      <c r="G145" s="496"/>
      <c r="H145" s="184"/>
      <c r="I145" s="184"/>
      <c r="J145" s="184"/>
      <c r="K145" s="184"/>
      <c r="L145" s="184"/>
      <c r="M145" s="184"/>
      <c r="N145" s="184"/>
      <c r="O145" s="184"/>
      <c r="P145" s="184"/>
    </row>
    <row r="146" spans="2:16">
      <c r="E146" s="510"/>
      <c r="F146" s="666"/>
      <c r="G146" s="667"/>
      <c r="H146" s="1580" t="s">
        <v>717</v>
      </c>
      <c r="I146" s="1581"/>
      <c r="J146" s="1581"/>
      <c r="K146" s="1581"/>
      <c r="L146" s="1581"/>
      <c r="M146" s="1581"/>
      <c r="N146" s="1581"/>
      <c r="O146" s="1581"/>
      <c r="P146" s="1581"/>
    </row>
    <row r="147" spans="2:16">
      <c r="E147" s="503"/>
      <c r="F147" s="504"/>
      <c r="G147" s="516">
        <f ca="1">G104</f>
        <v>0.28230920433998108</v>
      </c>
      <c r="H147" s="509">
        <f t="shared" ref="H147" si="21">I147-1</f>
        <v>6</v>
      </c>
      <c r="I147" s="509">
        <f t="shared" ref="I147" si="22">J147-1</f>
        <v>7</v>
      </c>
      <c r="J147" s="509">
        <f t="shared" ref="J147" si="23">K147-1</f>
        <v>8</v>
      </c>
      <c r="K147" s="509">
        <f>L147-1</f>
        <v>9</v>
      </c>
      <c r="L147" s="643">
        <v>10</v>
      </c>
      <c r="M147" s="509">
        <f>L147+1</f>
        <v>11</v>
      </c>
      <c r="N147" s="509">
        <f t="shared" ref="N147" si="24">M147+1</f>
        <v>12</v>
      </c>
      <c r="O147" s="509">
        <f t="shared" ref="O147" si="25">N147+1</f>
        <v>13</v>
      </c>
      <c r="P147" s="509">
        <f t="shared" ref="P147" si="26">O147+1</f>
        <v>14</v>
      </c>
    </row>
    <row r="148" spans="2:16">
      <c r="E148" s="1576" t="s">
        <v>1098</v>
      </c>
      <c r="F148" s="1275">
        <f>G148/$M$88</f>
        <v>5.561119708195422</v>
      </c>
      <c r="G148" s="1220">
        <f t="shared" ref="G148:G150" si="27">G149-100</f>
        <v>730</v>
      </c>
      <c r="H148" s="517">
        <f t="dataTable" ref="H148:P156" dt2D="1" dtr="1" r1="G78" r2="G19" ca="1"/>
        <v>0.34459443688392644</v>
      </c>
      <c r="I148" s="517">
        <v>0.3804622113704681</v>
      </c>
      <c r="J148" s="517">
        <v>0.41294642090797429</v>
      </c>
      <c r="K148" s="517">
        <v>0.44269015192985528</v>
      </c>
      <c r="L148" s="644">
        <v>0.47016437649726872</v>
      </c>
      <c r="M148" s="517">
        <v>0.49572504162788389</v>
      </c>
      <c r="N148" s="517">
        <v>0.51964816451072682</v>
      </c>
      <c r="O148" s="517">
        <v>0.54215238690376288</v>
      </c>
      <c r="P148" s="517">
        <v>0.56341407895088191</v>
      </c>
    </row>
    <row r="149" spans="2:16">
      <c r="E149" s="1577"/>
      <c r="F149" s="1275">
        <f t="shared" ref="F149:F156" si="28">G149/$M$88</f>
        <v>6.3229169284961646</v>
      </c>
      <c r="G149" s="1220">
        <f t="shared" si="27"/>
        <v>830</v>
      </c>
      <c r="H149" s="517">
        <v>0.28685638308525097</v>
      </c>
      <c r="I149" s="517">
        <v>0.32099776864051821</v>
      </c>
      <c r="J149" s="517">
        <v>0.35193390250205991</v>
      </c>
      <c r="K149" s="517">
        <v>0.38027136921882621</v>
      </c>
      <c r="L149" s="644">
        <v>0.40645503401756278</v>
      </c>
      <c r="M149" s="517">
        <v>0.43082148432731637</v>
      </c>
      <c r="N149" s="517">
        <v>0.453631979227066</v>
      </c>
      <c r="O149" s="517">
        <v>0.4750936686992645</v>
      </c>
      <c r="P149" s="517">
        <v>0.49537370800971992</v>
      </c>
    </row>
    <row r="150" spans="2:16">
      <c r="E150" s="1577"/>
      <c r="F150" s="1275">
        <f t="shared" si="28"/>
        <v>7.0847141487969072</v>
      </c>
      <c r="G150" s="1220">
        <f t="shared" si="27"/>
        <v>930</v>
      </c>
      <c r="H150" s="517">
        <v>0.24185943007469174</v>
      </c>
      <c r="I150" s="517">
        <v>0.27462925314903253</v>
      </c>
      <c r="J150" s="517">
        <v>0.30433729290962219</v>
      </c>
      <c r="K150" s="517">
        <v>0.33156051039695733</v>
      </c>
      <c r="L150" s="644">
        <v>0.35672259926795968</v>
      </c>
      <c r="M150" s="517">
        <v>0.3801445424556732</v>
      </c>
      <c r="N150" s="517">
        <v>0.40207572579383855</v>
      </c>
      <c r="O150" s="517">
        <v>0.42271398901939394</v>
      </c>
      <c r="P150" s="517">
        <v>0.4422191202640533</v>
      </c>
    </row>
    <row r="151" spans="2:16">
      <c r="E151" s="1577"/>
      <c r="F151" s="1275">
        <f t="shared" si="28"/>
        <v>7.8465113690976498</v>
      </c>
      <c r="G151" s="1220">
        <f>G152-100</f>
        <v>1030</v>
      </c>
      <c r="H151" s="517">
        <v>0.2052946865558625</v>
      </c>
      <c r="I151" s="517">
        <v>0.23692898154258726</v>
      </c>
      <c r="J151" s="517">
        <v>0.26562165617942812</v>
      </c>
      <c r="K151" s="517">
        <v>0.29192463755607612</v>
      </c>
      <c r="L151" s="644">
        <v>0.31624384522438054</v>
      </c>
      <c r="M151" s="517">
        <v>0.33888712525367737</v>
      </c>
      <c r="N151" s="517">
        <v>0.36009386181831371</v>
      </c>
      <c r="O151" s="517">
        <v>0.38005414605140686</v>
      </c>
      <c r="P151" s="517">
        <v>0.39892159104347225</v>
      </c>
    </row>
    <row r="152" spans="2:16">
      <c r="E152" s="1577"/>
      <c r="F152" s="1275">
        <f t="shared" si="28"/>
        <v>8.6083085893983924</v>
      </c>
      <c r="G152" s="1219">
        <v>1130</v>
      </c>
      <c r="H152" s="644">
        <v>0.17469070553779603</v>
      </c>
      <c r="I152" s="644">
        <v>0.20535721182823183</v>
      </c>
      <c r="J152" s="644">
        <v>0.2331855833530426</v>
      </c>
      <c r="K152" s="644">
        <v>0.25870607495307918</v>
      </c>
      <c r="L152" s="644">
        <v>0.28230920433998108</v>
      </c>
      <c r="M152" s="644">
        <v>0.30429145693778992</v>
      </c>
      <c r="N152" s="644">
        <v>0.32488361001014721</v>
      </c>
      <c r="O152" s="644">
        <v>0.34426904320716856</v>
      </c>
      <c r="P152" s="644">
        <v>0.36259607672691352</v>
      </c>
    </row>
    <row r="153" spans="2:16">
      <c r="E153" s="1577"/>
      <c r="F153" s="1275">
        <f t="shared" si="28"/>
        <v>9.370105809699135</v>
      </c>
      <c r="G153" s="1220">
        <f>G152+100</f>
        <v>1230</v>
      </c>
      <c r="H153" s="517">
        <v>0.14850541949272156</v>
      </c>
      <c r="I153" s="517">
        <v>0.17832916378974917</v>
      </c>
      <c r="J153" s="517">
        <v>0.20540576577186589</v>
      </c>
      <c r="K153" s="517">
        <v>0.23024632334709169</v>
      </c>
      <c r="L153" s="644">
        <v>0.25322772860527043</v>
      </c>
      <c r="M153" s="517">
        <v>0.27463646531105046</v>
      </c>
      <c r="N153" s="517">
        <v>0.29469572901725771</v>
      </c>
      <c r="O153" s="517">
        <v>0.3135830223560333</v>
      </c>
      <c r="P153" s="517">
        <v>0.3314419686794281</v>
      </c>
    </row>
    <row r="154" spans="2:16">
      <c r="E154" s="1577"/>
      <c r="F154" s="1275">
        <f t="shared" si="28"/>
        <v>10.131903029999878</v>
      </c>
      <c r="G154" s="1220">
        <f t="shared" ref="G154:G156" si="29">G153+100</f>
        <v>1330</v>
      </c>
      <c r="H154" s="517">
        <v>0.12571550011634827</v>
      </c>
      <c r="I154" s="517">
        <v>0.15479308962821961</v>
      </c>
      <c r="J154" s="517">
        <v>0.18120481371879577</v>
      </c>
      <c r="K154" s="517">
        <v>0.20544456839561462</v>
      </c>
      <c r="L154" s="644">
        <v>0.22787705063819888</v>
      </c>
      <c r="M154" s="517">
        <v>0.24877977967262269</v>
      </c>
      <c r="N154" s="517">
        <v>0.2683691680431366</v>
      </c>
      <c r="O154" s="517">
        <v>0.28681742548942568</v>
      </c>
      <c r="P154" s="517">
        <v>0.30426402688026433</v>
      </c>
    </row>
    <row r="155" spans="2:16">
      <c r="E155" s="1577"/>
      <c r="F155" s="1275">
        <f t="shared" si="28"/>
        <v>10.893700250300622</v>
      </c>
      <c r="G155" s="1220">
        <f t="shared" si="29"/>
        <v>1430</v>
      </c>
      <c r="H155" s="517">
        <v>0.10560905337333679</v>
      </c>
      <c r="I155" s="517">
        <v>0.13401727080345155</v>
      </c>
      <c r="J155" s="517">
        <v>0.15983315110206608</v>
      </c>
      <c r="K155" s="517">
        <v>0.1835349500179291</v>
      </c>
      <c r="L155" s="644">
        <v>0.20547628998756412</v>
      </c>
      <c r="M155" s="517">
        <v>0.22592656016349788</v>
      </c>
      <c r="N155" s="517">
        <v>0.24509602189064025</v>
      </c>
      <c r="O155" s="517">
        <v>0.26315212845802305</v>
      </c>
      <c r="P155" s="517">
        <v>0.28023058772087095</v>
      </c>
    </row>
    <row r="156" spans="2:16">
      <c r="E156" s="1577"/>
      <c r="F156" s="1275">
        <f t="shared" si="28"/>
        <v>11.655497470601365</v>
      </c>
      <c r="G156" s="1220">
        <f t="shared" si="29"/>
        <v>1530</v>
      </c>
      <c r="H156" s="517">
        <v>8.767202794551851E-2</v>
      </c>
      <c r="I156" s="517">
        <v>0.11547332406044006</v>
      </c>
      <c r="J156" s="517">
        <v>0.14074944853782656</v>
      </c>
      <c r="K156" s="517">
        <v>0.16396431326866154</v>
      </c>
      <c r="L156" s="644">
        <v>0.18546141982078554</v>
      </c>
      <c r="M156" s="517">
        <v>0.20550269484519962</v>
      </c>
      <c r="N156" s="517">
        <v>0.22429277300834655</v>
      </c>
      <c r="O156" s="517">
        <v>0.2419947683811188</v>
      </c>
      <c r="P156" s="517">
        <v>0.25874091982841496</v>
      </c>
    </row>
    <row r="157" spans="2:16">
      <c r="E157" s="1578"/>
      <c r="F157" s="512" t="s">
        <v>654</v>
      </c>
      <c r="G157" s="1210" t="s">
        <v>1098</v>
      </c>
      <c r="H157" s="671"/>
      <c r="I157" s="672"/>
      <c r="J157" s="672"/>
      <c r="K157" s="672"/>
      <c r="L157" s="672"/>
      <c r="M157" s="672"/>
      <c r="N157" s="672"/>
      <c r="O157" s="672"/>
      <c r="P157" s="673"/>
    </row>
    <row r="159" spans="2:16">
      <c r="B159" s="489"/>
      <c r="C159" s="350"/>
      <c r="D159" s="490"/>
      <c r="E159" s="491"/>
      <c r="F159" s="492"/>
      <c r="G159" s="493"/>
      <c r="H159" s="492"/>
    </row>
    <row r="160" spans="2:16" hidden="1" outlineLevel="1">
      <c r="B160" s="489"/>
      <c r="C160" s="350"/>
      <c r="D160" s="490"/>
      <c r="E160" s="505" t="s">
        <v>357</v>
      </c>
      <c r="H160" s="492"/>
    </row>
    <row r="161" spans="2:17" hidden="1" outlineLevel="1">
      <c r="B161" s="494"/>
      <c r="C161" s="495"/>
      <c r="D161" s="496"/>
      <c r="E161" s="496"/>
      <c r="F161" s="496"/>
      <c r="G161" s="496"/>
      <c r="Q161" s="497"/>
    </row>
    <row r="162" spans="2:17" hidden="1" outlineLevel="1">
      <c r="B162" s="498"/>
      <c r="C162" s="498"/>
      <c r="D162" s="499"/>
      <c r="E162" s="510"/>
      <c r="F162" s="666"/>
      <c r="G162" s="667"/>
      <c r="H162" s="1580" t="s">
        <v>717</v>
      </c>
      <c r="I162" s="1581"/>
      <c r="J162" s="1581"/>
      <c r="K162" s="1581"/>
      <c r="L162" s="1581"/>
      <c r="M162" s="1581"/>
      <c r="N162" s="1581"/>
      <c r="O162" s="1581"/>
      <c r="P162" s="1581"/>
      <c r="Q162" s="497"/>
    </row>
    <row r="163" spans="2:17" hidden="1" outlineLevel="1">
      <c r="B163" s="498"/>
      <c r="C163" s="498"/>
      <c r="D163" s="499"/>
      <c r="E163" s="503"/>
      <c r="F163" s="504"/>
      <c r="G163" s="506">
        <f ca="1">G103</f>
        <v>3.469442322760885</v>
      </c>
      <c r="H163" s="509">
        <f t="shared" ref="H163:J163" si="30">I163-1</f>
        <v>6</v>
      </c>
      <c r="I163" s="509">
        <f t="shared" si="30"/>
        <v>7</v>
      </c>
      <c r="J163" s="509">
        <f t="shared" si="30"/>
        <v>8</v>
      </c>
      <c r="K163" s="509">
        <f>L163-1</f>
        <v>9</v>
      </c>
      <c r="L163" s="643">
        <v>10</v>
      </c>
      <c r="M163" s="509">
        <f>L163+1</f>
        <v>11</v>
      </c>
      <c r="N163" s="509">
        <f t="shared" ref="N163:P163" si="31">M163+1</f>
        <v>12</v>
      </c>
      <c r="O163" s="509">
        <f t="shared" si="31"/>
        <v>13</v>
      </c>
      <c r="P163" s="509">
        <f t="shared" si="31"/>
        <v>14</v>
      </c>
      <c r="Q163" s="497"/>
    </row>
    <row r="164" spans="2:17" hidden="1" outlineLevel="1">
      <c r="B164" s="500"/>
      <c r="C164" s="494"/>
      <c r="D164" s="496"/>
      <c r="E164" s="1576" t="s">
        <v>716</v>
      </c>
      <c r="F164" s="507">
        <f t="shared" ref="F164:F166" si="32">F165-0.5</f>
        <v>8</v>
      </c>
      <c r="G164" s="502">
        <f t="shared" ref="G164:G172" si="33">F164*$I$20/$G$20</f>
        <v>6.4290065542819788</v>
      </c>
      <c r="H164" s="502">
        <f t="dataTable" ref="H164:P172" dt2D="1" dtr="1" r1="G78" r2="G21" ca="1"/>
        <v>2.2377379585540069</v>
      </c>
      <c r="I164" s="502">
        <v>2.5456640496057266</v>
      </c>
      <c r="J164" s="502">
        <v>2.8535901406574458</v>
      </c>
      <c r="K164" s="502">
        <v>3.1615162317091654</v>
      </c>
      <c r="L164" s="641">
        <v>3.469442322760885</v>
      </c>
      <c r="M164" s="502">
        <v>3.7773684138126038</v>
      </c>
      <c r="N164" s="502">
        <v>4.085294504864323</v>
      </c>
      <c r="O164" s="502">
        <v>4.3932205959160431</v>
      </c>
      <c r="P164" s="502">
        <v>4.7011466869677623</v>
      </c>
      <c r="Q164" s="497"/>
    </row>
    <row r="165" spans="2:17" hidden="1" outlineLevel="1">
      <c r="B165" s="500"/>
      <c r="C165" s="494"/>
      <c r="D165" s="496"/>
      <c r="E165" s="1577"/>
      <c r="F165" s="507">
        <f t="shared" si="32"/>
        <v>8.5</v>
      </c>
      <c r="G165" s="502">
        <f t="shared" si="33"/>
        <v>6.8308194639246018</v>
      </c>
      <c r="H165" s="502">
        <v>2.2377379585540069</v>
      </c>
      <c r="I165" s="502">
        <v>2.5456640496057266</v>
      </c>
      <c r="J165" s="502">
        <v>2.8535901406574458</v>
      </c>
      <c r="K165" s="502">
        <v>3.1615162317091654</v>
      </c>
      <c r="L165" s="641">
        <v>3.469442322760885</v>
      </c>
      <c r="M165" s="502">
        <v>3.7773684138126038</v>
      </c>
      <c r="N165" s="502">
        <v>4.085294504864323</v>
      </c>
      <c r="O165" s="502">
        <v>4.3932205959160431</v>
      </c>
      <c r="P165" s="502">
        <v>4.7011466869677623</v>
      </c>
      <c r="Q165" s="497"/>
    </row>
    <row r="166" spans="2:17" hidden="1" outlineLevel="1">
      <c r="B166" s="494"/>
      <c r="C166" s="494"/>
      <c r="D166" s="496"/>
      <c r="E166" s="1577"/>
      <c r="F166" s="507">
        <f t="shared" si="32"/>
        <v>9</v>
      </c>
      <c r="G166" s="502">
        <f t="shared" si="33"/>
        <v>7.2326323735672258</v>
      </c>
      <c r="H166" s="502">
        <v>2.2377379585540069</v>
      </c>
      <c r="I166" s="502">
        <v>2.5456640496057266</v>
      </c>
      <c r="J166" s="502">
        <v>2.8535901406574458</v>
      </c>
      <c r="K166" s="502">
        <v>3.1615162317091654</v>
      </c>
      <c r="L166" s="641">
        <v>3.469442322760885</v>
      </c>
      <c r="M166" s="502">
        <v>3.7773684138126038</v>
      </c>
      <c r="N166" s="502">
        <v>4.085294504864323</v>
      </c>
      <c r="O166" s="502">
        <v>4.3932205959160431</v>
      </c>
      <c r="P166" s="502">
        <v>4.7011466869677623</v>
      </c>
      <c r="Q166" s="497"/>
    </row>
    <row r="167" spans="2:17" hidden="1" outlineLevel="1">
      <c r="B167" s="497"/>
      <c r="C167" s="497"/>
      <c r="D167" s="497"/>
      <c r="E167" s="1577"/>
      <c r="F167" s="507">
        <f>F168-0.5</f>
        <v>9.5</v>
      </c>
      <c r="G167" s="502">
        <f t="shared" si="33"/>
        <v>7.6344452832098497</v>
      </c>
      <c r="H167" s="502">
        <v>2.2377379585540069</v>
      </c>
      <c r="I167" s="502">
        <v>2.5456640496057266</v>
      </c>
      <c r="J167" s="502">
        <v>2.8535901406574458</v>
      </c>
      <c r="K167" s="502">
        <v>3.1615162317091654</v>
      </c>
      <c r="L167" s="641">
        <v>3.469442322760885</v>
      </c>
      <c r="M167" s="502">
        <v>3.7773684138126038</v>
      </c>
      <c r="N167" s="502">
        <v>4.085294504864323</v>
      </c>
      <c r="O167" s="502">
        <v>4.3932205959160431</v>
      </c>
      <c r="P167" s="502">
        <v>4.7011466869677623</v>
      </c>
      <c r="Q167" s="497"/>
    </row>
    <row r="168" spans="2:17" hidden="1" outlineLevel="1">
      <c r="B168" s="501"/>
      <c r="C168" s="501"/>
      <c r="D168" s="501"/>
      <c r="E168" s="1577"/>
      <c r="F168" s="642">
        <v>10</v>
      </c>
      <c r="G168" s="641">
        <f t="shared" si="33"/>
        <v>8.0362581928524737</v>
      </c>
      <c r="H168" s="641">
        <v>2.2377379585540069</v>
      </c>
      <c r="I168" s="641">
        <v>2.5456640496057266</v>
      </c>
      <c r="J168" s="641">
        <v>2.8535901406574458</v>
      </c>
      <c r="K168" s="641">
        <v>3.1615162317091654</v>
      </c>
      <c r="L168" s="641">
        <v>3.469442322760885</v>
      </c>
      <c r="M168" s="641">
        <v>3.7773684138126038</v>
      </c>
      <c r="N168" s="641">
        <v>4.085294504864323</v>
      </c>
      <c r="O168" s="641">
        <v>4.3932205959160431</v>
      </c>
      <c r="P168" s="641">
        <v>4.7011466869677623</v>
      </c>
      <c r="Q168" s="501"/>
    </row>
    <row r="169" spans="2:17" hidden="1" outlineLevel="1">
      <c r="B169" s="501"/>
      <c r="C169" s="501"/>
      <c r="D169" s="501"/>
      <c r="E169" s="1577"/>
      <c r="F169" s="507">
        <f>F168+0.5</f>
        <v>10.5</v>
      </c>
      <c r="G169" s="502">
        <f t="shared" si="33"/>
        <v>8.4380711024950976</v>
      </c>
      <c r="H169" s="502">
        <v>2.2377379585540069</v>
      </c>
      <c r="I169" s="502">
        <v>2.5456640496057266</v>
      </c>
      <c r="J169" s="502">
        <v>2.8535901406574458</v>
      </c>
      <c r="K169" s="502">
        <v>3.1615162317091654</v>
      </c>
      <c r="L169" s="641">
        <v>3.469442322760885</v>
      </c>
      <c r="M169" s="502">
        <v>3.7773684138126038</v>
      </c>
      <c r="N169" s="502">
        <v>4.085294504864323</v>
      </c>
      <c r="O169" s="502">
        <v>4.3932205959160431</v>
      </c>
      <c r="P169" s="502">
        <v>4.7011466869677623</v>
      </c>
      <c r="Q169" s="501"/>
    </row>
    <row r="170" spans="2:17" hidden="1" outlineLevel="1">
      <c r="B170" s="501"/>
      <c r="C170" s="501"/>
      <c r="D170" s="501"/>
      <c r="E170" s="1577"/>
      <c r="F170" s="507">
        <f t="shared" ref="F170:F172" si="34">F169+0.5</f>
        <v>11</v>
      </c>
      <c r="G170" s="502">
        <f t="shared" si="33"/>
        <v>8.8398840121377198</v>
      </c>
      <c r="H170" s="502">
        <v>2.2377379585540069</v>
      </c>
      <c r="I170" s="502">
        <v>2.5456640496057266</v>
      </c>
      <c r="J170" s="502">
        <v>2.8535901406574458</v>
      </c>
      <c r="K170" s="502">
        <v>3.1615162317091654</v>
      </c>
      <c r="L170" s="641">
        <v>3.469442322760885</v>
      </c>
      <c r="M170" s="502">
        <v>3.7773684138126038</v>
      </c>
      <c r="N170" s="502">
        <v>4.085294504864323</v>
      </c>
      <c r="O170" s="502">
        <v>4.3932205959160431</v>
      </c>
      <c r="P170" s="502">
        <v>4.7011466869677623</v>
      </c>
      <c r="Q170" s="501"/>
    </row>
    <row r="171" spans="2:17" hidden="1" outlineLevel="1">
      <c r="B171" s="501"/>
      <c r="C171" s="501"/>
      <c r="D171" s="501"/>
      <c r="E171" s="1577"/>
      <c r="F171" s="507">
        <f t="shared" si="34"/>
        <v>11.5</v>
      </c>
      <c r="G171" s="502">
        <f t="shared" si="33"/>
        <v>9.2416969217803437</v>
      </c>
      <c r="H171" s="502">
        <v>2.2377379585540069</v>
      </c>
      <c r="I171" s="502">
        <v>2.5456640496057266</v>
      </c>
      <c r="J171" s="502">
        <v>2.8535901406574458</v>
      </c>
      <c r="K171" s="502">
        <v>3.1615162317091654</v>
      </c>
      <c r="L171" s="641">
        <v>3.469442322760885</v>
      </c>
      <c r="M171" s="502">
        <v>3.7773684138126038</v>
      </c>
      <c r="N171" s="502">
        <v>4.085294504864323</v>
      </c>
      <c r="O171" s="502">
        <v>4.3932205959160431</v>
      </c>
      <c r="P171" s="502">
        <v>4.7011466869677623</v>
      </c>
      <c r="Q171" s="501"/>
    </row>
    <row r="172" spans="2:17" hidden="1" outlineLevel="1">
      <c r="B172" s="501"/>
      <c r="C172" s="501"/>
      <c r="D172" s="501"/>
      <c r="E172" s="1577"/>
      <c r="F172" s="507">
        <f t="shared" si="34"/>
        <v>12</v>
      </c>
      <c r="G172" s="502">
        <f t="shared" si="33"/>
        <v>9.6435098314229677</v>
      </c>
      <c r="H172" s="502">
        <v>2.2377379585540069</v>
      </c>
      <c r="I172" s="502">
        <v>2.5456640496057266</v>
      </c>
      <c r="J172" s="502">
        <v>2.8535901406574458</v>
      </c>
      <c r="K172" s="502">
        <v>3.1615162317091654</v>
      </c>
      <c r="L172" s="641">
        <v>3.469442322760885</v>
      </c>
      <c r="M172" s="502">
        <v>3.7773684138126038</v>
      </c>
      <c r="N172" s="502">
        <v>4.085294504864323</v>
      </c>
      <c r="O172" s="502">
        <v>4.3932205959160431</v>
      </c>
      <c r="P172" s="502">
        <v>4.7011466869677623</v>
      </c>
      <c r="Q172" s="501"/>
    </row>
    <row r="173" spans="2:17" hidden="1" outlineLevel="1">
      <c r="B173" s="501"/>
      <c r="C173" s="501"/>
      <c r="D173" s="501"/>
      <c r="E173" s="1578"/>
      <c r="F173" s="512" t="s">
        <v>625</v>
      </c>
      <c r="G173" s="512" t="s">
        <v>654</v>
      </c>
      <c r="H173" s="668"/>
      <c r="I173" s="669"/>
      <c r="J173" s="669"/>
      <c r="K173" s="669"/>
      <c r="L173" s="669"/>
      <c r="M173" s="669"/>
      <c r="N173" s="669"/>
      <c r="O173" s="669"/>
      <c r="P173" s="670"/>
      <c r="Q173" s="501"/>
    </row>
    <row r="174" spans="2:17" hidden="1" outlineLevel="1">
      <c r="B174" s="501"/>
      <c r="C174" s="501"/>
      <c r="D174" s="501"/>
      <c r="E174" s="141"/>
      <c r="F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501"/>
    </row>
    <row r="175" spans="2:17" hidden="1" outlineLevel="1">
      <c r="E175" s="505" t="s">
        <v>358</v>
      </c>
      <c r="F175" s="184"/>
      <c r="G175" s="184"/>
      <c r="H175" s="492"/>
      <c r="I175" s="184"/>
      <c r="J175" s="184"/>
      <c r="K175" s="184"/>
      <c r="L175" s="184"/>
      <c r="M175" s="184"/>
      <c r="N175" s="184"/>
      <c r="O175" s="184"/>
      <c r="P175" s="184"/>
    </row>
    <row r="176" spans="2:17" hidden="1" outlineLevel="1">
      <c r="E176" s="496"/>
      <c r="F176" s="496"/>
      <c r="G176" s="496"/>
      <c r="H176" s="184"/>
      <c r="I176" s="184"/>
      <c r="J176" s="184"/>
      <c r="K176" s="184"/>
      <c r="L176" s="184"/>
      <c r="M176" s="184"/>
      <c r="N176" s="184"/>
      <c r="O176" s="184"/>
      <c r="P176" s="184"/>
    </row>
    <row r="177" spans="5:16" hidden="1" outlineLevel="1">
      <c r="E177" s="510"/>
      <c r="F177" s="666"/>
      <c r="G177" s="667"/>
      <c r="H177" s="1580" t="s">
        <v>717</v>
      </c>
      <c r="I177" s="1581"/>
      <c r="J177" s="1581"/>
      <c r="K177" s="1581"/>
      <c r="L177" s="1581"/>
      <c r="M177" s="1581"/>
      <c r="N177" s="1581"/>
      <c r="O177" s="1581"/>
      <c r="P177" s="1581"/>
    </row>
    <row r="178" spans="5:16" hidden="1" outlineLevel="1">
      <c r="E178" s="503"/>
      <c r="F178" s="504"/>
      <c r="G178" s="516">
        <f ca="1">G104</f>
        <v>0.28230920433998108</v>
      </c>
      <c r="H178" s="509">
        <f t="shared" ref="H178:J178" si="35">I178-1</f>
        <v>6</v>
      </c>
      <c r="I178" s="509">
        <f t="shared" si="35"/>
        <v>7</v>
      </c>
      <c r="J178" s="509">
        <f t="shared" si="35"/>
        <v>8</v>
      </c>
      <c r="K178" s="509">
        <f>L178-1</f>
        <v>9</v>
      </c>
      <c r="L178" s="643">
        <v>10</v>
      </c>
      <c r="M178" s="509">
        <f>L178+1</f>
        <v>11</v>
      </c>
      <c r="N178" s="509">
        <f t="shared" ref="N178:P178" si="36">M178+1</f>
        <v>12</v>
      </c>
      <c r="O178" s="509">
        <f t="shared" si="36"/>
        <v>13</v>
      </c>
      <c r="P178" s="509">
        <f t="shared" si="36"/>
        <v>14</v>
      </c>
    </row>
    <row r="179" spans="5:16" hidden="1" outlineLevel="1">
      <c r="E179" s="1576" t="s">
        <v>716</v>
      </c>
      <c r="F179" s="507">
        <f t="shared" ref="F179:F181" si="37">F180-0.5</f>
        <v>8</v>
      </c>
      <c r="G179" s="502">
        <f t="shared" ref="G179:G187" si="38">F179*$I$20/$G$20</f>
        <v>6.4290065542819788</v>
      </c>
      <c r="H179" s="517">
        <f t="dataTable" ref="H179:P187" dt2D="1" dtr="1" r1="G78" r2="G21" ca="1"/>
        <v>0.17469070553779603</v>
      </c>
      <c r="I179" s="517">
        <v>0.20535721182823183</v>
      </c>
      <c r="J179" s="517">
        <v>0.2331855833530426</v>
      </c>
      <c r="K179" s="517">
        <v>0.25870607495307918</v>
      </c>
      <c r="L179" s="644">
        <v>0.28230920433998108</v>
      </c>
      <c r="M179" s="517">
        <v>0.30429145693778992</v>
      </c>
      <c r="N179" s="517">
        <v>0.32488361001014721</v>
      </c>
      <c r="O179" s="517">
        <v>0.34426904320716856</v>
      </c>
      <c r="P179" s="517">
        <v>0.36259607672691352</v>
      </c>
    </row>
    <row r="180" spans="5:16" hidden="1" outlineLevel="1">
      <c r="E180" s="1577"/>
      <c r="F180" s="507">
        <f t="shared" si="37"/>
        <v>8.5</v>
      </c>
      <c r="G180" s="502">
        <f t="shared" si="38"/>
        <v>6.8308194639246018</v>
      </c>
      <c r="H180" s="517">
        <v>0.17469070553779603</v>
      </c>
      <c r="I180" s="517">
        <v>0.20535721182823183</v>
      </c>
      <c r="J180" s="517">
        <v>0.2331855833530426</v>
      </c>
      <c r="K180" s="517">
        <v>0.25870607495307918</v>
      </c>
      <c r="L180" s="644">
        <v>0.28230920433998108</v>
      </c>
      <c r="M180" s="517">
        <v>0.30429145693778992</v>
      </c>
      <c r="N180" s="517">
        <v>0.32488361001014721</v>
      </c>
      <c r="O180" s="517">
        <v>0.34426904320716856</v>
      </c>
      <c r="P180" s="517">
        <v>0.36259607672691352</v>
      </c>
    </row>
    <row r="181" spans="5:16" hidden="1" outlineLevel="1">
      <c r="E181" s="1577"/>
      <c r="F181" s="507">
        <f t="shared" si="37"/>
        <v>9</v>
      </c>
      <c r="G181" s="502">
        <f t="shared" si="38"/>
        <v>7.2326323735672258</v>
      </c>
      <c r="H181" s="517">
        <v>0.17469070553779603</v>
      </c>
      <c r="I181" s="517">
        <v>0.20535721182823183</v>
      </c>
      <c r="J181" s="517">
        <v>0.2331855833530426</v>
      </c>
      <c r="K181" s="517">
        <v>0.25870607495307918</v>
      </c>
      <c r="L181" s="644">
        <v>0.28230920433998108</v>
      </c>
      <c r="M181" s="517">
        <v>0.30429145693778992</v>
      </c>
      <c r="N181" s="517">
        <v>0.32488361001014721</v>
      </c>
      <c r="O181" s="517">
        <v>0.34426904320716856</v>
      </c>
      <c r="P181" s="517">
        <v>0.36259607672691352</v>
      </c>
    </row>
    <row r="182" spans="5:16" hidden="1" outlineLevel="1">
      <c r="E182" s="1577"/>
      <c r="F182" s="507">
        <f>F183-0.5</f>
        <v>9.5</v>
      </c>
      <c r="G182" s="502">
        <f t="shared" si="38"/>
        <v>7.6344452832098497</v>
      </c>
      <c r="H182" s="517">
        <v>0.17469070553779603</v>
      </c>
      <c r="I182" s="517">
        <v>0.20535721182823183</v>
      </c>
      <c r="J182" s="517">
        <v>0.2331855833530426</v>
      </c>
      <c r="K182" s="517">
        <v>0.25870607495307918</v>
      </c>
      <c r="L182" s="644">
        <v>0.28230920433998108</v>
      </c>
      <c r="M182" s="517">
        <v>0.30429145693778992</v>
      </c>
      <c r="N182" s="517">
        <v>0.32488361001014721</v>
      </c>
      <c r="O182" s="517">
        <v>0.34426904320716856</v>
      </c>
      <c r="P182" s="517">
        <v>0.36259607672691352</v>
      </c>
    </row>
    <row r="183" spans="5:16" hidden="1" outlineLevel="1">
      <c r="E183" s="1577"/>
      <c r="F183" s="642">
        <v>10</v>
      </c>
      <c r="G183" s="641">
        <f t="shared" si="38"/>
        <v>8.0362581928524737</v>
      </c>
      <c r="H183" s="644">
        <v>0.17469070553779603</v>
      </c>
      <c r="I183" s="644">
        <v>0.20535721182823183</v>
      </c>
      <c r="J183" s="644">
        <v>0.2331855833530426</v>
      </c>
      <c r="K183" s="644">
        <v>0.25870607495307918</v>
      </c>
      <c r="L183" s="644">
        <v>0.28230920433998108</v>
      </c>
      <c r="M183" s="644">
        <v>0.30429145693778992</v>
      </c>
      <c r="N183" s="644">
        <v>0.32488361001014721</v>
      </c>
      <c r="O183" s="644">
        <v>0.34426904320716856</v>
      </c>
      <c r="P183" s="644">
        <v>0.36259607672691352</v>
      </c>
    </row>
    <row r="184" spans="5:16" hidden="1" outlineLevel="1">
      <c r="E184" s="1577"/>
      <c r="F184" s="507">
        <f>F183+0.5</f>
        <v>10.5</v>
      </c>
      <c r="G184" s="502">
        <f t="shared" si="38"/>
        <v>8.4380711024950976</v>
      </c>
      <c r="H184" s="517">
        <v>0.17469070553779603</v>
      </c>
      <c r="I184" s="517">
        <v>0.20535721182823183</v>
      </c>
      <c r="J184" s="517">
        <v>0.2331855833530426</v>
      </c>
      <c r="K184" s="517">
        <v>0.25870607495307918</v>
      </c>
      <c r="L184" s="644">
        <v>0.28230920433998108</v>
      </c>
      <c r="M184" s="517">
        <v>0.30429145693778992</v>
      </c>
      <c r="N184" s="517">
        <v>0.32488361001014721</v>
      </c>
      <c r="O184" s="517">
        <v>0.34426904320716856</v>
      </c>
      <c r="P184" s="517">
        <v>0.36259607672691352</v>
      </c>
    </row>
    <row r="185" spans="5:16" hidden="1" outlineLevel="1">
      <c r="E185" s="1577"/>
      <c r="F185" s="507">
        <f t="shared" ref="F185:F187" si="39">F184+0.5</f>
        <v>11</v>
      </c>
      <c r="G185" s="502">
        <f t="shared" si="38"/>
        <v>8.8398840121377198</v>
      </c>
      <c r="H185" s="517">
        <v>0.17469070553779603</v>
      </c>
      <c r="I185" s="517">
        <v>0.20535721182823183</v>
      </c>
      <c r="J185" s="517">
        <v>0.2331855833530426</v>
      </c>
      <c r="K185" s="517">
        <v>0.25870607495307918</v>
      </c>
      <c r="L185" s="644">
        <v>0.28230920433998108</v>
      </c>
      <c r="M185" s="517">
        <v>0.30429145693778992</v>
      </c>
      <c r="N185" s="517">
        <v>0.32488361001014721</v>
      </c>
      <c r="O185" s="517">
        <v>0.34426904320716856</v>
      </c>
      <c r="P185" s="517">
        <v>0.36259607672691352</v>
      </c>
    </row>
    <row r="186" spans="5:16" hidden="1" outlineLevel="1">
      <c r="E186" s="1577"/>
      <c r="F186" s="507">
        <f t="shared" si="39"/>
        <v>11.5</v>
      </c>
      <c r="G186" s="502">
        <f t="shared" si="38"/>
        <v>9.2416969217803437</v>
      </c>
      <c r="H186" s="517">
        <v>0.17469070553779603</v>
      </c>
      <c r="I186" s="517">
        <v>0.20535721182823183</v>
      </c>
      <c r="J186" s="517">
        <v>0.2331855833530426</v>
      </c>
      <c r="K186" s="517">
        <v>0.25870607495307918</v>
      </c>
      <c r="L186" s="644">
        <v>0.28230920433998108</v>
      </c>
      <c r="M186" s="517">
        <v>0.30429145693778992</v>
      </c>
      <c r="N186" s="517">
        <v>0.32488361001014721</v>
      </c>
      <c r="O186" s="517">
        <v>0.34426904320716856</v>
      </c>
      <c r="P186" s="517">
        <v>0.36259607672691352</v>
      </c>
    </row>
    <row r="187" spans="5:16" hidden="1" outlineLevel="1">
      <c r="E187" s="1577"/>
      <c r="F187" s="507">
        <f t="shared" si="39"/>
        <v>12</v>
      </c>
      <c r="G187" s="502">
        <f t="shared" si="38"/>
        <v>9.6435098314229677</v>
      </c>
      <c r="H187" s="517">
        <v>0.17469070553779603</v>
      </c>
      <c r="I187" s="517">
        <v>0.20535721182823183</v>
      </c>
      <c r="J187" s="517">
        <v>0.2331855833530426</v>
      </c>
      <c r="K187" s="517">
        <v>0.25870607495307918</v>
      </c>
      <c r="L187" s="644">
        <v>0.28230920433998108</v>
      </c>
      <c r="M187" s="517">
        <v>0.30429145693778992</v>
      </c>
      <c r="N187" s="517">
        <v>0.32488361001014721</v>
      </c>
      <c r="O187" s="517">
        <v>0.34426904320716856</v>
      </c>
      <c r="P187" s="517">
        <v>0.36259607672691352</v>
      </c>
    </row>
    <row r="188" spans="5:16" hidden="1" outlineLevel="1">
      <c r="E188" s="1578"/>
      <c r="F188" s="512" t="s">
        <v>625</v>
      </c>
      <c r="G188" s="512" t="s">
        <v>654</v>
      </c>
      <c r="H188" s="671"/>
      <c r="I188" s="672"/>
      <c r="J188" s="672"/>
      <c r="K188" s="672"/>
      <c r="L188" s="672"/>
      <c r="M188" s="672"/>
      <c r="N188" s="672"/>
      <c r="O188" s="672"/>
      <c r="P188" s="673"/>
    </row>
    <row r="189" spans="5:16" collapsed="1"/>
    <row r="193" spans="5:10">
      <c r="E193" s="1090"/>
      <c r="F193" s="1090"/>
      <c r="G193" s="1090"/>
      <c r="H193" s="1090"/>
      <c r="I193" s="1090"/>
      <c r="J193" s="1090"/>
    </row>
    <row r="194" spans="5:10">
      <c r="E194" s="1090"/>
      <c r="F194" s="1090"/>
      <c r="G194" s="1090"/>
      <c r="H194" s="1090"/>
      <c r="I194" s="1090"/>
      <c r="J194" s="1090"/>
    </row>
    <row r="195" spans="5:10">
      <c r="E195" s="1090"/>
      <c r="F195" s="1090"/>
      <c r="G195" s="1090"/>
      <c r="H195" s="1090"/>
      <c r="I195" s="1090"/>
      <c r="J195" s="1090"/>
    </row>
    <row r="196" spans="5:10">
      <c r="E196" s="1090"/>
      <c r="F196" s="1090"/>
      <c r="G196" s="1090"/>
      <c r="H196" s="1090"/>
      <c r="I196" s="1090"/>
      <c r="J196" s="1090"/>
    </row>
    <row r="197" spans="5:10">
      <c r="E197" s="1217"/>
      <c r="F197" s="1217"/>
      <c r="G197" s="1574"/>
      <c r="H197" s="1574"/>
      <c r="I197" s="1574"/>
      <c r="J197" s="1090"/>
    </row>
    <row r="198" spans="5:10">
      <c r="E198" s="1217"/>
      <c r="F198" s="1217"/>
      <c r="G198" s="1217"/>
      <c r="H198" s="1217"/>
      <c r="I198" s="1217"/>
      <c r="J198" s="1090"/>
    </row>
    <row r="199" spans="5:10">
      <c r="E199" s="1217"/>
      <c r="F199" s="1217"/>
      <c r="G199" s="1218"/>
      <c r="H199" s="1218"/>
      <c r="I199" s="1218"/>
      <c r="J199" s="1090"/>
    </row>
    <row r="200" spans="5:10">
      <c r="E200" s="1575"/>
      <c r="F200" s="1217"/>
      <c r="G200" s="1218"/>
      <c r="H200" s="1218"/>
      <c r="I200" s="1218"/>
      <c r="J200" s="1090"/>
    </row>
    <row r="201" spans="5:10">
      <c r="E201" s="1575"/>
      <c r="F201" s="1217"/>
      <c r="G201" s="1218"/>
      <c r="H201" s="1218"/>
      <c r="I201" s="1218"/>
      <c r="J201" s="1090"/>
    </row>
    <row r="202" spans="5:10">
      <c r="E202" s="1575"/>
      <c r="F202" s="1217"/>
      <c r="G202" s="1218"/>
      <c r="H202" s="1218"/>
      <c r="I202" s="1218"/>
      <c r="J202" s="1090"/>
    </row>
    <row r="203" spans="5:10">
      <c r="E203" s="1090"/>
      <c r="F203" s="1090"/>
      <c r="G203" s="1090"/>
      <c r="H203" s="1090"/>
      <c r="I203" s="1090"/>
      <c r="J203" s="1090"/>
    </row>
    <row r="204" spans="5:10">
      <c r="E204" s="1090"/>
      <c r="F204" s="1090"/>
      <c r="G204" s="1090"/>
      <c r="H204" s="1090"/>
      <c r="I204" s="1090"/>
      <c r="J204" s="1090"/>
    </row>
    <row r="205" spans="5:10">
      <c r="E205" s="1090"/>
      <c r="F205" s="1090"/>
      <c r="G205" s="1090"/>
      <c r="H205" s="1090"/>
      <c r="I205" s="1090"/>
      <c r="J205" s="1090"/>
    </row>
    <row r="206" spans="5:10">
      <c r="E206" s="1090"/>
      <c r="F206" s="1090"/>
      <c r="G206" s="1090"/>
      <c r="H206" s="1090"/>
      <c r="I206" s="1090"/>
      <c r="J206" s="1090"/>
    </row>
  </sheetData>
  <mergeCells count="12">
    <mergeCell ref="G197:I197"/>
    <mergeCell ref="E200:E202"/>
    <mergeCell ref="E179:E188"/>
    <mergeCell ref="A1:R1"/>
    <mergeCell ref="A2:R2"/>
    <mergeCell ref="H162:P162"/>
    <mergeCell ref="E164:E173"/>
    <mergeCell ref="H177:P177"/>
    <mergeCell ref="H131:P131"/>
    <mergeCell ref="E133:E142"/>
    <mergeCell ref="H146:P146"/>
    <mergeCell ref="E148:E157"/>
  </mergeCells>
  <phoneticPr fontId="8" type="noConversion"/>
  <conditionalFormatting sqref="H4:H5 M5 O5:R5">
    <cfRule type="containsText" dxfId="74" priority="6" operator="containsText" text="Error">
      <formula>NOT(ISERROR(SEARCH("Error",H4)))</formula>
    </cfRule>
  </conditionalFormatting>
  <conditionalFormatting sqref="H164:P172">
    <cfRule type="colorScale" priority="4">
      <colorScale>
        <cfvo type="min"/>
        <cfvo type="max"/>
        <color rgb="FFFCFCFF"/>
        <color rgb="FF63BE7B"/>
      </colorScale>
    </cfRule>
  </conditionalFormatting>
  <conditionalFormatting sqref="H179:P187">
    <cfRule type="colorScale" priority="3">
      <colorScale>
        <cfvo type="min"/>
        <cfvo type="max"/>
        <color rgb="FFFCFCFF"/>
        <color rgb="FF63BE7B"/>
      </colorScale>
    </cfRule>
  </conditionalFormatting>
  <conditionalFormatting sqref="J5:K5">
    <cfRule type="containsText" dxfId="73" priority="5" operator="containsText" text="Error">
      <formula>NOT(ISERROR(SEARCH("Error",J5)))</formula>
    </cfRule>
  </conditionalFormatting>
  <conditionalFormatting sqref="H133:P141">
    <cfRule type="colorScale" priority="2">
      <colorScale>
        <cfvo type="min"/>
        <cfvo type="max"/>
        <color rgb="FFFCFCFF"/>
        <color rgb="FF63BE7B"/>
      </colorScale>
    </cfRule>
  </conditionalFormatting>
  <conditionalFormatting sqref="H148:P15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26"/>
  <sheetViews>
    <sheetView showGridLines="0" view="pageBreakPreview" topLeftCell="A48" zoomScale="77" zoomScaleNormal="81" zoomScaleSheetLayoutView="80" workbookViewId="0">
      <selection activeCell="H46" sqref="H46"/>
    </sheetView>
  </sheetViews>
  <sheetFormatPr defaultColWidth="8.6640625" defaultRowHeight="14.5"/>
  <cols>
    <col min="1" max="4" width="2.4140625" style="216" customWidth="1"/>
    <col min="5" max="5" width="11.1640625" style="216" customWidth="1"/>
    <col min="6" max="6" width="14.75" style="216" customWidth="1"/>
    <col min="7" max="7" width="12.83203125" style="216" customWidth="1"/>
    <col min="8" max="8" width="22" style="216" customWidth="1"/>
    <col min="9" max="9" width="11.5" style="216" customWidth="1"/>
    <col min="10" max="10" width="20.83203125" style="216" customWidth="1"/>
    <col min="11" max="18" width="11.5" style="216" customWidth="1"/>
    <col min="19" max="16384" width="8.6640625" style="216"/>
  </cols>
  <sheetData>
    <row r="1" spans="1:19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</row>
    <row r="2" spans="1:19" s="1" customFormat="1" ht="20.25" customHeight="1">
      <c r="A2" s="1579" t="s">
        <v>614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</row>
    <row r="3" spans="1:19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>
        <v>2025</v>
      </c>
      <c r="N3" s="4">
        <v>2026</v>
      </c>
      <c r="O3" s="4">
        <v>2027</v>
      </c>
      <c r="P3" s="4">
        <v>2028</v>
      </c>
      <c r="Q3" s="4">
        <v>2029</v>
      </c>
      <c r="R3" s="4">
        <v>2030</v>
      </c>
    </row>
    <row r="4" spans="1:19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</row>
    <row r="5" spans="1:19" s="1" customFormat="1" ht="14.25" customHeight="1">
      <c r="A5" s="5" t="s">
        <v>613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9">
        <v>45657</v>
      </c>
      <c r="M5" s="9">
        <v>46022</v>
      </c>
      <c r="N5" s="9">
        <v>46387</v>
      </c>
      <c r="O5" s="9">
        <v>46752</v>
      </c>
      <c r="P5" s="9">
        <v>46753</v>
      </c>
      <c r="Q5" s="9">
        <v>47483</v>
      </c>
      <c r="R5" s="9">
        <v>47848</v>
      </c>
    </row>
    <row r="6" spans="1:19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s="184" customFormat="1" ht="14.25" customHeight="1">
      <c r="A7" s="213"/>
      <c r="B7" s="213"/>
      <c r="C7" s="214"/>
      <c r="D7" s="214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</row>
    <row r="8" spans="1:19" s="1" customFormat="1" ht="14.25" customHeight="1">
      <c r="A8" s="356" t="s">
        <v>8</v>
      </c>
      <c r="B8" s="357" t="s">
        <v>615</v>
      </c>
      <c r="C8" s="357"/>
      <c r="D8" s="247"/>
      <c r="E8" s="247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49"/>
    </row>
    <row r="9" spans="1:19" s="183" customFormat="1"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1:19" s="218" customFormat="1">
      <c r="B10" s="184" t="s">
        <v>616</v>
      </c>
      <c r="C10" s="185"/>
      <c r="D10" s="185"/>
      <c r="F10" s="646">
        <f>'回报测算-EVEBITDA（核心假设）'!F10</f>
        <v>46022</v>
      </c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</row>
    <row r="11" spans="1:19" s="184" customFormat="1">
      <c r="B11" s="184" t="s">
        <v>618</v>
      </c>
      <c r="F11" s="393">
        <f>'回报测算-EVEBITDA（核心假设）'!F12</f>
        <v>365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9" s="184" customFormat="1"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9" s="184" customFormat="1"/>
    <row r="14" spans="1:19" s="18" customFormat="1" ht="14.25" customHeight="1">
      <c r="A14" s="357" t="s">
        <v>8</v>
      </c>
      <c r="B14" s="357" t="s">
        <v>623</v>
      </c>
      <c r="C14" s="357"/>
      <c r="D14" s="26"/>
      <c r="E14" s="26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49"/>
    </row>
    <row r="15" spans="1:19" s="218" customFormat="1">
      <c r="B15" s="185"/>
      <c r="C15" s="185"/>
      <c r="D15" s="18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</row>
    <row r="16" spans="1:19" s="218" customFormat="1">
      <c r="B16" s="531" t="s">
        <v>706</v>
      </c>
      <c r="C16" s="532"/>
      <c r="D16" s="532"/>
      <c r="E16" s="533"/>
      <c r="F16" s="533"/>
      <c r="G16" s="533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</row>
    <row r="17" spans="2:18" s="184" customFormat="1">
      <c r="B17" s="358" t="s">
        <v>619</v>
      </c>
      <c r="C17" s="359"/>
      <c r="D17" s="360"/>
      <c r="E17" s="359"/>
      <c r="F17" s="359"/>
      <c r="G17" s="366"/>
      <c r="H17" s="20"/>
      <c r="I17" s="348"/>
      <c r="J17" s="347"/>
      <c r="K17" s="363"/>
      <c r="L17" s="347"/>
      <c r="O17" s="347"/>
      <c r="P17" s="367"/>
      <c r="Q17" s="20"/>
      <c r="R17" s="20"/>
    </row>
    <row r="18" spans="2:18" s="185" customFormat="1">
      <c r="B18" s="361" t="s">
        <v>620</v>
      </c>
      <c r="C18" s="347"/>
      <c r="D18" s="1"/>
      <c r="E18" s="347"/>
      <c r="F18" s="368"/>
      <c r="G18" s="369">
        <f>G23-G21</f>
        <v>1075.5735939780848</v>
      </c>
      <c r="H18" s="175"/>
      <c r="I18" s="361"/>
      <c r="J18" s="347"/>
      <c r="K18" s="1"/>
      <c r="L18" s="347"/>
      <c r="O18" s="368"/>
      <c r="P18" s="369"/>
      <c r="Q18" s="175"/>
      <c r="R18" s="175"/>
    </row>
    <row r="19" spans="2:18" s="184" customFormat="1">
      <c r="B19" s="362"/>
      <c r="C19" s="184" t="s">
        <v>653</v>
      </c>
      <c r="G19" s="431">
        <f>利润表!N44</f>
        <v>131.26852833687414</v>
      </c>
      <c r="H19" s="347" t="s">
        <v>624</v>
      </c>
      <c r="I19" s="431">
        <f>利润表!L44</f>
        <v>105.49077863108919</v>
      </c>
      <c r="J19" s="184" t="s">
        <v>813</v>
      </c>
      <c r="K19" s="431">
        <f ca="1">利润表!O44</f>
        <v>154.33575618181658</v>
      </c>
      <c r="P19" s="371"/>
    </row>
    <row r="20" spans="2:18" s="183" customFormat="1">
      <c r="B20" s="362"/>
      <c r="C20" s="223" t="s">
        <v>654</v>
      </c>
      <c r="G20" s="374">
        <f>G18/G19</f>
        <v>8.1936897412138467</v>
      </c>
      <c r="H20" s="347" t="s">
        <v>625</v>
      </c>
      <c r="I20" s="374">
        <f>G18/I19</f>
        <v>10.195901555902465</v>
      </c>
      <c r="J20" s="223" t="s">
        <v>814</v>
      </c>
      <c r="K20" s="374">
        <f ca="1">G18/K19</f>
        <v>6.9690499504923276</v>
      </c>
      <c r="P20" s="217"/>
      <c r="Q20" s="217"/>
      <c r="R20" s="217"/>
    </row>
    <row r="21" spans="2:18" s="218" customFormat="1">
      <c r="B21" s="364"/>
      <c r="C21" s="347" t="s">
        <v>626</v>
      </c>
      <c r="D21" s="1"/>
      <c r="E21" s="347"/>
      <c r="G21" s="431">
        <f>资产负债表!N87</f>
        <v>-379.84369692378641</v>
      </c>
      <c r="H21" s="175"/>
      <c r="I21" s="175"/>
      <c r="J21" s="181"/>
      <c r="K21" s="175"/>
      <c r="O21" s="175"/>
      <c r="P21" s="175"/>
      <c r="Q21" s="175"/>
      <c r="R21" s="175"/>
    </row>
    <row r="22" spans="2:18" s="183" customFormat="1">
      <c r="B22" s="364"/>
      <c r="C22" s="347"/>
      <c r="D22" s="1"/>
      <c r="E22" s="347"/>
      <c r="F22" s="370"/>
      <c r="G22" s="373"/>
    </row>
    <row r="23" spans="2:18" s="184" customFormat="1">
      <c r="B23" s="361" t="s">
        <v>621</v>
      </c>
      <c r="C23" s="348"/>
      <c r="D23" s="18"/>
      <c r="E23" s="347"/>
      <c r="F23" s="368"/>
      <c r="G23" s="369">
        <f>G24*G25</f>
        <v>695.72989705429836</v>
      </c>
      <c r="I23" s="347"/>
      <c r="J23" s="348"/>
      <c r="K23" s="363"/>
    </row>
    <row r="24" spans="2:18" s="184" customFormat="1">
      <c r="B24" s="362"/>
      <c r="C24" s="223" t="s">
        <v>655</v>
      </c>
      <c r="G24" s="523">
        <f>利润表!N40</f>
        <v>55.900016863540209</v>
      </c>
      <c r="H24" s="347" t="s">
        <v>627</v>
      </c>
      <c r="I24" s="431">
        <f>利润表!L40</f>
        <v>37.933252510246042</v>
      </c>
      <c r="J24" s="223" t="s">
        <v>815</v>
      </c>
      <c r="K24" s="431">
        <f ca="1">利润表!O40</f>
        <v>81.940584695694227</v>
      </c>
      <c r="M24" s="347"/>
      <c r="N24" s="370"/>
      <c r="P24" s="217"/>
      <c r="Q24" s="217"/>
      <c r="R24" s="217"/>
    </row>
    <row r="25" spans="2:18" s="218" customFormat="1">
      <c r="B25" s="362"/>
      <c r="C25" s="181" t="s">
        <v>656</v>
      </c>
      <c r="G25" s="565">
        <f>'回报测算-EVEBITDA（核心假设）'!G26</f>
        <v>12.445969359055342</v>
      </c>
      <c r="H25" s="347" t="s">
        <v>628</v>
      </c>
      <c r="I25" s="374">
        <f>'回报测算-EVEBITDA（核心假设）'!I26</f>
        <v>18.340897524312652</v>
      </c>
      <c r="J25" s="181" t="s">
        <v>816</v>
      </c>
      <c r="K25" s="374">
        <f ca="1">G23/K24</f>
        <v>8.4906630778637489</v>
      </c>
      <c r="M25" s="347"/>
      <c r="N25" s="372"/>
      <c r="P25" s="175"/>
      <c r="Q25" s="175"/>
      <c r="R25" s="175"/>
    </row>
    <row r="26" spans="2:18" s="218" customFormat="1">
      <c r="B26" s="362"/>
      <c r="C26" s="347"/>
      <c r="D26" s="363"/>
      <c r="E26" s="347"/>
      <c r="F26" s="372"/>
      <c r="G26" s="374"/>
      <c r="H26" s="175"/>
      <c r="I26" s="175"/>
      <c r="K26" s="175"/>
      <c r="L26" s="175"/>
      <c r="M26" s="175"/>
      <c r="N26" s="175"/>
      <c r="O26" s="175"/>
      <c r="P26" s="175"/>
      <c r="Q26" s="175"/>
      <c r="R26" s="175"/>
    </row>
    <row r="27" spans="2:18" s="184" customFormat="1">
      <c r="B27" s="361" t="s">
        <v>622</v>
      </c>
      <c r="C27" s="348"/>
      <c r="D27" s="361"/>
      <c r="E27" s="347"/>
      <c r="F27" s="375"/>
      <c r="G27" s="432">
        <v>0.34970000000000001</v>
      </c>
    </row>
    <row r="28" spans="2:18" s="184" customFormat="1">
      <c r="B28" s="361"/>
      <c r="C28" s="348"/>
      <c r="D28" s="361"/>
      <c r="E28" s="347"/>
      <c r="F28" s="375"/>
      <c r="G28" s="376"/>
    </row>
    <row r="29" spans="2:18" s="184" customFormat="1">
      <c r="B29" s="363" t="s">
        <v>780</v>
      </c>
      <c r="C29" s="348"/>
      <c r="D29" s="361"/>
      <c r="E29" s="347"/>
      <c r="F29" s="375"/>
      <c r="G29" s="377">
        <f>G23*G36</f>
        <v>452.43315205441024</v>
      </c>
      <c r="I29" s="223"/>
      <c r="J29" s="217"/>
      <c r="K29" s="217"/>
      <c r="L29" s="217"/>
    </row>
    <row r="30" spans="2:18" s="184" customFormat="1"/>
    <row r="31" spans="2:18" s="184" customFormat="1">
      <c r="B31" s="358" t="s">
        <v>629</v>
      </c>
      <c r="C31" s="359"/>
      <c r="D31" s="360"/>
      <c r="E31" s="359"/>
      <c r="F31" s="359"/>
      <c r="G31" s="366"/>
    </row>
    <row r="32" spans="2:18" s="184" customFormat="1">
      <c r="F32" s="184" t="s">
        <v>633</v>
      </c>
      <c r="G32" s="184" t="s">
        <v>634</v>
      </c>
    </row>
    <row r="33" spans="2:7" s="184" customFormat="1">
      <c r="B33" s="184" t="s">
        <v>630</v>
      </c>
      <c r="F33" s="433">
        <v>0.34970000000000001</v>
      </c>
      <c r="G33" s="352">
        <f>G27</f>
        <v>0.34970000000000001</v>
      </c>
    </row>
    <row r="34" spans="2:7" s="184" customFormat="1">
      <c r="B34" s="184" t="s">
        <v>631</v>
      </c>
      <c r="F34" s="433">
        <f>11.28%+10.68%+4.64%</f>
        <v>0.26600000000000001</v>
      </c>
      <c r="G34" s="352"/>
    </row>
    <row r="35" spans="2:7" s="184" customFormat="1">
      <c r="B35" s="184" t="s">
        <v>632</v>
      </c>
      <c r="F35" s="352">
        <f>1-SUM(F33:F34)</f>
        <v>0.38429999999999997</v>
      </c>
      <c r="G35" s="352"/>
    </row>
    <row r="36" spans="2:7" s="184" customFormat="1" ht="15" thickBot="1">
      <c r="B36" s="354" t="s">
        <v>781</v>
      </c>
      <c r="C36" s="354"/>
      <c r="D36" s="354"/>
      <c r="E36" s="354"/>
      <c r="F36" s="355"/>
      <c r="G36" s="355">
        <f>1-G33</f>
        <v>0.65029999999999999</v>
      </c>
    </row>
    <row r="37" spans="2:7" s="184" customFormat="1">
      <c r="B37" s="183" t="s">
        <v>635</v>
      </c>
      <c r="C37" s="183"/>
      <c r="D37" s="183"/>
      <c r="E37" s="183"/>
      <c r="F37" s="353">
        <f>SUM(F33:F36)</f>
        <v>1</v>
      </c>
      <c r="G37" s="353">
        <f>SUM(G33:G36)</f>
        <v>1</v>
      </c>
    </row>
    <row r="38" spans="2:7" s="184" customFormat="1">
      <c r="B38" s="183"/>
      <c r="C38" s="183"/>
      <c r="D38" s="183"/>
      <c r="E38" s="183"/>
      <c r="F38" s="353"/>
      <c r="G38" s="353"/>
    </row>
    <row r="39" spans="2:7" s="184" customFormat="1">
      <c r="B39" s="531" t="s">
        <v>703</v>
      </c>
      <c r="C39" s="531"/>
      <c r="D39" s="531"/>
      <c r="E39" s="531"/>
      <c r="F39" s="534"/>
      <c r="G39" s="534"/>
    </row>
    <row r="40" spans="2:7" s="184" customFormat="1">
      <c r="B40" s="183"/>
      <c r="C40" s="183"/>
      <c r="D40" s="183"/>
      <c r="E40" s="183"/>
      <c r="F40" s="353"/>
      <c r="G40" s="353"/>
    </row>
    <row r="41" spans="2:7" s="184" customFormat="1">
      <c r="B41" s="363" t="s">
        <v>780</v>
      </c>
      <c r="C41" s="348"/>
      <c r="D41" s="361"/>
      <c r="E41" s="347"/>
      <c r="F41" s="375"/>
      <c r="G41" s="483">
        <v>100</v>
      </c>
    </row>
    <row r="42" spans="2:7" s="184" customFormat="1">
      <c r="B42" s="183"/>
      <c r="C42" s="183"/>
      <c r="D42" s="183"/>
      <c r="E42" s="183"/>
      <c r="F42" s="353"/>
      <c r="G42" s="353"/>
    </row>
    <row r="43" spans="2:7" s="184" customFormat="1">
      <c r="B43" s="358" t="s">
        <v>629</v>
      </c>
      <c r="C43" s="359"/>
      <c r="D43" s="360"/>
      <c r="E43" s="359"/>
      <c r="F43" s="359"/>
      <c r="G43" s="366"/>
    </row>
    <row r="44" spans="2:7" s="184" customFormat="1">
      <c r="F44" s="184" t="s">
        <v>633</v>
      </c>
      <c r="G44" s="184" t="s">
        <v>634</v>
      </c>
    </row>
    <row r="45" spans="2:7" s="184" customFormat="1">
      <c r="B45" s="184" t="s">
        <v>630</v>
      </c>
      <c r="F45" s="433">
        <f>G33</f>
        <v>0.34970000000000001</v>
      </c>
      <c r="G45" s="352">
        <f>G23*G27/(G23+G41)</f>
        <v>0.30575292684181538</v>
      </c>
    </row>
    <row r="46" spans="2:7" s="184" customFormat="1">
      <c r="B46" s="184" t="s">
        <v>631</v>
      </c>
      <c r="F46" s="433"/>
      <c r="G46" s="352"/>
    </row>
    <row r="47" spans="2:7" s="184" customFormat="1">
      <c r="B47" s="184" t="s">
        <v>632</v>
      </c>
      <c r="F47" s="352"/>
      <c r="G47" s="352"/>
    </row>
    <row r="48" spans="2:7" s="184" customFormat="1" ht="15" thickBot="1">
      <c r="B48" s="354" t="s">
        <v>781</v>
      </c>
      <c r="C48" s="354"/>
      <c r="D48" s="354"/>
      <c r="E48" s="354"/>
      <c r="F48" s="355">
        <f>G36</f>
        <v>0.65029999999999999</v>
      </c>
      <c r="G48" s="355">
        <f>1-G45</f>
        <v>0.69424707315818468</v>
      </c>
    </row>
    <row r="49" spans="2:18" s="184" customFormat="1">
      <c r="B49" s="183" t="s">
        <v>635</v>
      </c>
      <c r="C49" s="183"/>
      <c r="D49" s="183"/>
      <c r="E49" s="183"/>
      <c r="F49" s="353">
        <f>SUM(F45:F48)</f>
        <v>1</v>
      </c>
      <c r="G49" s="353">
        <f>SUM(G45:G48)</f>
        <v>1</v>
      </c>
    </row>
    <row r="50" spans="2:18" s="184" customFormat="1">
      <c r="B50" s="183"/>
      <c r="C50" s="183"/>
      <c r="D50" s="183"/>
      <c r="E50" s="183"/>
      <c r="F50" s="353"/>
      <c r="G50" s="353"/>
    </row>
    <row r="51" spans="2:18" s="184" customFormat="1">
      <c r="B51" s="531" t="s">
        <v>635</v>
      </c>
      <c r="C51" s="531"/>
      <c r="D51" s="531"/>
      <c r="E51" s="531"/>
      <c r="F51" s="534"/>
      <c r="G51" s="534"/>
    </row>
    <row r="52" spans="2:18" s="184" customFormat="1">
      <c r="B52" s="183"/>
      <c r="C52" s="183"/>
      <c r="D52" s="183"/>
      <c r="E52" s="183"/>
      <c r="F52" s="353"/>
      <c r="G52" s="352"/>
    </row>
    <row r="53" spans="2:18" s="184" customFormat="1">
      <c r="B53" s="183" t="s">
        <v>782</v>
      </c>
      <c r="C53" s="183"/>
      <c r="D53" s="183"/>
      <c r="E53" s="183"/>
      <c r="F53" s="353"/>
      <c r="G53" s="377">
        <f>G29+G41</f>
        <v>552.43315205441024</v>
      </c>
    </row>
    <row r="54" spans="2:18" s="184" customFormat="1">
      <c r="B54" s="183" t="s">
        <v>783</v>
      </c>
      <c r="C54" s="183"/>
      <c r="D54" s="183"/>
      <c r="E54" s="183"/>
      <c r="F54" s="353"/>
      <c r="G54" s="353">
        <f>G48</f>
        <v>0.69424707315818468</v>
      </c>
    </row>
    <row r="55" spans="2:18" s="218" customFormat="1">
      <c r="B55" s="362"/>
      <c r="C55" s="347"/>
      <c r="D55" s="363"/>
      <c r="E55" s="347"/>
      <c r="F55" s="372"/>
      <c r="G55" s="374"/>
      <c r="H55" s="181"/>
      <c r="I55" s="374"/>
      <c r="J55" s="175"/>
      <c r="K55" s="175"/>
      <c r="L55" s="175"/>
      <c r="M55" s="175"/>
      <c r="N55" s="175"/>
      <c r="O55" s="175"/>
      <c r="P55" s="175"/>
      <c r="Q55" s="175"/>
      <c r="R55" s="175"/>
    </row>
    <row r="56" spans="2:18" s="184" customFormat="1">
      <c r="B56" s="183" t="s">
        <v>711</v>
      </c>
      <c r="C56" s="183"/>
      <c r="D56" s="183"/>
      <c r="E56" s="183"/>
      <c r="F56" s="353"/>
      <c r="G56" s="377">
        <f>G53/G54</f>
        <v>795.72989705429836</v>
      </c>
    </row>
    <row r="57" spans="2:18" s="218" customFormat="1">
      <c r="B57" s="362"/>
      <c r="C57" s="181" t="s">
        <v>713</v>
      </c>
      <c r="D57" s="363"/>
      <c r="E57" s="347"/>
      <c r="F57" s="372"/>
      <c r="G57" s="374">
        <f>G56/G24</f>
        <v>14.234877585042359</v>
      </c>
      <c r="H57" s="347" t="s">
        <v>712</v>
      </c>
      <c r="I57" s="374">
        <f>G56/I24</f>
        <v>20.977107007614652</v>
      </c>
      <c r="J57" s="347" t="s">
        <v>825</v>
      </c>
      <c r="K57" s="374">
        <f ca="1">G56/K24</f>
        <v>9.7110595440517038</v>
      </c>
      <c r="L57" s="175"/>
      <c r="N57" s="175"/>
      <c r="O57" s="175"/>
      <c r="P57" s="175"/>
      <c r="Q57" s="175"/>
      <c r="R57" s="175"/>
    </row>
    <row r="58" spans="2:18" s="218" customFormat="1">
      <c r="B58" s="362"/>
      <c r="C58" s="181"/>
      <c r="D58" s="363"/>
      <c r="E58" s="347"/>
      <c r="F58" s="372"/>
      <c r="G58" s="374"/>
      <c r="H58" s="175"/>
      <c r="I58" s="175"/>
      <c r="J58" s="175"/>
      <c r="K58" s="175"/>
      <c r="L58" s="175"/>
      <c r="N58" s="175"/>
      <c r="O58" s="175"/>
      <c r="P58" s="175"/>
      <c r="Q58" s="175"/>
      <c r="R58" s="175"/>
    </row>
    <row r="59" spans="2:18" s="218" customFormat="1">
      <c r="B59" s="183" t="s">
        <v>786</v>
      </c>
      <c r="C59" s="181"/>
      <c r="D59" s="363"/>
      <c r="E59" s="347"/>
      <c r="F59" s="372"/>
      <c r="G59" s="377">
        <f>G56-资产负债表!N87</f>
        <v>1175.5735939780848</v>
      </c>
      <c r="H59" s="175"/>
      <c r="I59" s="175"/>
      <c r="J59" s="175"/>
      <c r="K59" s="175"/>
      <c r="L59" s="175"/>
      <c r="N59" s="175"/>
      <c r="O59" s="175"/>
      <c r="P59" s="175"/>
      <c r="Q59" s="175"/>
      <c r="R59" s="175"/>
    </row>
    <row r="60" spans="2:18" s="183" customFormat="1">
      <c r="B60" s="362"/>
      <c r="C60" s="223" t="s">
        <v>714</v>
      </c>
      <c r="D60" s="363"/>
      <c r="E60" s="347"/>
      <c r="F60" s="372"/>
      <c r="G60" s="374">
        <f>G59/G19</f>
        <v>8.9554869615145893</v>
      </c>
      <c r="H60" s="347" t="s">
        <v>715</v>
      </c>
      <c r="I60" s="374">
        <f>G59/I19</f>
        <v>11.143851711334619</v>
      </c>
      <c r="J60" s="347" t="s">
        <v>826</v>
      </c>
      <c r="K60" s="374">
        <f ca="1">G59/K19</f>
        <v>7.6169879427887732</v>
      </c>
      <c r="L60" s="223"/>
      <c r="O60" s="217"/>
      <c r="P60" s="217"/>
      <c r="Q60" s="217"/>
      <c r="R60" s="217"/>
    </row>
    <row r="61" spans="2:18" s="183" customFormat="1">
      <c r="C61" s="223"/>
      <c r="F61" s="372"/>
      <c r="G61" s="374"/>
      <c r="H61" s="217"/>
      <c r="I61" s="374"/>
      <c r="J61" s="217"/>
      <c r="K61" s="374"/>
      <c r="L61" s="223"/>
      <c r="O61" s="217"/>
      <c r="P61" s="217"/>
      <c r="Q61" s="217"/>
      <c r="R61" s="217"/>
    </row>
    <row r="62" spans="2:18" s="184" customFormat="1">
      <c r="B62" s="183" t="s">
        <v>787</v>
      </c>
      <c r="D62" s="363"/>
      <c r="E62" s="347"/>
      <c r="F62" s="353"/>
      <c r="G62" s="377">
        <f>G56-资产负债表!P87</f>
        <v>1050.1336969237866</v>
      </c>
    </row>
    <row r="63" spans="2:18" s="184" customFormat="1">
      <c r="B63" s="362"/>
      <c r="C63" s="223" t="s">
        <v>714</v>
      </c>
      <c r="G63" s="374">
        <f>G62/G19</f>
        <v>7.9998893126068324</v>
      </c>
      <c r="H63" s="347" t="s">
        <v>715</v>
      </c>
      <c r="I63" s="374">
        <f>G62/I19</f>
        <v>9.9547440122344657</v>
      </c>
      <c r="J63" s="347" t="s">
        <v>826</v>
      </c>
      <c r="K63" s="374">
        <f ca="1">G62/K19</f>
        <v>6.8042151922764251</v>
      </c>
      <c r="L63" s="363"/>
      <c r="M63" s="347"/>
      <c r="N63" s="353"/>
    </row>
    <row r="64" spans="2:18" s="184" customFormat="1">
      <c r="B64" s="183"/>
      <c r="C64" s="183"/>
      <c r="D64" s="183"/>
      <c r="E64" s="183"/>
      <c r="F64" s="353"/>
      <c r="G64" s="353"/>
    </row>
    <row r="65" spans="1:19" s="18" customFormat="1" ht="14.25" customHeight="1">
      <c r="A65" s="357" t="s">
        <v>8</v>
      </c>
      <c r="B65" s="357" t="s">
        <v>636</v>
      </c>
      <c r="C65" s="357"/>
      <c r="D65" s="26"/>
      <c r="E65" s="26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26"/>
      <c r="Q65" s="26"/>
      <c r="R65" s="469"/>
      <c r="S65" s="349"/>
    </row>
    <row r="66" spans="1:19" s="184" customFormat="1"/>
    <row r="67" spans="1:19">
      <c r="B67" s="184" t="s">
        <v>718</v>
      </c>
      <c r="G67" s="565">
        <v>18</v>
      </c>
      <c r="J67" s="184" t="s">
        <v>637</v>
      </c>
      <c r="K67" s="184"/>
      <c r="L67" s="434">
        <v>47848</v>
      </c>
    </row>
    <row r="68" spans="1:19">
      <c r="B68" s="216" t="s">
        <v>827</v>
      </c>
      <c r="G68" s="374">
        <f ca="1">(R74-'回报测算-EVEBITDA（核心假设）'!R90)/'回报测算-EVEBITDA（核心假设）'!R88</f>
        <v>10.751062021769604</v>
      </c>
    </row>
    <row r="69" spans="1:19">
      <c r="G69" s="645"/>
    </row>
    <row r="70" spans="1:19">
      <c r="B70" s="184" t="s">
        <v>638</v>
      </c>
      <c r="L70" s="250" t="s">
        <v>644</v>
      </c>
      <c r="M70" s="252"/>
      <c r="N70" s="252"/>
      <c r="O70" s="252"/>
      <c r="P70" s="252"/>
      <c r="Q70" s="252"/>
      <c r="R70" s="252"/>
    </row>
    <row r="71" spans="1:19">
      <c r="L71" s="381">
        <f>F10</f>
        <v>46022</v>
      </c>
      <c r="M71" s="381">
        <v>46022</v>
      </c>
      <c r="N71" s="381">
        <v>46387</v>
      </c>
      <c r="O71" s="381">
        <v>46752</v>
      </c>
      <c r="P71" s="381">
        <v>47118</v>
      </c>
      <c r="Q71" s="381">
        <v>47483</v>
      </c>
      <c r="R71" s="381">
        <v>47848</v>
      </c>
    </row>
    <row r="72" spans="1:19">
      <c r="B72" s="239" t="s">
        <v>719</v>
      </c>
      <c r="C72" s="239"/>
      <c r="D72" s="239"/>
      <c r="E72" s="351"/>
      <c r="M72" s="382">
        <f t="shared" ref="M72:R72" si="0">$G$67</f>
        <v>18</v>
      </c>
      <c r="N72" s="382">
        <f t="shared" si="0"/>
        <v>18</v>
      </c>
      <c r="O72" s="382">
        <f t="shared" si="0"/>
        <v>18</v>
      </c>
      <c r="P72" s="382">
        <f t="shared" si="0"/>
        <v>18</v>
      </c>
      <c r="Q72" s="382">
        <f t="shared" si="0"/>
        <v>18</v>
      </c>
      <c r="R72" s="382">
        <f t="shared" si="0"/>
        <v>18</v>
      </c>
    </row>
    <row r="73" spans="1:19">
      <c r="B73" s="239" t="s">
        <v>720</v>
      </c>
      <c r="C73" s="239"/>
      <c r="D73" s="239"/>
      <c r="E73" s="351"/>
      <c r="M73" s="431">
        <f>利润表!N40</f>
        <v>55.900016863540209</v>
      </c>
      <c r="N73" s="431">
        <f ca="1">利润表!O40</f>
        <v>81.940584695694227</v>
      </c>
      <c r="O73" s="431">
        <f ca="1">利润表!P40</f>
        <v>106.5416449167092</v>
      </c>
      <c r="P73" s="431">
        <f ca="1">利润表!Q40</f>
        <v>133.73211620539985</v>
      </c>
      <c r="Q73" s="431">
        <f ca="1">利润表!R40</f>
        <v>163.18351457294673</v>
      </c>
      <c r="R73" s="431">
        <f ca="1">利润表!S40</f>
        <v>196.51548100913936</v>
      </c>
    </row>
    <row r="74" spans="1:19">
      <c r="B74" s="239" t="s">
        <v>621</v>
      </c>
      <c r="C74" s="239"/>
      <c r="D74" s="239"/>
      <c r="E74" s="351"/>
      <c r="M74" s="371">
        <f t="shared" ref="M74:R74" si="1">M72*M73</f>
        <v>1006.2003035437237</v>
      </c>
      <c r="N74" s="371">
        <f t="shared" ca="1" si="1"/>
        <v>1474.9305245224962</v>
      </c>
      <c r="O74" s="371">
        <f t="shared" ca="1" si="1"/>
        <v>1917.7496085007656</v>
      </c>
      <c r="P74" s="371">
        <f t="shared" ca="1" si="1"/>
        <v>2407.1780916971975</v>
      </c>
      <c r="Q74" s="371">
        <f t="shared" ca="1" si="1"/>
        <v>2937.3032623130412</v>
      </c>
      <c r="R74" s="371">
        <f t="shared" ca="1" si="1"/>
        <v>3537.2786581645087</v>
      </c>
    </row>
    <row r="75" spans="1:19">
      <c r="B75" s="239"/>
      <c r="C75" s="239"/>
      <c r="D75" s="239"/>
      <c r="E75" s="350"/>
      <c r="M75" s="371"/>
      <c r="N75" s="371"/>
      <c r="O75" s="371"/>
      <c r="P75" s="371"/>
      <c r="Q75" s="371"/>
      <c r="R75" s="371"/>
    </row>
    <row r="76" spans="1:19">
      <c r="B76" s="243" t="s">
        <v>784</v>
      </c>
      <c r="C76" s="239"/>
      <c r="D76" s="239"/>
      <c r="E76" s="350"/>
    </row>
    <row r="77" spans="1:19">
      <c r="B77" s="243"/>
      <c r="C77" s="239" t="s">
        <v>641</v>
      </c>
      <c r="D77" s="239"/>
      <c r="E77" s="350"/>
      <c r="M77" s="352">
        <f t="shared" ref="M77:R77" si="2">$G$48</f>
        <v>0.69424707315818468</v>
      </c>
      <c r="N77" s="352">
        <f t="shared" si="2"/>
        <v>0.69424707315818468</v>
      </c>
      <c r="O77" s="352">
        <f t="shared" si="2"/>
        <v>0.69424707315818468</v>
      </c>
      <c r="P77" s="352">
        <f t="shared" si="2"/>
        <v>0.69424707315818468</v>
      </c>
      <c r="Q77" s="352">
        <f t="shared" si="2"/>
        <v>0.69424707315818468</v>
      </c>
      <c r="R77" s="352">
        <f t="shared" si="2"/>
        <v>0.69424707315818468</v>
      </c>
    </row>
    <row r="78" spans="1:19">
      <c r="B78" s="239"/>
      <c r="C78" s="239" t="s">
        <v>642</v>
      </c>
      <c r="D78" s="239"/>
      <c r="E78" s="351"/>
      <c r="L78" s="371">
        <f>-G29-G41</f>
        <v>-552.43315205441024</v>
      </c>
      <c r="M78" s="371"/>
      <c r="N78" s="371"/>
      <c r="O78" s="371"/>
      <c r="P78" s="371"/>
      <c r="Q78" s="371"/>
      <c r="R78" s="371"/>
    </row>
    <row r="79" spans="1:19">
      <c r="B79" s="380"/>
      <c r="C79" s="380" t="s">
        <v>643</v>
      </c>
      <c r="D79" s="380"/>
      <c r="E79" s="384"/>
      <c r="F79" s="385"/>
      <c r="G79" s="385"/>
      <c r="H79" s="385"/>
      <c r="I79" s="385"/>
      <c r="J79" s="385"/>
      <c r="K79" s="385"/>
      <c r="L79" s="386"/>
      <c r="M79" s="386">
        <f t="shared" ref="M79:R79" si="3">IF($L$67=M71,M77*M74,0)</f>
        <v>0</v>
      </c>
      <c r="N79" s="386">
        <f t="shared" si="3"/>
        <v>0</v>
      </c>
      <c r="O79" s="386">
        <f t="shared" si="3"/>
        <v>0</v>
      </c>
      <c r="P79" s="386">
        <f t="shared" si="3"/>
        <v>0</v>
      </c>
      <c r="Q79" s="386">
        <f t="shared" si="3"/>
        <v>0</v>
      </c>
      <c r="R79" s="386">
        <f t="shared" ca="1" si="3"/>
        <v>2455.7453553756209</v>
      </c>
    </row>
    <row r="80" spans="1:19">
      <c r="B80" s="239"/>
      <c r="C80" s="243" t="s">
        <v>785</v>
      </c>
      <c r="D80" s="239"/>
      <c r="E80" s="383"/>
      <c r="L80" s="217">
        <f t="shared" ref="L80:R80" si="4">SUM(L78:L79)</f>
        <v>-552.43315205441024</v>
      </c>
      <c r="M80" s="217">
        <f t="shared" si="4"/>
        <v>0</v>
      </c>
      <c r="N80" s="217">
        <f t="shared" si="4"/>
        <v>0</v>
      </c>
      <c r="O80" s="217">
        <f t="shared" si="4"/>
        <v>0</v>
      </c>
      <c r="P80" s="217">
        <f t="shared" si="4"/>
        <v>0</v>
      </c>
      <c r="Q80" s="217">
        <f t="shared" si="4"/>
        <v>0</v>
      </c>
      <c r="R80" s="217">
        <f t="shared" ca="1" si="4"/>
        <v>2455.7453553756209</v>
      </c>
    </row>
    <row r="82" spans="1:15">
      <c r="B82" s="387" t="s">
        <v>357</v>
      </c>
      <c r="C82" s="388"/>
      <c r="D82" s="388"/>
      <c r="E82" s="388"/>
      <c r="F82" s="388"/>
      <c r="G82" s="389">
        <f ca="1">-SUM(M80:R80)/L80</f>
        <v>4.4453258213108642</v>
      </c>
    </row>
    <row r="83" spans="1:15">
      <c r="B83" s="390" t="s">
        <v>358</v>
      </c>
      <c r="C83" s="385"/>
      <c r="D83" s="385"/>
      <c r="E83" s="385"/>
      <c r="F83" s="385"/>
      <c r="G83" s="391">
        <f ca="1">XIRR(L80:R80,L71:R71)</f>
        <v>0.34744098782539379</v>
      </c>
    </row>
    <row r="85" spans="1:15" s="486" customFormat="1" ht="13.5" hidden="1">
      <c r="A85" s="485"/>
      <c r="B85" s="599" t="s">
        <v>789</v>
      </c>
      <c r="D85" s="485"/>
      <c r="E85" s="485"/>
      <c r="F85" s="487"/>
      <c r="G85" s="488"/>
      <c r="H85" s="488"/>
      <c r="I85" s="488"/>
      <c r="J85" s="488"/>
      <c r="K85" s="488"/>
      <c r="L85" s="488"/>
    </row>
    <row r="86" spans="1:15" s="607" customFormat="1" ht="13.5" hidden="1">
      <c r="A86" s="350"/>
      <c r="B86" s="350"/>
      <c r="C86" s="600"/>
      <c r="D86" s="601"/>
      <c r="E86" s="624"/>
      <c r="F86" s="602" t="s">
        <v>790</v>
      </c>
      <c r="G86" s="603" t="s">
        <v>791</v>
      </c>
      <c r="H86" s="604" t="s">
        <v>792</v>
      </c>
      <c r="I86" s="606">
        <v>1</v>
      </c>
      <c r="J86" s="606">
        <f ca="1">CHOOSE(I86,F87,F88,F89,F90,F91,F92,F93)</f>
        <v>2.5154816051104465</v>
      </c>
      <c r="K86" s="622"/>
      <c r="L86" s="622"/>
      <c r="M86" s="622"/>
      <c r="N86" s="622"/>
      <c r="O86" s="622"/>
    </row>
    <row r="87" spans="1:15" s="607" customFormat="1" ht="13.5" hidden="1">
      <c r="A87" s="350"/>
      <c r="B87" s="350"/>
      <c r="C87" s="489" t="s">
        <v>793</v>
      </c>
      <c r="D87" s="628"/>
      <c r="E87" s="629"/>
      <c r="F87" s="608">
        <f ca="1">R73/G24-1</f>
        <v>2.5154816051104465</v>
      </c>
      <c r="G87" s="491">
        <f ca="1">F87/SUM($F$90:$F$92,$F$87)</f>
        <v>0.72033896610159376</v>
      </c>
      <c r="H87" s="491">
        <f t="shared" ref="H87:H92" ca="1" si="5">$H$93*G87</f>
        <v>0.25027528195146059</v>
      </c>
      <c r="I87" s="605"/>
      <c r="J87" s="609">
        <v>1</v>
      </c>
      <c r="K87" s="608"/>
      <c r="L87" s="608"/>
      <c r="M87" s="608"/>
      <c r="N87" s="608"/>
      <c r="O87" s="608"/>
    </row>
    <row r="88" spans="1:15" s="607" customFormat="1" ht="13" hidden="1">
      <c r="A88" s="350"/>
      <c r="B88" s="350"/>
      <c r="C88" s="610"/>
      <c r="D88" s="611" t="s">
        <v>794</v>
      </c>
      <c r="E88" s="630"/>
      <c r="F88" s="612">
        <f>利润表!S8/利润表!N8-1</f>
        <v>0.68581853869820475</v>
      </c>
      <c r="G88" s="613">
        <f ca="1">F88/(F88+F89)*G87</f>
        <v>0.27892797241892292</v>
      </c>
      <c r="H88" s="614">
        <f t="shared" ca="1" si="5"/>
        <v>9.6911010269364772E-2</v>
      </c>
      <c r="I88" s="605"/>
      <c r="J88" s="609">
        <v>2</v>
      </c>
      <c r="K88" s="623"/>
      <c r="L88" s="623"/>
      <c r="M88" s="623"/>
      <c r="N88" s="623"/>
      <c r="O88" s="623"/>
    </row>
    <row r="89" spans="1:15" s="607" customFormat="1" ht="13" hidden="1">
      <c r="A89" s="350"/>
      <c r="B89" s="350"/>
      <c r="C89" s="610"/>
      <c r="D89" s="615" t="s">
        <v>795</v>
      </c>
      <c r="E89" s="627"/>
      <c r="F89" s="616">
        <f ca="1">利润表!S41/利润表!N41-1</f>
        <v>1.085326222491962</v>
      </c>
      <c r="G89" s="617">
        <f ca="1">F89/(F89+F88)*G87</f>
        <v>0.44141099368267084</v>
      </c>
      <c r="H89" s="618">
        <f t="shared" ca="1" si="5"/>
        <v>0.15336427168209582</v>
      </c>
      <c r="I89" s="605"/>
      <c r="J89" s="609">
        <v>3</v>
      </c>
      <c r="K89" s="623"/>
      <c r="L89" s="623"/>
      <c r="M89" s="623"/>
      <c r="N89" s="623"/>
      <c r="O89" s="623"/>
    </row>
    <row r="90" spans="1:15" s="607" customFormat="1" ht="13.5" hidden="1">
      <c r="A90" s="350"/>
      <c r="B90" s="350"/>
      <c r="C90" s="489" t="s">
        <v>796</v>
      </c>
      <c r="D90" s="489"/>
      <c r="F90" s="608">
        <f>G67/I25-1</f>
        <v>-1.8586741671761664E-2</v>
      </c>
      <c r="G90" s="491">
        <f ca="1">F90/SUM($F$90:$F$92,$F$87)</f>
        <v>-5.3225411196939961E-3</v>
      </c>
      <c r="H90" s="491">
        <f t="shared" ca="1" si="5"/>
        <v>-1.8492689443677596E-3</v>
      </c>
      <c r="I90" s="605"/>
      <c r="J90" s="609">
        <v>4</v>
      </c>
      <c r="K90" s="608"/>
      <c r="L90" s="608"/>
      <c r="M90" s="608"/>
      <c r="N90" s="608"/>
      <c r="O90" s="608"/>
    </row>
    <row r="91" spans="1:15" s="607" customFormat="1" ht="13.5" hidden="1">
      <c r="A91" s="350"/>
      <c r="B91" s="350"/>
      <c r="C91" s="619" t="s">
        <v>797</v>
      </c>
      <c r="D91" s="489"/>
      <c r="F91" s="608">
        <f ca="1">F93-F92-((1+F87)*(1+F90)-1)-1</f>
        <v>0.99518556464643559</v>
      </c>
      <c r="G91" s="491">
        <f ca="1">F91/SUM($F$90:$F$92,$F$87)</f>
        <v>0.28498357501810029</v>
      </c>
      <c r="H91" s="491">
        <f t="shared" ca="1" si="5"/>
        <v>9.9014974818300974E-2</v>
      </c>
      <c r="I91" s="605"/>
      <c r="J91" s="609">
        <v>5</v>
      </c>
      <c r="K91" s="608"/>
      <c r="L91" s="608"/>
      <c r="M91" s="608"/>
      <c r="N91" s="608"/>
      <c r="O91" s="608"/>
    </row>
    <row r="92" spans="1:15" s="607" customFormat="1" ht="13.5" hidden="1">
      <c r="A92" s="350"/>
      <c r="B92" s="350"/>
      <c r="C92" s="625" t="s">
        <v>798</v>
      </c>
      <c r="D92" s="600"/>
      <c r="E92" s="624"/>
      <c r="F92" s="626">
        <v>0</v>
      </c>
      <c r="G92" s="491">
        <f t="shared" ref="G92" ca="1" si="6">F92/SUM($F$90:$F$92,$F$87)</f>
        <v>0</v>
      </c>
      <c r="H92" s="491">
        <f t="shared" ca="1" si="5"/>
        <v>0</v>
      </c>
      <c r="I92" s="605"/>
      <c r="J92" s="609">
        <v>6</v>
      </c>
      <c r="K92" s="608"/>
      <c r="L92" s="608"/>
      <c r="M92" s="608"/>
      <c r="N92" s="608"/>
      <c r="O92" s="608"/>
    </row>
    <row r="93" spans="1:15" s="607" customFormat="1" ht="13.5" hidden="1">
      <c r="A93" s="350"/>
      <c r="B93" s="350"/>
      <c r="C93" s="489" t="s">
        <v>799</v>
      </c>
      <c r="D93" s="489"/>
      <c r="F93" s="608">
        <f ca="1">G82</f>
        <v>4.4453258213108642</v>
      </c>
      <c r="G93" s="620">
        <f ca="1">SUM(G87,G90,G91,G92)</f>
        <v>1</v>
      </c>
      <c r="H93" s="621">
        <f ca="1">G83</f>
        <v>0.34744098782539379</v>
      </c>
      <c r="I93" s="605"/>
      <c r="J93" s="609">
        <v>7</v>
      </c>
      <c r="K93" s="608"/>
      <c r="L93" s="608"/>
      <c r="M93" s="608"/>
      <c r="N93" s="608"/>
      <c r="O93" s="608"/>
    </row>
    <row r="94" spans="1:15" hidden="1"/>
    <row r="96" spans="1:15" s="486" customFormat="1" hidden="1">
      <c r="A96" s="485" t="s">
        <v>8</v>
      </c>
      <c r="B96" s="357" t="s">
        <v>707</v>
      </c>
      <c r="D96" s="485"/>
      <c r="E96" s="485"/>
      <c r="F96" s="487"/>
      <c r="G96" s="488"/>
      <c r="H96" s="488"/>
      <c r="I96" s="488"/>
      <c r="J96" s="488"/>
      <c r="K96" s="488"/>
      <c r="L96" s="488"/>
    </row>
    <row r="97" spans="2:17" hidden="1">
      <c r="B97" s="489"/>
      <c r="C97" s="350"/>
      <c r="D97" s="490"/>
      <c r="E97" s="491"/>
      <c r="F97" s="492"/>
      <c r="G97" s="493"/>
      <c r="H97" s="492"/>
    </row>
    <row r="98" spans="2:17" hidden="1">
      <c r="B98" s="489"/>
      <c r="C98" s="350"/>
      <c r="D98" s="490"/>
      <c r="E98" s="505" t="s">
        <v>357</v>
      </c>
      <c r="H98" s="492"/>
    </row>
    <row r="99" spans="2:17" hidden="1">
      <c r="B99" s="494"/>
      <c r="C99" s="495"/>
      <c r="D99" s="496"/>
      <c r="E99" s="496"/>
      <c r="F99" s="496"/>
      <c r="G99" s="496"/>
      <c r="Q99" s="497"/>
    </row>
    <row r="100" spans="2:17" hidden="1">
      <c r="B100" s="498"/>
      <c r="C100" s="498"/>
      <c r="D100" s="499"/>
      <c r="E100" s="510"/>
      <c r="F100" s="388"/>
      <c r="G100" s="511"/>
      <c r="H100" s="1580" t="s">
        <v>722</v>
      </c>
      <c r="I100" s="1581"/>
      <c r="J100" s="1581"/>
      <c r="K100" s="1581"/>
      <c r="L100" s="1581"/>
      <c r="M100" s="1581"/>
      <c r="N100" s="1581"/>
      <c r="O100" s="1581"/>
      <c r="P100" s="1581"/>
      <c r="Q100" s="497"/>
    </row>
    <row r="101" spans="2:17" hidden="1">
      <c r="B101" s="498"/>
      <c r="C101" s="498"/>
      <c r="D101" s="499"/>
      <c r="E101" s="503"/>
      <c r="F101" s="504"/>
      <c r="G101" s="506">
        <f ca="1">G82</f>
        <v>4.4453258213108642</v>
      </c>
      <c r="H101" s="509">
        <f t="shared" ref="H101:J101" si="7">I101-1</f>
        <v>11</v>
      </c>
      <c r="I101" s="509">
        <f t="shared" si="7"/>
        <v>12</v>
      </c>
      <c r="J101" s="509">
        <f t="shared" si="7"/>
        <v>13</v>
      </c>
      <c r="K101" s="509">
        <f>L101-1</f>
        <v>14</v>
      </c>
      <c r="L101" s="643">
        <v>15</v>
      </c>
      <c r="M101" s="509">
        <f>L101+1</f>
        <v>16</v>
      </c>
      <c r="N101" s="509">
        <f t="shared" ref="N101:P101" si="8">M101+1</f>
        <v>17</v>
      </c>
      <c r="O101" s="509">
        <f t="shared" si="8"/>
        <v>18</v>
      </c>
      <c r="P101" s="509">
        <f t="shared" si="8"/>
        <v>19</v>
      </c>
      <c r="Q101" s="497"/>
    </row>
    <row r="102" spans="2:17" hidden="1">
      <c r="B102" s="500"/>
      <c r="C102" s="494"/>
      <c r="D102" s="496"/>
      <c r="E102" s="1576" t="s">
        <v>721</v>
      </c>
      <c r="F102" s="502">
        <f t="shared" ref="F102:F110" si="9">G102*$I$24/$G$24</f>
        <v>9.5002750435630468</v>
      </c>
      <c r="G102" s="507">
        <f t="shared" ref="G102:G104" si="10">G103-0.5</f>
        <v>14</v>
      </c>
      <c r="H102" s="502">
        <f t="dataTable" ref="H102:P110" dt2D="1" dtr="1" r1="G67" r2="I25" ca="1"/>
        <v>2.7165880019121955</v>
      </c>
      <c r="I102" s="502">
        <v>2.9635505475405761</v>
      </c>
      <c r="J102" s="502">
        <v>3.2105130931689572</v>
      </c>
      <c r="K102" s="502">
        <v>3.4574756387973391</v>
      </c>
      <c r="L102" s="641">
        <v>3.7044381844257206</v>
      </c>
      <c r="M102" s="502">
        <v>3.9514007300541021</v>
      </c>
      <c r="N102" s="502">
        <v>4.1983632756824827</v>
      </c>
      <c r="O102" s="502">
        <v>4.4453258213108642</v>
      </c>
      <c r="P102" s="502">
        <v>4.6922883669392457</v>
      </c>
      <c r="Q102" s="497"/>
    </row>
    <row r="103" spans="2:17" hidden="1">
      <c r="B103" s="500"/>
      <c r="C103" s="494"/>
      <c r="D103" s="496"/>
      <c r="E103" s="1577"/>
      <c r="F103" s="641">
        <f t="shared" si="9"/>
        <v>9.8395705808331577</v>
      </c>
      <c r="G103" s="642">
        <f t="shared" si="10"/>
        <v>14.5</v>
      </c>
      <c r="H103" s="641">
        <v>2.7165880019121955</v>
      </c>
      <c r="I103" s="641">
        <v>2.9635505475405761</v>
      </c>
      <c r="J103" s="641">
        <v>3.2105130931689572</v>
      </c>
      <c r="K103" s="641">
        <v>3.4574756387973391</v>
      </c>
      <c r="L103" s="641">
        <v>3.7044381844257206</v>
      </c>
      <c r="M103" s="641">
        <v>3.9514007300541021</v>
      </c>
      <c r="N103" s="641">
        <v>4.1983632756824827</v>
      </c>
      <c r="O103" s="641">
        <v>4.4453258213108642</v>
      </c>
      <c r="P103" s="641">
        <v>4.6922883669392457</v>
      </c>
      <c r="Q103" s="497"/>
    </row>
    <row r="104" spans="2:17" hidden="1">
      <c r="B104" s="494"/>
      <c r="C104" s="494"/>
      <c r="D104" s="496"/>
      <c r="E104" s="1577"/>
      <c r="F104" s="641">
        <f t="shared" si="9"/>
        <v>10.178866118103267</v>
      </c>
      <c r="G104" s="642">
        <f t="shared" si="10"/>
        <v>15</v>
      </c>
      <c r="H104" s="641">
        <v>2.7165880019121955</v>
      </c>
      <c r="I104" s="641">
        <v>2.9635505475405761</v>
      </c>
      <c r="J104" s="641">
        <v>3.2105130931689572</v>
      </c>
      <c r="K104" s="641">
        <v>3.4574756387973391</v>
      </c>
      <c r="L104" s="641">
        <v>3.7044381844257206</v>
      </c>
      <c r="M104" s="641">
        <v>3.9514007300541021</v>
      </c>
      <c r="N104" s="641">
        <v>4.1983632756824827</v>
      </c>
      <c r="O104" s="641">
        <v>4.4453258213108642</v>
      </c>
      <c r="P104" s="641">
        <v>4.6922883669392457</v>
      </c>
      <c r="Q104" s="497"/>
    </row>
    <row r="105" spans="2:17" hidden="1">
      <c r="B105" s="497"/>
      <c r="C105" s="497"/>
      <c r="D105" s="497"/>
      <c r="E105" s="1577"/>
      <c r="F105" s="502">
        <f t="shared" si="9"/>
        <v>10.518161655373374</v>
      </c>
      <c r="G105" s="507">
        <f>G106-0.5</f>
        <v>15.5</v>
      </c>
      <c r="H105" s="502">
        <v>2.7165880019121955</v>
      </c>
      <c r="I105" s="502">
        <v>2.9635505475405761</v>
      </c>
      <c r="J105" s="502">
        <v>3.2105130931689572</v>
      </c>
      <c r="K105" s="502">
        <v>3.4574756387973391</v>
      </c>
      <c r="L105" s="641">
        <v>3.7044381844257206</v>
      </c>
      <c r="M105" s="502">
        <v>3.9514007300541021</v>
      </c>
      <c r="N105" s="502">
        <v>4.1983632756824827</v>
      </c>
      <c r="O105" s="502">
        <v>4.4453258213108642</v>
      </c>
      <c r="P105" s="502">
        <v>4.6922883669392457</v>
      </c>
      <c r="Q105" s="497"/>
    </row>
    <row r="106" spans="2:17" hidden="1">
      <c r="B106" s="501"/>
      <c r="C106" s="501"/>
      <c r="D106" s="501"/>
      <c r="E106" s="1577"/>
      <c r="F106" s="502">
        <f t="shared" si="9"/>
        <v>10.857457192643484</v>
      </c>
      <c r="G106" s="507">
        <v>16</v>
      </c>
      <c r="H106" s="502">
        <v>2.7165880019121955</v>
      </c>
      <c r="I106" s="502">
        <v>2.9635505475405761</v>
      </c>
      <c r="J106" s="502">
        <v>3.2105130931689572</v>
      </c>
      <c r="K106" s="502">
        <v>3.4574756387973391</v>
      </c>
      <c r="L106" s="641">
        <v>3.7044381844257206</v>
      </c>
      <c r="M106" s="502">
        <v>3.9514007300541021</v>
      </c>
      <c r="N106" s="502">
        <v>4.1983632756824827</v>
      </c>
      <c r="O106" s="502">
        <v>4.4453258213108642</v>
      </c>
      <c r="P106" s="502">
        <v>4.6922883669392457</v>
      </c>
      <c r="Q106" s="501"/>
    </row>
    <row r="107" spans="2:17" hidden="1">
      <c r="B107" s="501"/>
      <c r="C107" s="501"/>
      <c r="D107" s="501"/>
      <c r="E107" s="1577"/>
      <c r="F107" s="502">
        <f t="shared" si="9"/>
        <v>11.196752729913593</v>
      </c>
      <c r="G107" s="507">
        <f>G106+0.5</f>
        <v>16.5</v>
      </c>
      <c r="H107" s="502">
        <v>2.7165880019121955</v>
      </c>
      <c r="I107" s="502">
        <v>2.9635505475405761</v>
      </c>
      <c r="J107" s="502">
        <v>3.2105130931689572</v>
      </c>
      <c r="K107" s="502">
        <v>3.4574756387973391</v>
      </c>
      <c r="L107" s="641">
        <v>3.7044381844257206</v>
      </c>
      <c r="M107" s="502">
        <v>3.9514007300541021</v>
      </c>
      <c r="N107" s="502">
        <v>4.1983632756824827</v>
      </c>
      <c r="O107" s="502">
        <v>4.4453258213108642</v>
      </c>
      <c r="P107" s="502">
        <v>4.6922883669392457</v>
      </c>
      <c r="Q107" s="501"/>
    </row>
    <row r="108" spans="2:17" hidden="1">
      <c r="B108" s="501"/>
      <c r="C108" s="501"/>
      <c r="D108" s="501"/>
      <c r="E108" s="1577"/>
      <c r="F108" s="502">
        <f t="shared" si="9"/>
        <v>11.5360482671837</v>
      </c>
      <c r="G108" s="507">
        <f t="shared" ref="G108:G110" si="11">G107+0.5</f>
        <v>17</v>
      </c>
      <c r="H108" s="502">
        <v>2.7165880019121955</v>
      </c>
      <c r="I108" s="502">
        <v>2.9635505475405761</v>
      </c>
      <c r="J108" s="502">
        <v>3.2105130931689572</v>
      </c>
      <c r="K108" s="502">
        <v>3.4574756387973391</v>
      </c>
      <c r="L108" s="641">
        <v>3.7044381844257206</v>
      </c>
      <c r="M108" s="502">
        <v>3.9514007300541021</v>
      </c>
      <c r="N108" s="502">
        <v>4.1983632756824827</v>
      </c>
      <c r="O108" s="502">
        <v>4.4453258213108642</v>
      </c>
      <c r="P108" s="502">
        <v>4.6922883669392457</v>
      </c>
      <c r="Q108" s="501"/>
    </row>
    <row r="109" spans="2:17" hidden="1">
      <c r="B109" s="501"/>
      <c r="C109" s="501"/>
      <c r="D109" s="501"/>
      <c r="E109" s="1577"/>
      <c r="F109" s="502">
        <f t="shared" si="9"/>
        <v>11.875343804453811</v>
      </c>
      <c r="G109" s="507">
        <f t="shared" si="11"/>
        <v>17.5</v>
      </c>
      <c r="H109" s="502">
        <v>2.7165880019121955</v>
      </c>
      <c r="I109" s="502">
        <v>2.9635505475405761</v>
      </c>
      <c r="J109" s="502">
        <v>3.2105130931689572</v>
      </c>
      <c r="K109" s="502">
        <v>3.4574756387973391</v>
      </c>
      <c r="L109" s="641">
        <v>3.7044381844257206</v>
      </c>
      <c r="M109" s="502">
        <v>3.9514007300541021</v>
      </c>
      <c r="N109" s="502">
        <v>4.1983632756824827</v>
      </c>
      <c r="O109" s="502">
        <v>4.4453258213108642</v>
      </c>
      <c r="P109" s="502">
        <v>4.6922883669392457</v>
      </c>
      <c r="Q109" s="501"/>
    </row>
    <row r="110" spans="2:17" hidden="1">
      <c r="B110" s="501"/>
      <c r="C110" s="501"/>
      <c r="D110" s="501"/>
      <c r="E110" s="1577"/>
      <c r="F110" s="502">
        <f t="shared" si="9"/>
        <v>12.21463934172392</v>
      </c>
      <c r="G110" s="507">
        <f t="shared" si="11"/>
        <v>18</v>
      </c>
      <c r="H110" s="502">
        <v>2.7165880019121955</v>
      </c>
      <c r="I110" s="502">
        <v>2.9635505475405761</v>
      </c>
      <c r="J110" s="502">
        <v>3.2105130931689572</v>
      </c>
      <c r="K110" s="502">
        <v>3.4574756387973391</v>
      </c>
      <c r="L110" s="641">
        <v>3.7044381844257206</v>
      </c>
      <c r="M110" s="502">
        <v>3.9514007300541021</v>
      </c>
      <c r="N110" s="502">
        <v>4.1983632756824827</v>
      </c>
      <c r="O110" s="502">
        <v>4.4453258213108642</v>
      </c>
      <c r="P110" s="502">
        <v>4.6922883669392457</v>
      </c>
      <c r="Q110" s="501"/>
    </row>
    <row r="111" spans="2:17" hidden="1">
      <c r="B111" s="501"/>
      <c r="C111" s="501"/>
      <c r="D111" s="501"/>
      <c r="E111" s="1578"/>
      <c r="F111" s="512" t="s">
        <v>656</v>
      </c>
      <c r="G111" s="512" t="s">
        <v>628</v>
      </c>
      <c r="H111" s="513"/>
      <c r="I111" s="514"/>
      <c r="J111" s="514"/>
      <c r="K111" s="514"/>
      <c r="L111" s="514"/>
      <c r="M111" s="514"/>
      <c r="N111" s="514"/>
      <c r="O111" s="514"/>
      <c r="P111" s="515"/>
      <c r="Q111" s="501"/>
    </row>
    <row r="112" spans="2:17" hidden="1">
      <c r="B112" s="501"/>
      <c r="C112" s="501"/>
      <c r="D112" s="501"/>
      <c r="E112" s="501"/>
      <c r="F112" s="501"/>
      <c r="G112" s="501"/>
      <c r="H112" s="501"/>
      <c r="I112" s="501"/>
      <c r="J112" s="501"/>
      <c r="K112" s="501"/>
      <c r="L112" s="501"/>
      <c r="M112" s="501"/>
      <c r="N112" s="501"/>
      <c r="O112" s="501"/>
      <c r="P112" s="501"/>
      <c r="Q112" s="501"/>
    </row>
    <row r="113" spans="5:16" hidden="1">
      <c r="E113" s="505" t="s">
        <v>358</v>
      </c>
      <c r="H113" s="492"/>
    </row>
    <row r="114" spans="5:16" hidden="1">
      <c r="E114" s="496"/>
      <c r="F114" s="496"/>
      <c r="G114" s="496"/>
    </row>
    <row r="115" spans="5:16" hidden="1">
      <c r="E115" s="510"/>
      <c r="F115" s="388"/>
      <c r="G115" s="511"/>
      <c r="H115" s="1580" t="s">
        <v>722</v>
      </c>
      <c r="I115" s="1581"/>
      <c r="J115" s="1581"/>
      <c r="K115" s="1581"/>
      <c r="L115" s="1581"/>
      <c r="M115" s="1581"/>
      <c r="N115" s="1581"/>
      <c r="O115" s="1581"/>
      <c r="P115" s="1581"/>
    </row>
    <row r="116" spans="5:16" hidden="1">
      <c r="E116" s="503"/>
      <c r="F116" s="504"/>
      <c r="G116" s="516">
        <f ca="1">G83</f>
        <v>0.34744098782539379</v>
      </c>
      <c r="H116" s="508">
        <f t="shared" ref="H116" si="12">I116-0.5</f>
        <v>13</v>
      </c>
      <c r="I116" s="509">
        <f t="shared" ref="I116" si="13">J116-0.5</f>
        <v>13.5</v>
      </c>
      <c r="J116" s="509">
        <f t="shared" ref="J116" si="14">K116-0.5</f>
        <v>14</v>
      </c>
      <c r="K116" s="509">
        <f>L116-0.5</f>
        <v>14.5</v>
      </c>
      <c r="L116" s="643">
        <v>15</v>
      </c>
      <c r="M116" s="509">
        <f>L116+0.5</f>
        <v>15.5</v>
      </c>
      <c r="N116" s="509">
        <f t="shared" ref="N116" si="15">M116+0.5</f>
        <v>16</v>
      </c>
      <c r="O116" s="509">
        <f t="shared" ref="O116" si="16">N116+0.5</f>
        <v>16.5</v>
      </c>
      <c r="P116" s="509">
        <f t="shared" ref="P116" si="17">O116+0.5</f>
        <v>17</v>
      </c>
    </row>
    <row r="117" spans="5:16" ht="14.5" hidden="1" customHeight="1">
      <c r="E117" s="1576" t="s">
        <v>721</v>
      </c>
      <c r="F117" s="502">
        <f t="shared" ref="F117:F125" si="18">G117*$I$24/$G$24</f>
        <v>9.5002750435630468</v>
      </c>
      <c r="G117" s="507">
        <f t="shared" ref="G117:G119" si="19">G118-0.5</f>
        <v>14</v>
      </c>
      <c r="H117" s="517">
        <f t="dataTable" ref="H117:P125" dt2D="1" dtr="1" r1="G67" r2="I25" ca="1"/>
        <v>0.26258144974708553</v>
      </c>
      <c r="I117" s="517">
        <v>0.27214229702949533</v>
      </c>
      <c r="J117" s="517">
        <v>0.28142388463020318</v>
      </c>
      <c r="K117" s="517">
        <v>0.29044392704963684</v>
      </c>
      <c r="L117" s="644">
        <v>0.29921844601631165</v>
      </c>
      <c r="M117" s="517">
        <v>0.30776198506355279</v>
      </c>
      <c r="N117" s="517">
        <v>0.31608777642250074</v>
      </c>
      <c r="O117" s="517">
        <v>0.32420791983604436</v>
      </c>
      <c r="P117" s="517">
        <v>0.33213352560997011</v>
      </c>
    </row>
    <row r="118" spans="5:16" hidden="1">
      <c r="E118" s="1577"/>
      <c r="F118" s="641">
        <f t="shared" si="18"/>
        <v>9.8395705808331577</v>
      </c>
      <c r="G118" s="642">
        <f t="shared" si="19"/>
        <v>14.5</v>
      </c>
      <c r="H118" s="644">
        <v>0.26258144974708553</v>
      </c>
      <c r="I118" s="644">
        <v>0.27214229702949533</v>
      </c>
      <c r="J118" s="644">
        <v>0.28142388463020318</v>
      </c>
      <c r="K118" s="644">
        <v>0.29044392704963684</v>
      </c>
      <c r="L118" s="644">
        <v>0.29921844601631165</v>
      </c>
      <c r="M118" s="644">
        <v>0.30776198506355279</v>
      </c>
      <c r="N118" s="644">
        <v>0.31608777642250074</v>
      </c>
      <c r="O118" s="644">
        <v>0.32420791983604436</v>
      </c>
      <c r="P118" s="644">
        <v>0.33213352560997011</v>
      </c>
    </row>
    <row r="119" spans="5:16" hidden="1">
      <c r="E119" s="1577"/>
      <c r="F119" s="641">
        <f t="shared" si="18"/>
        <v>10.178866118103267</v>
      </c>
      <c r="G119" s="642">
        <f t="shared" si="19"/>
        <v>15</v>
      </c>
      <c r="H119" s="644">
        <v>0.26258144974708553</v>
      </c>
      <c r="I119" s="644">
        <v>0.27214229702949533</v>
      </c>
      <c r="J119" s="644">
        <v>0.28142388463020318</v>
      </c>
      <c r="K119" s="644">
        <v>0.29044392704963684</v>
      </c>
      <c r="L119" s="644">
        <v>0.29921844601631165</v>
      </c>
      <c r="M119" s="644">
        <v>0.30776198506355279</v>
      </c>
      <c r="N119" s="644">
        <v>0.31608777642250074</v>
      </c>
      <c r="O119" s="644">
        <v>0.32420791983604436</v>
      </c>
      <c r="P119" s="644">
        <v>0.33213352560997011</v>
      </c>
    </row>
    <row r="120" spans="5:16" hidden="1">
      <c r="E120" s="1577"/>
      <c r="F120" s="502">
        <f t="shared" si="18"/>
        <v>10.518161655373374</v>
      </c>
      <c r="G120" s="507">
        <f>G121-0.5</f>
        <v>15.5</v>
      </c>
      <c r="H120" s="517">
        <v>0.26258144974708553</v>
      </c>
      <c r="I120" s="517">
        <v>0.27214229702949533</v>
      </c>
      <c r="J120" s="517">
        <v>0.28142388463020318</v>
      </c>
      <c r="K120" s="517">
        <v>0.29044392704963684</v>
      </c>
      <c r="L120" s="644">
        <v>0.29921844601631165</v>
      </c>
      <c r="M120" s="517">
        <v>0.30776198506355279</v>
      </c>
      <c r="N120" s="517">
        <v>0.31608777642250074</v>
      </c>
      <c r="O120" s="517">
        <v>0.32420791983604436</v>
      </c>
      <c r="P120" s="517">
        <v>0.33213352560997011</v>
      </c>
    </row>
    <row r="121" spans="5:16" hidden="1">
      <c r="E121" s="1577"/>
      <c r="F121" s="502">
        <f t="shared" si="18"/>
        <v>10.857457192643484</v>
      </c>
      <c r="G121" s="507">
        <v>16</v>
      </c>
      <c r="H121" s="517">
        <v>0.26258144974708553</v>
      </c>
      <c r="I121" s="517">
        <v>0.27214229702949533</v>
      </c>
      <c r="J121" s="517">
        <v>0.28142388463020318</v>
      </c>
      <c r="K121" s="517">
        <v>0.29044392704963684</v>
      </c>
      <c r="L121" s="644">
        <v>0.29921844601631165</v>
      </c>
      <c r="M121" s="517">
        <v>0.30776198506355279</v>
      </c>
      <c r="N121" s="517">
        <v>0.31608777642250074</v>
      </c>
      <c r="O121" s="517">
        <v>0.32420791983604436</v>
      </c>
      <c r="P121" s="517">
        <v>0.33213352560997011</v>
      </c>
    </row>
    <row r="122" spans="5:16" hidden="1">
      <c r="E122" s="1577"/>
      <c r="F122" s="502">
        <f t="shared" si="18"/>
        <v>11.196752729913593</v>
      </c>
      <c r="G122" s="507">
        <f>G121+0.5</f>
        <v>16.5</v>
      </c>
      <c r="H122" s="517">
        <v>0.26258144974708553</v>
      </c>
      <c r="I122" s="517">
        <v>0.27214229702949533</v>
      </c>
      <c r="J122" s="517">
        <v>0.28142388463020318</v>
      </c>
      <c r="K122" s="517">
        <v>0.29044392704963684</v>
      </c>
      <c r="L122" s="644">
        <v>0.29921844601631165</v>
      </c>
      <c r="M122" s="517">
        <v>0.30776198506355279</v>
      </c>
      <c r="N122" s="517">
        <v>0.31608777642250074</v>
      </c>
      <c r="O122" s="517">
        <v>0.32420791983604436</v>
      </c>
      <c r="P122" s="517">
        <v>0.33213352560997011</v>
      </c>
    </row>
    <row r="123" spans="5:16" hidden="1">
      <c r="E123" s="1577"/>
      <c r="F123" s="502">
        <f t="shared" si="18"/>
        <v>11.5360482671837</v>
      </c>
      <c r="G123" s="507">
        <f t="shared" ref="G123:G125" si="20">G122+0.5</f>
        <v>17</v>
      </c>
      <c r="H123" s="517">
        <v>0.26258144974708553</v>
      </c>
      <c r="I123" s="517">
        <v>0.27214229702949533</v>
      </c>
      <c r="J123" s="517">
        <v>0.28142388463020318</v>
      </c>
      <c r="K123" s="517">
        <v>0.29044392704963684</v>
      </c>
      <c r="L123" s="644">
        <v>0.29921844601631165</v>
      </c>
      <c r="M123" s="517">
        <v>0.30776198506355279</v>
      </c>
      <c r="N123" s="517">
        <v>0.31608777642250074</v>
      </c>
      <c r="O123" s="517">
        <v>0.32420791983604436</v>
      </c>
      <c r="P123" s="517">
        <v>0.33213352560997011</v>
      </c>
    </row>
    <row r="124" spans="5:16" hidden="1">
      <c r="E124" s="1577"/>
      <c r="F124" s="502">
        <f t="shared" si="18"/>
        <v>11.875343804453811</v>
      </c>
      <c r="G124" s="507">
        <f t="shared" si="20"/>
        <v>17.5</v>
      </c>
      <c r="H124" s="517">
        <v>0.26258144974708553</v>
      </c>
      <c r="I124" s="517">
        <v>0.27214229702949533</v>
      </c>
      <c r="J124" s="517">
        <v>0.28142388463020318</v>
      </c>
      <c r="K124" s="517">
        <v>0.29044392704963684</v>
      </c>
      <c r="L124" s="644">
        <v>0.29921844601631165</v>
      </c>
      <c r="M124" s="517">
        <v>0.30776198506355279</v>
      </c>
      <c r="N124" s="517">
        <v>0.31608777642250074</v>
      </c>
      <c r="O124" s="517">
        <v>0.32420791983604436</v>
      </c>
      <c r="P124" s="517">
        <v>0.33213352560997011</v>
      </c>
    </row>
    <row r="125" spans="5:16" hidden="1">
      <c r="E125" s="1577"/>
      <c r="F125" s="502">
        <f t="shared" si="18"/>
        <v>12.21463934172392</v>
      </c>
      <c r="G125" s="507">
        <f t="shared" si="20"/>
        <v>18</v>
      </c>
      <c r="H125" s="517">
        <v>0.26258144974708553</v>
      </c>
      <c r="I125" s="517">
        <v>0.27214229702949533</v>
      </c>
      <c r="J125" s="517">
        <v>0.28142388463020318</v>
      </c>
      <c r="K125" s="517">
        <v>0.29044392704963684</v>
      </c>
      <c r="L125" s="644">
        <v>0.29921844601631165</v>
      </c>
      <c r="M125" s="517">
        <v>0.30776198506355279</v>
      </c>
      <c r="N125" s="517">
        <v>0.31608777642250074</v>
      </c>
      <c r="O125" s="517">
        <v>0.32420791983604436</v>
      </c>
      <c r="P125" s="517">
        <v>0.33213352560997011</v>
      </c>
    </row>
    <row r="126" spans="5:16" hidden="1">
      <c r="E126" s="1578"/>
      <c r="F126" s="512" t="s">
        <v>656</v>
      </c>
      <c r="G126" s="512" t="s">
        <v>628</v>
      </c>
      <c r="H126" s="518"/>
      <c r="I126" s="519"/>
      <c r="J126" s="519"/>
      <c r="K126" s="519"/>
      <c r="L126" s="519"/>
      <c r="M126" s="519"/>
      <c r="N126" s="519"/>
      <c r="O126" s="519"/>
      <c r="P126" s="520"/>
    </row>
  </sheetData>
  <mergeCells count="6">
    <mergeCell ref="H115:P115"/>
    <mergeCell ref="E117:E126"/>
    <mergeCell ref="A1:R1"/>
    <mergeCell ref="A2:R2"/>
    <mergeCell ref="H100:P100"/>
    <mergeCell ref="E102:E111"/>
  </mergeCells>
  <phoneticPr fontId="5" type="noConversion"/>
  <conditionalFormatting sqref="H4:H5 M5 O5:R5">
    <cfRule type="containsText" dxfId="72" priority="4" operator="containsText" text="Error">
      <formula>NOT(ISERROR(SEARCH("Error",H4)))</formula>
    </cfRule>
  </conditionalFormatting>
  <conditionalFormatting sqref="H102:P110">
    <cfRule type="colorScale" priority="2">
      <colorScale>
        <cfvo type="min"/>
        <cfvo type="max"/>
        <color rgb="FFFCFCFF"/>
        <color rgb="FF63BE7B"/>
      </colorScale>
    </cfRule>
  </conditionalFormatting>
  <conditionalFormatting sqref="H117:P125">
    <cfRule type="colorScale" priority="1">
      <colorScale>
        <cfvo type="min"/>
        <cfvo type="max"/>
        <color rgb="FFFCFCFF"/>
        <color rgb="FF63BE7B"/>
      </colorScale>
    </cfRule>
  </conditionalFormatting>
  <conditionalFormatting sqref="J5:K5">
    <cfRule type="containsText" dxfId="71" priority="3" operator="containsText" text="Error">
      <formula>NOT(ISERROR(SEARCH("Error",J5)))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B1:T139"/>
  <sheetViews>
    <sheetView showGridLines="0" zoomScale="70" zoomScaleNormal="70" workbookViewId="0">
      <pane xSplit="4" ySplit="3" topLeftCell="E46" activePane="bottomRight" state="frozen"/>
      <selection pane="topRight" activeCell="D1" sqref="D1"/>
      <selection pane="bottomLeft" activeCell="A4" sqref="A4"/>
      <selection pane="bottomRight" activeCell="M40" sqref="M40"/>
    </sheetView>
  </sheetViews>
  <sheetFormatPr defaultColWidth="8.6640625" defaultRowHeight="16.5" outlineLevelCol="1"/>
  <cols>
    <col min="1" max="1" width="2.5" style="569" customWidth="1"/>
    <col min="2" max="3" width="2.5" style="1389" customWidth="1"/>
    <col min="4" max="4" width="34.08203125" style="569" customWidth="1"/>
    <col min="5" max="5" width="9.6640625" style="569" customWidth="1"/>
    <col min="6" max="8" width="9.6640625" style="569" customWidth="1" outlineLevel="1"/>
    <col min="9" max="10" width="9.6640625" style="569" customWidth="1"/>
    <col min="11" max="11" width="8.6640625" style="569"/>
    <col min="12" max="15" width="8.6640625" style="569" customWidth="1" outlineLevel="1"/>
    <col min="16" max="16" width="8.6640625" style="569"/>
    <col min="17" max="17" width="9" style="569" customWidth="1"/>
    <col min="18" max="18" width="11.4140625" style="569" customWidth="1"/>
    <col min="19" max="16384" width="8.6640625" style="569"/>
  </cols>
  <sheetData>
    <row r="1" spans="2:20"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</row>
    <row r="2" spans="2:20">
      <c r="B2" s="1390"/>
      <c r="C2" s="1390"/>
      <c r="D2" s="597"/>
      <c r="E2" s="1582">
        <v>2021</v>
      </c>
      <c r="F2" s="1582">
        <v>2022</v>
      </c>
      <c r="G2" s="1582">
        <v>2023</v>
      </c>
      <c r="H2" s="582">
        <v>2024</v>
      </c>
      <c r="I2" s="1582">
        <v>2024</v>
      </c>
      <c r="J2" s="687">
        <v>2025</v>
      </c>
      <c r="K2" s="1582">
        <v>2025</v>
      </c>
      <c r="L2" s="1582">
        <v>2026</v>
      </c>
      <c r="M2" s="1582">
        <v>2027</v>
      </c>
      <c r="N2" s="1582">
        <v>2028</v>
      </c>
      <c r="O2" s="1582">
        <v>2029</v>
      </c>
      <c r="P2" s="1582">
        <v>2030</v>
      </c>
      <c r="Q2" s="583" t="s">
        <v>777</v>
      </c>
      <c r="R2" s="583" t="s">
        <v>732</v>
      </c>
    </row>
    <row r="3" spans="2:20">
      <c r="B3" s="1390" t="s">
        <v>731</v>
      </c>
      <c r="C3" s="1390"/>
      <c r="D3" s="597"/>
      <c r="E3" s="1582"/>
      <c r="F3" s="1582"/>
      <c r="G3" s="1582"/>
      <c r="H3" s="582" t="s">
        <v>776</v>
      </c>
      <c r="I3" s="1582"/>
      <c r="J3" s="687" t="s">
        <v>978</v>
      </c>
      <c r="K3" s="1582"/>
      <c r="L3" s="1582"/>
      <c r="M3" s="1582"/>
      <c r="N3" s="1582"/>
      <c r="O3" s="1582"/>
      <c r="P3" s="1582"/>
      <c r="Q3" s="583" t="s">
        <v>356</v>
      </c>
      <c r="R3" s="583" t="s">
        <v>356</v>
      </c>
      <c r="S3" s="575"/>
    </row>
    <row r="4" spans="2:20">
      <c r="B4" s="1391" t="s">
        <v>733</v>
      </c>
      <c r="C4" s="1391"/>
      <c r="D4" s="586"/>
      <c r="E4" s="585">
        <f>集团!H23</f>
        <v>1025.8019006867896</v>
      </c>
      <c r="F4" s="585">
        <f>集团!I23</f>
        <v>1065.4784546805349</v>
      </c>
      <c r="G4" s="585">
        <f>集团!J23</f>
        <v>964.25071225071235</v>
      </c>
      <c r="H4" s="585">
        <f>集团!K23</f>
        <v>882</v>
      </c>
      <c r="I4" s="585">
        <f>集团!L23</f>
        <v>1058.2698021189528</v>
      </c>
      <c r="J4" s="585">
        <f>集团!M23</f>
        <v>616.84498319128465</v>
      </c>
      <c r="K4" s="585">
        <f>集团!N23</f>
        <v>1151.4886907542771</v>
      </c>
      <c r="L4" s="585">
        <f>集团!O23</f>
        <v>1290.0068662577848</v>
      </c>
      <c r="M4" s="585">
        <f>集团!P23</f>
        <v>1429.2016678646849</v>
      </c>
      <c r="N4" s="585">
        <f>集团!Q23</f>
        <v>1573.4186791899328</v>
      </c>
      <c r="O4" s="585">
        <f>集团!R23</f>
        <v>1740.8288120849238</v>
      </c>
      <c r="P4" s="585">
        <f>集团!S23</f>
        <v>1941.2009819748844</v>
      </c>
      <c r="Q4" s="593">
        <f>POWER(I4/E4,1/3)-1</f>
        <v>1.0441018816997216E-2</v>
      </c>
      <c r="R4" s="593">
        <f>POWER(P4/K4,1/5)-1</f>
        <v>0.11010015956847674</v>
      </c>
      <c r="T4" s="580"/>
    </row>
    <row r="5" spans="2:20">
      <c r="B5" s="1392" t="s">
        <v>735</v>
      </c>
      <c r="C5" s="1392"/>
      <c r="D5" s="587"/>
      <c r="E5" s="585">
        <f>集团!H17</f>
        <v>659.601</v>
      </c>
      <c r="F5" s="585">
        <f>集团!I17</f>
        <v>700.55499999999995</v>
      </c>
      <c r="G5" s="585">
        <f>集团!J17</f>
        <v>554.27099999999996</v>
      </c>
      <c r="H5" s="585">
        <f>集团!K17</f>
        <v>485.036</v>
      </c>
      <c r="I5" s="585">
        <f>集团!L17</f>
        <v>585.55999999999995</v>
      </c>
      <c r="J5" s="585">
        <f>集团!M17</f>
        <v>320.78877980000004</v>
      </c>
      <c r="K5" s="585">
        <f>集团!N17</f>
        <v>592.40611530021397</v>
      </c>
      <c r="L5" s="585">
        <f>集团!O17</f>
        <v>643.7493879335151</v>
      </c>
      <c r="M5" s="585">
        <f>集团!P17</f>
        <v>691.72177595893629</v>
      </c>
      <c r="N5" s="585">
        <f>集团!Q17</f>
        <v>737.51745804302163</v>
      </c>
      <c r="O5" s="585">
        <f>集团!R17</f>
        <v>795.60499515535685</v>
      </c>
      <c r="P5" s="585">
        <f>集团!S17</f>
        <v>876.00838070087991</v>
      </c>
      <c r="Q5" s="593">
        <f t="shared" ref="Q5" si="0">POWER(I5/E5,1/3)-1</f>
        <v>-3.8911533448836133E-2</v>
      </c>
      <c r="R5" s="593">
        <f>POWER(P5/K5,1/5)-1</f>
        <v>8.1378537192998479E-2</v>
      </c>
      <c r="T5" s="581"/>
    </row>
    <row r="6" spans="2:20">
      <c r="B6" s="1393" t="s">
        <v>736</v>
      </c>
      <c r="C6" s="1393"/>
      <c r="D6" s="571"/>
      <c r="E6" s="572">
        <f>美国!H76/1000</f>
        <v>362.428</v>
      </c>
      <c r="F6" s="572">
        <f>美国!I76/1000</f>
        <v>402.137</v>
      </c>
      <c r="G6" s="572">
        <f>美国!J76/1000</f>
        <v>406.39303611505005</v>
      </c>
      <c r="H6" s="572">
        <f>美国!K76/1000</f>
        <v>349.96800000000002</v>
      </c>
      <c r="I6" s="572">
        <f>美国!L76/1000</f>
        <v>431.68112995000024</v>
      </c>
      <c r="J6" s="572">
        <f>美国!M76/1000</f>
        <v>246.74758161842212</v>
      </c>
      <c r="K6" s="572">
        <f>美国!N76/1000</f>
        <v>462.41034752295411</v>
      </c>
      <c r="L6" s="572">
        <f>美国!O76/1000</f>
        <v>507.23622248883214</v>
      </c>
      <c r="M6" s="572">
        <f>美国!P76/1000</f>
        <v>549.2718812729122</v>
      </c>
      <c r="N6" s="572">
        <f>美国!Q76/1000</f>
        <v>584.8991417773492</v>
      </c>
      <c r="O6" s="572">
        <f>美国!R76/1000</f>
        <v>622.90565673366871</v>
      </c>
      <c r="P6" s="572">
        <f>美国!S76/1000</f>
        <v>663.42590337917545</v>
      </c>
      <c r="Q6" s="594">
        <f>IFERROR(POWER(I6/E6,1/3)-1,"NA")</f>
        <v>6.0019303599245566E-2</v>
      </c>
      <c r="R6" s="594">
        <f>IFERROR(POWER(P6/K6,1/5)-1,"NA")</f>
        <v>7.4862660169031425E-2</v>
      </c>
    </row>
    <row r="7" spans="2:20">
      <c r="C7" s="1394" t="s">
        <v>828</v>
      </c>
      <c r="D7" s="1384"/>
      <c r="E7" s="1314">
        <f>美国!H115/1000</f>
        <v>157.55699999999999</v>
      </c>
      <c r="F7" s="1314">
        <f>美国!I115/1000</f>
        <v>179.36</v>
      </c>
      <c r="G7" s="1314">
        <f>美国!J115/1000</f>
        <v>191.18799999999999</v>
      </c>
      <c r="H7" s="1314">
        <f>美国!K115/1000</f>
        <v>172.91900000000001</v>
      </c>
      <c r="I7" s="1314">
        <f>美国!L115/1000</f>
        <v>208.26466897000023</v>
      </c>
      <c r="J7" s="1314">
        <f>美国!M115/1000</f>
        <v>120.33344985948007</v>
      </c>
      <c r="K7" s="1314">
        <f>美国!N115/1000</f>
        <v>210.01374601281299</v>
      </c>
      <c r="L7" s="1314">
        <f>美国!O115/1000</f>
        <v>231.17776200214385</v>
      </c>
      <c r="M7" s="1314">
        <f>美国!P115/1000</f>
        <v>252.89620803232521</v>
      </c>
      <c r="N7" s="1314">
        <f>美国!Q115/1000</f>
        <v>268.48091428040453</v>
      </c>
      <c r="O7" s="1314">
        <f>美国!R115/1000</f>
        <v>285.1388454255341</v>
      </c>
      <c r="P7" s="1314">
        <f>美国!S115/1000</f>
        <v>302.95306167103109</v>
      </c>
      <c r="Q7" s="1145">
        <f t="shared" ref="Q7:Q19" si="1">IFERROR(POWER(I7/E7,1/3)-1,"NA")</f>
        <v>9.746993708464835E-2</v>
      </c>
      <c r="R7" s="1146">
        <f t="shared" ref="R7:R19" si="2">IFERROR(POWER(P7/K7,1/5)-1,"NA")</f>
        <v>7.6032837235373352E-2</v>
      </c>
    </row>
    <row r="8" spans="2:20">
      <c r="C8" s="1395" t="s">
        <v>738</v>
      </c>
      <c r="D8" s="1385"/>
      <c r="E8" s="574">
        <f>美国!H156/1000</f>
        <v>64.846000000000004</v>
      </c>
      <c r="F8" s="574">
        <f>美国!I156/1000</f>
        <v>81.302999999999997</v>
      </c>
      <c r="G8" s="574">
        <f>美国!J156/1000</f>
        <v>70.143000000000001</v>
      </c>
      <c r="H8" s="574">
        <f>美国!K156/1000</f>
        <v>55.752000000000002</v>
      </c>
      <c r="I8" s="574">
        <f>美国!L156/1000</f>
        <v>76.791350180000052</v>
      </c>
      <c r="J8" s="574">
        <f>美国!M156/1000</f>
        <v>40.847853711143998</v>
      </c>
      <c r="K8" s="574">
        <f>美国!N156/1000</f>
        <v>85.956037756874522</v>
      </c>
      <c r="L8" s="574">
        <f>美国!O156/1000</f>
        <v>93.147555389855043</v>
      </c>
      <c r="M8" s="574">
        <f>美国!P156/1000</f>
        <v>100.97307389603876</v>
      </c>
      <c r="N8" s="574">
        <f>美国!Q156/1000</f>
        <v>109.49575271241159</v>
      </c>
      <c r="O8" s="574">
        <f>美国!R156/1000</f>
        <v>118.7934252735987</v>
      </c>
      <c r="P8" s="574">
        <f>美国!S156/1000</f>
        <v>128.93994584101617</v>
      </c>
      <c r="Q8" s="1147">
        <f t="shared" si="1"/>
        <v>5.7977351135452215E-2</v>
      </c>
      <c r="R8" s="1148">
        <f t="shared" si="2"/>
        <v>8.4481677906327324E-2</v>
      </c>
    </row>
    <row r="9" spans="2:20">
      <c r="C9" s="1395" t="s">
        <v>739</v>
      </c>
      <c r="D9" s="1385"/>
      <c r="E9" s="574">
        <f>美国!H197/1000</f>
        <v>49.112000000000002</v>
      </c>
      <c r="F9" s="574">
        <f>美国!I197/1000</f>
        <v>43.45</v>
      </c>
      <c r="G9" s="574">
        <f>美国!J197/1000</f>
        <v>50.343036115050012</v>
      </c>
      <c r="H9" s="574">
        <f>美国!K197/1000</f>
        <v>49.088999999999999</v>
      </c>
      <c r="I9" s="574">
        <f>美国!L197/1000</f>
        <v>60.356157419999988</v>
      </c>
      <c r="J9" s="574">
        <f>美国!M197/1000</f>
        <v>40.898631982917991</v>
      </c>
      <c r="K9" s="1546">
        <f>美国!N197/1000</f>
        <v>77.027119518140083</v>
      </c>
      <c r="L9" s="1546">
        <f>美国!O197/1000</f>
        <v>88.358935114524556</v>
      </c>
      <c r="M9" s="1546">
        <f>美国!P197/1000</f>
        <v>95.229059196317138</v>
      </c>
      <c r="N9" s="1546">
        <f>美国!Q197/1000</f>
        <v>100.56191964592702</v>
      </c>
      <c r="O9" s="1546">
        <f>美国!R197/1000</f>
        <v>105.91857493485493</v>
      </c>
      <c r="P9" s="1546">
        <f>美国!S197/1000</f>
        <v>111.21450368159768</v>
      </c>
      <c r="Q9" s="1547">
        <f t="shared" si="1"/>
        <v>7.1136094303468678E-2</v>
      </c>
      <c r="R9" s="1548">
        <f t="shared" si="2"/>
        <v>7.6226184341427139E-2</v>
      </c>
    </row>
    <row r="10" spans="2:20">
      <c r="C10" s="1395" t="s">
        <v>740</v>
      </c>
      <c r="D10" s="1385"/>
      <c r="E10" s="574">
        <f>美国!H238/1000</f>
        <v>41.494</v>
      </c>
      <c r="F10" s="574">
        <f>美国!I238/1000</f>
        <v>42.933</v>
      </c>
      <c r="G10" s="574">
        <f>美国!J238/1000</f>
        <v>39.695</v>
      </c>
      <c r="H10" s="574">
        <f>美国!K238/1000</f>
        <v>38.673999999999999</v>
      </c>
      <c r="I10" s="574">
        <f>美国!L238/1000</f>
        <v>48.901376850000005</v>
      </c>
      <c r="J10" s="574">
        <f>美国!M238/1000</f>
        <v>26.152180677800001</v>
      </c>
      <c r="K10" s="1546">
        <f>美国!N238/1000</f>
        <v>52.265070355805932</v>
      </c>
      <c r="L10" s="1546">
        <f>美国!O238/1000</f>
        <v>56.705061772941228</v>
      </c>
      <c r="M10" s="1546">
        <f>美国!P238/1000</f>
        <v>61.549726550867774</v>
      </c>
      <c r="N10" s="1546">
        <f>美国!Q238/1000</f>
        <v>66.8375657366186</v>
      </c>
      <c r="O10" s="1546">
        <f>美国!R238/1000</f>
        <v>72.610832167477724</v>
      </c>
      <c r="P10" s="1546">
        <f>美国!S238/1000</f>
        <v>78.915900734282602</v>
      </c>
      <c r="Q10" s="1547">
        <f t="shared" si="1"/>
        <v>5.6278876504888276E-2</v>
      </c>
      <c r="R10" s="1548">
        <f t="shared" si="2"/>
        <v>8.5901906721079113E-2</v>
      </c>
    </row>
    <row r="11" spans="2:20">
      <c r="C11" s="1395" t="s">
        <v>741</v>
      </c>
      <c r="D11" s="1385"/>
      <c r="E11" s="574">
        <f>美国!H279/1000</f>
        <v>14.747</v>
      </c>
      <c r="F11" s="574">
        <f>美国!I279/1000</f>
        <v>16.199000000000002</v>
      </c>
      <c r="G11" s="574">
        <f>美国!J279/1000</f>
        <v>15.04</v>
      </c>
      <c r="H11" s="574">
        <f>美国!K279/1000</f>
        <v>12.003</v>
      </c>
      <c r="I11" s="574">
        <f>美国!L279/1000</f>
        <v>13.654464700000005</v>
      </c>
      <c r="J11" s="574">
        <f>美国!M279/1000</f>
        <v>6.6509651063999975</v>
      </c>
      <c r="K11" s="1546">
        <f>美国!N279/1000</f>
        <v>12.574106105543143</v>
      </c>
      <c r="L11" s="1546">
        <f>美国!O279/1000</f>
        <v>12.652253333288638</v>
      </c>
      <c r="M11" s="1546">
        <f>美国!P279/1000</f>
        <v>12.693874053498799</v>
      </c>
      <c r="N11" s="1546">
        <f>美国!Q279/1000</f>
        <v>12.722453614709776</v>
      </c>
      <c r="O11" s="1546">
        <f>美国!R279/1000</f>
        <v>12.737029190927377</v>
      </c>
      <c r="P11" s="1546">
        <f>美国!S279/1000</f>
        <v>12.75175052290715</v>
      </c>
      <c r="Q11" s="1547">
        <f t="shared" si="1"/>
        <v>-2.5331344857765448E-2</v>
      </c>
      <c r="R11" s="1548">
        <f t="shared" si="2"/>
        <v>2.8097258376644785E-3</v>
      </c>
    </row>
    <row r="12" spans="2:20">
      <c r="C12" s="1396" t="s">
        <v>742</v>
      </c>
      <c r="D12" s="1386"/>
      <c r="E12" s="1315">
        <f>美国!H320/1000</f>
        <v>34.671999999999997</v>
      </c>
      <c r="F12" s="1315">
        <f>美国!I320/1000</f>
        <v>38.892000000000003</v>
      </c>
      <c r="G12" s="1315">
        <f>美国!J320/1000</f>
        <v>39.984000000000002</v>
      </c>
      <c r="H12" s="1315">
        <f>美国!K320/1000</f>
        <v>21.530999999999999</v>
      </c>
      <c r="I12" s="1315">
        <f>美国!L320/1000</f>
        <v>23.713111829999924</v>
      </c>
      <c r="J12" s="1315">
        <f>美国!M320/1000</f>
        <v>11.864500280680069</v>
      </c>
      <c r="K12" s="1549">
        <f>美国!N320/1000</f>
        <v>24.574267773777425</v>
      </c>
      <c r="L12" s="1549">
        <f>美国!O320/1000</f>
        <v>25.194654876078808</v>
      </c>
      <c r="M12" s="1549">
        <f>美国!P320/1000</f>
        <v>25.929939543864542</v>
      </c>
      <c r="N12" s="1549">
        <f>美国!Q320/1000</f>
        <v>26.800535787277639</v>
      </c>
      <c r="O12" s="1549">
        <f>美国!R320/1000</f>
        <v>27.706949741275849</v>
      </c>
      <c r="P12" s="1549">
        <f>美国!S320/1000</f>
        <v>28.650740928340856</v>
      </c>
      <c r="Q12" s="1550">
        <f t="shared" si="1"/>
        <v>-0.11894459766688625</v>
      </c>
      <c r="R12" s="1551">
        <f t="shared" si="2"/>
        <v>3.1171863260643251E-2</v>
      </c>
    </row>
    <row r="13" spans="2:20">
      <c r="B13" s="1393" t="s">
        <v>743</v>
      </c>
      <c r="C13" s="1393"/>
      <c r="D13" s="571"/>
      <c r="E13" s="572">
        <f>美国!H351/1000</f>
        <v>295.685</v>
      </c>
      <c r="F13" s="572">
        <f>美国!I351/1000</f>
        <v>298.12799999999999</v>
      </c>
      <c r="G13" s="572">
        <f>美国!J351/1000</f>
        <v>163.066</v>
      </c>
      <c r="H13" s="572">
        <f>美国!K351/1000</f>
        <v>135.119</v>
      </c>
      <c r="I13" s="572">
        <f>美国!L351/1000</f>
        <v>153.57854464999997</v>
      </c>
      <c r="J13" s="572">
        <f>美国!M351/1000</f>
        <v>74.041198199999997</v>
      </c>
      <c r="K13" s="1552">
        <f>美国!N351/1000</f>
        <v>129.9957677772598</v>
      </c>
      <c r="L13" s="1552">
        <f>美国!O351/1000</f>
        <v>131.56316544468297</v>
      </c>
      <c r="M13" s="1552">
        <f>美国!P351/1000</f>
        <v>132.54989468602415</v>
      </c>
      <c r="N13" s="1552">
        <f>美国!Q351/1000</f>
        <v>132.81831626567245</v>
      </c>
      <c r="O13" s="1552">
        <f>美国!R351/1000</f>
        <v>133.09933842168803</v>
      </c>
      <c r="P13" s="1552">
        <f>美国!S351/1000</f>
        <v>133.38247732170453</v>
      </c>
      <c r="Q13" s="1553">
        <f t="shared" si="1"/>
        <v>-0.19616468022353994</v>
      </c>
      <c r="R13" s="1553">
        <f t="shared" si="2"/>
        <v>5.1570271391634392E-3</v>
      </c>
    </row>
    <row r="14" spans="2:20">
      <c r="C14" s="1394" t="s">
        <v>744</v>
      </c>
      <c r="D14" s="1384"/>
      <c r="E14" s="1314">
        <f>美国!H390/1000</f>
        <v>152.691</v>
      </c>
      <c r="F14" s="1314">
        <f>美国!I390/1000</f>
        <v>153.08500000000001</v>
      </c>
      <c r="G14" s="1314">
        <f>美国!J390/1000</f>
        <v>75.840999999999994</v>
      </c>
      <c r="H14" s="1314">
        <f>美国!K390/1000</f>
        <v>91.498999999999995</v>
      </c>
      <c r="I14" s="1314">
        <f>美国!L390/1000</f>
        <v>106.54956837999997</v>
      </c>
      <c r="J14" s="1314">
        <f>美国!M390/1000</f>
        <v>58.784274920000001</v>
      </c>
      <c r="K14" s="1554">
        <f>美国!N390/1000</f>
        <v>100.50979920568555</v>
      </c>
      <c r="L14" s="1554">
        <f>美国!O390/1000</f>
        <v>100.50979920568555</v>
      </c>
      <c r="M14" s="1554">
        <f>美国!P390/1000</f>
        <v>100.50979920568555</v>
      </c>
      <c r="N14" s="1554">
        <f>美国!Q390/1000</f>
        <v>100.50979920568555</v>
      </c>
      <c r="O14" s="1554">
        <f>美国!R390/1000</f>
        <v>100.50979920568555</v>
      </c>
      <c r="P14" s="1554">
        <f>美国!S390/1000</f>
        <v>100.50979920568555</v>
      </c>
      <c r="Q14" s="1555">
        <f t="shared" si="1"/>
        <v>-0.11302219651449552</v>
      </c>
      <c r="R14" s="1556">
        <f t="shared" si="2"/>
        <v>0</v>
      </c>
    </row>
    <row r="15" spans="2:20">
      <c r="C15" s="1395" t="s">
        <v>745</v>
      </c>
      <c r="D15" s="1385"/>
      <c r="E15" s="574">
        <f>美国!H431/1000</f>
        <v>63.113</v>
      </c>
      <c r="F15" s="574">
        <f>美国!I431/1000</f>
        <v>80.787000000000006</v>
      </c>
      <c r="G15" s="574">
        <f>美国!J431/1000</f>
        <v>63.984999999999999</v>
      </c>
      <c r="H15" s="574">
        <f>美国!K431/1000</f>
        <v>23.946000000000002</v>
      </c>
      <c r="I15" s="574">
        <f>美国!L431/1000</f>
        <v>24.543552389999999</v>
      </c>
      <c r="J15" s="574">
        <f>美国!M431/1000</f>
        <v>2.3000617400000003</v>
      </c>
      <c r="K15" s="1546">
        <f>美国!N431/1000</f>
        <v>5.1906411365623715</v>
      </c>
      <c r="L15" s="1546">
        <f>美国!O431/1000</f>
        <v>5.1906411365623715</v>
      </c>
      <c r="M15" s="1546">
        <f>美国!P431/1000</f>
        <v>5.1906411365623715</v>
      </c>
      <c r="N15" s="1546">
        <f>美国!Q431/1000</f>
        <v>5.1906411365623715</v>
      </c>
      <c r="O15" s="1546">
        <f>美国!R431/1000</f>
        <v>5.1906411365623715</v>
      </c>
      <c r="P15" s="1546">
        <f>美国!S431/1000</f>
        <v>5.1906411365623715</v>
      </c>
      <c r="Q15" s="1547">
        <f t="shared" si="1"/>
        <v>-0.2700840298483157</v>
      </c>
      <c r="R15" s="1548">
        <f t="shared" si="2"/>
        <v>0</v>
      </c>
    </row>
    <row r="16" spans="2:20">
      <c r="C16" s="1395" t="s">
        <v>746</v>
      </c>
      <c r="D16" s="1385"/>
      <c r="E16" s="574">
        <f>美国!H472/1000</f>
        <v>37.348999999999997</v>
      </c>
      <c r="F16" s="574">
        <f>美国!I472/1000</f>
        <v>21.652000000000001</v>
      </c>
      <c r="G16" s="574">
        <f>美国!J472/1000</f>
        <v>8.5020000000000007</v>
      </c>
      <c r="H16" s="574">
        <f>美国!K472/1000</f>
        <v>8.3919999999999995</v>
      </c>
      <c r="I16" s="574">
        <f>美国!L472/1000</f>
        <v>9.5664479899999986</v>
      </c>
      <c r="J16" s="574">
        <f>美国!M472/1000</f>
        <v>1.4880971800000002</v>
      </c>
      <c r="K16" s="1546">
        <f>美国!N472/1000</f>
        <v>2.8595866330421349</v>
      </c>
      <c r="L16" s="1546">
        <f>美国!O472/1000</f>
        <v>2.9246710632683222</v>
      </c>
      <c r="M16" s="1546">
        <f>美国!P472/1000</f>
        <v>2.989755493494509</v>
      </c>
      <c r="N16" s="1546">
        <f>美国!Q472/1000</f>
        <v>3.048331480698077</v>
      </c>
      <c r="O16" s="1546">
        <f>美国!R472/1000</f>
        <v>3.0990973362745029</v>
      </c>
      <c r="P16" s="1546">
        <f>美国!S472/1000</f>
        <v>3.129556849620359</v>
      </c>
      <c r="Q16" s="1547">
        <f t="shared" si="1"/>
        <v>-0.36492661548639538</v>
      </c>
      <c r="R16" s="1548">
        <f t="shared" si="2"/>
        <v>1.820662239894455E-2</v>
      </c>
    </row>
    <row r="17" spans="2:19">
      <c r="C17" s="1395" t="s">
        <v>747</v>
      </c>
      <c r="D17" s="1385"/>
      <c r="E17" s="574">
        <f>美国!H513/1000</f>
        <v>16.38</v>
      </c>
      <c r="F17" s="574">
        <f>美国!I513/1000</f>
        <v>21.373999999999999</v>
      </c>
      <c r="G17" s="574">
        <f>美国!J513/1000</f>
        <v>6.75</v>
      </c>
      <c r="H17" s="574">
        <f>美国!K513/1000</f>
        <v>6.5670000000000002</v>
      </c>
      <c r="I17" s="574">
        <f>美国!L513/1000</f>
        <v>7.7659503299999999</v>
      </c>
      <c r="J17" s="574">
        <f>美国!M513/1000</f>
        <v>8.8605518100000005</v>
      </c>
      <c r="K17" s="1546">
        <f>美国!N513/1000</f>
        <v>15.127232371969736</v>
      </c>
      <c r="L17" s="1546">
        <f>美国!O513/1000</f>
        <v>16.629545609166712</v>
      </c>
      <c r="M17" s="1546">
        <f>美国!P513/1000</f>
        <v>17.551190420281731</v>
      </c>
      <c r="N17" s="1546">
        <f>美国!Q513/1000</f>
        <v>17.761036012726446</v>
      </c>
      <c r="O17" s="1546">
        <f>美国!R513/1000</f>
        <v>17.991292313165637</v>
      </c>
      <c r="P17" s="1546">
        <f>美国!S513/1000</f>
        <v>18.243971699836237</v>
      </c>
      <c r="Q17" s="1547">
        <f t="shared" si="1"/>
        <v>-0.22024128559037548</v>
      </c>
      <c r="R17" s="1548">
        <f t="shared" si="2"/>
        <v>3.8178384428138479E-2</v>
      </c>
    </row>
    <row r="18" spans="2:19">
      <c r="C18" s="1395" t="s">
        <v>748</v>
      </c>
      <c r="D18" s="1385"/>
      <c r="E18" s="574">
        <f>美国!H554/1000</f>
        <v>4.6070000000000002</v>
      </c>
      <c r="F18" s="574">
        <f>美国!I554/1000</f>
        <v>8.51</v>
      </c>
      <c r="G18" s="574">
        <f>美国!J554/1000</f>
        <v>3.5539999999999998</v>
      </c>
      <c r="H18" s="574">
        <f>美国!K554/1000</f>
        <v>2.6760000000000002</v>
      </c>
      <c r="I18" s="574">
        <f>美国!L554/1000</f>
        <v>2.8420598199999993</v>
      </c>
      <c r="J18" s="574">
        <f>美国!M554/1000</f>
        <v>0.69204336</v>
      </c>
      <c r="K18" s="1546">
        <f>美国!N554/1000</f>
        <v>2.8420598199999993</v>
      </c>
      <c r="L18" s="1546">
        <f>美国!O554/1000</f>
        <v>2.8420598199999993</v>
      </c>
      <c r="M18" s="1546">
        <f>美国!P554/1000</f>
        <v>2.8420598199999993</v>
      </c>
      <c r="N18" s="1546">
        <f>美国!Q554/1000</f>
        <v>2.8420598199999993</v>
      </c>
      <c r="O18" s="1546">
        <f>美国!R554/1000</f>
        <v>2.8420598199999993</v>
      </c>
      <c r="P18" s="1546">
        <f>美国!S554/1000</f>
        <v>2.8420598199999993</v>
      </c>
      <c r="Q18" s="1547">
        <f t="shared" si="1"/>
        <v>-0.14872149495903486</v>
      </c>
      <c r="R18" s="1548">
        <f t="shared" si="2"/>
        <v>0</v>
      </c>
    </row>
    <row r="19" spans="2:19">
      <c r="C19" s="1396" t="s">
        <v>749</v>
      </c>
      <c r="D19" s="1386"/>
      <c r="E19" s="1315">
        <f>美国!H595/1000</f>
        <v>21.545000000000002</v>
      </c>
      <c r="F19" s="1315">
        <f>美国!I595/1000</f>
        <v>12.72</v>
      </c>
      <c r="G19" s="1315">
        <f>美国!J595/1000</f>
        <v>4.4340000000000002</v>
      </c>
      <c r="H19" s="1315">
        <f>美国!K595/1000</f>
        <v>2.0390000000000001</v>
      </c>
      <c r="I19" s="1315">
        <f>美国!L595/1000</f>
        <v>2.3109657399999999</v>
      </c>
      <c r="J19" s="1315">
        <f>美国!M595/1000</f>
        <v>1.9161691899999997</v>
      </c>
      <c r="K19" s="1549">
        <f>美国!N595/1000</f>
        <v>3.46644861</v>
      </c>
      <c r="L19" s="1549">
        <f>美国!O595/1000</f>
        <v>3.46644861</v>
      </c>
      <c r="M19" s="1549">
        <f>美国!P595/1000</f>
        <v>3.46644861</v>
      </c>
      <c r="N19" s="1549">
        <f>美国!Q595/1000</f>
        <v>3.46644861</v>
      </c>
      <c r="O19" s="1549">
        <f>美国!R595/1000</f>
        <v>3.46644861</v>
      </c>
      <c r="P19" s="1549">
        <f>美国!S595/1000</f>
        <v>3.46644861</v>
      </c>
      <c r="Q19" s="1550">
        <f t="shared" si="1"/>
        <v>-0.52486648087194976</v>
      </c>
      <c r="R19" s="1551">
        <f t="shared" si="2"/>
        <v>0</v>
      </c>
    </row>
    <row r="20" spans="2:19">
      <c r="B20" s="1393" t="s">
        <v>779</v>
      </c>
      <c r="C20" s="1393"/>
      <c r="D20" s="571"/>
      <c r="E20" s="574">
        <f>美国!H618/1000</f>
        <v>0</v>
      </c>
      <c r="F20" s="574">
        <f>美国!I618/1000</f>
        <v>0</v>
      </c>
      <c r="G20" s="574">
        <f>美国!J618/1000</f>
        <v>15</v>
      </c>
      <c r="H20" s="574">
        <f>美国!K618/1000</f>
        <v>0</v>
      </c>
      <c r="I20" s="574">
        <f>美国!L618/1000</f>
        <v>0</v>
      </c>
      <c r="J20" s="574">
        <f>美国!M618/1000</f>
        <v>0</v>
      </c>
      <c r="K20" s="1546">
        <f>美国!N618/1000</f>
        <v>0</v>
      </c>
      <c r="L20" s="1546">
        <f>美国!O618/1000</f>
        <v>5</v>
      </c>
      <c r="M20" s="1546">
        <f>美国!P618/1000</f>
        <v>10</v>
      </c>
      <c r="N20" s="1546">
        <f>美国!Q618/1000</f>
        <v>20</v>
      </c>
      <c r="O20" s="1546">
        <f>美国!R618/1000</f>
        <v>40</v>
      </c>
      <c r="P20" s="1546">
        <f>美国!S618/1000</f>
        <v>80</v>
      </c>
      <c r="Q20" s="1557" t="str">
        <f t="shared" ref="Q20" si="3">IFERROR(POWER(I20/E20,1/3)-1,"NA")</f>
        <v>NA</v>
      </c>
      <c r="R20" s="1557" t="str">
        <f>IFERROR(POWER(P20/K20,1/5)-1,"NA")</f>
        <v>NA</v>
      </c>
    </row>
    <row r="21" spans="2:19">
      <c r="B21" s="1392" t="s">
        <v>750</v>
      </c>
      <c r="C21" s="1392"/>
      <c r="D21" s="587"/>
      <c r="E21" s="585">
        <f>集团!H18</f>
        <v>224.35545154488941</v>
      </c>
      <c r="F21" s="585">
        <f>集团!I18</f>
        <v>246.82576581362119</v>
      </c>
      <c r="G21" s="585">
        <f>集团!J18</f>
        <v>256.76242471370909</v>
      </c>
      <c r="H21" s="585">
        <f>集团!K18</f>
        <v>281.01007042253519</v>
      </c>
      <c r="I21" s="585">
        <f>集团!L18</f>
        <v>340.42411777294024</v>
      </c>
      <c r="J21" s="585">
        <f>集团!M18</f>
        <v>200.35543606431332</v>
      </c>
      <c r="K21" s="1558">
        <f>集团!N18</f>
        <v>351.14744413618268</v>
      </c>
      <c r="L21" s="1558">
        <f>集团!O18</f>
        <v>401.70700658586446</v>
      </c>
      <c r="M21" s="1558">
        <f>集团!P18</f>
        <v>459.6502620613573</v>
      </c>
      <c r="N21" s="1558">
        <f>集团!Q18</f>
        <v>523.2372703941187</v>
      </c>
      <c r="O21" s="1558">
        <f>集团!R18</f>
        <v>593.19144900048411</v>
      </c>
      <c r="P21" s="1558">
        <f>集团!S18</f>
        <v>665.79561578428547</v>
      </c>
      <c r="Q21" s="1559">
        <f t="shared" ref="Q21" si="4">POWER(I21/E21,1/3)-1</f>
        <v>0.14910901365380846</v>
      </c>
      <c r="R21" s="1559">
        <f>POWER(P21/K21,1/5)-1</f>
        <v>0.13650220814374547</v>
      </c>
      <c r="S21" s="1421"/>
    </row>
    <row r="22" spans="2:19" s="575" customFormat="1">
      <c r="B22" s="1393" t="s">
        <v>751</v>
      </c>
      <c r="C22" s="1393"/>
      <c r="D22" s="571"/>
      <c r="E22" s="572">
        <f>集团!H38</f>
        <v>195.25029364525682</v>
      </c>
      <c r="F22" s="572">
        <f>集团!I38</f>
        <v>211.48000058330919</v>
      </c>
      <c r="G22" s="572">
        <f>集团!J38</f>
        <v>229.41863553991996</v>
      </c>
      <c r="H22" s="572">
        <f>集团!K38</f>
        <v>254.91500000000002</v>
      </c>
      <c r="I22" s="572">
        <f>集团!L38</f>
        <v>308.17399164479406</v>
      </c>
      <c r="J22" s="572">
        <f>集团!M38</f>
        <v>167.37715487752038</v>
      </c>
      <c r="K22" s="1552">
        <f>集团!N38</f>
        <v>295.36291038870047</v>
      </c>
      <c r="L22" s="1552">
        <f>集团!O38</f>
        <v>338.087222014779</v>
      </c>
      <c r="M22" s="1552">
        <f>集团!P38</f>
        <v>387.25225150616046</v>
      </c>
      <c r="N22" s="1552">
        <f>集团!Q38</f>
        <v>440.85163263971521</v>
      </c>
      <c r="O22" s="1552">
        <f>集团!R38</f>
        <v>499.37575875575868</v>
      </c>
      <c r="P22" s="1552">
        <f>集团!S38</f>
        <v>558.87124964434747</v>
      </c>
      <c r="Q22" s="1553">
        <f t="shared" ref="Q22" si="5">IFERROR(POWER(I22/E22,1/3)-1,"NA")</f>
        <v>0.16430857493211826</v>
      </c>
      <c r="R22" s="1553">
        <f t="shared" ref="R22" si="6">IFERROR(POWER(P22/K22,1/5)-1,"NA")</f>
        <v>0.13603356191782456</v>
      </c>
    </row>
    <row r="23" spans="2:19">
      <c r="B23" s="1397" t="s">
        <v>752</v>
      </c>
      <c r="C23" s="1397"/>
      <c r="D23" s="573"/>
      <c r="E23" s="574">
        <f>集团!H33</f>
        <v>101.54520388043969</v>
      </c>
      <c r="F23" s="574">
        <f>集团!I33</f>
        <v>104.87117384843982</v>
      </c>
      <c r="G23" s="574">
        <f>集团!J33</f>
        <v>101.49863791452991</v>
      </c>
      <c r="H23" s="574">
        <f>集团!K33</f>
        <v>119.29838028169014</v>
      </c>
      <c r="I23" s="574">
        <f>集团!L33</f>
        <v>145.12678107937671</v>
      </c>
      <c r="J23" s="574">
        <f>集团!M33</f>
        <v>60.699922282358514</v>
      </c>
      <c r="K23" s="1546">
        <f>集团!N33</f>
        <v>98.637920977281752</v>
      </c>
      <c r="L23" s="1546">
        <f>集团!O33</f>
        <v>89.428171648742165</v>
      </c>
      <c r="M23" s="1546">
        <f>集团!P33</f>
        <v>85.930801231694801</v>
      </c>
      <c r="N23" s="1546">
        <f>集团!Q33</f>
        <v>84.780630495694979</v>
      </c>
      <c r="O23" s="1546">
        <f>集团!R33</f>
        <v>84.548075914006247</v>
      </c>
      <c r="P23" s="1546">
        <f>集团!S33</f>
        <v>84.642785253618598</v>
      </c>
      <c r="Q23" s="1557">
        <f t="shared" ref="Q23:Q53" si="7">IFERROR(POWER(I23/E23,1/3)-1,"NA")</f>
        <v>0.12640883688173976</v>
      </c>
      <c r="R23" s="1557">
        <f t="shared" ref="R23:R53" si="8">IFERROR(POWER(P23/K23,1/5)-1,"NA")</f>
        <v>-3.0139644670611032E-2</v>
      </c>
    </row>
    <row r="24" spans="2:19" s="1151" customFormat="1">
      <c r="C24" s="1398" t="s">
        <v>1161</v>
      </c>
      <c r="D24" s="1387"/>
      <c r="E24" s="1149">
        <f>中国!H106/集团!H9/1000</f>
        <v>86.471951473574876</v>
      </c>
      <c r="F24" s="1149">
        <f>中国!I106/集团!I9/1000</f>
        <v>94.994502228826136</v>
      </c>
      <c r="G24" s="1149">
        <f>中国!J106/集团!J9/1000</f>
        <v>85.989549595441602</v>
      </c>
      <c r="H24" s="1149">
        <f>中国!K106/集团!K9/1000</f>
        <v>102.00753521126761</v>
      </c>
      <c r="I24" s="1149">
        <f>中国!L106/集团!L9/1000</f>
        <v>124.02503240091939</v>
      </c>
      <c r="J24" s="1149">
        <f>中国!M106/集团!M9/1000</f>
        <v>50.133020344822768</v>
      </c>
      <c r="K24" s="1560">
        <f>中国!N106/集团!N9/1000</f>
        <v>76.756730068389345</v>
      </c>
      <c r="L24" s="1560">
        <f>中国!O106/集团!O9/1000</f>
        <v>66.638031851669822</v>
      </c>
      <c r="M24" s="1560">
        <f>中国!P106/集团!P9/1000</f>
        <v>61.068485479715214</v>
      </c>
      <c r="N24" s="1560">
        <f>中国!Q106/集团!Q9/1000</f>
        <v>57.352875588432994</v>
      </c>
      <c r="O24" s="1560">
        <f>中国!R106/集团!R9/1000</f>
        <v>55.018496879979985</v>
      </c>
      <c r="P24" s="1560">
        <f>中国!S106/集团!S9/1000</f>
        <v>52.800837106949608</v>
      </c>
      <c r="Q24" s="1561">
        <f t="shared" si="7"/>
        <v>0.12774617564838109</v>
      </c>
      <c r="R24" s="1562">
        <f t="shared" si="8"/>
        <v>-7.2092107770620806E-2</v>
      </c>
    </row>
    <row r="25" spans="2:19" s="1151" customFormat="1">
      <c r="C25" s="1399" t="s">
        <v>1162</v>
      </c>
      <c r="D25" s="1320"/>
      <c r="E25" s="577">
        <f>中国!H145/集团!H9/1000</f>
        <v>13.415500054261042</v>
      </c>
      <c r="F25" s="577">
        <f>中国!I145/集团!I9/1000</f>
        <v>7.2861812778603259</v>
      </c>
      <c r="G25" s="577">
        <f>中国!J145/集团!J9/1000</f>
        <v>11.702564102564104</v>
      </c>
      <c r="H25" s="577">
        <f>中国!K145/集团!K9/1000</f>
        <v>11.735070422535211</v>
      </c>
      <c r="I25" s="577">
        <f>中国!L145/集团!L9/1000</f>
        <v>13.960171852402041</v>
      </c>
      <c r="J25" s="577">
        <f>中国!M145/集团!M9/1000</f>
        <v>6.5369165855291627</v>
      </c>
      <c r="K25" s="1563">
        <f>中国!N145/集团!N9/1000</f>
        <v>12.96421735691224</v>
      </c>
      <c r="L25" s="1563">
        <f>中国!O145/集团!O9/1000</f>
        <v>13.052843958798027</v>
      </c>
      <c r="M25" s="1563">
        <f>中国!P145/集团!P9/1000</f>
        <v>14.103434573676408</v>
      </c>
      <c r="N25" s="1563">
        <f>中国!Q145/集团!Q9/1000</f>
        <v>15.321691420889184</v>
      </c>
      <c r="O25" s="1563">
        <f>中国!R145/集团!R9/1000</f>
        <v>16.342451314228107</v>
      </c>
      <c r="P25" s="1563">
        <f>中国!S145/集团!S9/1000</f>
        <v>17.465649770102932</v>
      </c>
      <c r="Q25" s="1564">
        <f t="shared" si="7"/>
        <v>1.3354265102670348E-2</v>
      </c>
      <c r="R25" s="1565">
        <f t="shared" si="8"/>
        <v>6.1421031489803379E-2</v>
      </c>
    </row>
    <row r="26" spans="2:19" s="1151" customFormat="1">
      <c r="C26" s="1399" t="s">
        <v>1163</v>
      </c>
      <c r="D26" s="1320"/>
      <c r="E26" s="577">
        <f>中国!H184/集团!H9/1000</f>
        <v>0</v>
      </c>
      <c r="F26" s="577">
        <f>中国!I184/集团!I9/1000</f>
        <v>0.15720653789004455</v>
      </c>
      <c r="G26" s="577">
        <f>中国!J184/集团!J9/1000</f>
        <v>2.0727635327635325</v>
      </c>
      <c r="H26" s="577">
        <f>中国!K184/集团!K9/1000</f>
        <v>3.8592957746478875</v>
      </c>
      <c r="I26" s="577">
        <f>中国!L184/集团!L9/1000</f>
        <v>4.7709558046975733</v>
      </c>
      <c r="J26" s="577">
        <f>中国!M184/集团!M9/1000</f>
        <v>3.4555560378858692</v>
      </c>
      <c r="K26" s="1563">
        <f>中国!N184/集团!N9/1000</f>
        <v>6.3857266114468025</v>
      </c>
      <c r="L26" s="1563">
        <f>中国!O184/集团!O9/1000</f>
        <v>7.773838822777833</v>
      </c>
      <c r="M26" s="1563">
        <f>中国!P184/集团!P9/1000</f>
        <v>8.9282935825585117</v>
      </c>
      <c r="N26" s="1563">
        <f>中国!Q184/集团!Q9/1000</f>
        <v>10.273607993817841</v>
      </c>
      <c r="O26" s="1563">
        <f>中国!R184/集团!R9/1000</f>
        <v>11.300968793199624</v>
      </c>
      <c r="P26" s="1563">
        <f>中国!S184/集团!S9/1000</f>
        <v>12.431065672519589</v>
      </c>
      <c r="Q26" s="1564" t="str">
        <f t="shared" si="7"/>
        <v>NA</v>
      </c>
      <c r="R26" s="1565">
        <f t="shared" si="8"/>
        <v>0.14250894216804499</v>
      </c>
    </row>
    <row r="27" spans="2:19" s="1151" customFormat="1">
      <c r="C27" s="1399" t="s">
        <v>1164</v>
      </c>
      <c r="D27" s="1320"/>
      <c r="E27" s="577">
        <f>中国!H223/集团!H9/1000</f>
        <v>1.4724896516441095</v>
      </c>
      <c r="F27" s="577">
        <f>中国!I223/集团!I9/1000</f>
        <v>2.3347696879643385</v>
      </c>
      <c r="G27" s="577">
        <f>中国!J223/集团!J9/1000</f>
        <v>1.5740740740740742</v>
      </c>
      <c r="H27" s="577">
        <f>中国!K223/集团!K9/1000</f>
        <v>1.5754929577464789</v>
      </c>
      <c r="I27" s="577">
        <f>中国!L223/集团!L9/1000</f>
        <v>2.2503221270811147</v>
      </c>
      <c r="J27" s="577">
        <f>中国!M223/集团!M9/1000</f>
        <v>0.41774084308610815</v>
      </c>
      <c r="K27" s="1563">
        <f>中国!N223/集团!N9/1000</f>
        <v>2.2917667441294687</v>
      </c>
      <c r="L27" s="1563">
        <f>中国!O223/集团!O9/1000</f>
        <v>1.6042367208906283</v>
      </c>
      <c r="M27" s="1563">
        <f>中国!P223/集团!P9/1000</f>
        <v>1.3636012127570341</v>
      </c>
      <c r="N27" s="1563">
        <f>中国!Q223/集团!Q9/1000</f>
        <v>1.2954211521191821</v>
      </c>
      <c r="O27" s="1563">
        <f>中国!R223/集团!R9/1000</f>
        <v>1.2954211521191821</v>
      </c>
      <c r="P27" s="1563">
        <f>中国!S223/集团!S9/1000</f>
        <v>1.2954211521191821</v>
      </c>
      <c r="Q27" s="1564">
        <f t="shared" si="7"/>
        <v>0.15185411917650082</v>
      </c>
      <c r="R27" s="1565">
        <f t="shared" si="8"/>
        <v>-0.10782897575586636</v>
      </c>
    </row>
    <row r="28" spans="2:19" s="1151" customFormat="1">
      <c r="C28" s="1400" t="s">
        <v>1165</v>
      </c>
      <c r="D28" s="1388"/>
      <c r="E28" s="1150">
        <f>中国!H262/集团!H9/1000</f>
        <v>0.18526270095964528</v>
      </c>
      <c r="F28" s="1150">
        <f>中国!I262/集团!I9/1000</f>
        <v>9.8514115898959878E-2</v>
      </c>
      <c r="G28" s="1150">
        <f>中国!J262/集团!J9/1000</f>
        <v>0.15968660968660969</v>
      </c>
      <c r="H28" s="1150">
        <f>中国!K262/集团!K9/1000</f>
        <v>0.12098591549295776</v>
      </c>
      <c r="I28" s="1150">
        <f>中国!L262/集团!L9/1000</f>
        <v>0.12029889427658502</v>
      </c>
      <c r="J28" s="1150">
        <f>中国!M262/集团!M9/1000</f>
        <v>0.15668847103460781</v>
      </c>
      <c r="K28" s="1566">
        <f>中国!N262/集团!N9/1000</f>
        <v>0.23948019640391136</v>
      </c>
      <c r="L28" s="1566">
        <f>中国!O262/集团!O9/1000</f>
        <v>0.35922029460586696</v>
      </c>
      <c r="M28" s="1566">
        <f>中国!P262/集团!P9/1000</f>
        <v>0.46698638298762718</v>
      </c>
      <c r="N28" s="1566">
        <f>中国!Q262/集团!Q9/1000</f>
        <v>0.53703434043577114</v>
      </c>
      <c r="O28" s="1566">
        <f>中国!R262/集团!R9/1000</f>
        <v>0.59073777447934828</v>
      </c>
      <c r="P28" s="1566">
        <f>中国!S262/集团!S9/1000</f>
        <v>0.64981155192728313</v>
      </c>
      <c r="Q28" s="1567">
        <f t="shared" si="7"/>
        <v>-0.13405319391656123</v>
      </c>
      <c r="R28" s="1568">
        <f t="shared" si="8"/>
        <v>0.22096598314930049</v>
      </c>
    </row>
    <row r="29" spans="2:19">
      <c r="B29" s="1397" t="s">
        <v>753</v>
      </c>
      <c r="C29" s="1397"/>
      <c r="D29" s="573"/>
      <c r="E29" s="574">
        <f>集团!H34</f>
        <v>9.9666682169821552</v>
      </c>
      <c r="F29" s="574">
        <f>集团!I34</f>
        <v>10.355126300148587</v>
      </c>
      <c r="G29" s="574">
        <f>集团!J34</f>
        <v>9.5740740740740744</v>
      </c>
      <c r="H29" s="574">
        <f>集团!K34</f>
        <v>4.7573239436619721</v>
      </c>
      <c r="I29" s="574">
        <f>集团!L34</f>
        <v>5.4257525646056397</v>
      </c>
      <c r="J29" s="574">
        <f>集团!M34</f>
        <v>3.1352090278843336</v>
      </c>
      <c r="K29" s="1546">
        <f>集团!N34</f>
        <v>5.4005495961723557</v>
      </c>
      <c r="L29" s="1546">
        <f>集团!O34</f>
        <v>5.4005495961723557</v>
      </c>
      <c r="M29" s="1546">
        <f>集团!P34</f>
        <v>5.4005495961723557</v>
      </c>
      <c r="N29" s="1546">
        <f>集团!Q34</f>
        <v>5.4005495961723557</v>
      </c>
      <c r="O29" s="1546">
        <f>集团!R34</f>
        <v>5.4005495961723557</v>
      </c>
      <c r="P29" s="1546">
        <f>集团!S34</f>
        <v>5.4005495961723557</v>
      </c>
      <c r="Q29" s="1557">
        <f t="shared" si="7"/>
        <v>-0.1834740447322416</v>
      </c>
      <c r="R29" s="1557">
        <f t="shared" si="8"/>
        <v>0</v>
      </c>
    </row>
    <row r="30" spans="2:19">
      <c r="B30" s="1397" t="s">
        <v>754</v>
      </c>
      <c r="C30" s="1397"/>
      <c r="D30" s="573"/>
      <c r="E30" s="574">
        <f>集团!H35</f>
        <v>27.261827862269968</v>
      </c>
      <c r="F30" s="574">
        <f>集团!I35</f>
        <v>40.663594859683649</v>
      </c>
      <c r="G30" s="574">
        <f>集团!J35</f>
        <v>64.243216998609412</v>
      </c>
      <c r="H30" s="574">
        <f>集团!K35</f>
        <v>73.839295774647894</v>
      </c>
      <c r="I30" s="574">
        <f>集团!L35</f>
        <v>88.265892612126748</v>
      </c>
      <c r="J30" s="574">
        <f>集团!M35</f>
        <v>57.238345277721258</v>
      </c>
      <c r="K30" s="1546">
        <f>集团!N35</f>
        <v>110.77104652561361</v>
      </c>
      <c r="L30" s="1546">
        <f>集团!O35</f>
        <v>143.34841504116056</v>
      </c>
      <c r="M30" s="1546">
        <f>集团!P35</f>
        <v>176.12853860594251</v>
      </c>
      <c r="N30" s="1546">
        <f>集团!Q35</f>
        <v>211.32802499130636</v>
      </c>
      <c r="O30" s="1546">
        <f>集团!R35</f>
        <v>250.11312257814203</v>
      </c>
      <c r="P30" s="1546">
        <f>集团!S35</f>
        <v>288.92717408368657</v>
      </c>
      <c r="Q30" s="1557">
        <f t="shared" si="7"/>
        <v>0.47937854314164952</v>
      </c>
      <c r="R30" s="1557">
        <f t="shared" si="8"/>
        <v>0.21135776128361261</v>
      </c>
    </row>
    <row r="31" spans="2:19">
      <c r="C31" s="1405" t="s">
        <v>1166</v>
      </c>
      <c r="D31" s="1406"/>
      <c r="E31" s="1314">
        <f>中国!H367/1000/集团!H9</f>
        <v>4.7155179604049406</v>
      </c>
      <c r="F31" s="1314">
        <f>中国!I367/1000/集团!I9</f>
        <v>10.950774509658242</v>
      </c>
      <c r="G31" s="1314">
        <f>中国!J367/1000/集团!J9</f>
        <v>19.370456294367802</v>
      </c>
      <c r="H31" s="1314">
        <f>中国!K367/1000/集团!K9</f>
        <v>26.39197183098592</v>
      </c>
      <c r="I31" s="1314">
        <f>中国!L367/1000/集团!L9</f>
        <v>30.705017873759733</v>
      </c>
      <c r="J31" s="1314">
        <f>中国!M367/1000/集团!M9</f>
        <v>19.033977746934678</v>
      </c>
      <c r="K31" s="1554">
        <f>中国!N367/1000/集团!N9</f>
        <v>37.331337137604962</v>
      </c>
      <c r="L31" s="1554">
        <f>中国!O367/1000/集团!O9</f>
        <v>48.860189424143776</v>
      </c>
      <c r="M31" s="1554">
        <f>中国!P367/1000/集团!P9</f>
        <v>59.376068159106275</v>
      </c>
      <c r="N31" s="1554">
        <f>中国!Q367/1000/集团!Q9</f>
        <v>69.290862499746183</v>
      </c>
      <c r="O31" s="1554">
        <f>中国!R367/1000/集团!R9</f>
        <v>78.554988760019782</v>
      </c>
      <c r="P31" s="1554">
        <f>中国!S367/1000/集团!S9</f>
        <v>86.410487636021784</v>
      </c>
      <c r="Q31" s="1555">
        <f t="shared" si="7"/>
        <v>0.86735397469348818</v>
      </c>
      <c r="R31" s="1556">
        <f t="shared" si="8"/>
        <v>0.18276531997730516</v>
      </c>
    </row>
    <row r="32" spans="2:19">
      <c r="C32" s="1407" t="s">
        <v>1167</v>
      </c>
      <c r="D32" s="1408"/>
      <c r="E32" s="574">
        <f>中国!H406/1000/集团!H9</f>
        <v>4.6705521851696812</v>
      </c>
      <c r="F32" s="574">
        <f>中国!I406/1000/集团!I9</f>
        <v>11.003782604754832</v>
      </c>
      <c r="G32" s="574">
        <f>中国!J406/1000/集团!J9</f>
        <v>15.028414804843308</v>
      </c>
      <c r="H32" s="574">
        <f>中国!K406/1000/集团!K9</f>
        <v>15.243661971830987</v>
      </c>
      <c r="I32" s="574">
        <f>中国!L406/1000/集团!L9</f>
        <v>17.679610671842589</v>
      </c>
      <c r="J32" s="574">
        <f>中国!M406/1000/集团!M9</f>
        <v>9.302889595335408</v>
      </c>
      <c r="K32" s="1546">
        <f>中国!N406/1000/集团!N9</f>
        <v>16.417030234223777</v>
      </c>
      <c r="L32" s="1546">
        <f>中国!O406/1000/集团!O9</f>
        <v>19.081557322251271</v>
      </c>
      <c r="M32" s="1546">
        <f>中国!P406/1000/集团!P9</f>
        <v>22.939145401908796</v>
      </c>
      <c r="N32" s="1546">
        <f>中国!Q406/1000/集团!Q9</f>
        <v>27.620574457507171</v>
      </c>
      <c r="O32" s="1546">
        <f>中国!R406/1000/集团!R9</f>
        <v>33.314507003386574</v>
      </c>
      <c r="P32" s="1546">
        <f>中国!S406/1000/集团!S9</f>
        <v>39.408625117840707</v>
      </c>
      <c r="Q32" s="1547">
        <f t="shared" si="7"/>
        <v>0.55848091879936423</v>
      </c>
      <c r="R32" s="1548">
        <f t="shared" si="8"/>
        <v>0.19140477703567749</v>
      </c>
    </row>
    <row r="33" spans="2:18">
      <c r="C33" s="1407" t="s">
        <v>1168</v>
      </c>
      <c r="D33" s="1408"/>
      <c r="E33" s="574">
        <f>中国!H445/1000/集团!H9</f>
        <v>0.44199494597150518</v>
      </c>
      <c r="F33" s="574">
        <f>中国!I445/1000/集团!I9</f>
        <v>1.9063826909361068</v>
      </c>
      <c r="G33" s="574">
        <f>中国!J445/1000/集团!J9</f>
        <v>6.8808107592592593</v>
      </c>
      <c r="H33" s="574">
        <f>中国!K445/1000/集团!K9</f>
        <v>10.900563380281691</v>
      </c>
      <c r="I33" s="574">
        <f>中国!L445/1000/集团!L9</f>
        <v>12.528589046471215</v>
      </c>
      <c r="J33" s="574">
        <f>中国!M445/1000/集团!M9</f>
        <v>9.1347497161349729</v>
      </c>
      <c r="K33" s="1546">
        <f>中国!N445/1000/集团!N9</f>
        <v>16.809579094020037</v>
      </c>
      <c r="L33" s="1546">
        <f>中国!O445/1000/集团!O9</f>
        <v>23.412020148737266</v>
      </c>
      <c r="M33" s="1546">
        <f>中国!P445/1000/集团!P9</f>
        <v>28.058007003617487</v>
      </c>
      <c r="N33" s="1546">
        <f>中国!Q445/1000/集团!Q9</f>
        <v>32.246678607983128</v>
      </c>
      <c r="O33" s="1546">
        <f>中国!R445/1000/集团!R9</f>
        <v>37.061648008385909</v>
      </c>
      <c r="P33" s="1546">
        <f>中国!S445/1000/集团!S9</f>
        <v>40.767812809224502</v>
      </c>
      <c r="Q33" s="1547">
        <f t="shared" si="7"/>
        <v>2.0490294574914025</v>
      </c>
      <c r="R33" s="1548">
        <f t="shared" si="8"/>
        <v>0.19385646246022326</v>
      </c>
    </row>
    <row r="34" spans="2:18">
      <c r="C34" s="1407" t="s">
        <v>1169</v>
      </c>
      <c r="D34" s="1408"/>
      <c r="E34" s="574">
        <f>中国!H484/1000/集团!H9</f>
        <v>0</v>
      </c>
      <c r="F34" s="574">
        <f>中国!I484/1000/集团!I9</f>
        <v>1.458970061763893</v>
      </c>
      <c r="G34" s="574">
        <f>中国!J484/1000/集团!J9</f>
        <v>4.0525664791703706</v>
      </c>
      <c r="H34" s="574">
        <f>中国!K484/1000/集团!K9</f>
        <v>5.4954929577464791</v>
      </c>
      <c r="I34" s="574">
        <f>中国!L484/1000/集团!L9</f>
        <v>7.0570115844048154</v>
      </c>
      <c r="J34" s="574">
        <f>中国!M484/1000/集团!M9</f>
        <v>5.7835930198496293</v>
      </c>
      <c r="K34" s="1546">
        <f>中国!N484/1000/集团!N9</f>
        <v>12.175952274801675</v>
      </c>
      <c r="L34" s="1546">
        <f>中国!O484/1000/集团!O9</f>
        <v>15.828737957242177</v>
      </c>
      <c r="M34" s="1546">
        <f>中国!P484/1000/集团!P9</f>
        <v>20.577359344414834</v>
      </c>
      <c r="N34" s="1546">
        <f>中国!Q484/1000/集团!Q9</f>
        <v>26.750567147739282</v>
      </c>
      <c r="O34" s="1546">
        <f>中国!R484/1000/集团!R9</f>
        <v>34.775737292061066</v>
      </c>
      <c r="P34" s="1546">
        <f>中国!S484/1000/集团!S9</f>
        <v>43.717947622211071</v>
      </c>
      <c r="Q34" s="1547" t="str">
        <f t="shared" si="7"/>
        <v>NA</v>
      </c>
      <c r="R34" s="1548">
        <f t="shared" si="8"/>
        <v>0.29131253152617997</v>
      </c>
    </row>
    <row r="35" spans="2:18">
      <c r="B35" s="569"/>
      <c r="C35" s="1407" t="s">
        <v>1170</v>
      </c>
      <c r="D35" s="1408"/>
      <c r="E35" s="574">
        <f>中国!H523/1000/集团!H9</f>
        <v>17.433762770723842</v>
      </c>
      <c r="F35" s="574">
        <f>中国!I523/1000/集团!I9</f>
        <v>15.34368499257058</v>
      </c>
      <c r="G35" s="574">
        <f>中国!J523/1000/集团!J9</f>
        <v>18.91096866096866</v>
      </c>
      <c r="H35" s="574">
        <f>中国!K523/1000/集团!K9</f>
        <v>15.807605633802817</v>
      </c>
      <c r="I35" s="574">
        <f>中国!L523/1000/集团!L9</f>
        <v>20.2956634356484</v>
      </c>
      <c r="J35" s="574">
        <f>中国!M523/1000/集团!M9</f>
        <v>13.983135199466574</v>
      </c>
      <c r="K35" s="1546">
        <f>中国!N523/1000/集团!N9</f>
        <v>28.037147784963146</v>
      </c>
      <c r="L35" s="1546">
        <f>中国!O523/1000/集团!O9</f>
        <v>36.165910188786079</v>
      </c>
      <c r="M35" s="1546">
        <f>中国!P523/1000/集团!P9</f>
        <v>45.177958696895104</v>
      </c>
      <c r="N35" s="1546">
        <f>中国!Q523/1000/集团!Q9</f>
        <v>55.419342278330618</v>
      </c>
      <c r="O35" s="1546">
        <f>中国!R523/1000/集团!R9</f>
        <v>66.406241514288681</v>
      </c>
      <c r="P35" s="1546">
        <f>中国!S523/1000/集团!S9</f>
        <v>78.622300898388517</v>
      </c>
      <c r="Q35" s="1547">
        <f t="shared" si="7"/>
        <v>5.1971659923022218E-2</v>
      </c>
      <c r="R35" s="1548">
        <f t="shared" si="8"/>
        <v>0.22902971640730341</v>
      </c>
    </row>
    <row r="36" spans="2:18">
      <c r="B36" s="569"/>
      <c r="C36" s="1407"/>
      <c r="D36" s="1408" t="s">
        <v>1171</v>
      </c>
      <c r="E36" s="574">
        <f>中国!H562/1000/集团!H9</f>
        <v>17.433762770723842</v>
      </c>
      <c r="F36" s="574">
        <f>中国!I562/1000/集团!I9</f>
        <v>15.34368499257058</v>
      </c>
      <c r="G36" s="574">
        <f>中国!J562/1000/集团!J9</f>
        <v>18.91096866096866</v>
      </c>
      <c r="H36" s="574">
        <f>中国!K562/1000/集团!K9</f>
        <v>15.807605633802817</v>
      </c>
      <c r="I36" s="574">
        <f>中国!L562/1000/集团!L9</f>
        <v>20.295663435648404</v>
      </c>
      <c r="J36" s="574">
        <f>中国!M562/1000/集团!M9</f>
        <v>13.983135199466574</v>
      </c>
      <c r="K36" s="1546">
        <f>中国!N562/1000/集团!N9</f>
        <v>28.037147784963146</v>
      </c>
      <c r="L36" s="1546">
        <f>中国!O562/1000/集团!O9</f>
        <v>33.515196730849247</v>
      </c>
      <c r="M36" s="1546">
        <f>中国!P562/1000/集团!P9</f>
        <v>39.25145559792314</v>
      </c>
      <c r="N36" s="1546">
        <f>中国!Q562/1000/集团!Q9</f>
        <v>44.774574529712545</v>
      </c>
      <c r="O36" s="1546">
        <f>中国!R562/1000/集团!R9</f>
        <v>50.674673289121429</v>
      </c>
      <c r="P36" s="1546">
        <f>中国!S562/1000/集团!S9</f>
        <v>57.453517909421322</v>
      </c>
      <c r="Q36" s="1547">
        <f t="shared" ref="Q36:Q37" si="9">IFERROR(POWER(I36/E36,1/3)-1,"NA")</f>
        <v>5.1971659923022218E-2</v>
      </c>
      <c r="R36" s="1548">
        <f t="shared" ref="R36:R37" si="10">IFERROR(POWER(P36/K36,1/5)-1,"NA")</f>
        <v>0.15429432109426422</v>
      </c>
    </row>
    <row r="37" spans="2:18">
      <c r="B37" s="569"/>
      <c r="C37" s="1409"/>
      <c r="D37" s="1410" t="s">
        <v>1172</v>
      </c>
      <c r="E37" s="1315">
        <f>中国!H601/1000/集团!H9</f>
        <v>0</v>
      </c>
      <c r="F37" s="1315">
        <f>中国!I601/1000/集团!I9</f>
        <v>0</v>
      </c>
      <c r="G37" s="1315">
        <f>中国!J601/1000/集团!J9</f>
        <v>0</v>
      </c>
      <c r="H37" s="1315">
        <f>中国!K601/1000/集团!K9</f>
        <v>0</v>
      </c>
      <c r="I37" s="1315">
        <f>中国!L601/1000/集团!L9</f>
        <v>0</v>
      </c>
      <c r="J37" s="1315">
        <f>中国!M601/1000/集团!M9</f>
        <v>0</v>
      </c>
      <c r="K37" s="1549">
        <f>中国!N601/1000/集团!N9</f>
        <v>0</v>
      </c>
      <c r="L37" s="1549">
        <f>中国!O601/1000/集团!O9</f>
        <v>2.6507134579368352</v>
      </c>
      <c r="M37" s="1549">
        <f>中国!P601/1000/集团!P9</f>
        <v>5.9265030989719589</v>
      </c>
      <c r="N37" s="1549">
        <f>中国!Q601/1000/集团!Q9</f>
        <v>10.644767748618079</v>
      </c>
      <c r="O37" s="1549">
        <f>中国!R601/1000/集团!R9</f>
        <v>15.731568225167251</v>
      </c>
      <c r="P37" s="1549">
        <f>中国!S601/1000/集团!S9</f>
        <v>21.168782988967177</v>
      </c>
      <c r="Q37" s="1550" t="str">
        <f t="shared" si="9"/>
        <v>NA</v>
      </c>
      <c r="R37" s="1551" t="str">
        <f t="shared" si="10"/>
        <v>NA</v>
      </c>
    </row>
    <row r="38" spans="2:18">
      <c r="B38" s="1397" t="s">
        <v>755</v>
      </c>
      <c r="C38" s="1397"/>
      <c r="D38" s="573"/>
      <c r="E38" s="574">
        <f>集团!H36</f>
        <v>49.40963555958637</v>
      </c>
      <c r="F38" s="574">
        <f>集团!I36</f>
        <v>50.153850002971758</v>
      </c>
      <c r="G38" s="574">
        <f>集团!J36</f>
        <v>50.040883190883193</v>
      </c>
      <c r="H38" s="574">
        <f>集团!K36</f>
        <v>55.441690140845076</v>
      </c>
      <c r="I38" s="574">
        <f>集团!L36</f>
        <v>67.013606737919744</v>
      </c>
      <c r="J38" s="574">
        <f>集团!M36</f>
        <v>44.284659914352254</v>
      </c>
      <c r="K38" s="1546">
        <f>集团!N36</f>
        <v>78.222313186911251</v>
      </c>
      <c r="L38" s="1546">
        <f>集团!O36</f>
        <v>97.579005625982433</v>
      </c>
      <c r="M38" s="1546">
        <f>集团!P36</f>
        <v>117.4612819696293</v>
      </c>
      <c r="N38" s="1546">
        <f>集团!Q36</f>
        <v>137.01134745382001</v>
      </c>
      <c r="O38" s="1546">
        <f>集团!R36</f>
        <v>156.9829305647165</v>
      </c>
      <c r="P38" s="1546">
        <f>集团!S36</f>
        <v>177.56966060814855</v>
      </c>
      <c r="Q38" s="1557">
        <f t="shared" si="7"/>
        <v>0.10692224197574585</v>
      </c>
      <c r="R38" s="1557">
        <f t="shared" si="8"/>
        <v>0.17816908297825251</v>
      </c>
    </row>
    <row r="39" spans="2:18">
      <c r="B39" s="569"/>
      <c r="C39" s="1394" t="s">
        <v>1173</v>
      </c>
      <c r="D39" s="1384"/>
      <c r="E39" s="1314">
        <f>中国!H667/1000/集团!H9</f>
        <v>6.6911281010185562</v>
      </c>
      <c r="F39" s="1314">
        <f>中国!I667/1000/集团!I9</f>
        <v>9.3237741456166425</v>
      </c>
      <c r="G39" s="1314">
        <f>中国!J667/1000/集团!J9</f>
        <v>8.3837606837606842</v>
      </c>
      <c r="H39" s="1314">
        <f>中国!K667/1000/集团!K9</f>
        <v>7.8188732394366207</v>
      </c>
      <c r="I39" s="1314">
        <f>中国!L667/1000/集团!L9</f>
        <v>10.670717837322725</v>
      </c>
      <c r="J39" s="1314">
        <f>中国!M667/1000/集团!M9</f>
        <v>9.8714495013181924</v>
      </c>
      <c r="K39" s="1554">
        <f>中国!N667/1000/集团!N9</f>
        <v>17.186499371834014</v>
      </c>
      <c r="L39" s="1554">
        <f>中国!O667/1000/集团!O9</f>
        <v>23.322021576459864</v>
      </c>
      <c r="M39" s="1554">
        <f>中国!P667/1000/集团!P9</f>
        <v>28.492558024584532</v>
      </c>
      <c r="N39" s="1554">
        <f>中国!Q667/1000/集团!Q9</f>
        <v>31.536517157743706</v>
      </c>
      <c r="O39" s="1554">
        <f>中国!R667/1000/集团!R9</f>
        <v>33.615359069774449</v>
      </c>
      <c r="P39" s="1554">
        <f>中国!S667/1000/集团!S9</f>
        <v>35.296127023263175</v>
      </c>
      <c r="Q39" s="1555">
        <f>IFERROR(POWER(I39/E39,1/3)-1,"NA")</f>
        <v>0.16832794301819343</v>
      </c>
      <c r="R39" s="1556">
        <f>IFERROR(POWER(P39/K39,1/5)-1,"NA")</f>
        <v>0.15480305848397635</v>
      </c>
    </row>
    <row r="40" spans="2:18">
      <c r="B40" s="569"/>
      <c r="C40" s="1395" t="s">
        <v>1174</v>
      </c>
      <c r="D40" s="1385"/>
      <c r="E40" s="574">
        <f>中国!H731/1000/集团!H9</f>
        <v>2.3342165868254194</v>
      </c>
      <c r="F40" s="574">
        <f>中国!I731/1000/集团!I9</f>
        <v>3.3301395958395235</v>
      </c>
      <c r="G40" s="574">
        <f>中国!J731/1000/集团!J9</f>
        <v>3.0635327635327636</v>
      </c>
      <c r="H40" s="574">
        <f>中国!K731/1000/集团!K9</f>
        <v>3.8959154929577471</v>
      </c>
      <c r="I40" s="574">
        <f>中国!L731/1000/集团!L9</f>
        <v>4.8867595493020906</v>
      </c>
      <c r="J40" s="574">
        <f>中国!M731/1000/集团!M9</f>
        <v>3.6562237777064821</v>
      </c>
      <c r="K40" s="1546">
        <f>中国!N731/1000/集团!N9</f>
        <v>6.3430533357003522</v>
      </c>
      <c r="L40" s="1546">
        <f>中国!O731/1000/集团!O9</f>
        <v>8.1481449733203366</v>
      </c>
      <c r="M40" s="1546">
        <f>中国!P731/1000/集团!P9</f>
        <v>9.6681049291565291</v>
      </c>
      <c r="N40" s="1546">
        <f>中国!Q731/1000/集团!Q9</f>
        <v>10.745387670790789</v>
      </c>
      <c r="O40" s="1546">
        <f>中国!R731/1000/集团!R9</f>
        <v>11.819926437869873</v>
      </c>
      <c r="P40" s="1546">
        <f>中国!S731/1000/集团!S9</f>
        <v>13.001919081656858</v>
      </c>
      <c r="Q40" s="1547">
        <f>IFERROR(POWER(I40/E40,1/3)-1,"NA")</f>
        <v>0.27926329697320007</v>
      </c>
      <c r="R40" s="1548">
        <f>IFERROR(POWER(P40/K40,1/5)-1,"NA")</f>
        <v>0.15436146091532699</v>
      </c>
    </row>
    <row r="41" spans="2:18">
      <c r="B41" s="569"/>
      <c r="C41" s="1395" t="s">
        <v>1175</v>
      </c>
      <c r="D41" s="1385"/>
      <c r="E41" s="574">
        <f>中国!H770/1000/集团!H9</f>
        <v>4.0323382493837503</v>
      </c>
      <c r="F41" s="574">
        <f>中国!I770/1000/集团!I9</f>
        <v>5.2402037206537893</v>
      </c>
      <c r="G41" s="574">
        <f>中国!J770/1000/集团!J9</f>
        <v>3.0079772079772082</v>
      </c>
      <c r="H41" s="574">
        <f>中国!K770/1000/集团!K9</f>
        <v>3.8236619718309859</v>
      </c>
      <c r="I41" s="574">
        <f>中国!L770/1000/集团!L9</f>
        <v>4.6803624180167045</v>
      </c>
      <c r="J41" s="574">
        <f>中国!M770/1000/集团!M9</f>
        <v>4.5193388664927667</v>
      </c>
      <c r="K41" s="1546">
        <f>中国!N770/1000/集团!N9</f>
        <v>7.1093085548044801</v>
      </c>
      <c r="L41" s="1546">
        <f>中国!O770/1000/集团!O9</f>
        <v>8.5311702657653772</v>
      </c>
      <c r="M41" s="1546">
        <f>中国!P770/1000/集团!P9</f>
        <v>9.3842872923419165</v>
      </c>
      <c r="N41" s="1546">
        <f>中国!Q770/1000/集团!Q9</f>
        <v>10.322716021576108</v>
      </c>
      <c r="O41" s="1546">
        <f>中国!R770/1000/集团!R9</f>
        <v>10.838851822654913</v>
      </c>
      <c r="P41" s="1546">
        <f>中国!S770/1000/集团!S9</f>
        <v>11.38079441378766</v>
      </c>
      <c r="Q41" s="1547">
        <f>IFERROR(POWER(I41/E41,1/3)-1,"NA")</f>
        <v>5.0930934938112404E-2</v>
      </c>
      <c r="R41" s="1548">
        <f>IFERROR(POWER(P41/K41,1/5)-1,"NA")</f>
        <v>9.8674495319895472E-2</v>
      </c>
    </row>
    <row r="42" spans="2:18">
      <c r="B42" s="569"/>
      <c r="C42" s="1395" t="s">
        <v>1154</v>
      </c>
      <c r="D42" s="1385"/>
      <c r="E42" s="574">
        <f>中国!H694/1000/集团!H9</f>
        <v>0.84879773033812367</v>
      </c>
      <c r="F42" s="574">
        <f>中国!I694/1000/集团!I9</f>
        <v>2.1307578008915304</v>
      </c>
      <c r="G42" s="574">
        <f>中国!J694/1000/集团!J9</f>
        <v>2.6611111111111114</v>
      </c>
      <c r="H42" s="574">
        <f>中国!K694/1000/集团!K9</f>
        <v>3.9019718309859157</v>
      </c>
      <c r="I42" s="574">
        <f>中国!L694/1000/集团!L9</f>
        <v>3.8824801614440267</v>
      </c>
      <c r="J42" s="574">
        <f>中国!M694/1000/集团!M9</f>
        <v>0</v>
      </c>
      <c r="K42" s="1546">
        <f>中国!N694/1000/集团!N9</f>
        <v>0</v>
      </c>
      <c r="L42" s="1546">
        <f>中国!O694/1000/集团!O9</f>
        <v>0</v>
      </c>
      <c r="M42" s="1546">
        <f>中国!P694/1000/集团!P9</f>
        <v>0</v>
      </c>
      <c r="N42" s="1546">
        <f>中国!Q694/1000/集团!Q9</f>
        <v>0</v>
      </c>
      <c r="O42" s="1546">
        <f>中国!R694/1000/集团!R9</f>
        <v>0</v>
      </c>
      <c r="P42" s="1546">
        <f>中国!S694/1000/集团!S9</f>
        <v>0</v>
      </c>
      <c r="Q42" s="1547">
        <f t="shared" ref="Q42" si="11">IFERROR(POWER(I42/E42,1/3)-1,"NA")</f>
        <v>0.65997550125678606</v>
      </c>
      <c r="R42" s="1548" t="str">
        <f t="shared" ref="R42" si="12">IFERROR(POWER(P42/K42,1/5)-1,"NA")</f>
        <v>NA</v>
      </c>
    </row>
    <row r="43" spans="2:18">
      <c r="B43" s="569"/>
      <c r="C43" s="1395" t="s">
        <v>1170</v>
      </c>
      <c r="D43" s="1385"/>
      <c r="E43" s="574">
        <f>E38-SUM(E39:E42)</f>
        <v>35.503154892020518</v>
      </c>
      <c r="F43" s="574">
        <f t="shared" ref="F43:P43" si="13">F38-SUM(F39:F42)</f>
        <v>30.128974739970275</v>
      </c>
      <c r="G43" s="574">
        <f t="shared" si="13"/>
        <v>32.924501424501429</v>
      </c>
      <c r="H43" s="574">
        <f t="shared" si="13"/>
        <v>36.001267605633807</v>
      </c>
      <c r="I43" s="574">
        <f t="shared" si="13"/>
        <v>42.893286771834198</v>
      </c>
      <c r="J43" s="574">
        <f t="shared" si="13"/>
        <v>26.237647768834812</v>
      </c>
      <c r="K43" s="1546">
        <f t="shared" si="13"/>
        <v>47.583451924572408</v>
      </c>
      <c r="L43" s="1546">
        <f t="shared" si="13"/>
        <v>57.577668810436855</v>
      </c>
      <c r="M43" s="1546">
        <f t="shared" si="13"/>
        <v>69.916331723546321</v>
      </c>
      <c r="N43" s="1546">
        <f t="shared" si="13"/>
        <v>84.406726603709416</v>
      </c>
      <c r="O43" s="1546">
        <f t="shared" si="13"/>
        <v>100.70879323441726</v>
      </c>
      <c r="P43" s="1546">
        <f t="shared" si="13"/>
        <v>117.89082008944087</v>
      </c>
      <c r="Q43" s="1547">
        <f>IFERROR(POWER(I43/E43,1/3)-1,"NA")</f>
        <v>6.5060127326335371E-2</v>
      </c>
      <c r="R43" s="1548">
        <f>IFERROR(POWER(P43/K43,1/5)-1,"NA")</f>
        <v>0.19896031622621524</v>
      </c>
    </row>
    <row r="44" spans="2:18">
      <c r="B44" s="1404"/>
      <c r="C44" s="1395"/>
      <c r="D44" s="1385" t="s">
        <v>1171</v>
      </c>
      <c r="E44" s="574">
        <f>中国!H848/1000/集团!H9</f>
        <v>35.503154892020525</v>
      </c>
      <c r="F44" s="574">
        <f>中国!I848/1000/集团!I9</f>
        <v>30.128974739970282</v>
      </c>
      <c r="G44" s="574">
        <f>中国!J848/1000/集团!J9</f>
        <v>32.924501424501429</v>
      </c>
      <c r="H44" s="574">
        <f>中国!K848/1000/集团!K9</f>
        <v>36.001267605633807</v>
      </c>
      <c r="I44" s="574">
        <f>中国!L848/1000/集团!L9</f>
        <v>42.893286771834198</v>
      </c>
      <c r="J44" s="574">
        <f>中国!M848/1000/集团!M9</f>
        <v>26.237647768834815</v>
      </c>
      <c r="K44" s="1546">
        <f>中国!N848/1000/集团!N9</f>
        <v>47.583451924572401</v>
      </c>
      <c r="L44" s="1546">
        <f>中国!O848/1000/集团!O9</f>
        <v>54.528127682586764</v>
      </c>
      <c r="M44" s="1546">
        <f>中国!P848/1000/集团!P9</f>
        <v>63.207341242276073</v>
      </c>
      <c r="N44" s="1546">
        <f>中国!Q848/1000/集团!Q9</f>
        <v>72.330543737422971</v>
      </c>
      <c r="O44" s="1546">
        <f>中国!R848/1000/集团!R9</f>
        <v>82.594518934987605</v>
      </c>
      <c r="P44" s="1546">
        <f>中国!S848/1000/集团!S9</f>
        <v>94.342263500182312</v>
      </c>
      <c r="Q44" s="1547">
        <f t="shared" ref="Q44:Q45" si="14">IFERROR(POWER(I44/E44,1/3)-1,"NA")</f>
        <v>6.5060127326335371E-2</v>
      </c>
      <c r="R44" s="1548">
        <f t="shared" ref="R44:R45" si="15">IFERROR(POWER(P44/K44,1/5)-1,"NA")</f>
        <v>0.14670067841395129</v>
      </c>
    </row>
    <row r="45" spans="2:18">
      <c r="B45" s="1404"/>
      <c r="C45" s="1396"/>
      <c r="D45" s="1386" t="s">
        <v>1172</v>
      </c>
      <c r="E45" s="1315">
        <f>中国!H887/1000/集团!H9</f>
        <v>0</v>
      </c>
      <c r="F45" s="1315">
        <f>中国!I887/1000/集团!I9</f>
        <v>0</v>
      </c>
      <c r="G45" s="1315">
        <f>中国!J887/1000/集团!J9</f>
        <v>0</v>
      </c>
      <c r="H45" s="1315">
        <f>中国!K887/1000/集团!K9</f>
        <v>0</v>
      </c>
      <c r="I45" s="1315">
        <f>中国!L887/1000/集团!L9</f>
        <v>0</v>
      </c>
      <c r="J45" s="1315">
        <f>中国!M887/1000/集团!M9</f>
        <v>0</v>
      </c>
      <c r="K45" s="1549">
        <f>中国!N887/1000/集团!N9</f>
        <v>0</v>
      </c>
      <c r="L45" s="1549">
        <f>中国!O887/1000/集团!O9</f>
        <v>3.0495411278501083</v>
      </c>
      <c r="M45" s="1549">
        <f>中国!P887/1000/集团!P9</f>
        <v>6.7089904812702388</v>
      </c>
      <c r="N45" s="1549">
        <f>中国!Q887/1000/集团!Q9</f>
        <v>12.076182866286432</v>
      </c>
      <c r="O45" s="1549">
        <f>中国!R887/1000/集团!R9</f>
        <v>18.114274299429646</v>
      </c>
      <c r="P45" s="1549">
        <f>中国!S887/1000/集团!S9</f>
        <v>23.548556589258542</v>
      </c>
      <c r="Q45" s="1550" t="str">
        <f t="shared" si="14"/>
        <v>NA</v>
      </c>
      <c r="R45" s="1551" t="str">
        <f t="shared" si="15"/>
        <v>NA</v>
      </c>
    </row>
    <row r="46" spans="2:18">
      <c r="B46" s="1393" t="s">
        <v>756</v>
      </c>
      <c r="C46" s="1393"/>
      <c r="D46" s="571"/>
      <c r="E46" s="572">
        <f>集团!H39</f>
        <v>24.857293459218948</v>
      </c>
      <c r="F46" s="572">
        <f>集团!I39</f>
        <v>18.672808320950967</v>
      </c>
      <c r="G46" s="572">
        <f>集团!J39</f>
        <v>14.007549857549858</v>
      </c>
      <c r="H46" s="572">
        <f>集团!K39</f>
        <v>5.8129577464788733</v>
      </c>
      <c r="I46" s="572">
        <f>集团!L39</f>
        <v>7.6727955602892539</v>
      </c>
      <c r="J46" s="572">
        <f>集团!M39</f>
        <v>3.7129824659292221</v>
      </c>
      <c r="K46" s="1552">
        <f>集团!N39</f>
        <v>7.7665898161707103</v>
      </c>
      <c r="L46" s="1552">
        <f>集团!O39</f>
        <v>7.8202739895429811</v>
      </c>
      <c r="M46" s="1552">
        <f>集团!P39</f>
        <v>7.8766423715838636</v>
      </c>
      <c r="N46" s="1552">
        <f>集团!Q39</f>
        <v>7.935829172726792</v>
      </c>
      <c r="O46" s="1552">
        <f>集团!R39</f>
        <v>7.9979753139268661</v>
      </c>
      <c r="P46" s="1552">
        <f>集团!S39</f>
        <v>8.0632287621869434</v>
      </c>
      <c r="Q46" s="1553">
        <f t="shared" si="7"/>
        <v>-0.32417654165974252</v>
      </c>
      <c r="R46" s="1553">
        <f t="shared" si="8"/>
        <v>7.5247477301665366E-3</v>
      </c>
    </row>
    <row r="47" spans="2:18">
      <c r="B47" s="1393" t="s">
        <v>757</v>
      </c>
      <c r="C47" s="1393"/>
      <c r="D47" s="571"/>
      <c r="E47" s="572">
        <f>集团!H40</f>
        <v>8.7394384757298109</v>
      </c>
      <c r="F47" s="572">
        <f>集团!I40</f>
        <v>16.224219910846951</v>
      </c>
      <c r="G47" s="572">
        <f>集团!J40</f>
        <v>17.780911680911682</v>
      </c>
      <c r="H47" s="572">
        <f>集团!K40</f>
        <v>21.201408450704225</v>
      </c>
      <c r="I47" s="572">
        <f>集团!L40</f>
        <v>27.50995010931106</v>
      </c>
      <c r="J47" s="572">
        <f>集团!M40</f>
        <v>28.088270166971224</v>
      </c>
      <c r="K47" s="1552">
        <f>集团!N40</f>
        <v>48.151320286236384</v>
      </c>
      <c r="L47" s="1552">
        <f>集团!O40</f>
        <v>55.37401832917184</v>
      </c>
      <c r="M47" s="1552">
        <f>集团!P40</f>
        <v>63.680121078547607</v>
      </c>
      <c r="N47" s="1552">
        <f>集团!Q40</f>
        <v>73.232139240329744</v>
      </c>
      <c r="O47" s="1552">
        <f>集团!R40</f>
        <v>84.21696012637922</v>
      </c>
      <c r="P47" s="1552">
        <f>集团!S40</f>
        <v>96.84950414533607</v>
      </c>
      <c r="Q47" s="1553">
        <f t="shared" si="7"/>
        <v>0.46555489763514202</v>
      </c>
      <c r="R47" s="1553">
        <f t="shared" si="8"/>
        <v>0.14999999999999991</v>
      </c>
    </row>
    <row r="48" spans="2:18">
      <c r="B48" s="569"/>
      <c r="C48" s="1405" t="s">
        <v>1176</v>
      </c>
      <c r="D48" s="1406"/>
      <c r="E48" s="1314">
        <f>中国!H962/1000/集团!H9</f>
        <v>0</v>
      </c>
      <c r="F48" s="1314">
        <f>中国!I962/1000/集团!I9</f>
        <v>0</v>
      </c>
      <c r="G48" s="1314">
        <f>中国!J962/1000/集团!J9</f>
        <v>0</v>
      </c>
      <c r="H48" s="1314">
        <f>中国!K962/1000/集团!K9</f>
        <v>0</v>
      </c>
      <c r="I48" s="1314">
        <f>中国!L962/1000/集团!L9</f>
        <v>7.0617730814507533</v>
      </c>
      <c r="J48" s="1314">
        <f>中国!M962/1000/集团!M9</f>
        <v>11.541500509143663</v>
      </c>
      <c r="K48" s="1554">
        <f>中国!N962/1000/集团!N9</f>
        <v>19.785429444246276</v>
      </c>
      <c r="L48" s="1554">
        <f>中国!O962/1000/集团!O9</f>
        <v>22.75324386088322</v>
      </c>
      <c r="M48" s="1554">
        <f>中国!P962/1000/集团!P9</f>
        <v>26.166230440015699</v>
      </c>
      <c r="N48" s="1554">
        <f>中国!Q962/1000/集团!Q9</f>
        <v>30.091165006018052</v>
      </c>
      <c r="O48" s="1554">
        <f>中国!R962/1000/集团!R9</f>
        <v>34.604839756920761</v>
      </c>
      <c r="P48" s="1554">
        <f>中国!S962/1000/集团!S9</f>
        <v>39.795565720458875</v>
      </c>
      <c r="Q48" s="1555" t="str">
        <f t="shared" ref="Q48:Q50" si="16">IFERROR(POWER(I48/E48,1/3)-1,"NA")</f>
        <v>NA</v>
      </c>
      <c r="R48" s="1556">
        <f t="shared" ref="R48:R50" si="17">IFERROR(POWER(P48/K48,1/5)-1,"NA")</f>
        <v>0.14999999999999991</v>
      </c>
    </row>
    <row r="49" spans="2:19">
      <c r="B49" s="569"/>
      <c r="C49" s="1407" t="s">
        <v>853</v>
      </c>
      <c r="D49" s="1408"/>
      <c r="E49" s="574">
        <f>中国!H963/1000/集团!H9</f>
        <v>0</v>
      </c>
      <c r="F49" s="574">
        <f>中国!I963/1000/集团!I9</f>
        <v>4.4183784546805347</v>
      </c>
      <c r="G49" s="574">
        <f>中国!J963/1000/集团!J9</f>
        <v>5.9889254985754992</v>
      </c>
      <c r="H49" s="574">
        <f>中国!K963/1000/集团!K9</f>
        <v>0</v>
      </c>
      <c r="I49" s="574">
        <f>中国!L963/1000/集团!L9</f>
        <v>9.6367454734009748</v>
      </c>
      <c r="J49" s="574">
        <f>中国!M963/1000/集团!M9</f>
        <v>8.0889207549275337</v>
      </c>
      <c r="K49" s="1546">
        <f>中国!N963/1000/集团!N9</f>
        <v>13.866721294161488</v>
      </c>
      <c r="L49" s="1546">
        <f>中国!O963/1000/集团!O9</f>
        <v>15.946729488285708</v>
      </c>
      <c r="M49" s="1546">
        <f>中国!P963/1000/集团!P9</f>
        <v>18.338738911528566</v>
      </c>
      <c r="N49" s="1546">
        <f>中国!Q963/1000/集团!Q9</f>
        <v>21.089549748257852</v>
      </c>
      <c r="O49" s="1546">
        <f>中国!R963/1000/集团!R9</f>
        <v>24.252982210496526</v>
      </c>
      <c r="P49" s="1546">
        <f>中国!S963/1000/集团!S9</f>
        <v>27.890929542071003</v>
      </c>
      <c r="Q49" s="1547" t="str">
        <f t="shared" si="16"/>
        <v>NA</v>
      </c>
      <c r="R49" s="1548">
        <f t="shared" si="17"/>
        <v>0.14999999999999991</v>
      </c>
    </row>
    <row r="50" spans="2:19">
      <c r="B50" s="569"/>
      <c r="C50" s="1407" t="s">
        <v>1171</v>
      </c>
      <c r="D50" s="1408"/>
      <c r="E50" s="574">
        <f>E47-E48-E49-E51</f>
        <v>8.7394384757298109</v>
      </c>
      <c r="F50" s="574">
        <f t="shared" ref="F50:P50" si="18">F47-F48-F49-F51</f>
        <v>11.805841456166416</v>
      </c>
      <c r="G50" s="574">
        <f t="shared" si="18"/>
        <v>11.791986182336183</v>
      </c>
      <c r="H50" s="574">
        <f t="shared" si="18"/>
        <v>21.201408450704225</v>
      </c>
      <c r="I50" s="574">
        <f t="shared" si="18"/>
        <v>10.811431554459332</v>
      </c>
      <c r="J50" s="574">
        <f t="shared" si="18"/>
        <v>8.457848902900027</v>
      </c>
      <c r="K50" s="1546">
        <f t="shared" si="18"/>
        <v>14.49916954782862</v>
      </c>
      <c r="L50" s="1546">
        <f t="shared" si="18"/>
        <v>16.674044980002908</v>
      </c>
      <c r="M50" s="1546">
        <f t="shared" si="18"/>
        <v>19.175151727003339</v>
      </c>
      <c r="N50" s="1546">
        <f t="shared" si="18"/>
        <v>22.05142448605384</v>
      </c>
      <c r="O50" s="1546">
        <f t="shared" si="18"/>
        <v>25.359138158961933</v>
      </c>
      <c r="P50" s="1546">
        <f t="shared" si="18"/>
        <v>29.163008882806192</v>
      </c>
      <c r="Q50" s="1547">
        <f t="shared" si="16"/>
        <v>7.3494667086189125E-2</v>
      </c>
      <c r="R50" s="1548">
        <f t="shared" si="17"/>
        <v>0.14999999999999969</v>
      </c>
    </row>
    <row r="51" spans="2:19">
      <c r="B51" s="569"/>
      <c r="C51" s="1409" t="s">
        <v>1172</v>
      </c>
      <c r="D51" s="1410"/>
      <c r="E51" s="1315">
        <f>中国!H965/1000/集团!H9</f>
        <v>0</v>
      </c>
      <c r="F51" s="1315">
        <f>中国!I965/1000/集团!I9</f>
        <v>0</v>
      </c>
      <c r="G51" s="1315">
        <f>中国!J965/1000/集团!J9</f>
        <v>0</v>
      </c>
      <c r="H51" s="1315">
        <f>中国!K965/1000/集团!K9</f>
        <v>0</v>
      </c>
      <c r="I51" s="1315">
        <f>中国!L965/1000/集团!L9</f>
        <v>0</v>
      </c>
      <c r="J51" s="1315">
        <f>中国!M965/1000/集团!M9</f>
        <v>0</v>
      </c>
      <c r="K51" s="1549">
        <f>中国!N965/1000/集团!N9</f>
        <v>0</v>
      </c>
      <c r="L51" s="1549">
        <f>中国!O965/1000/集团!O9</f>
        <v>0</v>
      </c>
      <c r="M51" s="1549">
        <f>中国!P965/1000/集团!P9</f>
        <v>0</v>
      </c>
      <c r="N51" s="1549">
        <f>中国!Q965/1000/集团!Q9</f>
        <v>0</v>
      </c>
      <c r="O51" s="1549">
        <f>中国!R965/1000/集团!R9</f>
        <v>0</v>
      </c>
      <c r="P51" s="1549">
        <f>中国!S965/1000/集团!S9</f>
        <v>0</v>
      </c>
      <c r="Q51" s="1550" t="str">
        <f t="shared" ref="Q51" si="19">IFERROR(POWER(I51/E51,1/3)-1,"NA")</f>
        <v>NA</v>
      </c>
      <c r="R51" s="1551" t="str">
        <f t="shared" ref="R51" si="20">IFERROR(POWER(P51/K51,1/5)-1,"NA")</f>
        <v>NA</v>
      </c>
    </row>
    <row r="52" spans="2:19">
      <c r="B52" s="1393" t="s">
        <v>758</v>
      </c>
      <c r="C52" s="1393"/>
      <c r="D52" s="571"/>
      <c r="E52" s="572">
        <f>集团!H41</f>
        <v>4.9231818675100376</v>
      </c>
      <c r="F52" s="572">
        <f>集团!I41</f>
        <v>2.8304606240713222</v>
      </c>
      <c r="G52" s="572">
        <f>集团!J41</f>
        <v>1.9655840455840456</v>
      </c>
      <c r="H52" s="572">
        <f>集团!K41</f>
        <v>2.0814084507042256</v>
      </c>
      <c r="I52" s="572">
        <f>集团!L41</f>
        <v>2.5808621559504457</v>
      </c>
      <c r="J52" s="572">
        <f>集团!M41</f>
        <v>4.2369122180529786</v>
      </c>
      <c r="K52" s="1552">
        <f>集团!N41</f>
        <v>2.8257612743935616</v>
      </c>
      <c r="L52" s="1552">
        <f>集团!O41</f>
        <v>3.1083374018329182</v>
      </c>
      <c r="M52" s="1552">
        <f>集团!P41</f>
        <v>3.4191711420162099</v>
      </c>
      <c r="N52" s="1552">
        <f>集团!Q41</f>
        <v>3.7610882562178309</v>
      </c>
      <c r="O52" s="1552">
        <f>集团!R41</f>
        <v>4.1371970818396147</v>
      </c>
      <c r="P52" s="1552">
        <f>集团!S41</f>
        <v>4.5509167900235763</v>
      </c>
      <c r="Q52" s="1553">
        <f t="shared" si="7"/>
        <v>-0.19368208342546744</v>
      </c>
      <c r="R52" s="1553">
        <f t="shared" si="8"/>
        <v>0.10000000000000009</v>
      </c>
    </row>
    <row r="53" spans="2:19">
      <c r="B53" s="1393" t="s">
        <v>759</v>
      </c>
      <c r="C53" s="1393"/>
      <c r="D53" s="571"/>
      <c r="E53" s="588">
        <f>集团!H42</f>
        <v>-9.414755902826224</v>
      </c>
      <c r="F53" s="588">
        <f>集团!I42</f>
        <v>-2.3817236255572065</v>
      </c>
      <c r="G53" s="588">
        <f>集团!J42</f>
        <v>-6.4102564102564106</v>
      </c>
      <c r="H53" s="588">
        <f>集团!K42</f>
        <v>-3.0007042253521128</v>
      </c>
      <c r="I53" s="588">
        <f>集团!L42</f>
        <v>-5.5134816974045631</v>
      </c>
      <c r="J53" s="588">
        <f>集团!M42</f>
        <v>-3.0598836641604712</v>
      </c>
      <c r="K53" s="1569">
        <f>集团!N42</f>
        <v>-2.9591376293184526</v>
      </c>
      <c r="L53" s="1569">
        <f>集团!O42</f>
        <v>-2.6828451494622647</v>
      </c>
      <c r="M53" s="1569">
        <f>集团!P42</f>
        <v>-2.577924036950844</v>
      </c>
      <c r="N53" s="1569">
        <f>集团!Q42</f>
        <v>-2.5434189148708497</v>
      </c>
      <c r="O53" s="1569">
        <f>集团!R42</f>
        <v>-2.5364422774201874</v>
      </c>
      <c r="P53" s="1569">
        <f>集团!S42</f>
        <v>-2.5392835576085577</v>
      </c>
      <c r="Q53" s="1553">
        <f t="shared" si="7"/>
        <v>-0.16335935833006054</v>
      </c>
      <c r="R53" s="1553">
        <f t="shared" si="8"/>
        <v>-3.0139644670611032E-2</v>
      </c>
    </row>
    <row r="54" spans="2:19">
      <c r="B54" s="1392" t="s">
        <v>760</v>
      </c>
      <c r="C54" s="1392"/>
      <c r="D54" s="587"/>
      <c r="E54" s="585">
        <f>集团!H20</f>
        <v>140.80064455916778</v>
      </c>
      <c r="F54" s="585">
        <f>集团!I20</f>
        <v>126.37895329866269</v>
      </c>
      <c r="G54" s="585">
        <f>集团!J20</f>
        <v>142.13465840455842</v>
      </c>
      <c r="H54" s="585">
        <f>集团!K20</f>
        <v>136.12935774647889</v>
      </c>
      <c r="I54" s="585">
        <f>集团!L20</f>
        <v>162.55387657218878</v>
      </c>
      <c r="J54" s="585">
        <f>集团!M20</f>
        <v>92.670843274092306</v>
      </c>
      <c r="K54" s="1558">
        <f>集团!N20</f>
        <v>176.95040859237221</v>
      </c>
      <c r="L54" s="1558">
        <f>集团!O20</f>
        <v>189.96788623334785</v>
      </c>
      <c r="M54" s="1558">
        <f>集团!P20</f>
        <v>203.7644798782145</v>
      </c>
      <c r="N54" s="1558">
        <f>集团!Q20</f>
        <v>219.68907946765214</v>
      </c>
      <c r="O54" s="1558">
        <f>集团!R20</f>
        <v>239.094081364581</v>
      </c>
      <c r="P54" s="1558">
        <f>集团!S20</f>
        <v>264.63242202971486</v>
      </c>
      <c r="Q54" s="1559">
        <f t="shared" ref="Q54:Q55" si="21">POWER(I54/E54,1/3)-1</f>
        <v>4.9053320334603745E-2</v>
      </c>
      <c r="R54" s="1559">
        <f>POWER(P54/K54,1/5)-1</f>
        <v>8.3822833693127485E-2</v>
      </c>
    </row>
    <row r="55" spans="2:19">
      <c r="B55" s="1392" t="s">
        <v>761</v>
      </c>
      <c r="C55" s="1392"/>
      <c r="D55" s="587"/>
      <c r="E55" s="585">
        <f>集团!H19</f>
        <v>23.480766444971547</v>
      </c>
      <c r="F55" s="585">
        <f>集团!I19</f>
        <v>113.13854117384842</v>
      </c>
      <c r="G55" s="585">
        <f>集团!J19</f>
        <v>116.32105566951569</v>
      </c>
      <c r="H55" s="585">
        <f>集团!K19</f>
        <v>100.3555985915493</v>
      </c>
      <c r="I55" s="585">
        <f>集团!L19</f>
        <v>119.28918761164863</v>
      </c>
      <c r="J55" s="585">
        <f>集团!M19</f>
        <v>66.875744205008971</v>
      </c>
      <c r="K55" s="1558">
        <f>集团!N19</f>
        <v>129.62264370278999</v>
      </c>
      <c r="L55" s="1558">
        <f>集团!O19</f>
        <v>144.01075715379972</v>
      </c>
      <c r="M55" s="1558">
        <f>集团!P19</f>
        <v>159.99595119787151</v>
      </c>
      <c r="N55" s="1558">
        <f>集团!Q19</f>
        <v>177.75550178083529</v>
      </c>
      <c r="O55" s="1558">
        <f>集团!R19</f>
        <v>197.48636247850803</v>
      </c>
      <c r="P55" s="1558">
        <f>集团!S19</f>
        <v>219.40734871362241</v>
      </c>
      <c r="Q55" s="1559">
        <f t="shared" si="21"/>
        <v>0.71908072440737869</v>
      </c>
      <c r="R55" s="1559">
        <f>POWER(P55/K55,1/5)-1</f>
        <v>0.11100000000000021</v>
      </c>
      <c r="S55" s="1221"/>
    </row>
    <row r="56" spans="2:19">
      <c r="B56" s="1392"/>
      <c r="C56" s="1392"/>
      <c r="D56" s="587"/>
      <c r="E56" s="585"/>
      <c r="F56" s="585"/>
      <c r="G56" s="585"/>
      <c r="H56" s="585"/>
      <c r="I56" s="585"/>
      <c r="J56" s="585"/>
      <c r="K56" s="1558"/>
      <c r="L56" s="1558"/>
      <c r="M56" s="1558"/>
      <c r="N56" s="1558"/>
      <c r="O56" s="1558"/>
      <c r="P56" s="1558"/>
      <c r="Q56" s="1559"/>
      <c r="R56" s="1570" t="s">
        <v>830</v>
      </c>
    </row>
    <row r="57" spans="2:19">
      <c r="B57" s="1391" t="s">
        <v>762</v>
      </c>
      <c r="C57" s="1391"/>
      <c r="D57" s="586"/>
      <c r="E57" s="593">
        <f>集团!H68</f>
        <v>0.12743907357222772</v>
      </c>
      <c r="F57" s="593">
        <f>集团!I68</f>
        <v>0.17618541647922295</v>
      </c>
      <c r="G57" s="593">
        <f>集团!J68</f>
        <v>0.16826531523450497</v>
      </c>
      <c r="H57" s="593">
        <f>集团!K68</f>
        <v>0.20294784580498867</v>
      </c>
      <c r="I57" s="593">
        <f>集团!L68</f>
        <v>0.2070711916231634</v>
      </c>
      <c r="J57" s="593">
        <f>集团!M68</f>
        <v>0.23664108266841244</v>
      </c>
      <c r="K57" s="1559">
        <f>集团!N68</f>
        <v>0.21888987066080168</v>
      </c>
      <c r="L57" s="1559">
        <f>集团!O68</f>
        <v>0.21903684598937653</v>
      </c>
      <c r="M57" s="1559">
        <f>集团!P68</f>
        <v>0.22851911415138992</v>
      </c>
      <c r="N57" s="1559">
        <f>集团!Q68</f>
        <v>0.23610409811951627</v>
      </c>
      <c r="O57" s="1559">
        <f>集团!R68</f>
        <v>0.24198639354272602</v>
      </c>
      <c r="P57" s="1559">
        <f>集团!S68</f>
        <v>0.24611411509495118</v>
      </c>
      <c r="Q57" s="1571"/>
      <c r="R57" s="1570">
        <f>P57-K57</f>
        <v>2.7224244434149503E-2</v>
      </c>
    </row>
    <row r="58" spans="2:19">
      <c r="B58" s="1392" t="s">
        <v>763</v>
      </c>
      <c r="C58" s="1392"/>
      <c r="D58" s="587"/>
      <c r="E58" s="593">
        <f>集团!H72</f>
        <v>7.3019740433991107E-2</v>
      </c>
      <c r="F58" s="593">
        <f>集团!I72</f>
        <v>0.10663747665778997</v>
      </c>
      <c r="G58" s="593">
        <f>集团!J72</f>
        <v>7.8944247880300439E-2</v>
      </c>
      <c r="H58" s="593">
        <f>集团!K72</f>
        <v>0.10225014225748191</v>
      </c>
      <c r="I58" s="593">
        <f>集团!L72</f>
        <v>0.11162306168454129</v>
      </c>
      <c r="J58" s="593">
        <f>集团!M72</f>
        <v>0.13449997782621589</v>
      </c>
      <c r="K58" s="1559">
        <f>集团!N72</f>
        <v>0.12747944477484668</v>
      </c>
      <c r="L58" s="1559">
        <f>集团!O72</f>
        <v>0.14326920638595964</v>
      </c>
      <c r="M58" s="1559">
        <f>集团!P72</f>
        <v>0.1545173073984594</v>
      </c>
      <c r="N58" s="1559">
        <f>集团!Q72</f>
        <v>0.16321925367914608</v>
      </c>
      <c r="O58" s="1559">
        <f>集团!R72</f>
        <v>0.17116632298858361</v>
      </c>
      <c r="P58" s="1559">
        <f>集团!S72</f>
        <v>0.17867925048621236</v>
      </c>
      <c r="Q58" s="1571"/>
      <c r="R58" s="1570">
        <f>P58-K58</f>
        <v>5.1199805711365676E-2</v>
      </c>
    </row>
    <row r="59" spans="2:19">
      <c r="B59" s="1393" t="s">
        <v>736</v>
      </c>
      <c r="C59" s="1393"/>
      <c r="D59" s="571"/>
      <c r="E59" s="594">
        <f>美国!H79</f>
        <v>1.6966128444822145E-2</v>
      </c>
      <c r="F59" s="594">
        <f>美国!I79</f>
        <v>6.5771117803136742E-2</v>
      </c>
      <c r="G59" s="594">
        <f>美国!J79</f>
        <v>7.2220814597671906E-2</v>
      </c>
      <c r="H59" s="594">
        <f>美国!K79</f>
        <v>0.11075584053399168</v>
      </c>
      <c r="I59" s="594">
        <f>美国!L79</f>
        <v>0.1283023416927899</v>
      </c>
      <c r="J59" s="594">
        <f>美国!M79</f>
        <v>0.13873814226979689</v>
      </c>
      <c r="K59" s="1553">
        <f>美国!N79</f>
        <v>0.14486341620136245</v>
      </c>
      <c r="L59" s="1553">
        <f>美国!O79</f>
        <v>0.16054487118193897</v>
      </c>
      <c r="M59" s="1553">
        <f>美国!P79</f>
        <v>0.17166803005640771</v>
      </c>
      <c r="N59" s="1553">
        <f>美国!Q79</f>
        <v>0.18037546498177615</v>
      </c>
      <c r="O59" s="1553">
        <f>美国!R79</f>
        <v>0.18839029914687289</v>
      </c>
      <c r="P59" s="1553">
        <f>美国!S79</f>
        <v>0.19612181768699535</v>
      </c>
      <c r="Q59" s="1571"/>
      <c r="R59" s="1570">
        <f t="shared" ref="R59:R92" si="22">P59-K59</f>
        <v>5.1258401485632904E-2</v>
      </c>
    </row>
    <row r="60" spans="2:19">
      <c r="B60" s="569"/>
      <c r="C60" s="1397" t="s">
        <v>737</v>
      </c>
      <c r="D60" s="573"/>
      <c r="E60" s="595">
        <f>美国!H120</f>
        <v>3.8424189341000399E-2</v>
      </c>
      <c r="F60" s="595">
        <f>美国!I120</f>
        <v>6.4189339875111509E-2</v>
      </c>
      <c r="G60" s="595">
        <f>美国!J120</f>
        <v>7.833127602150762E-2</v>
      </c>
      <c r="H60" s="595">
        <f>美国!K120</f>
        <v>0.13253025983263841</v>
      </c>
      <c r="I60" s="595">
        <f>美国!L120</f>
        <v>0.14880582367849518</v>
      </c>
      <c r="J60" s="595">
        <f>美国!M120</f>
        <v>0.16770994150523422</v>
      </c>
      <c r="K60" s="1557">
        <f>美国!N120</f>
        <v>0.1704691857385309</v>
      </c>
      <c r="L60" s="1557">
        <f>美国!O120</f>
        <v>0.18884404545300798</v>
      </c>
      <c r="M60" s="1557">
        <f>美国!P120</f>
        <v>0.20094549629704928</v>
      </c>
      <c r="N60" s="1557">
        <f>美国!Q120</f>
        <v>0.21031851977457705</v>
      </c>
      <c r="O60" s="1557">
        <f>美国!R120</f>
        <v>0.21890623818635843</v>
      </c>
      <c r="P60" s="1557">
        <f>美国!S120</f>
        <v>0.22718016032313226</v>
      </c>
      <c r="Q60" s="1571"/>
      <c r="R60" s="1570">
        <f t="shared" si="22"/>
        <v>5.6710974584601365E-2</v>
      </c>
    </row>
    <row r="61" spans="2:19">
      <c r="B61" s="569"/>
      <c r="C61" s="1397" t="s">
        <v>738</v>
      </c>
      <c r="D61" s="573"/>
      <c r="E61" s="595">
        <f>美国!H161</f>
        <v>-2.5414057921845604E-2</v>
      </c>
      <c r="F61" s="595">
        <f>美国!I161</f>
        <v>0.11680995781213485</v>
      </c>
      <c r="G61" s="595">
        <f>美国!J161</f>
        <v>0.21183867242632906</v>
      </c>
      <c r="H61" s="595">
        <f>美国!K161</f>
        <v>0.25355144210073183</v>
      </c>
      <c r="I61" s="595">
        <f>美国!L161</f>
        <v>0.28107087624029636</v>
      </c>
      <c r="J61" s="595">
        <f>美国!M161</f>
        <v>0.20802708223747227</v>
      </c>
      <c r="K61" s="1557">
        <f>美国!N161</f>
        <v>0.21240056154671369</v>
      </c>
      <c r="L61" s="1557">
        <f>美国!O161</f>
        <v>0.22729787402553486</v>
      </c>
      <c r="M61" s="1557">
        <f>美国!P161</f>
        <v>0.23599530422012749</v>
      </c>
      <c r="N61" s="1557">
        <f>美国!Q161</f>
        <v>0.24178281456536307</v>
      </c>
      <c r="O61" s="1557">
        <f>美国!R161</f>
        <v>0.24717295534054134</v>
      </c>
      <c r="P61" s="1557">
        <f>美国!S161</f>
        <v>0.25232656049255237</v>
      </c>
      <c r="Q61" s="1571"/>
      <c r="R61" s="1570">
        <f t="shared" si="22"/>
        <v>3.9925998945838675E-2</v>
      </c>
    </row>
    <row r="62" spans="2:19">
      <c r="B62" s="569"/>
      <c r="C62" s="1397" t="s">
        <v>739</v>
      </c>
      <c r="D62" s="573"/>
      <c r="E62" s="595">
        <f>美国!H202</f>
        <v>3.4024271053917574E-2</v>
      </c>
      <c r="F62" s="595">
        <f>美国!I202</f>
        <v>-1.6018411967779058E-2</v>
      </c>
      <c r="G62" s="595">
        <f>美国!J202</f>
        <v>-0.11266630546452801</v>
      </c>
      <c r="H62" s="595">
        <f>美国!K202</f>
        <v>2.1430463036525495E-2</v>
      </c>
      <c r="I62" s="595">
        <f>美国!L202</f>
        <v>2.5425974069518513E-2</v>
      </c>
      <c r="J62" s="595">
        <f>美国!M202</f>
        <v>7.1043255235516467E-2</v>
      </c>
      <c r="K62" s="1557">
        <f>美国!N202</f>
        <v>7.2800209284399189E-2</v>
      </c>
      <c r="L62" s="1557">
        <f>美国!O202</f>
        <v>8.0883205610725956E-2</v>
      </c>
      <c r="M62" s="1557">
        <f>美国!P202</f>
        <v>8.7858650473001121E-2</v>
      </c>
      <c r="N62" s="1557">
        <f>美国!Q202</f>
        <v>9.6251861730811392E-2</v>
      </c>
      <c r="O62" s="1557">
        <f>美国!R202</f>
        <v>0.10396246397794712</v>
      </c>
      <c r="P62" s="1557">
        <f>美国!S202</f>
        <v>0.11136259802433049</v>
      </c>
      <c r="Q62" s="1571"/>
      <c r="R62" s="1570">
        <f t="shared" si="22"/>
        <v>3.85623887399313E-2</v>
      </c>
    </row>
    <row r="63" spans="2:19">
      <c r="B63" s="569"/>
      <c r="C63" s="1397" t="s">
        <v>740</v>
      </c>
      <c r="D63" s="573"/>
      <c r="E63" s="595">
        <f>美国!H243</f>
        <v>-0.10271364534631514</v>
      </c>
      <c r="F63" s="595">
        <f>美国!I243</f>
        <v>0.10914681014604151</v>
      </c>
      <c r="G63" s="595">
        <f>美国!J243</f>
        <v>3.7259100642398284E-2</v>
      </c>
      <c r="H63" s="595">
        <f>美国!K243</f>
        <v>-2.412473496405854E-2</v>
      </c>
      <c r="I63" s="595">
        <f>美国!L243</f>
        <v>4.5368048135698297E-3</v>
      </c>
      <c r="J63" s="595">
        <f>美国!M243</f>
        <v>0.12981823263095943</v>
      </c>
      <c r="K63" s="1557">
        <f>美国!N243</f>
        <v>0.16578523217469374</v>
      </c>
      <c r="L63" s="1557">
        <f>美国!O243</f>
        <v>0.17819527527047013</v>
      </c>
      <c r="M63" s="1557">
        <f>美国!P243</f>
        <v>0.18674937942991571</v>
      </c>
      <c r="N63" s="1557">
        <f>美国!Q243</f>
        <v>0.19129578383192963</v>
      </c>
      <c r="O63" s="1557">
        <f>美国!R243</f>
        <v>0.19499575003620229</v>
      </c>
      <c r="P63" s="1557">
        <f>美国!S243</f>
        <v>0.1985168783556539</v>
      </c>
      <c r="Q63" s="1571"/>
      <c r="R63" s="1570">
        <f t="shared" si="22"/>
        <v>3.2731646180960167E-2</v>
      </c>
    </row>
    <row r="64" spans="2:19">
      <c r="B64" s="569"/>
      <c r="C64" s="1397" t="s">
        <v>741</v>
      </c>
      <c r="D64" s="573"/>
      <c r="E64" s="595">
        <f>美国!H284</f>
        <v>-9.3442734115413303E-2</v>
      </c>
      <c r="F64" s="595">
        <f>美国!I284</f>
        <v>-0.11568615346626335</v>
      </c>
      <c r="G64" s="595">
        <f>美国!J284</f>
        <v>-7.6728723404255322E-2</v>
      </c>
      <c r="H64" s="595">
        <f>美国!K284</f>
        <v>8.7561442972590192E-2</v>
      </c>
      <c r="I64" s="595">
        <f>美国!L284</f>
        <v>6.908987769231352E-2</v>
      </c>
      <c r="J64" s="595">
        <f>美国!M284</f>
        <v>-4.9402357287108081E-2</v>
      </c>
      <c r="K64" s="1557">
        <f>美国!N284</f>
        <v>-4.3226490830615312E-2</v>
      </c>
      <c r="L64" s="1557">
        <f>美国!O284</f>
        <v>-1.8540350988770351E-2</v>
      </c>
      <c r="M64" s="1557">
        <f>美国!P284</f>
        <v>-3.834059869044937E-3</v>
      </c>
      <c r="N64" s="1557">
        <f>美国!Q284</f>
        <v>6.2950947057110115E-3</v>
      </c>
      <c r="O64" s="1557">
        <f>美国!R284</f>
        <v>1.543287170896673E-2</v>
      </c>
      <c r="P64" s="1557">
        <f>美国!S284</f>
        <v>2.4141820694780762E-2</v>
      </c>
      <c r="Q64" s="1571"/>
      <c r="R64" s="1570">
        <f t="shared" si="22"/>
        <v>6.7368311525396074E-2</v>
      </c>
    </row>
    <row r="65" spans="2:18">
      <c r="B65" s="569"/>
      <c r="C65" s="1397" t="s">
        <v>742</v>
      </c>
      <c r="D65" s="573"/>
      <c r="E65" s="595">
        <f>美国!H325</f>
        <v>0.16474388555606831</v>
      </c>
      <c r="F65" s="595">
        <f>美国!I325</f>
        <v>8.544173608968425E-2</v>
      </c>
      <c r="G65" s="595">
        <f>美国!J325</f>
        <v>0.12159863945578231</v>
      </c>
      <c r="H65" s="595">
        <f>美国!K325</f>
        <v>2.4987227718173795E-2</v>
      </c>
      <c r="I65" s="595">
        <f>美国!L325</f>
        <v>4.6825045373860615E-3</v>
      </c>
      <c r="J65" s="595">
        <f>美国!M325</f>
        <v>-3.5172408307524126E-2</v>
      </c>
      <c r="K65" s="1557">
        <f>美国!N325</f>
        <v>-3.2573629689098653E-2</v>
      </c>
      <c r="L65" s="1557">
        <f>美国!O325</f>
        <v>-1.6327348021271962E-2</v>
      </c>
      <c r="M65" s="1557">
        <f>美国!P325</f>
        <v>-6.4598798705068072E-3</v>
      </c>
      <c r="N65" s="1557">
        <f>美国!Q325</f>
        <v>5.8391929821123198E-4</v>
      </c>
      <c r="O65" s="1557">
        <f>美国!R325</f>
        <v>7.2638942013008682E-3</v>
      </c>
      <c r="P65" s="1557">
        <f>美国!S325</f>
        <v>1.3726384889801943E-2</v>
      </c>
      <c r="Q65" s="1571"/>
      <c r="R65" s="1570">
        <f t="shared" si="22"/>
        <v>4.6300014578900595E-2</v>
      </c>
    </row>
    <row r="66" spans="2:18">
      <c r="B66" s="1393" t="s">
        <v>743</v>
      </c>
      <c r="C66" s="569"/>
      <c r="D66" s="571"/>
      <c r="E66" s="594">
        <f>美国!H354</f>
        <v>6.1508023741481642E-2</v>
      </c>
      <c r="F66" s="594">
        <f>美国!I354</f>
        <v>0.10461949229860999</v>
      </c>
      <c r="G66" s="594">
        <f>美国!J354</f>
        <v>8.2481939828045081E-2</v>
      </c>
      <c r="H66" s="594">
        <f>美国!K354</f>
        <v>3.3081949984828191E-2</v>
      </c>
      <c r="I66" s="594">
        <f>美国!L354</f>
        <v>3.5040207532925853E-2</v>
      </c>
      <c r="J66" s="594">
        <f>美国!M354</f>
        <v>6.303480669349236E-2</v>
      </c>
      <c r="K66" s="1553">
        <f>美国!N354</f>
        <v>6.5642598805846969E-2</v>
      </c>
      <c r="L66" s="1553">
        <f>美国!O354</f>
        <v>7.7840099755770581E-2</v>
      </c>
      <c r="M66" s="1553">
        <f>美国!P354</f>
        <v>8.5725941114274506E-2</v>
      </c>
      <c r="N66" s="1553">
        <f>美国!Q354</f>
        <v>9.1725258639951623E-2</v>
      </c>
      <c r="O66" s="1553">
        <f>美国!R354</f>
        <v>9.7450511126232944E-2</v>
      </c>
      <c r="P66" s="1553">
        <f>美国!S354</f>
        <v>0.10301373229688289</v>
      </c>
      <c r="Q66" s="1571"/>
      <c r="R66" s="1570">
        <f t="shared" si="22"/>
        <v>3.7371133491035921E-2</v>
      </c>
    </row>
    <row r="67" spans="2:18">
      <c r="B67" s="569"/>
      <c r="C67" s="1397" t="s">
        <v>744</v>
      </c>
      <c r="D67" s="573"/>
      <c r="E67" s="595">
        <f>美国!H395</f>
        <v>8.7110569712687713E-2</v>
      </c>
      <c r="F67" s="595">
        <f>美国!I395</f>
        <v>0.14760427213639482</v>
      </c>
      <c r="G67" s="595">
        <f>美国!J395</f>
        <v>0.14345802402394484</v>
      </c>
      <c r="H67" s="595">
        <f>美国!K395</f>
        <v>5.8503371621547777E-2</v>
      </c>
      <c r="I67" s="595">
        <f>美国!L395</f>
        <v>5.6144575468928586E-2</v>
      </c>
      <c r="J67" s="595">
        <f>美国!M395</f>
        <v>8.5821222752002199E-2</v>
      </c>
      <c r="K67" s="1557">
        <f>美国!N395</f>
        <v>8.8234319423264401E-2</v>
      </c>
      <c r="L67" s="1557">
        <f>美国!O395</f>
        <v>9.9215589213406008E-2</v>
      </c>
      <c r="M67" s="1557">
        <f>美国!P395</f>
        <v>0.10605238443621889</v>
      </c>
      <c r="N67" s="1557">
        <f>美国!Q395</f>
        <v>0.11114769311566802</v>
      </c>
      <c r="O67" s="1557">
        <f>美国!R395</f>
        <v>0.11595462685064511</v>
      </c>
      <c r="P67" s="1557">
        <f>美国!S395</f>
        <v>0.12056862337065352</v>
      </c>
      <c r="Q67" s="1571"/>
      <c r="R67" s="1570">
        <f t="shared" si="22"/>
        <v>3.233430394738912E-2</v>
      </c>
    </row>
    <row r="68" spans="2:18">
      <c r="B68" s="569"/>
      <c r="C68" s="1397" t="s">
        <v>745</v>
      </c>
      <c r="D68" s="573"/>
      <c r="E68" s="595">
        <f>美国!H436</f>
        <v>-2.8583651545640361E-2</v>
      </c>
      <c r="F68" s="595">
        <f>美国!I436</f>
        <v>-5.3473950016710613E-3</v>
      </c>
      <c r="G68" s="595">
        <f>美国!J436</f>
        <v>3.5227006329608505E-2</v>
      </c>
      <c r="H68" s="595">
        <f>美国!K436</f>
        <v>-7.1201870876137982E-2</v>
      </c>
      <c r="I68" s="595">
        <f>美国!L436</f>
        <v>-9.8355417146221091E-2</v>
      </c>
      <c r="J68" s="595">
        <f>美国!M436</f>
        <v>-0.52216117695940145</v>
      </c>
      <c r="K68" s="1557">
        <f>美国!N436</f>
        <v>-0.30725809938679916</v>
      </c>
      <c r="L68" s="1557">
        <f>美国!O436</f>
        <v>-0.28928801101682383</v>
      </c>
      <c r="M68" s="1557">
        <f>美国!P436</f>
        <v>-0.27637775991410463</v>
      </c>
      <c r="N68" s="1557">
        <f>美国!Q436</f>
        <v>-0.26633413568094405</v>
      </c>
      <c r="O68" s="1557">
        <f>美国!R436</f>
        <v>-0.25653403688564291</v>
      </c>
      <c r="P68" s="1557">
        <f>美国!S436</f>
        <v>-0.2469456814446106</v>
      </c>
      <c r="Q68" s="1571"/>
      <c r="R68" s="1570">
        <f t="shared" si="22"/>
        <v>6.0312417942188556E-2</v>
      </c>
    </row>
    <row r="69" spans="2:18">
      <c r="B69" s="569"/>
      <c r="C69" s="1397" t="s">
        <v>746</v>
      </c>
      <c r="D69" s="573"/>
      <c r="E69" s="595">
        <f>美国!H477</f>
        <v>0.26043535302149989</v>
      </c>
      <c r="F69" s="595">
        <f>美国!I477</f>
        <v>0.20478477738777018</v>
      </c>
      <c r="G69" s="595">
        <f>美国!J477</f>
        <v>8.1157374735356391E-2</v>
      </c>
      <c r="H69" s="595">
        <f>美国!K477</f>
        <v>6.3751191611058147E-2</v>
      </c>
      <c r="I69" s="595">
        <f>美国!L477</f>
        <v>0.134497425872072</v>
      </c>
      <c r="J69" s="595">
        <f>美国!M477</f>
        <v>0.21011339679028471</v>
      </c>
      <c r="K69" s="1557">
        <f>美国!N477</f>
        <v>0.22381141829366688</v>
      </c>
      <c r="L69" s="1557">
        <f>美国!O477</f>
        <v>0.23563015443105029</v>
      </c>
      <c r="M69" s="1557">
        <f>美国!P477</f>
        <v>0.23988113583166942</v>
      </c>
      <c r="N69" s="1557">
        <f>美国!Q477</f>
        <v>0.24140151960867839</v>
      </c>
      <c r="O69" s="1557">
        <f>美国!R477</f>
        <v>0.24302817352046688</v>
      </c>
      <c r="P69" s="1557">
        <f>美国!S477</f>
        <v>0.24602880640619817</v>
      </c>
      <c r="Q69" s="1571"/>
      <c r="R69" s="1570">
        <f t="shared" si="22"/>
        <v>2.2217388112531294E-2</v>
      </c>
    </row>
    <row r="70" spans="2:18">
      <c r="B70" s="569"/>
      <c r="C70" s="1397" t="s">
        <v>747</v>
      </c>
      <c r="D70" s="573"/>
      <c r="E70" s="595">
        <f>美国!H518</f>
        <v>-0.1007936507936508</v>
      </c>
      <c r="F70" s="595">
        <f>美国!I518</f>
        <v>0.1234209787592402</v>
      </c>
      <c r="G70" s="595">
        <f>美国!J518</f>
        <v>7.955555555555556E-2</v>
      </c>
      <c r="H70" s="595">
        <f>美国!K518</f>
        <v>3.8830516217450893E-2</v>
      </c>
      <c r="I70" s="595">
        <f>美国!L518</f>
        <v>5.1119929189681439E-2</v>
      </c>
      <c r="J70" s="595">
        <f>美国!M518</f>
        <v>8.141531295804956E-2</v>
      </c>
      <c r="K70" s="1557">
        <f>美国!N518</f>
        <v>8.884776146355039E-2</v>
      </c>
      <c r="L70" s="1557">
        <f>美国!O518</f>
        <v>0.1033576605203686</v>
      </c>
      <c r="M70" s="1557">
        <f>美国!P518</f>
        <v>0.11427469760899293</v>
      </c>
      <c r="N70" s="1557">
        <f>美国!Q518</f>
        <v>0.12416747587529131</v>
      </c>
      <c r="O70" s="1557">
        <f>美国!R518</f>
        <v>0.13378680112509805</v>
      </c>
      <c r="P70" s="1557">
        <f>美国!S518</f>
        <v>0.14322249769593895</v>
      </c>
      <c r="Q70" s="1571"/>
      <c r="R70" s="1570">
        <f t="shared" si="22"/>
        <v>5.437473623238856E-2</v>
      </c>
    </row>
    <row r="71" spans="2:18">
      <c r="B71" s="569"/>
      <c r="C71" s="1397" t="s">
        <v>748</v>
      </c>
      <c r="D71" s="573"/>
      <c r="E71" s="595">
        <f>美国!H559</f>
        <v>-1.2372476665943131E-2</v>
      </c>
      <c r="F71" s="595">
        <f>美国!I559</f>
        <v>0.15475910693301997</v>
      </c>
      <c r="G71" s="595">
        <f>美国!J559</f>
        <v>-8.6944288126055147E-2</v>
      </c>
      <c r="H71" s="595">
        <f>美国!K559</f>
        <v>3.811659192825112E-2</v>
      </c>
      <c r="I71" s="595">
        <f>美国!L559</f>
        <v>3.6557249026106027E-2</v>
      </c>
      <c r="J71" s="595">
        <f>美国!M559</f>
        <v>-0.21566834524960743</v>
      </c>
      <c r="K71" s="1557">
        <f>美国!N559</f>
        <v>-0.21566834524960724</v>
      </c>
      <c r="L71" s="1557">
        <f>美国!O559</f>
        <v>-0.21272644178450995</v>
      </c>
      <c r="M71" s="1557">
        <f>美国!P559</f>
        <v>-0.21058538871242577</v>
      </c>
      <c r="N71" s="1557">
        <f>美国!Q559</f>
        <v>-0.20890786737415074</v>
      </c>
      <c r="O71" s="1557">
        <f>美国!R559</f>
        <v>-0.20726673044357843</v>
      </c>
      <c r="P71" s="1557">
        <f>美国!S559</f>
        <v>-0.20565891511390694</v>
      </c>
      <c r="Q71" s="1571"/>
      <c r="R71" s="1570">
        <f t="shared" si="22"/>
        <v>1.0009430135700298E-2</v>
      </c>
    </row>
    <row r="72" spans="2:18">
      <c r="B72" s="569"/>
      <c r="C72" s="1397" t="s">
        <v>749</v>
      </c>
      <c r="D72" s="573"/>
      <c r="E72" s="595">
        <f>美国!H600</f>
        <v>-6.168484567184962E-2</v>
      </c>
      <c r="F72" s="595">
        <f>美国!I600</f>
        <v>5.0078616352201261E-2</v>
      </c>
      <c r="G72" s="595">
        <f>美国!J600</f>
        <v>-0.13576905728461885</v>
      </c>
      <c r="H72" s="595">
        <f>美国!K600</f>
        <v>-3.4330554193231978E-2</v>
      </c>
      <c r="I72" s="595">
        <f>美国!L600</f>
        <v>1.1112141660548257E-2</v>
      </c>
      <c r="J72" s="595">
        <f>美国!M600</f>
        <v>-3.2129050482667426E-2</v>
      </c>
      <c r="K72" s="1557">
        <f>美国!N600</f>
        <v>-3.212905048266728E-2</v>
      </c>
      <c r="L72" s="1557">
        <f>美国!O600</f>
        <v>-9.5224629182569052E-3</v>
      </c>
      <c r="M72" s="1557">
        <f>美国!P600</f>
        <v>4.0074795093101396E-3</v>
      </c>
      <c r="N72" s="1557">
        <f>美国!Q600</f>
        <v>1.336261226186759E-2</v>
      </c>
      <c r="O72" s="1557">
        <f>美国!R600</f>
        <v>2.2067962389315902E-2</v>
      </c>
      <c r="P72" s="1557">
        <f>美国!S600</f>
        <v>3.0374518449488637E-2</v>
      </c>
      <c r="Q72" s="1571"/>
      <c r="R72" s="1570">
        <f t="shared" si="22"/>
        <v>6.2503568932155917E-2</v>
      </c>
    </row>
    <row r="73" spans="2:18">
      <c r="B73" s="1393" t="s">
        <v>779</v>
      </c>
      <c r="C73" s="1393"/>
      <c r="D73" s="571"/>
      <c r="E73" s="595"/>
      <c r="F73" s="595"/>
      <c r="G73" s="595"/>
      <c r="H73" s="595"/>
      <c r="I73" s="595"/>
      <c r="J73" s="595"/>
      <c r="K73" s="1553">
        <f>美国!N629</f>
        <v>0.1</v>
      </c>
      <c r="L73" s="1553">
        <f>美国!O629</f>
        <v>0.112</v>
      </c>
      <c r="M73" s="1553">
        <f>美国!P629</f>
        <v>0.124</v>
      </c>
      <c r="N73" s="1553">
        <f>美国!Q629</f>
        <v>0.13600000000000001</v>
      </c>
      <c r="O73" s="1553">
        <f>美国!R629</f>
        <v>0.14800000000000002</v>
      </c>
      <c r="P73" s="1553">
        <f>美国!S629</f>
        <v>0.16000000000000003</v>
      </c>
      <c r="Q73" s="1571"/>
      <c r="R73" s="1570">
        <f t="shared" si="22"/>
        <v>6.0000000000000026E-2</v>
      </c>
    </row>
    <row r="74" spans="2:18">
      <c r="B74" s="1392" t="s">
        <v>764</v>
      </c>
      <c r="C74" s="1392"/>
      <c r="D74" s="587"/>
      <c r="E74" s="593">
        <f>集团!H73</f>
        <v>0.2632431640138021</v>
      </c>
      <c r="F74" s="593">
        <f>集团!I73</f>
        <v>0.29563719579433739</v>
      </c>
      <c r="G74" s="593">
        <f>集团!J73</f>
        <v>0.36781660964633545</v>
      </c>
      <c r="H74" s="593">
        <f>集团!K73</f>
        <v>0.35082723465125687</v>
      </c>
      <c r="I74" s="593">
        <f>集团!L73</f>
        <v>0.35003615770102664</v>
      </c>
      <c r="J74" s="593">
        <f>集团!M73</f>
        <v>0.3213331039723521</v>
      </c>
      <c r="K74" s="1559">
        <f>集团!N73</f>
        <v>0.31872751492692936</v>
      </c>
      <c r="L74" s="1559">
        <f>集团!O73</f>
        <v>0.3369673924717127</v>
      </c>
      <c r="M74" s="1559">
        <f>集团!P73</f>
        <v>0.34643619478192317</v>
      </c>
      <c r="N74" s="1559">
        <f>集团!Q73</f>
        <v>0.35276888618910868</v>
      </c>
      <c r="O74" s="1559">
        <f>集团!R73</f>
        <v>0.35679255120902653</v>
      </c>
      <c r="P74" s="1559">
        <f>集团!S73</f>
        <v>0.36001299411412302</v>
      </c>
      <c r="Q74" s="1571"/>
      <c r="R74" s="1570">
        <f t="shared" si="22"/>
        <v>4.1285479187193663E-2</v>
      </c>
    </row>
    <row r="75" spans="2:18">
      <c r="B75" s="1393" t="s">
        <v>765</v>
      </c>
      <c r="C75" s="1393"/>
      <c r="D75" s="571"/>
      <c r="E75" s="594">
        <f>中国!H51</f>
        <v>0.18925569482850563</v>
      </c>
      <c r="F75" s="594">
        <f>中国!I51</f>
        <v>0.23482519643195607</v>
      </c>
      <c r="G75" s="594">
        <f>中国!J51</f>
        <v>0.32222400295207199</v>
      </c>
      <c r="H75" s="594">
        <f>中国!K51</f>
        <v>0.32558519230243277</v>
      </c>
      <c r="I75" s="594">
        <f>中国!L51</f>
        <v>0.32202929011219183</v>
      </c>
      <c r="J75" s="594">
        <f>中国!M51</f>
        <v>0.28108919669586685</v>
      </c>
      <c r="K75" s="1553">
        <f>中国!N51</f>
        <v>0.29151037186818907</v>
      </c>
      <c r="L75" s="1553">
        <f>中国!O51</f>
        <v>0.31548446323112384</v>
      </c>
      <c r="M75" s="1553">
        <f>中国!P51</f>
        <v>0.32812124647217178</v>
      </c>
      <c r="N75" s="1553">
        <f>中国!Q51</f>
        <v>0.33649852436013827</v>
      </c>
      <c r="O75" s="1553">
        <f>中国!R51</f>
        <v>0.34184264057329805</v>
      </c>
      <c r="P75" s="1553">
        <f>中国!S51</f>
        <v>0.34593292756641447</v>
      </c>
      <c r="Q75" s="1571"/>
      <c r="R75" s="1570">
        <f t="shared" si="22"/>
        <v>5.4422555698225406E-2</v>
      </c>
    </row>
    <row r="76" spans="2:18">
      <c r="B76" s="1397" t="s">
        <v>752</v>
      </c>
      <c r="C76" s="1397"/>
      <c r="D76" s="573"/>
      <c r="E76" s="595">
        <f>中国!H78</f>
        <v>0.12748001127538994</v>
      </c>
      <c r="F76" s="595">
        <f>中国!I78</f>
        <v>0.18766533056194326</v>
      </c>
      <c r="G76" s="595">
        <f>中国!J78</f>
        <v>0.29371710192684353</v>
      </c>
      <c r="H76" s="595">
        <f>中国!K78</f>
        <v>0.28662880444760053</v>
      </c>
      <c r="I76" s="595">
        <f>中国!L78</f>
        <v>0.2812303640753675</v>
      </c>
      <c r="J76" s="595">
        <f>中国!M78</f>
        <v>0.13599147729641106</v>
      </c>
      <c r="K76" s="1557">
        <f>中国!N78</f>
        <v>0.14701845012478199</v>
      </c>
      <c r="L76" s="1557">
        <f>中国!O78</f>
        <v>0.1711605892285239</v>
      </c>
      <c r="M76" s="1557">
        <f>中国!P78</f>
        <v>0.19055562626708539</v>
      </c>
      <c r="N76" s="1557">
        <f>中国!Q78</f>
        <v>0.20592012464391604</v>
      </c>
      <c r="O76" s="1557">
        <f>中国!R78</f>
        <v>0.21768582736530695</v>
      </c>
      <c r="P76" s="1557">
        <f>中国!S78</f>
        <v>0.22989345379762346</v>
      </c>
      <c r="Q76" s="1571"/>
      <c r="R76" s="1570">
        <f t="shared" si="22"/>
        <v>8.287500367284148E-2</v>
      </c>
    </row>
    <row r="77" spans="2:18">
      <c r="B77" s="1397" t="s">
        <v>753</v>
      </c>
      <c r="C77" s="1397"/>
      <c r="D77" s="573"/>
      <c r="E77" s="595">
        <f>中国!H312</f>
        <v>0.18869773519163763</v>
      </c>
      <c r="F77" s="595">
        <f>中国!I312</f>
        <v>0.17263595924809871</v>
      </c>
      <c r="G77" s="595">
        <f>中国!J312</f>
        <v>0.18906412736199971</v>
      </c>
      <c r="H77" s="595">
        <f>中国!K312</f>
        <v>0.2355626609823252</v>
      </c>
      <c r="I77" s="595">
        <f>中国!L312</f>
        <v>0.22874263870234529</v>
      </c>
      <c r="J77" s="595">
        <f>中国!M312</f>
        <v>0.20390638903719524</v>
      </c>
      <c r="K77" s="1557">
        <f>中国!N312</f>
        <v>0.20390638903719513</v>
      </c>
      <c r="L77" s="1557">
        <f>中国!O312</f>
        <v>0.20653444501882381</v>
      </c>
      <c r="M77" s="1557">
        <f>中国!P312</f>
        <v>0.209151250136175</v>
      </c>
      <c r="N77" s="1557">
        <f>中国!Q312</f>
        <v>0.2117568583420199</v>
      </c>
      <c r="O77" s="1557">
        <f>中国!R312</f>
        <v>0.21435132330607023</v>
      </c>
      <c r="P77" s="1557">
        <f>中国!S312</f>
        <v>0.21693469841655405</v>
      </c>
      <c r="Q77" s="1571"/>
      <c r="R77" s="1570">
        <f t="shared" si="22"/>
        <v>1.3028309379358921E-2</v>
      </c>
    </row>
    <row r="78" spans="2:18">
      <c r="B78" s="1397" t="s">
        <v>754</v>
      </c>
      <c r="C78" s="1397"/>
      <c r="D78" s="573"/>
      <c r="E78" s="595">
        <f>中国!H339</f>
        <v>0.3465738924192926</v>
      </c>
      <c r="F78" s="595">
        <f>中国!I339</f>
        <v>0.32222488555585238</v>
      </c>
      <c r="G78" s="595">
        <f>中国!J339</f>
        <v>0.39403848067321989</v>
      </c>
      <c r="H78" s="595">
        <f>中国!K339</f>
        <v>0.40007515369311736</v>
      </c>
      <c r="I78" s="595">
        <f>中国!L339</f>
        <v>0.3953564193830017</v>
      </c>
      <c r="J78" s="595">
        <f>中国!M339</f>
        <v>0.37399129690636707</v>
      </c>
      <c r="K78" s="1557">
        <f>中国!N339</f>
        <v>0.37299358795090382</v>
      </c>
      <c r="L78" s="1557">
        <f>中国!O339</f>
        <v>0.37897190171109957</v>
      </c>
      <c r="M78" s="1557">
        <f>中国!P339</f>
        <v>0.37952662241235696</v>
      </c>
      <c r="N78" s="1557">
        <f>中国!Q339</f>
        <v>0.37835345895750022</v>
      </c>
      <c r="O78" s="1557">
        <f>中国!R339</f>
        <v>0.3761869092504414</v>
      </c>
      <c r="P78" s="1557">
        <f>中国!S339</f>
        <v>0.37352308881796048</v>
      </c>
      <c r="Q78" s="1571"/>
      <c r="R78" s="1570">
        <f t="shared" si="22"/>
        <v>5.2950086705666477E-4</v>
      </c>
    </row>
    <row r="79" spans="2:18">
      <c r="B79" s="569"/>
      <c r="C79" s="1390" t="s">
        <v>1166</v>
      </c>
      <c r="D79" s="576"/>
      <c r="E79" s="595">
        <f>中国!H378</f>
        <v>0.55392640354428602</v>
      </c>
      <c r="F79" s="595">
        <f>中国!I378</f>
        <v>0.44986827242732907</v>
      </c>
      <c r="G79" s="595">
        <f>中国!J378</f>
        <v>0.53549257379460924</v>
      </c>
      <c r="H79" s="595">
        <f>中国!K378</f>
        <v>0.49653383711435933</v>
      </c>
      <c r="I79" s="595">
        <f>中国!L378</f>
        <v>0.49096599738480684</v>
      </c>
      <c r="J79" s="595">
        <f>中国!M378</f>
        <v>0.44316628771276961</v>
      </c>
      <c r="K79" s="1557">
        <f>中国!N378</f>
        <v>0.44316628771276956</v>
      </c>
      <c r="L79" s="1557">
        <f>中国!O378</f>
        <v>0.43332735411924861</v>
      </c>
      <c r="M79" s="1557">
        <f>中国!P378</f>
        <v>0.42962792890337842</v>
      </c>
      <c r="N79" s="1557">
        <f>中国!Q378</f>
        <v>0.42725361105347825</v>
      </c>
      <c r="O79" s="1557">
        <f>中国!R378</f>
        <v>0.42693558706530965</v>
      </c>
      <c r="P79" s="1557">
        <f>中国!S378</f>
        <v>0.42884380614640549</v>
      </c>
      <c r="Q79" s="1571"/>
      <c r="R79" s="1570">
        <f t="shared" si="22"/>
        <v>-1.4322481566364065E-2</v>
      </c>
    </row>
    <row r="80" spans="2:18">
      <c r="B80" s="569"/>
      <c r="C80" s="1390" t="s">
        <v>1179</v>
      </c>
      <c r="D80" s="576"/>
      <c r="E80" s="595">
        <f>中国!H417</f>
        <v>0.29719595132448928</v>
      </c>
      <c r="F80" s="595">
        <f>中国!I417</f>
        <v>0.27852717119140746</v>
      </c>
      <c r="G80" s="595">
        <f>中国!J417</f>
        <v>0.32868858294388631</v>
      </c>
      <c r="H80" s="595">
        <f>中国!K417</f>
        <v>0.31609535249006743</v>
      </c>
      <c r="I80" s="595">
        <f>中国!L417</f>
        <v>0.31831066601152191</v>
      </c>
      <c r="J80" s="595">
        <f>中国!M417</f>
        <v>0.29809103441575724</v>
      </c>
      <c r="K80" s="1557">
        <f>中国!N417</f>
        <v>0.29809103441575735</v>
      </c>
      <c r="L80" s="1557">
        <f>中国!O417</f>
        <v>0.30844981979148139</v>
      </c>
      <c r="M80" s="1557">
        <f>中国!P417</f>
        <v>0.30679190241525556</v>
      </c>
      <c r="N80" s="1557">
        <f>中国!Q417</f>
        <v>0.30439476848252439</v>
      </c>
      <c r="O80" s="1557">
        <f>中国!R417</f>
        <v>0.30232435427318421</v>
      </c>
      <c r="P80" s="1557">
        <f>中国!S417</f>
        <v>0.30165339313701794</v>
      </c>
      <c r="Q80" s="1571"/>
      <c r="R80" s="1570">
        <f t="shared" si="22"/>
        <v>3.5623587212605945E-3</v>
      </c>
    </row>
    <row r="81" spans="2:19">
      <c r="B81" s="569"/>
      <c r="C81" s="1390" t="s">
        <v>1178</v>
      </c>
      <c r="D81" s="576"/>
      <c r="E81" s="595">
        <f>中国!H456</f>
        <v>0.3574184496667836</v>
      </c>
      <c r="F81" s="595">
        <f>中国!I456</f>
        <v>0.2894753225843415</v>
      </c>
      <c r="G81" s="595">
        <f>中国!J456</f>
        <v>0.40720395871539888</v>
      </c>
      <c r="H81" s="595">
        <f>中国!K456</f>
        <v>0.45811044783833371</v>
      </c>
      <c r="I81" s="595">
        <f>中国!L456</f>
        <v>0.46695638585638621</v>
      </c>
      <c r="J81" s="595">
        <f>中国!M456</f>
        <v>0.48969332063202842</v>
      </c>
      <c r="K81" s="1557">
        <f>中国!N456</f>
        <v>0.48969332063202836</v>
      </c>
      <c r="L81" s="1557">
        <f>中国!O456</f>
        <v>0.48915270016857454</v>
      </c>
      <c r="M81" s="1557">
        <f>中国!P456</f>
        <v>0.49039698986390778</v>
      </c>
      <c r="N81" s="1557">
        <f>中国!Q456</f>
        <v>0.49194793218042332</v>
      </c>
      <c r="O81" s="1557">
        <f>中国!R456</f>
        <v>0.49350561559347206</v>
      </c>
      <c r="P81" s="1557">
        <f>中国!S456</f>
        <v>0.49532882407698053</v>
      </c>
      <c r="Q81" s="1571"/>
      <c r="R81" s="1570">
        <f t="shared" si="22"/>
        <v>5.6355034449521724E-3</v>
      </c>
    </row>
    <row r="82" spans="2:19">
      <c r="B82" s="569"/>
      <c r="C82" s="1390" t="s">
        <v>1169</v>
      </c>
      <c r="D82" s="576"/>
      <c r="E82" s="595">
        <f>中国!H495</f>
        <v>0</v>
      </c>
      <c r="F82" s="595">
        <f>中国!I495</f>
        <v>0.24003463453140436</v>
      </c>
      <c r="G82" s="595">
        <f>中国!J495</f>
        <v>0.31994134577476369</v>
      </c>
      <c r="H82" s="595">
        <f>中国!K495</f>
        <v>0.3141114357476037</v>
      </c>
      <c r="I82" s="595">
        <f>中国!L495</f>
        <v>0.30066262043812408</v>
      </c>
      <c r="J82" s="595">
        <f>中国!M495</f>
        <v>0.2906011996807491</v>
      </c>
      <c r="K82" s="1557">
        <f>中国!N495</f>
        <v>0.29060119968074916</v>
      </c>
      <c r="L82" s="1557">
        <f>中国!O495</f>
        <v>0.2929697540126604</v>
      </c>
      <c r="M82" s="1557">
        <f>中国!P495</f>
        <v>0.29532839044815706</v>
      </c>
      <c r="N82" s="1557">
        <f>中国!Q495</f>
        <v>0.29767715561432834</v>
      </c>
      <c r="O82" s="1557">
        <f>中国!R495</f>
        <v>0.30001609589714279</v>
      </c>
      <c r="P82" s="1557">
        <f>中国!S495</f>
        <v>0.29596743495015826</v>
      </c>
      <c r="Q82" s="1571"/>
      <c r="R82" s="1570">
        <f t="shared" si="22"/>
        <v>5.3662352694091031E-3</v>
      </c>
    </row>
    <row r="83" spans="2:19">
      <c r="B83" s="569"/>
      <c r="C83" s="1390" t="s">
        <v>665</v>
      </c>
      <c r="D83" s="576"/>
      <c r="E83" s="595">
        <f>中国!H534</f>
        <v>0.30344232701662027</v>
      </c>
      <c r="F83" s="595">
        <f>中国!I534</f>
        <v>0.27434802397761054</v>
      </c>
      <c r="G83" s="595">
        <f>中国!J534</f>
        <v>0.31216903318142442</v>
      </c>
      <c r="H83" s="595">
        <f>中国!K534</f>
        <v>0.3098793591959656</v>
      </c>
      <c r="I83" s="595">
        <f>中国!L534</f>
        <v>0.3065519216538663</v>
      </c>
      <c r="J83" s="595">
        <f>中国!M534</f>
        <v>0.28923218525613253</v>
      </c>
      <c r="K83" s="1557">
        <f>中国!N534</f>
        <v>0.28923218525613242</v>
      </c>
      <c r="L83" s="1557">
        <f>中国!O534</f>
        <v>0.30906086800900279</v>
      </c>
      <c r="M83" s="1557">
        <f>中国!P534</f>
        <v>0.3201044922435467</v>
      </c>
      <c r="N83" s="1557">
        <f>中国!Q534</f>
        <v>0.32691907376416163</v>
      </c>
      <c r="O83" s="1557">
        <f>中国!R534</f>
        <v>0.327622263194562</v>
      </c>
      <c r="P83" s="1557">
        <f>中国!S534</f>
        <v>0.32871158334719042</v>
      </c>
      <c r="Q83" s="1571"/>
      <c r="R83" s="1570">
        <f t="shared" si="22"/>
        <v>3.9479398091057993E-2</v>
      </c>
    </row>
    <row r="84" spans="2:19">
      <c r="B84" s="1397" t="s">
        <v>788</v>
      </c>
      <c r="C84" s="1397"/>
      <c r="D84" s="573"/>
      <c r="E84" s="595">
        <f>中国!H639</f>
        <v>0.22980034522919038</v>
      </c>
      <c r="F84" s="595">
        <f>中国!I639</f>
        <v>0.27186602548938393</v>
      </c>
      <c r="G84" s="595">
        <f>中国!J639</f>
        <v>0.31795938933123058</v>
      </c>
      <c r="H84" s="595">
        <f>中国!K639</f>
        <v>0.31346980459104351</v>
      </c>
      <c r="I84" s="595">
        <f>中国!L639</f>
        <v>0.31738358760325835</v>
      </c>
      <c r="J84" s="595">
        <f>中国!M639</f>
        <v>0.36809461056849718</v>
      </c>
      <c r="K84" s="1557">
        <f>中国!N639</f>
        <v>0.36647228340875343</v>
      </c>
      <c r="L84" s="1557">
        <f>中国!O639</f>
        <v>0.36277183615823383</v>
      </c>
      <c r="M84" s="1557">
        <f>中国!P639</f>
        <v>0.35927363336472867</v>
      </c>
      <c r="N84" s="1557">
        <f>中国!Q639</f>
        <v>0.3596216146807209</v>
      </c>
      <c r="O84" s="1557">
        <f>中国!R639</f>
        <v>0.36017139731819331</v>
      </c>
      <c r="P84" s="1557">
        <f>中国!S639</f>
        <v>0.36191575045445606</v>
      </c>
      <c r="Q84" s="1571"/>
      <c r="R84" s="1570">
        <f t="shared" si="22"/>
        <v>-4.5565329542973654E-3</v>
      </c>
    </row>
    <row r="85" spans="2:19">
      <c r="B85" s="1393" t="s">
        <v>766</v>
      </c>
      <c r="C85" s="1393"/>
      <c r="D85" s="571"/>
      <c r="E85" s="594">
        <f>中国!H947</f>
        <v>0.50238560032930635</v>
      </c>
      <c r="F85" s="594">
        <f>中国!I947</f>
        <v>0.46567145176178504</v>
      </c>
      <c r="G85" s="594">
        <f>中国!J947</f>
        <v>0.48866606327479079</v>
      </c>
      <c r="H85" s="594">
        <f>中国!K947</f>
        <v>0.38338340763713896</v>
      </c>
      <c r="I85" s="594">
        <f>中国!L947</f>
        <v>0.3110867579908676</v>
      </c>
      <c r="J85" s="594">
        <f>中国!M947</f>
        <v>0.41246524907957022</v>
      </c>
      <c r="K85" s="1553">
        <f>中国!N947</f>
        <v>0.41246524907957022</v>
      </c>
      <c r="L85" s="1553">
        <f>中国!O947</f>
        <v>0.40995536858659892</v>
      </c>
      <c r="M85" s="1553">
        <f>中国!P947</f>
        <v>0.40730876578661962</v>
      </c>
      <c r="N85" s="1553">
        <f>中国!Q947</f>
        <v>0.40452404080963666</v>
      </c>
      <c r="O85" s="1553">
        <f>中国!R947</f>
        <v>0.4016000127885484</v>
      </c>
      <c r="P85" s="1553">
        <f>中国!S947</f>
        <v>0.39853573960360167</v>
      </c>
      <c r="Q85" s="1571"/>
      <c r="R85" s="1570">
        <f t="shared" si="22"/>
        <v>-1.3929509475968549E-2</v>
      </c>
    </row>
    <row r="86" spans="2:19">
      <c r="B86" s="1393" t="s">
        <v>767</v>
      </c>
      <c r="C86" s="1393"/>
      <c r="D86" s="571"/>
      <c r="E86" s="594">
        <f>中国!H971</f>
        <v>0.14796352799262044</v>
      </c>
      <c r="F86" s="594">
        <f>中国!I971</f>
        <v>0.10334008004469319</v>
      </c>
      <c r="G86" s="594">
        <f>中国!J971</f>
        <v>0.12042748874397141</v>
      </c>
      <c r="H86" s="594">
        <f>中国!K971</f>
        <v>0.14735933036603999</v>
      </c>
      <c r="I86" s="594">
        <f>中国!L971</f>
        <v>0.13494651044319919</v>
      </c>
      <c r="J86" s="594">
        <f>中国!M971</f>
        <v>0.38793317507772074</v>
      </c>
      <c r="K86" s="1553">
        <f>中国!N971</f>
        <v>0.38793317507772074</v>
      </c>
      <c r="L86" s="1553">
        <f>中国!O971</f>
        <v>0.38970261732733025</v>
      </c>
      <c r="M86" s="1553">
        <f>中国!P971</f>
        <v>0.39146578079770711</v>
      </c>
      <c r="N86" s="1553">
        <f>中国!Q971</f>
        <v>0.39322269014790412</v>
      </c>
      <c r="O86" s="1553">
        <f>中国!R971</f>
        <v>0.3949733699280602</v>
      </c>
      <c r="P86" s="1553">
        <f>中国!S971</f>
        <v>0.39671784457993747</v>
      </c>
      <c r="Q86" s="1571"/>
      <c r="R86" s="1570">
        <f t="shared" si="22"/>
        <v>8.7846695022167354E-3</v>
      </c>
    </row>
    <row r="87" spans="2:19">
      <c r="B87" s="1393" t="s">
        <v>768</v>
      </c>
      <c r="C87" s="1393"/>
      <c r="D87" s="571"/>
      <c r="E87" s="594">
        <f>中国!H980</f>
        <v>0.58256707393878326</v>
      </c>
      <c r="F87" s="594">
        <f>中国!I980</f>
        <v>0.2394141424746706</v>
      </c>
      <c r="G87" s="594">
        <f>中国!J980</f>
        <v>0.36195500927643781</v>
      </c>
      <c r="H87" s="594">
        <f>中国!K980</f>
        <v>0.19136554337528758</v>
      </c>
      <c r="I87" s="594">
        <f>中国!L980</f>
        <v>0.24272371850564725</v>
      </c>
      <c r="J87" s="594">
        <f>中国!M980</f>
        <v>0.63501679067623629</v>
      </c>
      <c r="K87" s="1553">
        <f>中国!N980</f>
        <v>0.63501679067623629</v>
      </c>
      <c r="L87" s="1553">
        <f>中国!O980</f>
        <v>0.63501679067623629</v>
      </c>
      <c r="M87" s="1553">
        <f>中国!P980</f>
        <v>0.63501679067623629</v>
      </c>
      <c r="N87" s="1553">
        <f>中国!Q980</f>
        <v>0.63501679067623629</v>
      </c>
      <c r="O87" s="1553">
        <f>中国!R980</f>
        <v>0.63501679067623629</v>
      </c>
      <c r="P87" s="1553">
        <f>中国!S980</f>
        <v>0.63501679067623629</v>
      </c>
      <c r="Q87" s="1571"/>
      <c r="R87" s="1570">
        <f t="shared" si="22"/>
        <v>0</v>
      </c>
    </row>
    <row r="88" spans="2:19">
      <c r="B88" s="1392" t="s">
        <v>769</v>
      </c>
      <c r="C88" s="1392"/>
      <c r="D88" s="587"/>
      <c r="E88" s="593">
        <f>集团!H75</f>
        <v>0.18286550946885777</v>
      </c>
      <c r="F88" s="593">
        <f>集团!I75</f>
        <v>0.18205410890074833</v>
      </c>
      <c r="G88" s="593">
        <f>集团!J75</f>
        <v>0.16003109604835611</v>
      </c>
      <c r="H88" s="593">
        <f>集团!K75</f>
        <v>0.18480131636184821</v>
      </c>
      <c r="I88" s="593">
        <f>集团!L75</f>
        <v>0.18398222094459726</v>
      </c>
      <c r="J88" s="593">
        <f>集团!M75</f>
        <v>0.17445651079474528</v>
      </c>
      <c r="K88" s="1559">
        <f>集团!N75</f>
        <v>0.17526639988588769</v>
      </c>
      <c r="L88" s="1559">
        <f>集团!O75</f>
        <v>0.17528793528299522</v>
      </c>
      <c r="M88" s="1559">
        <f>集团!P75</f>
        <v>0.17536282716271528</v>
      </c>
      <c r="N88" s="1559">
        <f>集团!Q75</f>
        <v>0.17527463386242759</v>
      </c>
      <c r="O88" s="1559">
        <f>集团!R75</f>
        <v>0.17487255632531104</v>
      </c>
      <c r="P88" s="1559">
        <f>集团!S75</f>
        <v>0.17361573200912825</v>
      </c>
      <c r="Q88" s="1571"/>
      <c r="R88" s="1570">
        <f t="shared" si="22"/>
        <v>-1.6506678767594374E-3</v>
      </c>
    </row>
    <row r="89" spans="2:19">
      <c r="B89" s="1392" t="s">
        <v>770</v>
      </c>
      <c r="C89" s="1392"/>
      <c r="D89" s="587"/>
      <c r="E89" s="593">
        <f>集团!H74</f>
        <v>0.15831723402837922</v>
      </c>
      <c r="F89" s="593">
        <f>集团!I74</f>
        <v>0.16292931967385621</v>
      </c>
      <c r="G89" s="593">
        <f>集团!J74</f>
        <v>0.20214600005146283</v>
      </c>
      <c r="H89" s="593">
        <f>集团!K74</f>
        <v>0.23993692850669399</v>
      </c>
      <c r="I89" s="593">
        <f>集团!L74</f>
        <v>0.17377656724921081</v>
      </c>
      <c r="J89" s="593">
        <f>集团!M74</f>
        <v>0.18256601206544845</v>
      </c>
      <c r="K89" s="1559">
        <f>集团!N74</f>
        <v>0.18151240486020701</v>
      </c>
      <c r="L89" s="1559">
        <f>集团!O74</f>
        <v>0.18151240486020695</v>
      </c>
      <c r="M89" s="1559">
        <f>集团!P74</f>
        <v>0.18151240486020695</v>
      </c>
      <c r="N89" s="1559">
        <f>集团!Q74</f>
        <v>0.18151240486020689</v>
      </c>
      <c r="O89" s="1559">
        <f>集团!R74</f>
        <v>0.18151240486020698</v>
      </c>
      <c r="P89" s="1559">
        <f>集团!S74</f>
        <v>0.18151240486020698</v>
      </c>
      <c r="Q89" s="1571"/>
      <c r="R89" s="1570">
        <f t="shared" si="22"/>
        <v>0</v>
      </c>
    </row>
    <row r="90" spans="2:19">
      <c r="B90" s="1393" t="s">
        <v>771</v>
      </c>
      <c r="C90" s="1393"/>
      <c r="D90" s="571"/>
      <c r="E90" s="594">
        <f>利润表!H14</f>
        <v>4.3447254008291109E-2</v>
      </c>
      <c r="F90" s="594">
        <f>利润表!I14</f>
        <v>3.5751820336011451E-2</v>
      </c>
      <c r="G90" s="594">
        <f>利润表!J14</f>
        <v>3.9321304534350163E-2</v>
      </c>
      <c r="H90" s="594">
        <f>利润表!K14</f>
        <v>3.5147392290249435E-2</v>
      </c>
      <c r="I90" s="594">
        <f>利润表!L14</f>
        <v>3.812591561795689E-2</v>
      </c>
      <c r="J90" s="594">
        <f>利润表!M14</f>
        <v>3.8801039864787397E-2</v>
      </c>
      <c r="K90" s="1553">
        <f>利润表!N14</f>
        <v>3.2687555698443553E-2</v>
      </c>
      <c r="L90" s="1553">
        <f>利润表!O14</f>
        <v>3.248121757064925E-2</v>
      </c>
      <c r="M90" s="1553">
        <f>利润表!P14</f>
        <v>3.2562394285234199E-2</v>
      </c>
      <c r="N90" s="1553">
        <f>利润表!Q14</f>
        <v>3.2755938131741692E-2</v>
      </c>
      <c r="O90" s="1553">
        <f>利润表!R14</f>
        <v>3.2884492506750872E-2</v>
      </c>
      <c r="P90" s="1553">
        <f>利润表!S14</f>
        <v>3.2842712948729265E-2</v>
      </c>
      <c r="Q90" s="1571"/>
      <c r="R90" s="1570">
        <f t="shared" si="22"/>
        <v>1.5515725028571181E-4</v>
      </c>
    </row>
    <row r="91" spans="2:19">
      <c r="B91" s="1393" t="s">
        <v>772</v>
      </c>
      <c r="C91" s="1393"/>
      <c r="D91" s="571"/>
      <c r="E91" s="594">
        <f>利润表!H16</f>
        <v>6.9371174462751969E-2</v>
      </c>
      <c r="F91" s="594">
        <f>利润表!I16</f>
        <v>6.8601951974189848E-2</v>
      </c>
      <c r="G91" s="594">
        <f>利润表!J16</f>
        <v>7.7422102763471168E-2</v>
      </c>
      <c r="H91" s="594">
        <f>利润表!K16</f>
        <v>6.1224489795918366E-2</v>
      </c>
      <c r="I91" s="594">
        <f>利润表!L16</f>
        <v>6.6360099772226872E-2</v>
      </c>
      <c r="J91" s="594">
        <f>利润表!M16</f>
        <v>7.777210398375356E-2</v>
      </c>
      <c r="K91" s="1553">
        <f>利润表!N16</f>
        <v>7.3606094739532169E-2</v>
      </c>
      <c r="L91" s="1553">
        <f>利润表!O16</f>
        <v>6.9994291870188324E-2</v>
      </c>
      <c r="M91" s="1553">
        <f>利润表!P16</f>
        <v>6.70895125255907E-2</v>
      </c>
      <c r="N91" s="1553">
        <f>利润表!Q16</f>
        <v>6.454928776585088E-2</v>
      </c>
      <c r="O91" s="1553">
        <f>利润表!R16</f>
        <v>6.2036042247789171E-2</v>
      </c>
      <c r="P91" s="1553">
        <f>利润表!S16</f>
        <v>5.9378025877472124E-2</v>
      </c>
      <c r="Q91" s="1571"/>
      <c r="R91" s="1570">
        <f t="shared" si="22"/>
        <v>-1.4228068862060045E-2</v>
      </c>
    </row>
    <row r="92" spans="2:19">
      <c r="B92" s="1393" t="s">
        <v>773</v>
      </c>
      <c r="C92" s="1393"/>
      <c r="D92" s="571"/>
      <c r="E92" s="594">
        <f>利润表!H18</f>
        <v>1.1432943784301311E-2</v>
      </c>
      <c r="F92" s="594">
        <f>利润表!I18</f>
        <v>1.2444601006778208E-2</v>
      </c>
      <c r="G92" s="594">
        <f>利润表!J18</f>
        <v>1.3508576918712422E-2</v>
      </c>
      <c r="H92" s="594">
        <f>利润表!K18</f>
        <v>1.4739229024943311E-2</v>
      </c>
      <c r="I92" s="594">
        <f>利润表!L18</f>
        <v>1.4959908347043391E-2</v>
      </c>
      <c r="J92" s="594">
        <f>利润表!M18</f>
        <v>1.4238063836976095E-2</v>
      </c>
      <c r="K92" s="1553">
        <f>利润表!N18</f>
        <v>1.3565410593425285E-2</v>
      </c>
      <c r="L92" s="1553">
        <f>利润表!O18</f>
        <v>1.3772717261464439E-2</v>
      </c>
      <c r="M92" s="1553">
        <f>利润表!P18</f>
        <v>1.4129572675610181E-2</v>
      </c>
      <c r="N92" s="1553">
        <f>利润表!Q18</f>
        <v>1.4514142976496692E-2</v>
      </c>
      <c r="O92" s="1553">
        <f>利润表!R18</f>
        <v>1.4801891623048348E-2</v>
      </c>
      <c r="P92" s="1553">
        <f>利润表!S18</f>
        <v>1.4872289778403594E-2</v>
      </c>
      <c r="Q92" s="1571"/>
      <c r="R92" s="1570">
        <f t="shared" si="22"/>
        <v>1.3068791849783091E-3</v>
      </c>
    </row>
    <row r="93" spans="2:19" hidden="1">
      <c r="B93" s="1393" t="s">
        <v>808</v>
      </c>
      <c r="C93" s="1393"/>
      <c r="D93" s="571"/>
      <c r="E93" s="594">
        <f>利润表!H21</f>
        <v>2.2052449040898963E-2</v>
      </c>
      <c r="F93" s="594">
        <f>利润表!I21</f>
        <v>1.6510386086882524E-2</v>
      </c>
      <c r="G93" s="594">
        <f>利润表!J21</f>
        <v>3.9127493862713449E-2</v>
      </c>
      <c r="H93" s="594">
        <f>利润表!K21</f>
        <v>3.1746031746031744E-2</v>
      </c>
      <c r="I93" s="594">
        <f>利润表!L21</f>
        <v>3.0033514954077613E-2</v>
      </c>
      <c r="J93" s="594">
        <f>利润表!M21</f>
        <v>3.375116530105654E-2</v>
      </c>
      <c r="K93" s="1553">
        <f>利润表!N21</f>
        <v>3.0704308539045686E-2</v>
      </c>
      <c r="L93" s="1553">
        <f ca="1">利润表!O21</f>
        <v>9.6222582776010427E-3</v>
      </c>
      <c r="M93" s="1553">
        <f ca="1">利润表!P21</f>
        <v>6.9229347217542843E-3</v>
      </c>
      <c r="N93" s="1553">
        <f ca="1">利润表!Q21</f>
        <v>2.8881239559206432E-3</v>
      </c>
      <c r="O93" s="1553">
        <f ca="1">利润表!R21</f>
        <v>-5.2941015628933956E-4</v>
      </c>
      <c r="P93" s="1553">
        <f ca="1">利润表!S21</f>
        <v>-3.9811419159128513E-3</v>
      </c>
      <c r="Q93" s="1571"/>
      <c r="R93" s="1572"/>
    </row>
    <row r="94" spans="2:19" s="579" customFormat="1">
      <c r="B94" s="1391" t="s">
        <v>678</v>
      </c>
      <c r="C94" s="1391"/>
      <c r="D94" s="586"/>
      <c r="E94" s="589">
        <f>利润表!H40</f>
        <v>-35.808924882844764</v>
      </c>
      <c r="F94" s="590">
        <f>利润表!I40</f>
        <v>23.775956797723399</v>
      </c>
      <c r="G94" s="589">
        <f>利润表!J40</f>
        <v>-25.812145431560182</v>
      </c>
      <c r="H94" s="590">
        <f>利润表!K40</f>
        <v>33</v>
      </c>
      <c r="I94" s="590">
        <f>利润表!L40</f>
        <v>37.933252510246042</v>
      </c>
      <c r="J94" s="590">
        <f>利润表!M40</f>
        <v>34.361929788287526</v>
      </c>
      <c r="K94" s="1573">
        <f>利润表!N40</f>
        <v>55.900016863540209</v>
      </c>
      <c r="L94" s="1573">
        <f ca="1">利润表!O40</f>
        <v>81.940584695694227</v>
      </c>
      <c r="M94" s="1573">
        <f ca="1">利润表!P40</f>
        <v>106.5416449167092</v>
      </c>
      <c r="N94" s="1573">
        <f ca="1">利润表!Q40</f>
        <v>133.73211620539985</v>
      </c>
      <c r="O94" s="1573">
        <f ca="1">利润表!R40</f>
        <v>163.18351457294673</v>
      </c>
      <c r="P94" s="1573">
        <f ca="1">利润表!S40</f>
        <v>196.51548100913936</v>
      </c>
      <c r="Q94" s="1559">
        <f>POWER(I94/E94,1/3)-1</f>
        <v>-2.0193960191993368</v>
      </c>
      <c r="R94" s="1559">
        <f ca="1">POWER(P94/K94,1/5)-1</f>
        <v>0.28586970935224221</v>
      </c>
    </row>
    <row r="95" spans="2:19">
      <c r="B95" s="1393" t="s">
        <v>775</v>
      </c>
      <c r="C95" s="1393"/>
      <c r="D95" s="571"/>
      <c r="E95" s="594">
        <f>利润表!H41</f>
        <v>-3.4908226294833491E-2</v>
      </c>
      <c r="F95" s="594">
        <f>利润表!I41</f>
        <v>2.2314817060146191E-2</v>
      </c>
      <c r="G95" s="594">
        <f>利润表!J41</f>
        <v>-2.6769122494408729E-2</v>
      </c>
      <c r="H95" s="594">
        <f>利润表!K41</f>
        <v>3.7414965986394558E-2</v>
      </c>
      <c r="I95" s="594">
        <f>利润表!L41</f>
        <v>3.5844595049667895E-2</v>
      </c>
      <c r="J95" s="594">
        <f>利润表!M41</f>
        <v>5.5705940268029761E-2</v>
      </c>
      <c r="K95" s="594">
        <f>利润表!N41</f>
        <v>4.8545867026208632E-2</v>
      </c>
      <c r="L95" s="594">
        <f ca="1">利润表!O41</f>
        <v>6.351949500346292E-2</v>
      </c>
      <c r="M95" s="594">
        <f ca="1">利润表!P41</f>
        <v>7.4546264052356565E-2</v>
      </c>
      <c r="N95" s="594">
        <f ca="1">利润表!Q41</f>
        <v>8.4994615847735572E-2</v>
      </c>
      <c r="O95" s="594">
        <f ca="1">利润表!R41</f>
        <v>9.3738978491232638E-2</v>
      </c>
      <c r="P95" s="594">
        <f ca="1">利润表!S41</f>
        <v>0.10123396950336074</v>
      </c>
      <c r="Q95" s="596"/>
      <c r="R95" s="596" t="s">
        <v>734</v>
      </c>
    </row>
    <row r="96" spans="2:19" s="579" customFormat="1">
      <c r="B96" s="1391" t="s">
        <v>774</v>
      </c>
      <c r="C96" s="1391"/>
      <c r="D96" s="586"/>
      <c r="E96" s="590">
        <f>利润表!H44</f>
        <v>22.203618436351796</v>
      </c>
      <c r="F96" s="590">
        <f>利润表!I44</f>
        <v>82.699851411589904</v>
      </c>
      <c r="G96" s="590">
        <f>利润表!J44</f>
        <v>50.062678062678067</v>
      </c>
      <c r="H96" s="590">
        <f>利润表!K44</f>
        <v>96</v>
      </c>
      <c r="I96" s="590">
        <f>利润表!L44</f>
        <v>105.49077863108919</v>
      </c>
      <c r="J96" s="590">
        <f>利润表!M44</f>
        <v>75.148209627697426</v>
      </c>
      <c r="K96" s="590">
        <f>利润表!N44</f>
        <v>131.26852833687414</v>
      </c>
      <c r="L96" s="590">
        <f ca="1">利润表!O44</f>
        <v>154.33575618181658</v>
      </c>
      <c r="M96" s="590">
        <f ca="1">利润表!P44</f>
        <v>190.90881666880344</v>
      </c>
      <c r="N96" s="590">
        <f ca="1">利润表!Q44</f>
        <v>225.52223768541882</v>
      </c>
      <c r="O96" s="590">
        <f ca="1">利润表!R44</f>
        <v>261.9912327620662</v>
      </c>
      <c r="P96" s="590">
        <f ca="1">利润表!S44</f>
        <v>302.50123053446566</v>
      </c>
      <c r="Q96" s="593">
        <f>POWER(I96/E96,1/3)-1</f>
        <v>0.68111302933765283</v>
      </c>
      <c r="R96" s="593">
        <f ca="1">POWER(P96/K96,1/5)-1</f>
        <v>0.18171651726611748</v>
      </c>
      <c r="S96" s="569"/>
    </row>
    <row r="97" spans="2:19" s="579" customFormat="1">
      <c r="B97" s="1401" t="s">
        <v>1143</v>
      </c>
      <c r="C97" s="1401"/>
      <c r="D97" s="1302"/>
      <c r="E97" s="1303">
        <f>美国!H721/1000</f>
        <v>0.34799999999999998</v>
      </c>
      <c r="F97" s="1303">
        <f>美国!I721/1000</f>
        <v>38.448</v>
      </c>
      <c r="G97" s="1303">
        <f>美国!J721/1000</f>
        <v>20.92</v>
      </c>
      <c r="H97" s="1303">
        <f>美国!K721/1000</f>
        <v>18.276</v>
      </c>
      <c r="I97" s="1303">
        <f>美国!L721/1000</f>
        <v>25.961811120000007</v>
      </c>
      <c r="J97" s="1303">
        <f>美国!M721/1000</f>
        <v>19.618388989998863</v>
      </c>
      <c r="K97" s="1303">
        <f>美国!N721/1000</f>
        <v>31.145451508419999</v>
      </c>
      <c r="L97" s="1303">
        <f>美国!O721/1000</f>
        <v>47.384761000990643</v>
      </c>
      <c r="M97" s="1303">
        <f>美国!P721/1000</f>
        <v>60.783762322353041</v>
      </c>
      <c r="N97" s="1303">
        <f>美国!Q721/1000</f>
        <v>73.482813096102234</v>
      </c>
      <c r="O97" s="1303">
        <f>美国!R721/1000</f>
        <v>87.434242326301913</v>
      </c>
      <c r="P97" s="1303">
        <f>美国!S721/1000</f>
        <v>104.64806915778938</v>
      </c>
      <c r="Q97" s="593">
        <f>POWER(I97/E97,1/3)-1</f>
        <v>3.2097074310530394</v>
      </c>
      <c r="R97" s="593">
        <f>POWER(P97/K97,1/5)-1</f>
        <v>0.27428719117949152</v>
      </c>
      <c r="S97" s="569"/>
    </row>
    <row r="98" spans="2:19" s="579" customFormat="1">
      <c r="B98" s="1401" t="s">
        <v>1142</v>
      </c>
      <c r="C98" s="1401"/>
      <c r="D98" s="1302"/>
      <c r="E98" s="1303">
        <f>中国!H1084/1000/集团!H9</f>
        <v>8.862063640450847</v>
      </c>
      <c r="F98" s="1303">
        <f>中国!I1084/1000/集团!I9</f>
        <v>35.207280832095094</v>
      </c>
      <c r="G98" s="1303">
        <f>中国!J1084/1000/集团!J9</f>
        <v>49.533618233618235</v>
      </c>
      <c r="H98" s="1303">
        <f>中国!K1084/1000/集团!K9</f>
        <v>69.623661971830984</v>
      </c>
      <c r="I98" s="1303">
        <f>中国!L1084/1000/集团!L9</f>
        <v>69.276628978867492</v>
      </c>
      <c r="J98" s="1303">
        <f>中国!M1084/1000/集团!M9</f>
        <v>36.359417347228586</v>
      </c>
      <c r="K98" s="1303">
        <f>中国!N1084/1000/集团!N9</f>
        <v>58.628380099840811</v>
      </c>
      <c r="L98" s="1303">
        <f ca="1">中国!O1084/1000/集团!O9</f>
        <v>79.143117419946904</v>
      </c>
      <c r="M98" s="1303">
        <f ca="1">中国!P1084/1000/集团!P9</f>
        <v>98.847806286459857</v>
      </c>
      <c r="N98" s="1303">
        <f ca="1">中国!Q1084/1000/集团!Q9</f>
        <v>117.32170868765074</v>
      </c>
      <c r="O98" s="1303">
        <f ca="1">中国!R1084/1000/集团!R9</f>
        <v>134.95851413653631</v>
      </c>
      <c r="P98" s="1303">
        <f ca="1">中国!S1084/1000/集团!S9</f>
        <v>153.36370340730329</v>
      </c>
      <c r="Q98" s="593">
        <f t="shared" ref="Q98:Q100" si="23">POWER(I98/E98,1/3)-1</f>
        <v>0.98465014725792743</v>
      </c>
      <c r="R98" s="593">
        <f t="shared" ref="R98:R100" ca="1" si="24">POWER(P98/K98,1/5)-1</f>
        <v>0.21205670529797849</v>
      </c>
      <c r="S98" s="569"/>
    </row>
    <row r="99" spans="2:19" s="579" customFormat="1">
      <c r="B99" s="1401" t="s">
        <v>1144</v>
      </c>
      <c r="C99" s="1401"/>
      <c r="D99" s="1302"/>
      <c r="E99" s="1303">
        <f>欧洲!H131/1000*集团!H10/集团!H9</f>
        <v>12.076299334914655</v>
      </c>
      <c r="F99" s="1303">
        <f>欧洲!I131/1000*集团!I10/集团!I9</f>
        <v>9.2080550965824663</v>
      </c>
      <c r="G99" s="1303">
        <f>欧洲!J131/1000*集团!J10/集团!J9</f>
        <v>7.3051284900284914</v>
      </c>
      <c r="H99" s="1303">
        <f>欧洲!K131/1000*集团!K10/集团!K9</f>
        <v>9.8390169014084528</v>
      </c>
      <c r="I99" s="1303">
        <f>欧洲!L131/1000*集团!L10/集团!L9</f>
        <v>11.593288672778467</v>
      </c>
      <c r="J99" s="1303">
        <f>欧洲!M131/1000*集团!M10/集团!M9</f>
        <v>4.484278259477831</v>
      </c>
      <c r="K99" s="1303">
        <f>欧洲!N131/1000*集团!N10/集团!N9</f>
        <v>8.4974112571214278</v>
      </c>
      <c r="L99" s="1303">
        <f>欧洲!O131/1000*集团!O10/集团!O9</f>
        <v>10.083836451402675</v>
      </c>
      <c r="M99" s="1303">
        <f>欧洲!P131/1000*集团!P10/集团!P9</f>
        <v>11.821914782121921</v>
      </c>
      <c r="N99" s="1303">
        <f>欧洲!Q131/1000*集团!Q10/集团!Q9</f>
        <v>14.028936200356743</v>
      </c>
      <c r="O99" s="1303">
        <f>欧洲!R131/1000*集团!R10/集团!R9</f>
        <v>16.474088442070734</v>
      </c>
      <c r="P99" s="1303">
        <f>欧洲!S131/1000*集团!S10/集团!S9</f>
        <v>18.900168561106685</v>
      </c>
      <c r="Q99" s="593">
        <f t="shared" si="23"/>
        <v>-1.3513998525848669E-2</v>
      </c>
      <c r="R99" s="593">
        <f t="shared" si="24"/>
        <v>0.17337223626029186</v>
      </c>
      <c r="S99" s="569"/>
    </row>
    <row r="100" spans="2:19" s="579" customFormat="1">
      <c r="B100" s="1401" t="s">
        <v>1145</v>
      </c>
      <c r="C100" s="1401"/>
      <c r="D100" s="1302"/>
      <c r="E100" s="1303">
        <f>加拿大!H138/1000*集团!H11/集团!H9</f>
        <v>1.3045739267941026</v>
      </c>
      <c r="F100" s="1303">
        <f>加拿大!I138/1000*集团!I11/集团!I9</f>
        <v>8.5842640118870719</v>
      </c>
      <c r="G100" s="1303">
        <f>加拿大!J138/1000*集团!J11/集团!J9</f>
        <v>11.554883447293449</v>
      </c>
      <c r="H100" s="1303">
        <f>加拿大!K138/1000*集团!K11/集团!K9</f>
        <v>8.6351408450704241</v>
      </c>
      <c r="I100" s="1303">
        <f>加拿大!L138/1000*集团!L11/集团!L9</f>
        <v>9.8313046624244578</v>
      </c>
      <c r="J100" s="1303">
        <f>加拿大!M138/1000*集团!M11/集团!M9</f>
        <v>5.6784477632555612</v>
      </c>
      <c r="K100" s="1303">
        <f>加拿大!N138/1000*集团!N11/集团!N9</f>
        <v>13.225004750102167</v>
      </c>
      <c r="L100" s="1303">
        <f>加拿大!O138/1000*集团!O11/集团!O9</f>
        <v>15.066506918852678</v>
      </c>
      <c r="M100" s="1303">
        <f>加拿大!P138/1000*集团!P11/集团!P9</f>
        <v>17.124813670466711</v>
      </c>
      <c r="N100" s="1303">
        <f>加拿大!Q138/1000*集团!Q11/集团!Q9</f>
        <v>19.714313383258794</v>
      </c>
      <c r="O100" s="1303">
        <f>加拿大!R138/1000*集团!R11/集团!R9</f>
        <v>22.583247406263826</v>
      </c>
      <c r="P100" s="1303">
        <f>加拿大!S138/1000*集团!S11/集团!S9</f>
        <v>25.484203324527751</v>
      </c>
      <c r="Q100" s="593">
        <f t="shared" si="23"/>
        <v>0.96056308012888003</v>
      </c>
      <c r="R100" s="593">
        <f t="shared" si="24"/>
        <v>0.14018426939450102</v>
      </c>
      <c r="S100" s="569"/>
    </row>
    <row r="101" spans="2:19">
      <c r="B101" s="1393" t="s">
        <v>1146</v>
      </c>
      <c r="C101" s="1393"/>
      <c r="D101" s="571"/>
      <c r="E101" s="594">
        <f>利润表!H45</f>
        <v>2.1645132867745852E-2</v>
      </c>
      <c r="F101" s="594">
        <f>利润表!I45</f>
        <v>7.7617572695438508E-2</v>
      </c>
      <c r="G101" s="594">
        <f>利润表!J45</f>
        <v>5.1918735891647853E-2</v>
      </c>
      <c r="H101" s="594">
        <f>利润表!K45</f>
        <v>0.10884353741496598</v>
      </c>
      <c r="I101" s="594">
        <f>利润表!L45</f>
        <v>9.96823101442251E-2</v>
      </c>
      <c r="J101" s="594">
        <f>利润表!M45</f>
        <v>0.12182673390470591</v>
      </c>
      <c r="K101" s="594">
        <f>利润表!N45</f>
        <v>0.11399897314743693</v>
      </c>
      <c r="L101" s="594">
        <f ca="1">利润表!O45</f>
        <v>0.11963948426843128</v>
      </c>
      <c r="M101" s="594">
        <f ca="1">利润表!P45</f>
        <v>0.13357724172966642</v>
      </c>
      <c r="N101" s="594">
        <f ca="1">利润表!Q45</f>
        <v>0.14333263019448064</v>
      </c>
      <c r="O101" s="594">
        <f ca="1">利润表!R45</f>
        <v>0.15049798747775167</v>
      </c>
      <c r="P101" s="594">
        <f ca="1">利润表!S45</f>
        <v>0.15583199954221921</v>
      </c>
      <c r="Q101" s="570"/>
      <c r="R101" s="678">
        <f t="shared" ref="R101:R105" ca="1" si="25">P101-K101</f>
        <v>4.1833026394782286E-2</v>
      </c>
    </row>
    <row r="102" spans="2:19">
      <c r="B102" s="1390" t="s">
        <v>1148</v>
      </c>
      <c r="C102" s="1390"/>
      <c r="D102" s="597"/>
      <c r="E102" s="595">
        <f t="shared" ref="E102:P102" si="26">E97/E5</f>
        <v>5.2759168042498415E-4</v>
      </c>
      <c r="F102" s="595">
        <f t="shared" si="26"/>
        <v>5.488220054099964E-2</v>
      </c>
      <c r="G102" s="595">
        <f t="shared" si="26"/>
        <v>3.7743269988868268E-2</v>
      </c>
      <c r="H102" s="595">
        <f t="shared" si="26"/>
        <v>3.7679677384771439E-2</v>
      </c>
      <c r="I102" s="595">
        <f t="shared" si="26"/>
        <v>4.4336722317098176E-2</v>
      </c>
      <c r="J102" s="595">
        <f t="shared" si="26"/>
        <v>6.1156718144039217E-2</v>
      </c>
      <c r="K102" s="595">
        <f t="shared" si="26"/>
        <v>5.2574493584753766E-2</v>
      </c>
      <c r="L102" s="595">
        <f t="shared" si="26"/>
        <v>7.3607465714413123E-2</v>
      </c>
      <c r="M102" s="595">
        <f t="shared" si="26"/>
        <v>8.7873136909833879E-2</v>
      </c>
      <c r="N102" s="595">
        <f t="shared" si="26"/>
        <v>9.9635354112276156E-2</v>
      </c>
      <c r="O102" s="595">
        <f t="shared" si="26"/>
        <v>0.10989654773249473</v>
      </c>
      <c r="P102" s="595">
        <f t="shared" si="26"/>
        <v>0.11946012328564959</v>
      </c>
      <c r="Q102" s="570"/>
      <c r="R102" s="1304">
        <f>P102-K102</f>
        <v>6.6885629700895816E-2</v>
      </c>
    </row>
    <row r="103" spans="2:19">
      <c r="B103" s="1390" t="s">
        <v>1147</v>
      </c>
      <c r="C103" s="1390"/>
      <c r="D103" s="597"/>
      <c r="E103" s="595">
        <f t="shared" ref="E103:P103" si="27">E98/E21</f>
        <v>3.9500103872794512E-2</v>
      </c>
      <c r="F103" s="595">
        <f t="shared" si="27"/>
        <v>0.14264021714280919</v>
      </c>
      <c r="G103" s="595">
        <f t="shared" si="27"/>
        <v>0.19291614919452632</v>
      </c>
      <c r="H103" s="595">
        <f t="shared" si="27"/>
        <v>0.24776215979428337</v>
      </c>
      <c r="I103" s="595">
        <f t="shared" si="27"/>
        <v>0.20350094297688501</v>
      </c>
      <c r="J103" s="595">
        <f t="shared" si="27"/>
        <v>0.18147457369490766</v>
      </c>
      <c r="K103" s="595">
        <f t="shared" si="27"/>
        <v>0.16696228629562071</v>
      </c>
      <c r="L103" s="595">
        <f t="shared" ca="1" si="27"/>
        <v>0.19701702017246281</v>
      </c>
      <c r="M103" s="595">
        <f t="shared" ca="1" si="27"/>
        <v>0.21505003792049393</v>
      </c>
      <c r="N103" s="595">
        <f t="shared" ca="1" si="27"/>
        <v>0.22422276723384088</v>
      </c>
      <c r="O103" s="595">
        <f t="shared" ca="1" si="27"/>
        <v>0.22751257517946144</v>
      </c>
      <c r="P103" s="595">
        <f t="shared" ca="1" si="27"/>
        <v>0.23034652042075385</v>
      </c>
      <c r="Q103" s="570"/>
      <c r="R103" s="1304">
        <f t="shared" ca="1" si="25"/>
        <v>6.3384234125133138E-2</v>
      </c>
    </row>
    <row r="104" spans="2:19">
      <c r="B104" s="1390" t="s">
        <v>1149</v>
      </c>
      <c r="C104" s="1390"/>
      <c r="D104" s="597"/>
      <c r="E104" s="595">
        <f t="shared" ref="E104:P104" si="28">E99/E54</f>
        <v>8.5768778777428861E-2</v>
      </c>
      <c r="F104" s="595">
        <f t="shared" si="28"/>
        <v>7.2860669092753932E-2</v>
      </c>
      <c r="G104" s="595">
        <f t="shared" si="28"/>
        <v>5.1395828238007063E-2</v>
      </c>
      <c r="H104" s="595">
        <f t="shared" si="28"/>
        <v>7.2276965558980957E-2</v>
      </c>
      <c r="I104" s="595">
        <f t="shared" si="28"/>
        <v>7.1319669006047887E-2</v>
      </c>
      <c r="J104" s="595">
        <f t="shared" si="28"/>
        <v>4.8389311039446284E-2</v>
      </c>
      <c r="K104" s="595">
        <f t="shared" si="28"/>
        <v>4.8021427724963865E-2</v>
      </c>
      <c r="L104" s="595">
        <f t="shared" si="28"/>
        <v>5.3081795304160788E-2</v>
      </c>
      <c r="M104" s="595">
        <f t="shared" si="28"/>
        <v>5.8017544516039382E-2</v>
      </c>
      <c r="N104" s="595">
        <f t="shared" si="28"/>
        <v>6.3858140943334502E-2</v>
      </c>
      <c r="O104" s="595">
        <f t="shared" si="28"/>
        <v>6.890211730900328E-2</v>
      </c>
      <c r="P104" s="595">
        <f t="shared" si="28"/>
        <v>7.1420457161460116E-2</v>
      </c>
      <c r="Q104" s="570"/>
      <c r="R104" s="1304">
        <f t="shared" si="25"/>
        <v>2.3399029436496251E-2</v>
      </c>
    </row>
    <row r="105" spans="2:19">
      <c r="B105" s="1390" t="s">
        <v>1150</v>
      </c>
      <c r="C105" s="1390"/>
      <c r="D105" s="597"/>
      <c r="E105" s="595">
        <f t="shared" ref="E105:P105" si="29">E100/E55</f>
        <v>5.5559256545200199E-2</v>
      </c>
      <c r="F105" s="595">
        <f t="shared" si="29"/>
        <v>7.587391460790105E-2</v>
      </c>
      <c r="G105" s="595">
        <f t="shared" si="29"/>
        <v>9.9336129480482718E-2</v>
      </c>
      <c r="H105" s="595">
        <f t="shared" si="29"/>
        <v>8.6045432106042652E-2</v>
      </c>
      <c r="I105" s="595">
        <f t="shared" si="29"/>
        <v>8.2415723162024682E-2</v>
      </c>
      <c r="J105" s="595">
        <f t="shared" si="29"/>
        <v>8.4910423513915034E-2</v>
      </c>
      <c r="K105" s="595">
        <f t="shared" si="29"/>
        <v>0.10202696359461394</v>
      </c>
      <c r="L105" s="595">
        <f t="shared" si="29"/>
        <v>0.1046207048461112</v>
      </c>
      <c r="M105" s="595">
        <f t="shared" si="29"/>
        <v>0.10703279390669063</v>
      </c>
      <c r="N105" s="595">
        <f t="shared" si="29"/>
        <v>0.11090690969197496</v>
      </c>
      <c r="O105" s="595">
        <f t="shared" si="29"/>
        <v>0.11435345267813876</v>
      </c>
      <c r="P105" s="595">
        <f t="shared" si="29"/>
        <v>0.11615018126758625</v>
      </c>
      <c r="R105" s="1304">
        <f t="shared" si="25"/>
        <v>1.412321767297231E-2</v>
      </c>
    </row>
    <row r="107" spans="2:19">
      <c r="B107" s="1402" t="s">
        <v>685</v>
      </c>
      <c r="C107" s="1402"/>
      <c r="D107" s="632"/>
      <c r="E107" s="589">
        <f>资产负债表!H11</f>
        <v>47.28</v>
      </c>
      <c r="F107" s="589">
        <f>资产负债表!I11</f>
        <v>68.61</v>
      </c>
      <c r="G107" s="589">
        <f>资产负债表!J11</f>
        <v>19.149999999999999</v>
      </c>
      <c r="H107" s="589">
        <f>资产负债表!K11</f>
        <v>32</v>
      </c>
      <c r="I107" s="589">
        <f>资产负债表!L11</f>
        <v>36.5</v>
      </c>
      <c r="J107" s="589">
        <f>资产负债表!M11</f>
        <v>25.37</v>
      </c>
      <c r="K107" s="589">
        <f>资产负债表!P11</f>
        <v>117.32620013051181</v>
      </c>
      <c r="L107" s="589">
        <f ca="1">资产负债表!Q11</f>
        <v>127.35246465977508</v>
      </c>
      <c r="M107" s="589">
        <f ca="1">资产负债表!R11</f>
        <v>156.17134299582466</v>
      </c>
      <c r="N107" s="589">
        <f ca="1">资产负债表!S11</f>
        <v>235.2416305339874</v>
      </c>
      <c r="O107" s="589">
        <f ca="1">资产负债表!T11</f>
        <v>350.81337467284095</v>
      </c>
      <c r="P107" s="589">
        <f ca="1">资产负债表!U11</f>
        <v>496.92083768761415</v>
      </c>
    </row>
    <row r="108" spans="2:19">
      <c r="B108" s="1402" t="s">
        <v>801</v>
      </c>
      <c r="C108" s="1402"/>
      <c r="D108" s="632"/>
      <c r="E108" s="589">
        <f>资产负债表!H14</f>
        <v>145.63999999999999</v>
      </c>
      <c r="F108" s="589">
        <f>资产负债表!I14</f>
        <v>148.4</v>
      </c>
      <c r="G108" s="589">
        <f>资产负债表!J14</f>
        <v>162.41</v>
      </c>
      <c r="H108" s="1144"/>
      <c r="I108" s="589">
        <f>资产负债表!L14</f>
        <v>178.55</v>
      </c>
      <c r="J108" s="589">
        <f>资产负债表!M14</f>
        <v>164.85</v>
      </c>
      <c r="K108" s="589">
        <f>资产负债表!P14</f>
        <v>171.16298460233597</v>
      </c>
      <c r="L108" s="589">
        <f>资产负债表!Q14</f>
        <v>179.30377147519428</v>
      </c>
      <c r="M108" s="589">
        <f>资产负债表!R14</f>
        <v>193.28424070216514</v>
      </c>
      <c r="N108" s="589">
        <f>资产负债表!S14</f>
        <v>211.16461459381279</v>
      </c>
      <c r="O108" s="589">
        <f>资产负债表!T14</f>
        <v>233.03683274227015</v>
      </c>
      <c r="P108" s="589">
        <f>资产负债表!U14</f>
        <v>259.49618511621134</v>
      </c>
    </row>
    <row r="109" spans="2:19">
      <c r="B109" s="1402" t="s">
        <v>802</v>
      </c>
      <c r="C109" s="1402"/>
      <c r="D109" s="632"/>
      <c r="E109" s="589">
        <f>资产负债表!H21</f>
        <v>368.76</v>
      </c>
      <c r="F109" s="589">
        <f>资产负债表!I21</f>
        <v>371.56</v>
      </c>
      <c r="G109" s="589">
        <f>资产负债表!J21</f>
        <v>314.64999999999998</v>
      </c>
      <c r="H109" s="1144"/>
      <c r="I109" s="589">
        <f>资产负债表!L21</f>
        <v>325.06</v>
      </c>
      <c r="J109" s="589">
        <f>资产负债表!M21</f>
        <v>351.82</v>
      </c>
      <c r="K109" s="589">
        <f>资产负债表!P21</f>
        <v>357.01007953607001</v>
      </c>
      <c r="L109" s="589">
        <f>资产负债表!Q21</f>
        <v>382.96139716941099</v>
      </c>
      <c r="M109" s="589">
        <f>资产负债表!R21</f>
        <v>410.3660289221217</v>
      </c>
      <c r="N109" s="589">
        <f>资产负债表!S21</f>
        <v>439.08143230047881</v>
      </c>
      <c r="O109" s="589">
        <f>资产负债表!T21</f>
        <v>473.95517604357974</v>
      </c>
      <c r="P109" s="589">
        <f>资产负债表!U21</f>
        <v>517.94942531000572</v>
      </c>
    </row>
    <row r="110" spans="2:19">
      <c r="B110" s="1402" t="s">
        <v>803</v>
      </c>
      <c r="C110" s="1402"/>
      <c r="D110" s="632"/>
      <c r="E110" s="589">
        <f>资产负债表!H46</f>
        <v>96.63</v>
      </c>
      <c r="F110" s="589">
        <f>资产负债表!I46</f>
        <v>93.75</v>
      </c>
      <c r="G110" s="589">
        <f>资产负债表!J46</f>
        <v>103.77</v>
      </c>
      <c r="H110" s="1144"/>
      <c r="I110" s="589">
        <f>资产负债表!L46</f>
        <v>97.26</v>
      </c>
      <c r="J110" s="589">
        <f>资产负债表!M46</f>
        <v>115.13</v>
      </c>
      <c r="K110" s="589">
        <f>资产负债表!P46</f>
        <v>106.65426901492005</v>
      </c>
      <c r="L110" s="589">
        <f>资产负债表!Q46</f>
        <v>122.50131631152421</v>
      </c>
      <c r="M110" s="589">
        <f>资产负债表!R46</f>
        <v>139.31143564419358</v>
      </c>
      <c r="N110" s="589">
        <f>资产负债表!S46</f>
        <v>157.11447433394477</v>
      </c>
      <c r="O110" s="589">
        <f>资产负债表!T46</f>
        <v>178.21889796415866</v>
      </c>
      <c r="P110" s="589">
        <f>资产负债表!U46</f>
        <v>203.5879529978082</v>
      </c>
    </row>
    <row r="112" spans="2:19">
      <c r="B112" s="1389" t="s">
        <v>724</v>
      </c>
      <c r="F112" s="631">
        <f>360/(F4/AVERAGE(E108:F108))</f>
        <v>49.67458494115612</v>
      </c>
      <c r="G112" s="631">
        <f>360/(G4/AVERAGE(F108:G108))</f>
        <v>58.019972699230607</v>
      </c>
      <c r="H112" s="631"/>
      <c r="I112" s="631">
        <f>360/(I4/AVERAGE(G108,I108))</f>
        <v>57.993528566263969</v>
      </c>
      <c r="J112" s="631"/>
      <c r="K112" s="631">
        <f>360/(K4/AVERAGE(I108:K108))</f>
        <v>53.624111680882315</v>
      </c>
      <c r="L112" s="631">
        <f>360/(L4/AVERAGE(K108:L108))</f>
        <v>48.902077767196339</v>
      </c>
      <c r="M112" s="631">
        <f>360/(M4/AVERAGE(L108:M108))</f>
        <v>46.925387578175155</v>
      </c>
      <c r="N112" s="631">
        <f>360/(N4/AVERAGE(M108:N108))</f>
        <v>46.269181188796594</v>
      </c>
      <c r="O112" s="631">
        <f>360/(O4/AVERAGE(N108:O108))</f>
        <v>45.929996083149838</v>
      </c>
      <c r="P112" s="631">
        <f>360/(P4/AVERAGE(O108:P108))</f>
        <v>45.670666787079604</v>
      </c>
      <c r="R112" s="1319">
        <f>P112-K112</f>
        <v>-7.9534448938027111</v>
      </c>
    </row>
    <row r="113" spans="2:19">
      <c r="B113" s="1389" t="s">
        <v>804</v>
      </c>
      <c r="F113" s="631">
        <f>360/(F4*(1-F57)/AVERAGE(E109:F109))</f>
        <v>151.81610303893149</v>
      </c>
      <c r="G113" s="631">
        <f>360/(G4*(1-G57)/AVERAGE(F109:G109))</f>
        <v>154.01207308445197</v>
      </c>
      <c r="H113" s="631"/>
      <c r="I113" s="631">
        <f>360/(I4*(1-I57)/AVERAGE(G109,I109))</f>
        <v>137.22241061488089</v>
      </c>
      <c r="J113" s="631"/>
      <c r="K113" s="631">
        <f>360/(K4*(1-K57)/AVERAGE(I109:K109))</f>
        <v>137.93791831463363</v>
      </c>
      <c r="L113" s="631">
        <f>360/(L4*(1-L57)/AVERAGE(K109:L109))</f>
        <v>132.21018668430881</v>
      </c>
      <c r="M113" s="631">
        <f>360/(M4*(1-M57)/AVERAGE(L109:M109))</f>
        <v>129.51089027764473</v>
      </c>
      <c r="N113" s="631">
        <f>360/(N4*(1-N57)/AVERAGE(M109:N109))</f>
        <v>127.21272215887133</v>
      </c>
      <c r="O113" s="631">
        <f>360/(O4*(1-O57)/AVERAGE(N109:O109))</f>
        <v>124.54538191865917</v>
      </c>
      <c r="P113" s="631">
        <f>360/(P4*(1-P57)/AVERAGE(O109:P109))</f>
        <v>122.00181612312963</v>
      </c>
      <c r="R113" s="1319">
        <f>P113-K113</f>
        <v>-15.936102191504006</v>
      </c>
    </row>
    <row r="114" spans="2:19">
      <c r="B114" s="1389" t="s">
        <v>805</v>
      </c>
      <c r="F114" s="631">
        <f>360/(F4*(1-F57)/AVERAGE(E110:F110))</f>
        <v>39.04088731433945</v>
      </c>
      <c r="G114" s="631">
        <f>360/(G4*(1-G57)/AVERAGE(F110:G110))</f>
        <v>44.33112993929111</v>
      </c>
      <c r="H114" s="631"/>
      <c r="I114" s="631">
        <f>360/(I4*(1-I57)/AVERAGE(G110,I110))</f>
        <v>43.122385465147495</v>
      </c>
      <c r="J114" s="631"/>
      <c r="K114" s="631">
        <f>360/(K4*(1-K57)/AVERAGE(I110:K110))</f>
        <v>42.565745807213432</v>
      </c>
      <c r="L114" s="631">
        <f>360/(L4*(1-L57)/AVERAGE(K110:L110))</f>
        <v>40.943068306698748</v>
      </c>
      <c r="M114" s="631">
        <f>360/(M4*(1-M57)/AVERAGE(L110:M110))</f>
        <v>42.740993789760878</v>
      </c>
      <c r="N114" s="631">
        <f>360/(N4*(1-N57)/AVERAGE(M110:N110))</f>
        <v>44.392559455607952</v>
      </c>
      <c r="O114" s="631">
        <f>360/(O4*(1-O57)/AVERAGE(N110:O110))</f>
        <v>45.742112135772381</v>
      </c>
      <c r="P114" s="631">
        <f>360/(P4*(1-P57)/AVERAGE(O110:P110))</f>
        <v>46.961299667374163</v>
      </c>
      <c r="R114" s="1319">
        <f>P114-K114</f>
        <v>4.3955538601607316</v>
      </c>
    </row>
    <row r="115" spans="2:19">
      <c r="F115" s="1319"/>
      <c r="G115" s="1319"/>
      <c r="H115" s="1319"/>
      <c r="I115" s="1319"/>
      <c r="J115" s="1319"/>
      <c r="K115" s="1319"/>
      <c r="L115" s="1319"/>
      <c r="M115" s="1319"/>
      <c r="N115" s="1319"/>
      <c r="O115" s="1319"/>
      <c r="P115" s="1319"/>
    </row>
    <row r="116" spans="2:19">
      <c r="B116" s="1393" t="s">
        <v>806</v>
      </c>
      <c r="C116" s="1393"/>
      <c r="D116" s="571"/>
      <c r="E116" s="594">
        <f>资产负债表!H70/资产负债表!H40</f>
        <v>0.72763268176607154</v>
      </c>
      <c r="F116" s="594">
        <f>资产负债表!I70/资产负债表!I40</f>
        <v>0.73945991403475997</v>
      </c>
      <c r="G116" s="594">
        <f>资产负债表!J70/资产负债表!J40</f>
        <v>0.77522979650390533</v>
      </c>
      <c r="H116" s="594"/>
      <c r="I116" s="594">
        <f>资产负债表!L70/资产负债表!L40</f>
        <v>0.76639528240287302</v>
      </c>
      <c r="J116" s="594">
        <f>资产负债表!M70/资产负债表!M40</f>
        <v>0.74158667972575909</v>
      </c>
      <c r="K116" s="594">
        <f>资产负债表!P70/资产负债表!P40</f>
        <v>0.63787888765232603</v>
      </c>
      <c r="L116" s="594">
        <f ca="1">资产负债表!Q70/资产负债表!Q40</f>
        <v>0.58700713308020946</v>
      </c>
      <c r="M116" s="594">
        <f ca="1">资产负债表!R70/资产负债表!R40</f>
        <v>0.53157199754916795</v>
      </c>
      <c r="N116" s="594">
        <f ca="1">资产负债表!S70/资产负债表!S40</f>
        <v>0.47478995420201459</v>
      </c>
      <c r="O116" s="594">
        <f ca="1">资产负债表!T70/资产负债表!T40</f>
        <v>0.42048471947317223</v>
      </c>
      <c r="P116" s="594">
        <f ca="1">资产负债表!U70/资产负债表!U40</f>
        <v>0.3705889323372803</v>
      </c>
      <c r="Q116" s="570"/>
      <c r="R116" s="578"/>
    </row>
    <row r="117" spans="2:19">
      <c r="B117" s="1393" t="s">
        <v>807</v>
      </c>
      <c r="C117" s="1393"/>
      <c r="D117" s="571"/>
      <c r="E117" s="594">
        <f>(资产负债表!H44+资产负债表!H61+资产负债表!H62+资产负债表!H56)/资产负债表!H40</f>
        <v>0.42146992803537536</v>
      </c>
      <c r="F117" s="594">
        <f>(资产负债表!I44+资产负债表!I61+资产负债表!I62+资产负债表!I56)/资产负债表!I40</f>
        <v>0.42608858157353763</v>
      </c>
      <c r="G117" s="594">
        <f>(资产负债表!J44+资产负债表!J61+资产负债表!J62+资产负债表!J56)/资产负债表!J40</f>
        <v>0.39749216300940443</v>
      </c>
      <c r="H117" s="594"/>
      <c r="I117" s="594">
        <f>(资产负债表!L44+资产负债表!L61+资产负债表!L62+资产负债表!L56)/资产负债表!L40</f>
        <v>0.43762242899118509</v>
      </c>
      <c r="J117" s="594">
        <f>(资产负债表!M44+资产负债表!M61+资产负债表!M62+资产负债表!M56)/资产负债表!M40</f>
        <v>0.4250342801175318</v>
      </c>
      <c r="K117" s="594">
        <f>(资产负债表!N44+资产负债表!N61+资产负债表!N62+资产负债表!N56)/资产负债表!N40</f>
        <v>0.42158515336027613</v>
      </c>
      <c r="L117" s="594">
        <f ca="1">(资产负债表!Q44+资产负债表!Q61+资产负债表!Q62+资产负债表!Q56)/资产负债表!Q40</f>
        <v>0.31149082319556171</v>
      </c>
      <c r="M117" s="594">
        <f ca="1">(资产负债表!R44+资产负债表!R61+资产负债表!R62+资产负债表!R56)/资产负债表!R40</f>
        <v>0.2615062878541296</v>
      </c>
      <c r="N117" s="594">
        <f ca="1">(资产负债表!S44+资产负债表!S61+资产负债表!S62+资产负债表!S56)/资产负债表!S40</f>
        <v>0.21398208675913033</v>
      </c>
      <c r="O117" s="594">
        <f ca="1">(资产负债表!T44+资产负债表!T61+资产负债表!T62+资产负债表!T56)/资产负债表!T40</f>
        <v>0.17052593240482469</v>
      </c>
      <c r="P117" s="594">
        <f ca="1">(资产负债表!U44+资产负债表!U61+资产负债表!U62+资产负债表!U56)/资产负债表!U40</f>
        <v>0.13221005228637406</v>
      </c>
      <c r="Q117" s="570"/>
      <c r="R117" s="578"/>
    </row>
    <row r="119" spans="2:19" s="632" customFormat="1">
      <c r="B119" s="1402" t="s">
        <v>689</v>
      </c>
      <c r="C119" s="1402"/>
      <c r="F119" s="589">
        <f>现金流量表!I13</f>
        <v>44.787954727801065</v>
      </c>
      <c r="G119" s="589">
        <f>现金流量表!J13</f>
        <v>28.767757005734843</v>
      </c>
      <c r="H119" s="589">
        <f>现金流量表!K13</f>
        <v>82</v>
      </c>
      <c r="I119" s="589">
        <f>现金流量表!L13</f>
        <v>76.3686570166753</v>
      </c>
      <c r="J119" s="589"/>
      <c r="K119" s="589">
        <f>现金流量表!O13</f>
        <v>34.318098958627814</v>
      </c>
      <c r="L119" s="589">
        <f ca="1">现金流量表!P13</f>
        <v>95.277977429533493</v>
      </c>
      <c r="M119" s="589">
        <f ca="1">现金流量表!Q13</f>
        <v>119.92649005858044</v>
      </c>
      <c r="N119" s="589">
        <f ca="1">现金流量表!R13</f>
        <v>146.73498543759598</v>
      </c>
      <c r="O119" s="589">
        <f ca="1">现金流量表!S13</f>
        <v>171.77545052442667</v>
      </c>
      <c r="P119" s="589">
        <f ca="1">现金流量表!T13</f>
        <v>197.29226288236578</v>
      </c>
    </row>
    <row r="120" spans="2:19" s="632" customFormat="1">
      <c r="B120" s="1402" t="s">
        <v>692</v>
      </c>
      <c r="C120" s="1402"/>
      <c r="F120" s="589">
        <f>现金流量表!I18</f>
        <v>-38.972215345362677</v>
      </c>
      <c r="G120" s="589">
        <f>现金流量表!J18</f>
        <v>-8.0832634126091296</v>
      </c>
      <c r="H120" s="589">
        <f>现金流量表!K18</f>
        <v>-15</v>
      </c>
      <c r="I120" s="589">
        <f>现金流量表!L18</f>
        <v>-17.301366055881427</v>
      </c>
      <c r="J120" s="589"/>
      <c r="K120" s="589">
        <f>现金流量表!O18</f>
        <v>-11.481898828115995</v>
      </c>
      <c r="L120" s="589">
        <f>现金流量表!P18</f>
        <v>-53.373383561041067</v>
      </c>
      <c r="M120" s="589">
        <f>现金流量表!Q18</f>
        <v>-59.107611722530876</v>
      </c>
      <c r="N120" s="589">
        <f>现金流量表!R18</f>
        <v>-35.664697899433236</v>
      </c>
      <c r="O120" s="589">
        <f>现金流量表!S18</f>
        <v>-24.203706385573113</v>
      </c>
      <c r="P120" s="589">
        <f>现金流量表!T18</f>
        <v>-19.18479986759256</v>
      </c>
      <c r="S120" s="569"/>
    </row>
    <row r="121" spans="2:19" s="632" customFormat="1">
      <c r="B121" s="1402" t="s">
        <v>693</v>
      </c>
      <c r="C121" s="1402"/>
      <c r="F121" s="589">
        <f>现金流量表!I24</f>
        <v>16.476459988686493</v>
      </c>
      <c r="G121" s="589">
        <f>现金流量表!J24</f>
        <v>-69.775058294114885</v>
      </c>
      <c r="H121" s="589">
        <f>现金流量表!K24</f>
        <v>-47</v>
      </c>
      <c r="I121" s="589">
        <f>现金流量表!L24</f>
        <v>-39.824976232034629</v>
      </c>
      <c r="J121" s="589"/>
      <c r="K121" s="589">
        <f>现金流量表!O24</f>
        <v>57.99</v>
      </c>
      <c r="L121" s="589">
        <f ca="1">现金流量表!P24</f>
        <v>-31.878329339229168</v>
      </c>
      <c r="M121" s="589">
        <f ca="1">现金流量表!Q24</f>
        <v>-32</v>
      </c>
      <c r="N121" s="589">
        <f ca="1">现金流量表!R24</f>
        <v>-32</v>
      </c>
      <c r="O121" s="589">
        <f ca="1">现金流量表!S24</f>
        <v>-32</v>
      </c>
      <c r="P121" s="589">
        <f ca="1">现金流量表!T24</f>
        <v>-32</v>
      </c>
      <c r="S121" s="569"/>
    </row>
    <row r="126" spans="2:19">
      <c r="E126" s="580"/>
      <c r="F126" s="580"/>
    </row>
    <row r="127" spans="2:19">
      <c r="E127" s="633"/>
      <c r="F127" s="598"/>
      <c r="G127" s="640"/>
      <c r="I127" s="633"/>
    </row>
    <row r="128" spans="2:19">
      <c r="E128" s="633"/>
      <c r="F128" s="598"/>
      <c r="G128" s="640"/>
      <c r="I128" s="633"/>
    </row>
    <row r="129" spans="2:9">
      <c r="E129" s="633"/>
      <c r="F129" s="598"/>
      <c r="G129" s="640"/>
      <c r="I129" s="633"/>
    </row>
    <row r="130" spans="2:9">
      <c r="E130" s="633"/>
      <c r="F130" s="598"/>
      <c r="G130" s="640"/>
      <c r="I130" s="633"/>
    </row>
    <row r="131" spans="2:9">
      <c r="E131" s="633"/>
      <c r="F131" s="598"/>
      <c r="G131" s="640"/>
      <c r="I131" s="633"/>
    </row>
    <row r="132" spans="2:9">
      <c r="E132" s="633"/>
      <c r="F132" s="633"/>
      <c r="G132" s="633"/>
      <c r="H132" s="633"/>
      <c r="I132" s="633"/>
    </row>
    <row r="133" spans="2:9" s="575" customFormat="1">
      <c r="B133" s="1403"/>
      <c r="C133" s="1403"/>
      <c r="E133" s="680"/>
      <c r="F133" s="681"/>
      <c r="G133" s="682"/>
      <c r="I133" s="680"/>
    </row>
    <row r="136" spans="2:9">
      <c r="E136" s="634"/>
    </row>
    <row r="137" spans="2:9">
      <c r="E137" s="634"/>
      <c r="F137" s="640"/>
    </row>
    <row r="138" spans="2:9">
      <c r="E138" s="634"/>
      <c r="F138" s="640"/>
    </row>
    <row r="139" spans="2:9">
      <c r="F139" s="639"/>
    </row>
  </sheetData>
  <mergeCells count="10">
    <mergeCell ref="E2:E3"/>
    <mergeCell ref="F2:F3"/>
    <mergeCell ref="G2:G3"/>
    <mergeCell ref="I2:I3"/>
    <mergeCell ref="K2:K3"/>
    <mergeCell ref="P2:P3"/>
    <mergeCell ref="N2:N3"/>
    <mergeCell ref="L2:L3"/>
    <mergeCell ref="M2:M3"/>
    <mergeCell ref="O2:O3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A2:S89"/>
  <sheetViews>
    <sheetView showGridLines="0" zoomScale="80" zoomScaleNormal="8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1" sqref="J21"/>
    </sheetView>
  </sheetViews>
  <sheetFormatPr defaultRowHeight="14.5"/>
  <cols>
    <col min="1" max="2" width="3.08203125" style="1134" customWidth="1"/>
    <col min="3" max="3" width="3.08203125" style="1133" customWidth="1"/>
    <col min="4" max="4" width="20" style="1134" customWidth="1"/>
    <col min="5" max="10" width="8.6640625" style="1134"/>
    <col min="11" max="11" width="10.9140625" style="1134" bestFit="1" customWidth="1"/>
    <col min="12" max="16" width="8.6640625" style="1134"/>
    <col min="17" max="17" width="9" style="1134" bestFit="1" customWidth="1"/>
    <col min="18" max="18" width="11.83203125" style="1134" bestFit="1" customWidth="1"/>
    <col min="19" max="19" width="13.83203125" style="1134" bestFit="1" customWidth="1"/>
    <col min="20" max="16384" width="8.6640625" style="1134"/>
  </cols>
  <sheetData>
    <row r="2" spans="1:19">
      <c r="B2" s="1232" t="s">
        <v>962</v>
      </c>
      <c r="E2" s="6" t="s">
        <v>1</v>
      </c>
      <c r="F2" s="6" t="s">
        <v>2</v>
      </c>
      <c r="G2" s="6" t="s">
        <v>2</v>
      </c>
      <c r="H2" s="6" t="s">
        <v>3</v>
      </c>
      <c r="I2" s="6" t="s">
        <v>3</v>
      </c>
      <c r="J2" s="6" t="s">
        <v>3</v>
      </c>
      <c r="K2" s="6" t="s">
        <v>4</v>
      </c>
      <c r="L2" s="6" t="s">
        <v>4</v>
      </c>
      <c r="M2" s="6" t="s">
        <v>4</v>
      </c>
      <c r="N2" s="6" t="s">
        <v>4</v>
      </c>
      <c r="O2" s="6" t="s">
        <v>4</v>
      </c>
      <c r="P2" s="6" t="s">
        <v>4</v>
      </c>
    </row>
    <row r="3" spans="1:19" s="1135" customFormat="1" ht="16.5">
      <c r="E3" s="8">
        <v>44561</v>
      </c>
      <c r="F3" s="8">
        <v>44926</v>
      </c>
      <c r="G3" s="8">
        <v>45291</v>
      </c>
      <c r="H3" s="7" t="s">
        <v>5</v>
      </c>
      <c r="I3" s="8">
        <v>45657</v>
      </c>
      <c r="J3" s="8" t="s">
        <v>838</v>
      </c>
      <c r="K3" s="9">
        <v>46022</v>
      </c>
      <c r="L3" s="9">
        <v>46387</v>
      </c>
      <c r="M3" s="9">
        <v>46752</v>
      </c>
      <c r="N3" s="9">
        <v>46753</v>
      </c>
      <c r="O3" s="9">
        <v>47483</v>
      </c>
      <c r="P3" s="9">
        <v>47848</v>
      </c>
      <c r="R3" s="575"/>
    </row>
    <row r="4" spans="1:19" s="1135" customFormat="1" ht="16.5">
      <c r="A4" s="1136"/>
      <c r="B4" s="1231" t="s">
        <v>1107</v>
      </c>
      <c r="C4" s="1227"/>
      <c r="D4" s="1227"/>
      <c r="E4" s="1228"/>
      <c r="F4" s="1228"/>
      <c r="G4" s="1228"/>
      <c r="H4" s="1229"/>
      <c r="I4" s="1228"/>
      <c r="J4" s="1228"/>
      <c r="K4" s="1230"/>
      <c r="L4" s="1230"/>
      <c r="M4" s="1230"/>
      <c r="N4" s="1230"/>
      <c r="O4" s="1230"/>
      <c r="P4" s="1230"/>
      <c r="R4" s="575"/>
    </row>
    <row r="5" spans="1:19" s="1135" customFormat="1" ht="16.5">
      <c r="A5" s="1136"/>
      <c r="B5" s="1180" t="s">
        <v>1117</v>
      </c>
      <c r="C5" s="1180"/>
      <c r="D5" s="1180"/>
      <c r="E5" s="1233"/>
      <c r="F5" s="1233"/>
      <c r="G5" s="1233"/>
      <c r="H5" s="1233"/>
      <c r="I5" s="1233"/>
      <c r="J5" s="1233"/>
      <c r="K5" s="1013">
        <f>K6+K7</f>
        <v>40917.024317036776</v>
      </c>
      <c r="L5" s="1013">
        <f t="shared" ref="L5:P5" si="0">L6+L7</f>
        <v>55368.611995663508</v>
      </c>
      <c r="M5" s="1013">
        <f t="shared" si="0"/>
        <v>61102.840157153354</v>
      </c>
      <c r="N5" s="1013">
        <f t="shared" si="0"/>
        <v>37659.926334055672</v>
      </c>
      <c r="O5" s="1013">
        <f t="shared" si="0"/>
        <v>26198.934820195504</v>
      </c>
      <c r="P5" s="1013">
        <f t="shared" si="0"/>
        <v>21180.028302215054</v>
      </c>
      <c r="R5" s="575"/>
    </row>
    <row r="6" spans="1:19" s="1135" customFormat="1" ht="16.5">
      <c r="A6" s="1136"/>
      <c r="B6" s="1136" t="s">
        <v>1109</v>
      </c>
      <c r="C6" s="1136"/>
      <c r="D6" s="1136"/>
      <c r="E6" s="1233"/>
      <c r="F6" s="1233"/>
      <c r="G6" s="1233"/>
      <c r="H6" s="1233"/>
      <c r="I6" s="1233"/>
      <c r="J6" s="1233"/>
      <c r="K6" s="1073">
        <f>产能及CAPEX!O20</f>
        <v>17089.000491903218</v>
      </c>
      <c r="L6" s="1073">
        <f>产能及CAPEX!P20</f>
        <v>17759.10054109354</v>
      </c>
      <c r="M6" s="1073">
        <f>产能及CAPEX!Q20</f>
        <v>18496.210595202894</v>
      </c>
      <c r="N6" s="1073">
        <f>产能及CAPEX!R20</f>
        <v>19307.031654723185</v>
      </c>
      <c r="O6" s="1073">
        <f>产能及CAPEX!S20</f>
        <v>20198.934820195504</v>
      </c>
      <c r="P6" s="1073">
        <f>产能及CAPEX!T20</f>
        <v>21180.028302215054</v>
      </c>
      <c r="R6" s="575"/>
    </row>
    <row r="7" spans="1:19" s="1135" customFormat="1" ht="16.5">
      <c r="A7" s="1136"/>
      <c r="B7" s="1136" t="s">
        <v>1111</v>
      </c>
      <c r="C7" s="1136"/>
      <c r="D7" s="1136"/>
      <c r="E7" s="1233"/>
      <c r="F7" s="1233"/>
      <c r="G7" s="1233"/>
      <c r="H7" s="1233"/>
      <c r="I7" s="1233"/>
      <c r="J7" s="1233"/>
      <c r="K7" s="1073">
        <f>SUM(K8:K16)</f>
        <v>23828.023825133561</v>
      </c>
      <c r="L7" s="1073">
        <f t="shared" ref="L7:P7" si="1">SUM(L8:L16)</f>
        <v>37609.511454569969</v>
      </c>
      <c r="M7" s="1073">
        <f t="shared" si="1"/>
        <v>42606.62956195046</v>
      </c>
      <c r="N7" s="1073">
        <f t="shared" si="1"/>
        <v>18352.894679332487</v>
      </c>
      <c r="O7" s="1073">
        <f t="shared" si="1"/>
        <v>6000</v>
      </c>
      <c r="P7" s="1073">
        <f t="shared" si="1"/>
        <v>0</v>
      </c>
      <c r="R7" s="1263"/>
      <c r="S7" s="1263"/>
    </row>
    <row r="8" spans="1:19" s="1133" customFormat="1" ht="16.5">
      <c r="A8" s="1132"/>
      <c r="B8" s="1132"/>
      <c r="C8" s="1132" t="s">
        <v>314</v>
      </c>
      <c r="D8" s="1132" t="s">
        <v>1113</v>
      </c>
      <c r="E8" s="1234"/>
      <c r="F8" s="1234"/>
      <c r="G8" s="1234"/>
      <c r="H8" s="1234"/>
      <c r="I8" s="1234"/>
      <c r="J8" s="1234"/>
      <c r="K8" s="1068">
        <f>产能及CAPEX!O73</f>
        <v>1307.0345520233229</v>
      </c>
      <c r="L8" s="1068">
        <f>产能及CAPEX!P73</f>
        <v>0</v>
      </c>
      <c r="M8" s="1068">
        <f>产能及CAPEX!Q73</f>
        <v>0</v>
      </c>
      <c r="N8" s="1068">
        <f>产能及CAPEX!R73</f>
        <v>0</v>
      </c>
      <c r="O8" s="1068">
        <f>产能及CAPEX!S73</f>
        <v>0</v>
      </c>
      <c r="P8" s="1068">
        <f>产能及CAPEX!T73</f>
        <v>0</v>
      </c>
      <c r="Q8" s="43"/>
      <c r="R8" s="569"/>
    </row>
    <row r="9" spans="1:19" s="1133" customFormat="1" ht="16.5">
      <c r="A9" s="1132"/>
      <c r="B9" s="1132"/>
      <c r="C9" s="1132" t="s">
        <v>314</v>
      </c>
      <c r="D9" s="1132" t="s">
        <v>1114</v>
      </c>
      <c r="E9" s="1234"/>
      <c r="F9" s="1234"/>
      <c r="G9" s="1234"/>
      <c r="H9" s="1234"/>
      <c r="I9" s="1234"/>
      <c r="J9" s="1234"/>
      <c r="K9" s="1068">
        <f>产能及CAPEX!O86</f>
        <v>13944.956687915859</v>
      </c>
      <c r="L9" s="1068">
        <f>产能及CAPEX!P86</f>
        <v>0</v>
      </c>
      <c r="M9" s="1068">
        <f>产能及CAPEX!Q86</f>
        <v>0</v>
      </c>
      <c r="N9" s="1068">
        <f>产能及CAPEX!R86</f>
        <v>0</v>
      </c>
      <c r="O9" s="1068">
        <f>产能及CAPEX!S86</f>
        <v>0</v>
      </c>
      <c r="P9" s="1068">
        <f>产能及CAPEX!T86</f>
        <v>0</v>
      </c>
      <c r="Q9" s="43"/>
      <c r="R9" s="569"/>
    </row>
    <row r="10" spans="1:19" s="1133" customFormat="1" ht="16.5">
      <c r="A10" s="1132"/>
      <c r="B10" s="1132"/>
      <c r="C10" s="1132" t="s">
        <v>314</v>
      </c>
      <c r="D10" s="1132" t="s">
        <v>1115</v>
      </c>
      <c r="E10" s="1234"/>
      <c r="F10" s="1234"/>
      <c r="G10" s="1234"/>
      <c r="H10" s="1234"/>
      <c r="I10" s="1234"/>
      <c r="J10" s="1234"/>
      <c r="K10" s="1068">
        <f>产能及CAPEX!O99</f>
        <v>3776.0325851943812</v>
      </c>
      <c r="L10" s="1068">
        <f>产能及CAPEX!P99</f>
        <v>0</v>
      </c>
      <c r="M10" s="1068">
        <f>产能及CAPEX!Q99</f>
        <v>18124.956408933027</v>
      </c>
      <c r="N10" s="1068">
        <f>产能及CAPEX!R99</f>
        <v>0</v>
      </c>
      <c r="O10" s="1068">
        <f>产能及CAPEX!S99</f>
        <v>0</v>
      </c>
      <c r="P10" s="1068">
        <f>产能及CAPEX!T99</f>
        <v>0</v>
      </c>
      <c r="Q10" s="43"/>
      <c r="R10" s="569"/>
    </row>
    <row r="11" spans="1:19" s="1133" customFormat="1" ht="16.5">
      <c r="A11" s="1132"/>
      <c r="B11" s="1132"/>
      <c r="C11" s="1132" t="s">
        <v>314</v>
      </c>
      <c r="D11" s="1132" t="s">
        <v>1116</v>
      </c>
      <c r="E11" s="1234"/>
      <c r="F11" s="1234"/>
      <c r="G11" s="1234"/>
      <c r="H11" s="1234"/>
      <c r="I11" s="1234"/>
      <c r="J11" s="1234"/>
      <c r="K11" s="1068">
        <f>产能及CAPEX!O125</f>
        <v>0</v>
      </c>
      <c r="L11" s="1068">
        <f>产能及CAPEX!P125</f>
        <v>6835.0793008690316</v>
      </c>
      <c r="M11" s="1068">
        <f>产能及CAPEX!Q125</f>
        <v>1952.8798002482947</v>
      </c>
      <c r="N11" s="1068">
        <f>产能及CAPEX!R125</f>
        <v>976.43990012414736</v>
      </c>
      <c r="O11" s="1068">
        <f>产能及CAPEX!S125</f>
        <v>0</v>
      </c>
      <c r="P11" s="1068">
        <f>产能及CAPEX!T125</f>
        <v>0</v>
      </c>
      <c r="Q11" s="43"/>
      <c r="R11" s="569"/>
    </row>
    <row r="12" spans="1:19" s="1133" customFormat="1" ht="16.5">
      <c r="A12" s="1132"/>
      <c r="B12" s="1132"/>
      <c r="C12" s="1132" t="s">
        <v>314</v>
      </c>
      <c r="D12" s="1132" t="s">
        <v>1132</v>
      </c>
      <c r="E12" s="1234"/>
      <c r="F12" s="1234"/>
      <c r="G12" s="1234"/>
      <c r="H12" s="1234"/>
      <c r="I12" s="1234"/>
      <c r="J12" s="1234"/>
      <c r="K12" s="1068">
        <f>产能及CAPEX!O134</f>
        <v>0</v>
      </c>
      <c r="L12" s="1068">
        <f>产能及CAPEX!P134</f>
        <v>12169.230983832946</v>
      </c>
      <c r="M12" s="1068">
        <f>产能及CAPEX!Q134</f>
        <v>18323.592182901142</v>
      </c>
      <c r="N12" s="1068">
        <f>产能及CAPEX!R134</f>
        <v>7171.2536093403451</v>
      </c>
      <c r="O12" s="1068">
        <f>产能及CAPEX!S134</f>
        <v>0</v>
      </c>
      <c r="P12" s="1068">
        <f>产能及CAPEX!T134</f>
        <v>0</v>
      </c>
      <c r="Q12" s="43"/>
      <c r="R12" s="569"/>
    </row>
    <row r="13" spans="1:19" s="1133" customFormat="1" ht="16.5">
      <c r="A13" s="1132"/>
      <c r="B13" s="1132"/>
      <c r="C13" s="1132" t="s">
        <v>313</v>
      </c>
      <c r="D13" s="1132" t="s">
        <v>1114</v>
      </c>
      <c r="E13" s="1234"/>
      <c r="F13" s="1234"/>
      <c r="G13" s="1234"/>
      <c r="H13" s="1234"/>
      <c r="I13" s="1234"/>
      <c r="J13" s="1234"/>
      <c r="K13" s="1068">
        <f>产能及CAPEX!O188</f>
        <v>4800</v>
      </c>
      <c r="L13" s="1068">
        <f>产能及CAPEX!P188</f>
        <v>14399.999999999998</v>
      </c>
      <c r="M13" s="1068">
        <f>产能及CAPEX!Q188</f>
        <v>0</v>
      </c>
      <c r="N13" s="1068">
        <f>产能及CAPEX!R188</f>
        <v>0</v>
      </c>
      <c r="O13" s="1068">
        <f>产能及CAPEX!S188</f>
        <v>0</v>
      </c>
      <c r="P13" s="1068">
        <f>产能及CAPEX!T188</f>
        <v>0</v>
      </c>
      <c r="R13" s="569"/>
    </row>
    <row r="14" spans="1:19" s="1133" customFormat="1" ht="16.5">
      <c r="A14" s="1132"/>
      <c r="B14" s="1132"/>
      <c r="C14" s="1132" t="s">
        <v>313</v>
      </c>
      <c r="D14" s="1132" t="s">
        <v>1180</v>
      </c>
      <c r="E14" s="1234"/>
      <c r="F14" s="1234"/>
      <c r="G14" s="1234"/>
      <c r="H14" s="1234"/>
      <c r="I14" s="1234"/>
      <c r="J14" s="1234"/>
      <c r="K14" s="1068">
        <f>产能及CAPEX!O221</f>
        <v>0</v>
      </c>
      <c r="L14" s="1068">
        <f>产能及CAPEX!P221</f>
        <v>4205.2011698679953</v>
      </c>
      <c r="M14" s="1068">
        <f>产能及CAPEX!Q221</f>
        <v>4205.2011698679953</v>
      </c>
      <c r="N14" s="1068">
        <f>产能及CAPEX!R221</f>
        <v>4205.2011698679953</v>
      </c>
      <c r="O14" s="1068">
        <f>产能及CAPEX!S221</f>
        <v>0</v>
      </c>
      <c r="P14" s="1068">
        <f>产能及CAPEX!T221</f>
        <v>0</v>
      </c>
      <c r="R14" s="569"/>
    </row>
    <row r="15" spans="1:19" s="1133" customFormat="1" ht="16.5">
      <c r="A15" s="1132"/>
      <c r="B15" s="1132"/>
      <c r="C15" s="1132" t="s">
        <v>316</v>
      </c>
      <c r="D15" s="1132"/>
      <c r="E15" s="1234"/>
      <c r="F15" s="1234"/>
      <c r="G15" s="1234"/>
      <c r="H15" s="1234"/>
      <c r="I15" s="1234"/>
      <c r="J15" s="1234"/>
      <c r="K15" s="1068">
        <f>产能及CAPEX!O274</f>
        <v>0</v>
      </c>
      <c r="L15" s="1068">
        <f>产能及CAPEX!P274</f>
        <v>0</v>
      </c>
      <c r="M15" s="1068">
        <f>产能及CAPEX!Q274</f>
        <v>0</v>
      </c>
      <c r="N15" s="1068">
        <f>产能及CAPEX!R274</f>
        <v>3000</v>
      </c>
      <c r="O15" s="1068">
        <f>产能及CAPEX!S274</f>
        <v>3000</v>
      </c>
      <c r="P15" s="1068">
        <f>产能及CAPEX!T274</f>
        <v>0</v>
      </c>
      <c r="R15" s="569"/>
    </row>
    <row r="16" spans="1:19" s="1133" customFormat="1" ht="16.5">
      <c r="A16" s="1132"/>
      <c r="B16" s="1132"/>
      <c r="C16" s="1132" t="s">
        <v>315</v>
      </c>
      <c r="D16" s="1132"/>
      <c r="E16" s="1234"/>
      <c r="F16" s="1234"/>
      <c r="G16" s="1234"/>
      <c r="H16" s="1234"/>
      <c r="I16" s="1234"/>
      <c r="J16" s="1234"/>
      <c r="K16" s="1068">
        <f>产能及CAPEX!O234</f>
        <v>0</v>
      </c>
      <c r="L16" s="1068">
        <f>产能及CAPEX!P234</f>
        <v>0</v>
      </c>
      <c r="M16" s="1068">
        <f>产能及CAPEX!Q234</f>
        <v>0</v>
      </c>
      <c r="N16" s="1068">
        <f>产能及CAPEX!R234</f>
        <v>3000</v>
      </c>
      <c r="O16" s="1068">
        <f>产能及CAPEX!S234</f>
        <v>3000</v>
      </c>
      <c r="P16" s="1068">
        <f>产能及CAPEX!T234</f>
        <v>0</v>
      </c>
      <c r="R16" s="569"/>
    </row>
    <row r="17" spans="2:18" s="1136" customFormat="1">
      <c r="E17" s="1137"/>
      <c r="F17" s="1137"/>
      <c r="G17" s="1137"/>
      <c r="H17" s="1138"/>
      <c r="I17" s="1137"/>
      <c r="J17" s="1137"/>
      <c r="K17" s="1139"/>
      <c r="L17" s="1139"/>
      <c r="M17" s="1139"/>
      <c r="N17" s="1139"/>
      <c r="O17" s="1139"/>
      <c r="P17" s="1139"/>
    </row>
    <row r="18" spans="2:18">
      <c r="B18" s="1206" t="s">
        <v>864</v>
      </c>
      <c r="C18" s="1207"/>
      <c r="D18" s="1207"/>
      <c r="E18" s="1207"/>
      <c r="F18" s="1207"/>
      <c r="G18" s="1207"/>
      <c r="H18" s="1207"/>
      <c r="I18" s="1207"/>
      <c r="J18" s="1207"/>
      <c r="K18" s="1207"/>
      <c r="L18" s="1207"/>
      <c r="M18" s="1207"/>
      <c r="N18" s="1207"/>
      <c r="O18" s="1207"/>
      <c r="P18" s="1207"/>
      <c r="R18" s="1143"/>
    </row>
    <row r="19" spans="2:18">
      <c r="B19" s="1133" t="s">
        <v>841</v>
      </c>
    </row>
    <row r="20" spans="2:18">
      <c r="B20" s="1133"/>
      <c r="C20" s="1133" t="s">
        <v>965</v>
      </c>
      <c r="E20" s="1465"/>
      <c r="F20" s="1465"/>
      <c r="G20" s="1465"/>
      <c r="H20" s="1465"/>
      <c r="I20" s="1465"/>
      <c r="J20" s="1465"/>
      <c r="K20" s="948">
        <f>产能及CAPEX!O65</f>
        <v>0</v>
      </c>
      <c r="L20" s="948">
        <f>产能及CAPEX!P65</f>
        <v>3280</v>
      </c>
      <c r="M20" s="948">
        <f>产能及CAPEX!Q65</f>
        <v>3280</v>
      </c>
      <c r="N20" s="948">
        <f>产能及CAPEX!R65</f>
        <v>3280</v>
      </c>
      <c r="O20" s="948">
        <f>产能及CAPEX!S65</f>
        <v>3280</v>
      </c>
      <c r="P20" s="948">
        <f>产能及CAPEX!T65</f>
        <v>3280</v>
      </c>
    </row>
    <row r="21" spans="2:18">
      <c r="B21" s="1133"/>
      <c r="C21" s="1133" t="s">
        <v>966</v>
      </c>
      <c r="E21" s="1465"/>
      <c r="F21" s="1465"/>
      <c r="G21" s="1465"/>
      <c r="H21" s="1465"/>
      <c r="I21" s="1465"/>
      <c r="J21" s="1465"/>
      <c r="K21" s="948">
        <f>产能及CAPEX!O66</f>
        <v>3280</v>
      </c>
      <c r="L21" s="948">
        <f>产能及CAPEX!P66</f>
        <v>0</v>
      </c>
      <c r="M21" s="948">
        <f>产能及CAPEX!Q66</f>
        <v>0</v>
      </c>
      <c r="N21" s="948">
        <f>产能及CAPEX!R66</f>
        <v>0</v>
      </c>
      <c r="O21" s="948">
        <f>产能及CAPEX!S66</f>
        <v>0</v>
      </c>
      <c r="P21" s="948">
        <f>产能及CAPEX!T66</f>
        <v>0</v>
      </c>
    </row>
    <row r="22" spans="2:18">
      <c r="B22" s="1133"/>
      <c r="C22" s="1133" t="s">
        <v>1069</v>
      </c>
      <c r="E22" s="1465"/>
      <c r="F22" s="1465"/>
      <c r="G22" s="1465"/>
      <c r="H22" s="1465"/>
      <c r="I22" s="1465"/>
      <c r="J22" s="1465"/>
      <c r="K22" s="948">
        <f>产能及CAPEX!O67</f>
        <v>3280</v>
      </c>
      <c r="L22" s="948">
        <f>产能及CAPEX!P67</f>
        <v>3280</v>
      </c>
      <c r="M22" s="948">
        <f>产能及CAPEX!Q67</f>
        <v>3280</v>
      </c>
      <c r="N22" s="948">
        <f>产能及CAPEX!R67</f>
        <v>3280</v>
      </c>
      <c r="O22" s="948">
        <f>产能及CAPEX!S67</f>
        <v>3280</v>
      </c>
      <c r="P22" s="948">
        <f>产能及CAPEX!T67</f>
        <v>3280</v>
      </c>
    </row>
    <row r="23" spans="2:18">
      <c r="B23" s="1133"/>
      <c r="C23" s="1133" t="s">
        <v>1070</v>
      </c>
      <c r="E23" s="948">
        <f>产能及CAPEX!I71</f>
        <v>419.82591399999995</v>
      </c>
      <c r="F23" s="948">
        <f>产能及CAPEX!J71</f>
        <v>427.10401400000012</v>
      </c>
      <c r="G23" s="948">
        <f>产能及CAPEX!K71</f>
        <v>380.95016399999997</v>
      </c>
      <c r="H23" s="948">
        <f>产能及CAPEX!L71</f>
        <v>747.71699999999998</v>
      </c>
      <c r="I23" s="948">
        <f>产能及CAPEX!M71</f>
        <v>936.5061726989727</v>
      </c>
      <c r="J23" s="948">
        <f>产能及CAPEX!N71</f>
        <v>654.70894770672589</v>
      </c>
      <c r="K23" s="948">
        <f>产能及CAPEX!O71</f>
        <v>1174.6824692989728</v>
      </c>
      <c r="L23" s="948">
        <f>产能及CAPEX!P71</f>
        <v>1490.037670228973</v>
      </c>
      <c r="M23" s="948">
        <f>产能及CAPEX!Q71</f>
        <v>1835.5367318784729</v>
      </c>
      <c r="N23" s="948">
        <f>产能及CAPEX!R71</f>
        <v>2152.5650431923486</v>
      </c>
      <c r="O23" s="948">
        <f>产能及CAPEX!S71</f>
        <v>2476.6185713180921</v>
      </c>
      <c r="P23" s="948">
        <f>产能及CAPEX!T71</f>
        <v>2794.0134285819563</v>
      </c>
    </row>
    <row r="24" spans="2:18">
      <c r="B24" s="1133"/>
      <c r="C24" s="1141" t="s">
        <v>1075</v>
      </c>
      <c r="E24" s="948"/>
      <c r="F24" s="948"/>
      <c r="G24" s="948"/>
      <c r="H24" s="948"/>
      <c r="I24" s="948"/>
      <c r="J24" s="948"/>
      <c r="K24" s="1185">
        <f>K23/K22</f>
        <v>0.35813489917651609</v>
      </c>
      <c r="L24" s="1185">
        <f t="shared" ref="L24:P24" si="2">L23/L22</f>
        <v>0.45427977750883319</v>
      </c>
      <c r="M24" s="1185">
        <f t="shared" si="2"/>
        <v>0.55961485728002225</v>
      </c>
      <c r="N24" s="1185">
        <f t="shared" si="2"/>
        <v>0.65626983024156971</v>
      </c>
      <c r="O24" s="1185">
        <f t="shared" si="2"/>
        <v>0.75506663759697934</v>
      </c>
      <c r="P24" s="1185">
        <f t="shared" si="2"/>
        <v>0.8518333623725477</v>
      </c>
    </row>
    <row r="25" spans="2:18">
      <c r="B25" s="1133"/>
      <c r="K25" s="1186"/>
      <c r="L25" s="1186"/>
      <c r="M25" s="1186"/>
      <c r="N25" s="1186"/>
      <c r="O25" s="1186"/>
      <c r="P25" s="1186"/>
    </row>
    <row r="26" spans="2:18">
      <c r="B26" s="1133" t="s">
        <v>842</v>
      </c>
    </row>
    <row r="27" spans="2:18">
      <c r="B27" s="1133"/>
      <c r="C27" s="1133" t="s">
        <v>965</v>
      </c>
      <c r="E27" s="948">
        <f>产能及CAPEX!I78</f>
        <v>2000</v>
      </c>
      <c r="F27" s="948">
        <f>产能及CAPEX!J78</f>
        <v>2000</v>
      </c>
      <c r="G27" s="948">
        <f>产能及CAPEX!K78</f>
        <v>2000</v>
      </c>
      <c r="H27" s="948">
        <f>产能及CAPEX!L78</f>
        <v>2000</v>
      </c>
      <c r="I27" s="948">
        <f>产能及CAPEX!M78</f>
        <v>2000</v>
      </c>
      <c r="J27" s="948">
        <f>产能及CAPEX!N78</f>
        <v>1166.6666666666665</v>
      </c>
      <c r="K27" s="948">
        <f>产能及CAPEX!O78</f>
        <v>2000</v>
      </c>
      <c r="L27" s="948">
        <f>产能及CAPEX!P78</f>
        <v>3000</v>
      </c>
      <c r="M27" s="948">
        <f>产能及CAPEX!Q78</f>
        <v>4500</v>
      </c>
      <c r="N27" s="948">
        <f>产能及CAPEX!R78</f>
        <v>4500</v>
      </c>
      <c r="O27" s="948">
        <f>产能及CAPEX!S78</f>
        <v>4500</v>
      </c>
      <c r="P27" s="948">
        <f>产能及CAPEX!T78</f>
        <v>4500</v>
      </c>
    </row>
    <row r="28" spans="2:18">
      <c r="B28" s="1133"/>
      <c r="C28" s="1133" t="s">
        <v>966</v>
      </c>
      <c r="E28" s="948">
        <f>产能及CAPEX!I79</f>
        <v>0</v>
      </c>
      <c r="F28" s="948">
        <f>产能及CAPEX!J79</f>
        <v>0</v>
      </c>
      <c r="G28" s="948">
        <f>产能及CAPEX!K79</f>
        <v>0</v>
      </c>
      <c r="H28" s="948">
        <f>产能及CAPEX!L79</f>
        <v>0</v>
      </c>
      <c r="I28" s="948">
        <f>产能及CAPEX!M79</f>
        <v>0</v>
      </c>
      <c r="J28" s="948">
        <f>产能及CAPEX!N79</f>
        <v>0</v>
      </c>
      <c r="K28" s="948">
        <f>产能及CAPEX!O79</f>
        <v>1000</v>
      </c>
      <c r="L28" s="948">
        <f>产能及CAPEX!P79</f>
        <v>1500</v>
      </c>
      <c r="M28" s="948">
        <f>产能及CAPEX!Q79</f>
        <v>0</v>
      </c>
      <c r="N28" s="948">
        <f>产能及CAPEX!R79</f>
        <v>0</v>
      </c>
      <c r="O28" s="948">
        <f>产能及CAPEX!S79</f>
        <v>0</v>
      </c>
      <c r="P28" s="948">
        <f>产能及CAPEX!T79</f>
        <v>0</v>
      </c>
    </row>
    <row r="29" spans="2:18">
      <c r="B29" s="1133"/>
      <c r="C29" s="1133" t="s">
        <v>1069</v>
      </c>
      <c r="E29" s="948">
        <f>产能及CAPEX!I80</f>
        <v>2000</v>
      </c>
      <c r="F29" s="948">
        <f>产能及CAPEX!J80</f>
        <v>2000</v>
      </c>
      <c r="G29" s="948">
        <f>产能及CAPEX!K80</f>
        <v>2000</v>
      </c>
      <c r="H29" s="948">
        <f>产能及CAPEX!L80</f>
        <v>2000</v>
      </c>
      <c r="I29" s="948">
        <f>产能及CAPEX!M80</f>
        <v>2000</v>
      </c>
      <c r="J29" s="948">
        <f>产能及CAPEX!N80</f>
        <v>1166.6666666666665</v>
      </c>
      <c r="K29" s="948">
        <f>产能及CAPEX!O80</f>
        <v>3000</v>
      </c>
      <c r="L29" s="948">
        <f>产能及CAPEX!P80</f>
        <v>4500</v>
      </c>
      <c r="M29" s="948">
        <f>产能及CAPEX!Q80</f>
        <v>4500</v>
      </c>
      <c r="N29" s="948">
        <f>产能及CAPEX!R80</f>
        <v>4500</v>
      </c>
      <c r="O29" s="948">
        <f>产能及CAPEX!S80</f>
        <v>4500</v>
      </c>
      <c r="P29" s="948">
        <f>产能及CAPEX!T80</f>
        <v>4500</v>
      </c>
    </row>
    <row r="30" spans="2:18">
      <c r="B30" s="1133"/>
      <c r="C30" s="1133" t="s">
        <v>1070</v>
      </c>
      <c r="E30" s="948">
        <f>产能及CAPEX!I84</f>
        <v>426.989195</v>
      </c>
      <c r="F30" s="948">
        <f>产能及CAPEX!J84</f>
        <v>895.47079399949996</v>
      </c>
      <c r="G30" s="948">
        <f>产能及CAPEX!K84</f>
        <v>1102.676929</v>
      </c>
      <c r="H30" s="948">
        <f>产能及CAPEX!L84</f>
        <v>1615.1780000000001</v>
      </c>
      <c r="I30" s="948">
        <f>产能及CAPEX!M84</f>
        <v>1882.614360074961</v>
      </c>
      <c r="J30" s="948">
        <f>产能及CAPEX!N84</f>
        <v>1097.2551493111728</v>
      </c>
      <c r="K30" s="948">
        <f>产能及CAPEX!O84</f>
        <v>2069.3067700100651</v>
      </c>
      <c r="L30" s="948">
        <f>产能及CAPEX!P84</f>
        <v>2312.8766025119239</v>
      </c>
      <c r="M30" s="948">
        <f>产能及CAPEX!Q84</f>
        <v>2504.0768778453753</v>
      </c>
      <c r="N30" s="948">
        <f>产能及CAPEX!R84</f>
        <v>2747.6272412803492</v>
      </c>
      <c r="O30" s="948">
        <f>产能及CAPEX!S84</f>
        <v>3018.8640837723074</v>
      </c>
      <c r="P30" s="948">
        <f>产能及CAPEX!T84</f>
        <v>3291.0619213131399</v>
      </c>
    </row>
    <row r="31" spans="2:18">
      <c r="B31" s="1133"/>
      <c r="C31" s="1141" t="s">
        <v>1075</v>
      </c>
      <c r="E31" s="948"/>
      <c r="F31" s="948"/>
      <c r="G31" s="948"/>
      <c r="H31" s="948"/>
      <c r="I31" s="948"/>
      <c r="J31" s="1187"/>
      <c r="K31" s="1185">
        <f>K30/K29</f>
        <v>0.68976892333668838</v>
      </c>
      <c r="L31" s="1185">
        <f t="shared" ref="L31" si="3">L30/L29</f>
        <v>0.51397257833598309</v>
      </c>
      <c r="M31" s="1185">
        <f t="shared" ref="M31" si="4">M30/M29</f>
        <v>0.55646152841008345</v>
      </c>
      <c r="N31" s="1185">
        <f t="shared" ref="N31" si="5">N30/N29</f>
        <v>0.6105838313956331</v>
      </c>
      <c r="O31" s="1185">
        <f t="shared" ref="O31" si="6">O30/O29</f>
        <v>0.67085868528273496</v>
      </c>
      <c r="P31" s="1185">
        <f t="shared" ref="P31" si="7">P30/P29</f>
        <v>0.73134709362514216</v>
      </c>
    </row>
    <row r="32" spans="2:18">
      <c r="B32" s="1133"/>
    </row>
    <row r="33" spans="2:16">
      <c r="B33" s="1133" t="s">
        <v>843</v>
      </c>
    </row>
    <row r="34" spans="2:16">
      <c r="B34" s="1133"/>
      <c r="C34" s="1133" t="s">
        <v>965</v>
      </c>
      <c r="E34" s="948">
        <f>产能及CAPEX!I91</f>
        <v>4500</v>
      </c>
      <c r="F34" s="948">
        <f>产能及CAPEX!J91</f>
        <v>4500</v>
      </c>
      <c r="G34" s="948">
        <f>产能及CAPEX!K91</f>
        <v>4500</v>
      </c>
      <c r="H34" s="948">
        <f>产能及CAPEX!L91</f>
        <v>4500</v>
      </c>
      <c r="I34" s="948">
        <f>产能及CAPEX!M91</f>
        <v>4500</v>
      </c>
      <c r="J34" s="948">
        <f>产能及CAPEX!N91</f>
        <v>2625</v>
      </c>
      <c r="K34" s="948">
        <f>产能及CAPEX!O91</f>
        <v>4500</v>
      </c>
      <c r="L34" s="948">
        <f>产能及CAPEX!P91</f>
        <v>5500</v>
      </c>
      <c r="M34" s="948">
        <f>产能及CAPEX!Q91</f>
        <v>5500</v>
      </c>
      <c r="N34" s="948">
        <f>产能及CAPEX!R91</f>
        <v>10300</v>
      </c>
      <c r="O34" s="948">
        <f>产能及CAPEX!S91</f>
        <v>10300</v>
      </c>
      <c r="P34" s="948">
        <f>产能及CAPEX!T91</f>
        <v>10300</v>
      </c>
    </row>
    <row r="35" spans="2:16">
      <c r="B35" s="1133"/>
      <c r="C35" s="1133" t="s">
        <v>966</v>
      </c>
      <c r="E35" s="948">
        <f>产能及CAPEX!I92</f>
        <v>0</v>
      </c>
      <c r="F35" s="948">
        <f>产能及CAPEX!J92</f>
        <v>0</v>
      </c>
      <c r="G35" s="948">
        <f>产能及CAPEX!K92</f>
        <v>0</v>
      </c>
      <c r="H35" s="948">
        <f>产能及CAPEX!L92</f>
        <v>0</v>
      </c>
      <c r="I35" s="948">
        <f>产能及CAPEX!M92</f>
        <v>0</v>
      </c>
      <c r="J35" s="948">
        <f>产能及CAPEX!N92</f>
        <v>0</v>
      </c>
      <c r="K35" s="948">
        <f>产能及CAPEX!O92</f>
        <v>1000</v>
      </c>
      <c r="L35" s="948">
        <f>产能及CAPEX!P92</f>
        <v>0</v>
      </c>
      <c r="M35" s="948">
        <f>产能及CAPEX!Q92</f>
        <v>4800</v>
      </c>
      <c r="N35" s="948">
        <f>产能及CAPEX!R92</f>
        <v>0</v>
      </c>
      <c r="O35" s="948">
        <f>产能及CAPEX!S92</f>
        <v>0</v>
      </c>
      <c r="P35" s="948">
        <f>产能及CAPEX!T92</f>
        <v>0</v>
      </c>
    </row>
    <row r="36" spans="2:16">
      <c r="B36" s="1133"/>
      <c r="C36" s="1133" t="s">
        <v>1069</v>
      </c>
      <c r="E36" s="948">
        <f>产能及CAPEX!I93</f>
        <v>4500</v>
      </c>
      <c r="F36" s="948">
        <f>产能及CAPEX!J93</f>
        <v>4500</v>
      </c>
      <c r="G36" s="948">
        <f>产能及CAPEX!K93</f>
        <v>4500</v>
      </c>
      <c r="H36" s="948">
        <f>产能及CAPEX!L93</f>
        <v>4500</v>
      </c>
      <c r="I36" s="948">
        <f>产能及CAPEX!M93</f>
        <v>4500</v>
      </c>
      <c r="J36" s="948">
        <f>产能及CAPEX!N93</f>
        <v>2625</v>
      </c>
      <c r="K36" s="948">
        <f>产能及CAPEX!O93</f>
        <v>5500</v>
      </c>
      <c r="L36" s="948">
        <f>产能及CAPEX!P93</f>
        <v>5500</v>
      </c>
      <c r="M36" s="948">
        <f>产能及CAPEX!Q93</f>
        <v>10300</v>
      </c>
      <c r="N36" s="948">
        <f>产能及CAPEX!R93</f>
        <v>10300</v>
      </c>
      <c r="O36" s="948">
        <f>产能及CAPEX!S93</f>
        <v>10300</v>
      </c>
      <c r="P36" s="948">
        <f>产能及CAPEX!T93</f>
        <v>10300</v>
      </c>
    </row>
    <row r="37" spans="2:16">
      <c r="B37" s="1133"/>
      <c r="C37" s="1133" t="s">
        <v>1070</v>
      </c>
      <c r="E37" s="948">
        <f>产能及CAPEX!I97</f>
        <v>2522.1613430000016</v>
      </c>
      <c r="F37" s="948">
        <f>产能及CAPEX!J97</f>
        <v>2108.4612419999994</v>
      </c>
      <c r="G37" s="948">
        <f>产能及CAPEX!K97</f>
        <v>3029.936051000001</v>
      </c>
      <c r="H37" s="948">
        <f>产能及CAPEX!L97</f>
        <v>3105.8150000000001</v>
      </c>
      <c r="I37" s="948">
        <f>产能及CAPEX!M97</f>
        <v>3740.7434674657147</v>
      </c>
      <c r="J37" s="948">
        <f>产能及CAPEX!N97</f>
        <v>2626.3935469679213</v>
      </c>
      <c r="K37" s="948">
        <f>产能及CAPEX!O97</f>
        <v>4317.1487980185702</v>
      </c>
      <c r="L37" s="948">
        <f>产能及CAPEX!P97</f>
        <v>5283.2861971496923</v>
      </c>
      <c r="M37" s="948">
        <f>产能及CAPEX!Q97</f>
        <v>6275.7840248194998</v>
      </c>
      <c r="N37" s="948">
        <f>产能及CAPEX!R97</f>
        <v>7255.9478353014802</v>
      </c>
      <c r="O37" s="948">
        <f>产能及CAPEX!S97</f>
        <v>8276.6425128401279</v>
      </c>
      <c r="P37" s="948">
        <f>产能及CAPEX!T97</f>
        <v>9243.9029655090089</v>
      </c>
    </row>
    <row r="38" spans="2:16">
      <c r="B38" s="1133"/>
      <c r="C38" s="1141" t="s">
        <v>1075</v>
      </c>
      <c r="E38" s="948"/>
      <c r="F38" s="948"/>
      <c r="G38" s="948"/>
      <c r="H38" s="948"/>
      <c r="I38" s="948"/>
      <c r="J38" s="948"/>
      <c r="K38" s="1185">
        <f>K37/K36</f>
        <v>0.78493614509428544</v>
      </c>
      <c r="L38" s="1185">
        <f t="shared" ref="L38" si="8">L37/L36</f>
        <v>0.96059749039085318</v>
      </c>
      <c r="M38" s="1185">
        <f t="shared" ref="M38" si="9">M37/M36</f>
        <v>0.60929941988538838</v>
      </c>
      <c r="N38" s="1185">
        <f t="shared" ref="N38" si="10">N37/N36</f>
        <v>0.7044609548836388</v>
      </c>
      <c r="O38" s="1185">
        <f t="shared" ref="O38" si="11">O37/O36</f>
        <v>0.80355752551845905</v>
      </c>
      <c r="P38" s="1185">
        <f t="shared" ref="P38" si="12">P37/P36</f>
        <v>0.89746630733097177</v>
      </c>
    </row>
    <row r="39" spans="2:16">
      <c r="B39" s="1133"/>
    </row>
    <row r="40" spans="2:16">
      <c r="B40" s="1133" t="s">
        <v>844</v>
      </c>
    </row>
    <row r="41" spans="2:16">
      <c r="B41" s="1133"/>
      <c r="C41" s="1133" t="s">
        <v>965</v>
      </c>
      <c r="E41" s="948">
        <f>产能及CAPEX!I104</f>
        <v>17570</v>
      </c>
      <c r="F41" s="948">
        <f>产能及CAPEX!J104</f>
        <v>17570</v>
      </c>
      <c r="G41" s="948">
        <f>产能及CAPEX!K104</f>
        <v>17570</v>
      </c>
      <c r="H41" s="948">
        <f>产能及CAPEX!L104</f>
        <v>17570</v>
      </c>
      <c r="I41" s="948">
        <f>产能及CAPEX!M104</f>
        <v>17570</v>
      </c>
      <c r="J41" s="948">
        <f>产能及CAPEX!N104</f>
        <v>10249.166666666668</v>
      </c>
      <c r="K41" s="948">
        <f>产能及CAPEX!O104</f>
        <v>17570</v>
      </c>
      <c r="L41" s="948">
        <f>产能及CAPEX!P104</f>
        <v>17570</v>
      </c>
      <c r="M41" s="948">
        <f>产能及CAPEX!Q104</f>
        <v>17570</v>
      </c>
      <c r="N41" s="948">
        <f>产能及CAPEX!R104</f>
        <v>17570</v>
      </c>
      <c r="O41" s="948">
        <f>产能及CAPEX!S104</f>
        <v>17570</v>
      </c>
      <c r="P41" s="948">
        <f>产能及CAPEX!T104</f>
        <v>17570</v>
      </c>
    </row>
    <row r="42" spans="2:16">
      <c r="B42" s="1133"/>
      <c r="C42" s="1133" t="s">
        <v>966</v>
      </c>
      <c r="E42" s="948">
        <f>产能及CAPEX!I105</f>
        <v>0</v>
      </c>
      <c r="F42" s="948">
        <f>产能及CAPEX!J105</f>
        <v>0</v>
      </c>
      <c r="G42" s="948">
        <f>产能及CAPEX!K105</f>
        <v>0</v>
      </c>
      <c r="H42" s="948">
        <f>产能及CAPEX!L105</f>
        <v>0</v>
      </c>
      <c r="I42" s="948">
        <f>产能及CAPEX!M105</f>
        <v>0</v>
      </c>
      <c r="J42" s="948">
        <f>产能及CAPEX!N105</f>
        <v>0</v>
      </c>
      <c r="K42" s="948">
        <f>产能及CAPEX!O105</f>
        <v>0</v>
      </c>
      <c r="L42" s="948">
        <f>产能及CAPEX!P105</f>
        <v>0</v>
      </c>
      <c r="M42" s="948">
        <f>产能及CAPEX!Q105</f>
        <v>0</v>
      </c>
      <c r="N42" s="948">
        <f>产能及CAPEX!R105</f>
        <v>0</v>
      </c>
      <c r="O42" s="948">
        <f>产能及CAPEX!S105</f>
        <v>0</v>
      </c>
      <c r="P42" s="948">
        <f>产能及CAPEX!T105</f>
        <v>0</v>
      </c>
    </row>
    <row r="43" spans="2:16">
      <c r="B43" s="1133"/>
      <c r="C43" s="1133" t="s">
        <v>1069</v>
      </c>
      <c r="E43" s="948">
        <f>产能及CAPEX!I106</f>
        <v>17570</v>
      </c>
      <c r="F43" s="948">
        <f>产能及CAPEX!J106</f>
        <v>17570</v>
      </c>
      <c r="G43" s="948">
        <f>产能及CAPEX!K106</f>
        <v>17570</v>
      </c>
      <c r="H43" s="948">
        <f>产能及CAPEX!L106</f>
        <v>17570</v>
      </c>
      <c r="I43" s="948">
        <f>产能及CAPEX!M106</f>
        <v>17570</v>
      </c>
      <c r="J43" s="948">
        <f>产能及CAPEX!N106</f>
        <v>10249.166666666668</v>
      </c>
      <c r="K43" s="948">
        <f>产能及CAPEX!O106</f>
        <v>17570</v>
      </c>
      <c r="L43" s="948">
        <f>产能及CAPEX!P106</f>
        <v>17570</v>
      </c>
      <c r="M43" s="948">
        <f>产能及CAPEX!Q106</f>
        <v>17570</v>
      </c>
      <c r="N43" s="948">
        <f>产能及CAPEX!R106</f>
        <v>17570</v>
      </c>
      <c r="O43" s="948">
        <f>产能及CAPEX!S106</f>
        <v>17570</v>
      </c>
      <c r="P43" s="948">
        <f>产能及CAPEX!T106</f>
        <v>17570</v>
      </c>
    </row>
    <row r="44" spans="2:16">
      <c r="B44" s="1133"/>
      <c r="C44" s="1133" t="s">
        <v>1070</v>
      </c>
      <c r="E44" s="948">
        <f>产能及CAPEX!I110</f>
        <v>12532.9836769997</v>
      </c>
      <c r="F44" s="948">
        <f>产能及CAPEX!J110</f>
        <v>9698.5765359999914</v>
      </c>
      <c r="G44" s="948">
        <f>产能及CAPEX!K110</f>
        <v>10550.8127549944</v>
      </c>
      <c r="H44" s="948">
        <f>产能及CAPEX!L110</f>
        <v>12464.934999999999</v>
      </c>
      <c r="I44" s="948">
        <f>产能及CAPEX!M110</f>
        <v>15466.286386146914</v>
      </c>
      <c r="J44" s="948">
        <f>产能及CAPEX!N110</f>
        <v>8574.5894854058715</v>
      </c>
      <c r="K44" s="948">
        <f>产能及CAPEX!O110</f>
        <v>14100.055587473926</v>
      </c>
      <c r="L44" s="948">
        <f>产能及CAPEX!P110</f>
        <v>13436.56726863883</v>
      </c>
      <c r="M44" s="948">
        <f>产能及CAPEX!Q110</f>
        <v>13786.523784313256</v>
      </c>
      <c r="N44" s="948">
        <f>产能及CAPEX!R110</f>
        <v>14522.726033745315</v>
      </c>
      <c r="O44" s="948">
        <f>产能及CAPEX!S110</f>
        <v>15415.704743114249</v>
      </c>
      <c r="P44" s="948">
        <f>产能及CAPEX!T110</f>
        <v>16469.960892699492</v>
      </c>
    </row>
    <row r="45" spans="2:16">
      <c r="B45" s="1133"/>
      <c r="C45" s="1141" t="s">
        <v>1075</v>
      </c>
      <c r="E45" s="948"/>
      <c r="F45" s="948"/>
      <c r="G45" s="948"/>
      <c r="H45" s="948"/>
      <c r="I45" s="948"/>
      <c r="J45" s="948"/>
      <c r="K45" s="1185">
        <f>K44/K43</f>
        <v>0.80250743241172029</v>
      </c>
      <c r="L45" s="1185">
        <f t="shared" ref="L45" si="13">L44/L43</f>
        <v>0.76474486446436141</v>
      </c>
      <c r="M45" s="1185">
        <f t="shared" ref="M45" si="14">M44/M43</f>
        <v>0.78466270827053253</v>
      </c>
      <c r="N45" s="1185">
        <f t="shared" ref="N45" si="15">N44/N43</f>
        <v>0.82656380385573791</v>
      </c>
      <c r="O45" s="1185">
        <f t="shared" ref="O45" si="16">O44/O43</f>
        <v>0.87738786244247291</v>
      </c>
      <c r="P45" s="1185">
        <f t="shared" ref="P45" si="17">P44/P43</f>
        <v>0.93739105820714241</v>
      </c>
    </row>
    <row r="46" spans="2:16">
      <c r="B46" s="1133"/>
    </row>
    <row r="47" spans="2:16">
      <c r="B47" s="1132" t="s">
        <v>870</v>
      </c>
    </row>
    <row r="48" spans="2:16">
      <c r="B48" s="1133"/>
      <c r="C48" s="1133" t="s">
        <v>975</v>
      </c>
      <c r="E48" s="948">
        <f>产能及CAPEX!I117</f>
        <v>4000</v>
      </c>
      <c r="F48" s="948">
        <f>产能及CAPEX!J117</f>
        <v>4000</v>
      </c>
      <c r="G48" s="948">
        <f>产能及CAPEX!K117</f>
        <v>4000</v>
      </c>
      <c r="H48" s="948">
        <f>产能及CAPEX!L117</f>
        <v>4000</v>
      </c>
      <c r="I48" s="948">
        <f>产能及CAPEX!M117</f>
        <v>4000</v>
      </c>
      <c r="J48" s="948">
        <f>产能及CAPEX!N117</f>
        <v>2333.333333333333</v>
      </c>
      <c r="K48" s="948">
        <f>产能及CAPEX!O117</f>
        <v>4000</v>
      </c>
      <c r="L48" s="948">
        <f>产能及CAPEX!P117</f>
        <v>4000</v>
      </c>
      <c r="M48" s="948">
        <f>产能及CAPEX!Q117</f>
        <v>6800</v>
      </c>
      <c r="N48" s="948">
        <f>产能及CAPEX!R117</f>
        <v>7600</v>
      </c>
      <c r="O48" s="948">
        <f>产能及CAPEX!S117</f>
        <v>8000</v>
      </c>
      <c r="P48" s="948">
        <f>产能及CAPEX!T117</f>
        <v>8000</v>
      </c>
    </row>
    <row r="49" spans="2:16">
      <c r="B49" s="1133"/>
      <c r="C49" s="1133" t="s">
        <v>976</v>
      </c>
      <c r="E49" s="948">
        <f>产能及CAPEX!I118</f>
        <v>0</v>
      </c>
      <c r="F49" s="948">
        <f>产能及CAPEX!J118</f>
        <v>0</v>
      </c>
      <c r="G49" s="948">
        <f>产能及CAPEX!K118</f>
        <v>0</v>
      </c>
      <c r="H49" s="948">
        <f>产能及CAPEX!L118</f>
        <v>0</v>
      </c>
      <c r="I49" s="948">
        <f>产能及CAPEX!M118</f>
        <v>0</v>
      </c>
      <c r="J49" s="948">
        <f>产能及CAPEX!N118</f>
        <v>0</v>
      </c>
      <c r="K49" s="948">
        <f>产能及CAPEX!O118</f>
        <v>0</v>
      </c>
      <c r="L49" s="948">
        <f>产能及CAPEX!P118</f>
        <v>2800</v>
      </c>
      <c r="M49" s="948">
        <f>产能及CAPEX!Q118</f>
        <v>800</v>
      </c>
      <c r="N49" s="948">
        <f>产能及CAPEX!R118</f>
        <v>400</v>
      </c>
      <c r="O49" s="948">
        <f>产能及CAPEX!S118</f>
        <v>0</v>
      </c>
      <c r="P49" s="948">
        <f>产能及CAPEX!T118</f>
        <v>0</v>
      </c>
    </row>
    <row r="50" spans="2:16">
      <c r="B50" s="1133"/>
      <c r="C50" s="1133" t="s">
        <v>1072</v>
      </c>
      <c r="E50" s="948">
        <f>产能及CAPEX!I119</f>
        <v>4000</v>
      </c>
      <c r="F50" s="948">
        <f>产能及CAPEX!J119</f>
        <v>4000</v>
      </c>
      <c r="G50" s="948">
        <f>产能及CAPEX!K119</f>
        <v>4000</v>
      </c>
      <c r="H50" s="948">
        <f>产能及CAPEX!L119</f>
        <v>4000</v>
      </c>
      <c r="I50" s="948">
        <f>产能及CAPEX!M119</f>
        <v>4000</v>
      </c>
      <c r="J50" s="948">
        <f>产能及CAPEX!N119</f>
        <v>2333.333333333333</v>
      </c>
      <c r="K50" s="948">
        <f>产能及CAPEX!O119</f>
        <v>4000</v>
      </c>
      <c r="L50" s="948">
        <f>产能及CAPEX!P119</f>
        <v>6800</v>
      </c>
      <c r="M50" s="948">
        <f>产能及CAPEX!Q119</f>
        <v>7600</v>
      </c>
      <c r="N50" s="948">
        <f>产能及CAPEX!R119</f>
        <v>8000</v>
      </c>
      <c r="O50" s="948">
        <f>产能及CAPEX!S119</f>
        <v>8000</v>
      </c>
      <c r="P50" s="948">
        <f>产能及CAPEX!T119</f>
        <v>8000</v>
      </c>
    </row>
    <row r="51" spans="2:16">
      <c r="B51" s="1133"/>
      <c r="C51" s="1133" t="s">
        <v>1071</v>
      </c>
      <c r="E51" s="948">
        <f>产能及CAPEX!I123</f>
        <v>598</v>
      </c>
      <c r="F51" s="948">
        <f>产能及CAPEX!J123</f>
        <v>1080</v>
      </c>
      <c r="G51" s="948">
        <f>产能及CAPEX!K123</f>
        <v>1343</v>
      </c>
      <c r="H51" s="948">
        <f>产能及CAPEX!L123</f>
        <v>1637</v>
      </c>
      <c r="I51" s="948">
        <f>产能及CAPEX!M123</f>
        <v>2134.7445691888661</v>
      </c>
      <c r="J51" s="948">
        <f>产能及CAPEX!N123</f>
        <v>2189.7933568059525</v>
      </c>
      <c r="K51" s="948">
        <f>产能及CAPEX!O123</f>
        <v>3753.931468810204</v>
      </c>
      <c r="L51" s="948">
        <f>产能及CAPEX!P123</f>
        <v>4317.0211891317349</v>
      </c>
      <c r="M51" s="948">
        <f>产能及CAPEX!Q123</f>
        <v>4964.5743675014946</v>
      </c>
      <c r="N51" s="948">
        <f>产能及CAPEX!R123</f>
        <v>5709.2605226267187</v>
      </c>
      <c r="O51" s="948">
        <f>产能及CAPEX!S123</f>
        <v>6565.6496010207265</v>
      </c>
      <c r="P51" s="948">
        <f>产能及CAPEX!T123</f>
        <v>7550.4970411738341</v>
      </c>
    </row>
    <row r="52" spans="2:16">
      <c r="B52" s="1133"/>
      <c r="C52" s="1141" t="s">
        <v>1075</v>
      </c>
      <c r="E52" s="948"/>
      <c r="F52" s="948"/>
      <c r="G52" s="948"/>
      <c r="H52" s="948"/>
      <c r="I52" s="948"/>
      <c r="J52" s="948"/>
      <c r="K52" s="1185">
        <f>K51/K50</f>
        <v>0.93848286720255103</v>
      </c>
      <c r="L52" s="1185">
        <f t="shared" ref="L52" si="18">L51/L50</f>
        <v>0.63485605722525518</v>
      </c>
      <c r="M52" s="1185">
        <f t="shared" ref="M52" si="19">M51/M50</f>
        <v>0.65323346940809135</v>
      </c>
      <c r="N52" s="1185">
        <f t="shared" ref="N52" si="20">N51/N50</f>
        <v>0.71365756532833979</v>
      </c>
      <c r="O52" s="1185">
        <f t="shared" ref="O52" si="21">O51/O50</f>
        <v>0.82070620012759077</v>
      </c>
      <c r="P52" s="1185">
        <f t="shared" ref="P52" si="22">P51/P50</f>
        <v>0.94381213014672927</v>
      </c>
    </row>
    <row r="53" spans="2:16">
      <c r="K53" s="1186"/>
      <c r="L53" s="1186"/>
      <c r="M53" s="1186"/>
      <c r="N53" s="1186"/>
      <c r="O53" s="1186"/>
      <c r="P53" s="1186"/>
    </row>
    <row r="54" spans="2:16">
      <c r="B54" s="1206" t="s">
        <v>981</v>
      </c>
      <c r="C54" s="1207"/>
      <c r="D54" s="1207"/>
      <c r="E54" s="1207"/>
      <c r="F54" s="1207"/>
      <c r="G54" s="1207"/>
      <c r="H54" s="1207"/>
      <c r="I54" s="1207"/>
      <c r="J54" s="1207"/>
      <c r="K54" s="1207"/>
      <c r="L54" s="1207"/>
      <c r="M54" s="1207"/>
      <c r="N54" s="1207"/>
      <c r="O54" s="1207"/>
      <c r="P54" s="1207"/>
    </row>
    <row r="55" spans="2:16">
      <c r="B55" s="1133" t="s">
        <v>841</v>
      </c>
    </row>
    <row r="56" spans="2:16">
      <c r="B56" s="1133"/>
      <c r="C56" s="1133" t="s">
        <v>965</v>
      </c>
      <c r="E56" s="948">
        <f>产能及CAPEX!I165</f>
        <v>2100</v>
      </c>
      <c r="F56" s="948">
        <f>产能及CAPEX!J165</f>
        <v>2100</v>
      </c>
      <c r="G56" s="948">
        <f>产能及CAPEX!K165</f>
        <v>2100</v>
      </c>
      <c r="H56" s="948">
        <f>产能及CAPEX!L165</f>
        <v>2100</v>
      </c>
      <c r="I56" s="948">
        <f>产能及CAPEX!M165</f>
        <v>2100</v>
      </c>
      <c r="J56" s="948">
        <f>产能及CAPEX!N165</f>
        <v>1225</v>
      </c>
      <c r="K56" s="948">
        <f>产能及CAPEX!O165</f>
        <v>2100</v>
      </c>
      <c r="L56" s="948">
        <f>产能及CAPEX!P165</f>
        <v>2100</v>
      </c>
      <c r="M56" s="948">
        <f>产能及CAPEX!Q165</f>
        <v>2100</v>
      </c>
      <c r="N56" s="948">
        <f>产能及CAPEX!R165</f>
        <v>2100</v>
      </c>
      <c r="O56" s="948">
        <f>产能及CAPEX!S165</f>
        <v>2100</v>
      </c>
      <c r="P56" s="948">
        <f>产能及CAPEX!T165</f>
        <v>2100</v>
      </c>
    </row>
    <row r="57" spans="2:16">
      <c r="B57" s="1133"/>
      <c r="C57" s="1133" t="s">
        <v>966</v>
      </c>
      <c r="E57" s="948">
        <f>产能及CAPEX!I166</f>
        <v>0</v>
      </c>
      <c r="F57" s="948">
        <f>产能及CAPEX!J166</f>
        <v>0</v>
      </c>
      <c r="G57" s="948">
        <f>产能及CAPEX!K166</f>
        <v>0</v>
      </c>
      <c r="H57" s="948">
        <f>产能及CAPEX!L166</f>
        <v>0</v>
      </c>
      <c r="I57" s="948">
        <f>产能及CAPEX!M166</f>
        <v>0</v>
      </c>
      <c r="J57" s="948">
        <f>产能及CAPEX!N166</f>
        <v>0</v>
      </c>
      <c r="K57" s="948">
        <f>产能及CAPEX!O166</f>
        <v>0</v>
      </c>
      <c r="L57" s="948">
        <f>产能及CAPEX!P166</f>
        <v>0</v>
      </c>
      <c r="M57" s="948">
        <f>产能及CAPEX!Q166</f>
        <v>0</v>
      </c>
      <c r="N57" s="948">
        <f>产能及CAPEX!R166</f>
        <v>0</v>
      </c>
      <c r="O57" s="948">
        <f>产能及CAPEX!S166</f>
        <v>0</v>
      </c>
      <c r="P57" s="948">
        <f>产能及CAPEX!T166</f>
        <v>0</v>
      </c>
    </row>
    <row r="58" spans="2:16">
      <c r="B58" s="1133"/>
      <c r="C58" s="1133" t="s">
        <v>1069</v>
      </c>
      <c r="E58" s="948">
        <f>产能及CAPEX!I167</f>
        <v>2100</v>
      </c>
      <c r="F58" s="948">
        <f>产能及CAPEX!J167</f>
        <v>2100</v>
      </c>
      <c r="G58" s="948">
        <f>产能及CAPEX!K167</f>
        <v>2100</v>
      </c>
      <c r="H58" s="948">
        <f>产能及CAPEX!L167</f>
        <v>2100</v>
      </c>
      <c r="I58" s="948">
        <f>产能及CAPEX!M167</f>
        <v>2100</v>
      </c>
      <c r="J58" s="948">
        <f>产能及CAPEX!N167</f>
        <v>1225</v>
      </c>
      <c r="K58" s="948">
        <f>产能及CAPEX!O167</f>
        <v>2100</v>
      </c>
      <c r="L58" s="948">
        <f>产能及CAPEX!P167</f>
        <v>2100</v>
      </c>
      <c r="M58" s="948">
        <f>产能及CAPEX!Q167</f>
        <v>2100</v>
      </c>
      <c r="N58" s="948">
        <f>产能及CAPEX!R167</f>
        <v>2100</v>
      </c>
      <c r="O58" s="948">
        <f>产能及CAPEX!S167</f>
        <v>2100</v>
      </c>
      <c r="P58" s="948">
        <f>产能及CAPEX!T167</f>
        <v>2100</v>
      </c>
    </row>
    <row r="59" spans="2:16">
      <c r="B59" s="1133"/>
      <c r="C59" s="1133" t="s">
        <v>1070</v>
      </c>
      <c r="E59" s="948">
        <f>产能及CAPEX!I172*产能及CAPEX!$H$164</f>
        <v>1281.6749494490869</v>
      </c>
      <c r="F59" s="1467"/>
      <c r="G59" s="948">
        <f>产能及CAPEX!K172*产能及CAPEX!$H$164</f>
        <v>971.57031934071904</v>
      </c>
      <c r="H59" s="948">
        <f>产能及CAPEX!L172*产能及CAPEX!$H$164</f>
        <v>883.48226819926901</v>
      </c>
      <c r="I59" s="948">
        <f>产能及CAPEX!M172*产能及CAPEX!$H$164</f>
        <v>1049.1025147205564</v>
      </c>
      <c r="J59" s="948">
        <f>产能及CAPEX!N172*产能及CAPEX!$H$164</f>
        <v>622.70984999999996</v>
      </c>
      <c r="K59" s="948">
        <f>产能及CAPEX!O172*产能及CAPEX!$H$164</f>
        <v>1079.5756630278177</v>
      </c>
      <c r="L59" s="948">
        <f>产能及CAPEX!P172*产能及CAPEX!$H$164</f>
        <v>1206.4945153959493</v>
      </c>
      <c r="M59" s="948">
        <f>产能及CAPEX!Q172*产能及CAPEX!$H$164</f>
        <v>1286.3423801074384</v>
      </c>
      <c r="N59" s="948">
        <f>产能及CAPEX!R172*产能及CAPEX!$H$164</f>
        <v>1372.8347733900048</v>
      </c>
      <c r="O59" s="948">
        <f>产能及CAPEX!S172*产能及CAPEX!$H$164</f>
        <v>1467.2115239893719</v>
      </c>
      <c r="P59" s="948">
        <f>产能及CAPEX!T172*产能及CAPEX!$H$164</f>
        <v>1570.1687605902271</v>
      </c>
    </row>
    <row r="60" spans="2:16">
      <c r="B60" s="1133"/>
      <c r="D60" s="1133" t="s">
        <v>1073</v>
      </c>
      <c r="E60" s="948">
        <f>产能及CAPEX!I171</f>
        <v>130.38792000000001</v>
      </c>
      <c r="F60" s="948">
        <f>产能及CAPEX!J171</f>
        <v>105.60056</v>
      </c>
      <c r="G60" s="948">
        <f>产能及CAPEX!K171</f>
        <v>104.83095999999996</v>
      </c>
      <c r="H60" s="948">
        <f>产能及CAPEX!L171</f>
        <v>128.024</v>
      </c>
      <c r="I60" s="948">
        <f>产能及CAPEX!M171</f>
        <v>188.47853999999998</v>
      </c>
      <c r="J60" s="948">
        <f>产能及CAPEX!N171</f>
        <v>181.70984999999999</v>
      </c>
      <c r="K60" s="948">
        <f>产能及CAPEX!O171</f>
        <v>200.72588400000001</v>
      </c>
      <c r="L60" s="948">
        <f>产能及CAPEX!P171</f>
        <v>199.594368</v>
      </c>
      <c r="M60" s="948">
        <f>产能及CAPEX!Q171</f>
        <v>199.19833740000001</v>
      </c>
      <c r="N60" s="948">
        <f>产能及CAPEX!R171</f>
        <v>199.08612873000001</v>
      </c>
      <c r="O60" s="948">
        <f>产能及CAPEX!S171</f>
        <v>199.08612873000001</v>
      </c>
      <c r="P60" s="948">
        <f>产能及CAPEX!T171</f>
        <v>199.08612873000001</v>
      </c>
    </row>
    <row r="61" spans="2:16">
      <c r="B61" s="1133"/>
      <c r="D61" s="1133" t="s">
        <v>1074</v>
      </c>
      <c r="E61" s="1140">
        <f>IF(E59-E60&lt;0,0,E59-E60)</f>
        <v>1151.2870294490867</v>
      </c>
      <c r="F61" s="1466"/>
      <c r="G61" s="1140">
        <f>IF(G59-G60&lt;0,0,G59-G60)</f>
        <v>866.73935934071903</v>
      </c>
      <c r="H61" s="1140">
        <f t="shared" ref="H61" si="23">IF(H59-H60&lt;0,0,H59-H60)</f>
        <v>755.45826819926901</v>
      </c>
      <c r="I61" s="1140">
        <f t="shared" ref="I61" si="24">IF(I59-I60&lt;0,0,I59-I60)</f>
        <v>860.62397472055648</v>
      </c>
      <c r="J61" s="1140">
        <f t="shared" ref="J61" si="25">IF(J59-J60&lt;0,0,J59-J60)</f>
        <v>441</v>
      </c>
      <c r="K61" s="1140">
        <f t="shared" ref="K61" si="26">IF(K59-K60&lt;0,0,K59-K60)</f>
        <v>878.8497790278177</v>
      </c>
      <c r="L61" s="1140">
        <f t="shared" ref="L61" si="27">IF(L59-L60&lt;0,0,L59-L60)</f>
        <v>1006.9001473959493</v>
      </c>
      <c r="M61" s="1140">
        <f t="shared" ref="M61" si="28">IF(M59-M60&lt;0,0,M59-M60)</f>
        <v>1087.1440427074385</v>
      </c>
      <c r="N61" s="1140">
        <f t="shared" ref="N61" si="29">IF(N59-N60&lt;0,0,N59-N60)</f>
        <v>1173.7486446600049</v>
      </c>
      <c r="O61" s="1140">
        <f t="shared" ref="O61" si="30">IF(O59-O60&lt;0,0,O59-O60)</f>
        <v>1268.125395259372</v>
      </c>
      <c r="P61" s="1140">
        <f t="shared" ref="P61" si="31">IF(P59-P60&lt;0,0,P59-P60)</f>
        <v>1371.0826318602271</v>
      </c>
    </row>
    <row r="62" spans="2:16">
      <c r="B62" s="1133"/>
      <c r="C62" s="1141" t="s">
        <v>1075</v>
      </c>
      <c r="D62" s="1133"/>
      <c r="E62" s="1140"/>
      <c r="F62" s="1466"/>
      <c r="G62" s="1140"/>
      <c r="H62" s="1140"/>
      <c r="I62" s="1140"/>
      <c r="J62" s="1140"/>
      <c r="K62" s="1142">
        <f>K61/K58</f>
        <v>0.41849989477515126</v>
      </c>
      <c r="L62" s="1142">
        <f t="shared" ref="L62:P62" si="32">L61/L58</f>
        <v>0.47947626066473775</v>
      </c>
      <c r="M62" s="1142">
        <f t="shared" si="32"/>
        <v>0.51768763938449458</v>
      </c>
      <c r="N62" s="1142">
        <f t="shared" si="32"/>
        <v>0.55892792602857377</v>
      </c>
      <c r="O62" s="1142">
        <f t="shared" si="32"/>
        <v>0.60386923583779617</v>
      </c>
      <c r="P62" s="1142">
        <f t="shared" si="32"/>
        <v>0.65289649136201289</v>
      </c>
    </row>
    <row r="63" spans="2:16">
      <c r="B63" s="1133"/>
    </row>
    <row r="64" spans="2:16">
      <c r="B64" s="1133" t="s">
        <v>842</v>
      </c>
    </row>
    <row r="65" spans="2:18">
      <c r="B65" s="1133"/>
      <c r="C65" s="1133" t="s">
        <v>965</v>
      </c>
      <c r="E65" s="948">
        <f>产能及CAPEX!I179</f>
        <v>0</v>
      </c>
      <c r="F65" s="948">
        <f>产能及CAPEX!J179</f>
        <v>0</v>
      </c>
      <c r="G65" s="948">
        <f>产能及CAPEX!K179</f>
        <v>0</v>
      </c>
      <c r="H65" s="948">
        <f>产能及CAPEX!L179</f>
        <v>0</v>
      </c>
      <c r="I65" s="948">
        <f>产能及CAPEX!M179</f>
        <v>0</v>
      </c>
      <c r="J65" s="948">
        <f>产能及CAPEX!N179</f>
        <v>0</v>
      </c>
      <c r="K65" s="948">
        <f>产能及CAPEX!O179</f>
        <v>0</v>
      </c>
      <c r="L65" s="948">
        <f>产能及CAPEX!P179</f>
        <v>500</v>
      </c>
      <c r="M65" s="948">
        <f>产能及CAPEX!Q179</f>
        <v>2000</v>
      </c>
      <c r="N65" s="948">
        <f>产能及CAPEX!R179</f>
        <v>2000</v>
      </c>
      <c r="O65" s="948">
        <f>产能及CAPEX!S179</f>
        <v>2000</v>
      </c>
      <c r="P65" s="948">
        <f>产能及CAPEX!T179</f>
        <v>2000</v>
      </c>
    </row>
    <row r="66" spans="2:18">
      <c r="B66" s="1133"/>
      <c r="C66" s="1133" t="s">
        <v>966</v>
      </c>
      <c r="E66" s="948">
        <f>产能及CAPEX!I180</f>
        <v>0</v>
      </c>
      <c r="F66" s="948">
        <f>产能及CAPEX!J180</f>
        <v>0</v>
      </c>
      <c r="G66" s="948">
        <f>产能及CAPEX!K180</f>
        <v>0</v>
      </c>
      <c r="H66" s="948">
        <f>产能及CAPEX!L180</f>
        <v>0</v>
      </c>
      <c r="I66" s="948">
        <f>产能及CAPEX!M180</f>
        <v>0</v>
      </c>
      <c r="J66" s="948">
        <f>产能及CAPEX!N180</f>
        <v>0</v>
      </c>
      <c r="K66" s="948">
        <f>产能及CAPEX!O180</f>
        <v>500</v>
      </c>
      <c r="L66" s="948">
        <f>产能及CAPEX!P180</f>
        <v>1500</v>
      </c>
      <c r="M66" s="948">
        <f>产能及CAPEX!Q180</f>
        <v>0</v>
      </c>
      <c r="N66" s="948">
        <f>产能及CAPEX!R180</f>
        <v>0</v>
      </c>
      <c r="O66" s="948">
        <f>产能及CAPEX!S180</f>
        <v>0</v>
      </c>
      <c r="P66" s="948">
        <f>产能及CAPEX!T180</f>
        <v>0</v>
      </c>
    </row>
    <row r="67" spans="2:18">
      <c r="B67" s="1133"/>
      <c r="C67" s="1133" t="s">
        <v>1069</v>
      </c>
      <c r="E67" s="948">
        <f>产能及CAPEX!I181</f>
        <v>0</v>
      </c>
      <c r="F67" s="948">
        <f>产能及CAPEX!J181</f>
        <v>0</v>
      </c>
      <c r="G67" s="948">
        <f>产能及CAPEX!K181</f>
        <v>0</v>
      </c>
      <c r="H67" s="948">
        <f>产能及CAPEX!L181</f>
        <v>0</v>
      </c>
      <c r="I67" s="948">
        <f>产能及CAPEX!M181</f>
        <v>0</v>
      </c>
      <c r="J67" s="948">
        <f>产能及CAPEX!N181</f>
        <v>0</v>
      </c>
      <c r="K67" s="948">
        <f>产能及CAPEX!O181</f>
        <v>500</v>
      </c>
      <c r="L67" s="948">
        <f>产能及CAPEX!P181</f>
        <v>2000</v>
      </c>
      <c r="M67" s="948">
        <f>产能及CAPEX!Q181</f>
        <v>2000</v>
      </c>
      <c r="N67" s="948">
        <f>产能及CAPEX!R181</f>
        <v>2000</v>
      </c>
      <c r="O67" s="948">
        <f>产能及CAPEX!S181</f>
        <v>2000</v>
      </c>
      <c r="P67" s="948">
        <f>产能及CAPEX!T181</f>
        <v>2000</v>
      </c>
    </row>
    <row r="68" spans="2:18">
      <c r="B68" s="1133"/>
      <c r="C68" s="1133" t="s">
        <v>1070</v>
      </c>
      <c r="E68" s="1467"/>
      <c r="F68" s="1467"/>
      <c r="G68" s="948">
        <f>产能及CAPEX!K186*产能及CAPEX!$H$178</f>
        <v>709.40294779268368</v>
      </c>
      <c r="H68" s="948">
        <f>产能及CAPEX!L186*产能及CAPEX!$H$178</f>
        <v>826.04028710410989</v>
      </c>
      <c r="I68" s="948">
        <f>产能及CAPEX!M186*产能及CAPEX!$H$178</f>
        <v>1024.5207609813897</v>
      </c>
      <c r="J68" s="948">
        <f>产能及CAPEX!N186*产能及CAPEX!$H$178</f>
        <v>663.23893200000066</v>
      </c>
      <c r="K68" s="948">
        <f>产能及CAPEX!O186*产能及CAPEX!$H$178</f>
        <v>1131.3253472027</v>
      </c>
      <c r="L68" s="948">
        <f>产能及CAPEX!P186*产能及CAPEX!$H$178</f>
        <v>1238.3935652785244</v>
      </c>
      <c r="M68" s="948">
        <f>产能及CAPEX!Q186*产能及CAPEX!$H$178</f>
        <v>1350.8589901703879</v>
      </c>
      <c r="N68" s="948">
        <f>产能及CAPEX!R186*产能及CAPEX!$H$178</f>
        <v>1470.341331584385</v>
      </c>
      <c r="O68" s="948">
        <f>产能及CAPEX!S186*产能及CAPEX!$H$178</f>
        <v>1595.8664281202748</v>
      </c>
      <c r="P68" s="948">
        <f>产能及CAPEX!T186*产能及CAPEX!$H$178</f>
        <v>1726.6938149154985</v>
      </c>
    </row>
    <row r="69" spans="2:18">
      <c r="B69" s="1133"/>
      <c r="D69" s="1133" t="s">
        <v>1073</v>
      </c>
      <c r="E69" s="948">
        <f>产能及CAPEX!I185</f>
        <v>323.35808000000003</v>
      </c>
      <c r="F69" s="948">
        <f>产能及CAPEX!J185</f>
        <v>638.3216480000001</v>
      </c>
      <c r="G69" s="948">
        <f>产能及CAPEX!K185</f>
        <v>610.68075199999976</v>
      </c>
      <c r="H69" s="948">
        <f>产能及CAPEX!L185</f>
        <v>1043.528</v>
      </c>
      <c r="I69" s="948">
        <f>产能及CAPEX!M185</f>
        <v>1191.9205900000004</v>
      </c>
      <c r="J69" s="948">
        <f>产能及CAPEX!N185</f>
        <v>663.23893200000066</v>
      </c>
      <c r="K69" s="948">
        <f>产能及CAPEX!O185</f>
        <v>1190.5528780000006</v>
      </c>
      <c r="L69" s="948">
        <f>产能及CAPEX!P185</f>
        <v>1130.797282100001</v>
      </c>
      <c r="M69" s="948">
        <f>产能及CAPEX!Q185</f>
        <v>1017.6856406100007</v>
      </c>
      <c r="N69" s="948">
        <f>产能及CAPEX!R185</f>
        <v>915.9442028370006</v>
      </c>
      <c r="O69" s="948">
        <f>产能及CAPEX!S185</f>
        <v>870.17276266875047</v>
      </c>
      <c r="P69" s="948">
        <f>产能及CAPEX!T185</f>
        <v>826.68989450891297</v>
      </c>
    </row>
    <row r="70" spans="2:18">
      <c r="B70" s="1133"/>
      <c r="D70" s="1133" t="s">
        <v>1074</v>
      </c>
      <c r="E70" s="1140">
        <v>0</v>
      </c>
      <c r="F70" s="1140">
        <v>0</v>
      </c>
      <c r="G70" s="1140">
        <v>0</v>
      </c>
      <c r="H70" s="1140">
        <v>0</v>
      </c>
      <c r="I70" s="1140">
        <v>0</v>
      </c>
      <c r="J70" s="1140">
        <v>0</v>
      </c>
      <c r="K70" s="1140">
        <f t="shared" ref="K70" si="33">IF(K68-K69&lt;0,0,K68-K69)</f>
        <v>0</v>
      </c>
      <c r="L70" s="1140">
        <f t="shared" ref="L70" si="34">IF(L68-L69&lt;0,0,L68-L69)</f>
        <v>107.59628317852344</v>
      </c>
      <c r="M70" s="1140">
        <f t="shared" ref="M70" si="35">IF(M68-M69&lt;0,0,M68-M69)</f>
        <v>333.17334956038712</v>
      </c>
      <c r="N70" s="1140">
        <f t="shared" ref="N70" si="36">IF(N68-N69&lt;0,0,N68-N69)</f>
        <v>554.39712874738439</v>
      </c>
      <c r="O70" s="1140">
        <f t="shared" ref="O70" si="37">IF(O68-O69&lt;0,0,O68-O69)</f>
        <v>725.69366545152434</v>
      </c>
      <c r="P70" s="1140">
        <f t="shared" ref="P70" si="38">IF(P68-P69&lt;0,0,P68-P69)</f>
        <v>900.00392040658551</v>
      </c>
    </row>
    <row r="71" spans="2:18">
      <c r="B71" s="1133"/>
      <c r="C71" s="1141" t="s">
        <v>1075</v>
      </c>
      <c r="D71" s="1133"/>
      <c r="E71" s="1140"/>
      <c r="F71" s="1466"/>
      <c r="G71" s="1140"/>
      <c r="H71" s="1140"/>
      <c r="I71" s="1140"/>
      <c r="J71" s="1140"/>
      <c r="K71" s="1142">
        <f>K70/K67</f>
        <v>0</v>
      </c>
      <c r="L71" s="1142">
        <f t="shared" ref="L71" si="39">L70/L67</f>
        <v>5.3798141589261717E-2</v>
      </c>
      <c r="M71" s="1142">
        <f t="shared" ref="M71" si="40">M70/M67</f>
        <v>0.16658667478019357</v>
      </c>
      <c r="N71" s="1142">
        <f t="shared" ref="N71" si="41">N70/N67</f>
        <v>0.27719856437369217</v>
      </c>
      <c r="O71" s="1142">
        <f t="shared" ref="O71" si="42">O70/O67</f>
        <v>0.36284683272576218</v>
      </c>
      <c r="P71" s="1142">
        <f>P70/P67</f>
        <v>0.45000196020329275</v>
      </c>
      <c r="R71" s="1143"/>
    </row>
    <row r="72" spans="2:18">
      <c r="B72" s="1133"/>
      <c r="R72" s="1143"/>
    </row>
    <row r="73" spans="2:18">
      <c r="B73" s="1133" t="s">
        <v>843</v>
      </c>
    </row>
    <row r="74" spans="2:18">
      <c r="B74" s="1133"/>
      <c r="C74" s="1133" t="s">
        <v>965</v>
      </c>
      <c r="E74" s="948">
        <f>产能及CAPEX!I193</f>
        <v>7300</v>
      </c>
      <c r="F74" s="948">
        <f>产能及CAPEX!J193</f>
        <v>7300</v>
      </c>
      <c r="G74" s="948">
        <f>产能及CAPEX!K193</f>
        <v>7300</v>
      </c>
      <c r="H74" s="948">
        <f>产能及CAPEX!L193</f>
        <v>7300</v>
      </c>
      <c r="I74" s="948">
        <f>产能及CAPEX!M193</f>
        <v>7300</v>
      </c>
      <c r="J74" s="948">
        <f>产能及CAPEX!N193</f>
        <v>4258.3333333333339</v>
      </c>
      <c r="K74" s="948">
        <f>产能及CAPEX!O193</f>
        <v>7300</v>
      </c>
      <c r="L74" s="948">
        <f>产能及CAPEX!P193</f>
        <v>7300</v>
      </c>
      <c r="M74" s="948">
        <f>产能及CAPEX!Q193</f>
        <v>7300</v>
      </c>
      <c r="N74" s="948">
        <f>产能及CAPEX!R193</f>
        <v>7300</v>
      </c>
      <c r="O74" s="948">
        <f>产能及CAPEX!S193</f>
        <v>7300</v>
      </c>
      <c r="P74" s="948">
        <f>产能及CAPEX!T193</f>
        <v>7300</v>
      </c>
    </row>
    <row r="75" spans="2:18">
      <c r="B75" s="1133"/>
      <c r="C75" s="1133" t="s">
        <v>966</v>
      </c>
      <c r="E75" s="948">
        <f>产能及CAPEX!I194</f>
        <v>0</v>
      </c>
      <c r="F75" s="948">
        <f>产能及CAPEX!J194</f>
        <v>0</v>
      </c>
      <c r="G75" s="948">
        <f>产能及CAPEX!K194</f>
        <v>0</v>
      </c>
      <c r="H75" s="948">
        <f>产能及CAPEX!L194</f>
        <v>0</v>
      </c>
      <c r="I75" s="948">
        <f>产能及CAPEX!M194</f>
        <v>0</v>
      </c>
      <c r="J75" s="948">
        <f>产能及CAPEX!N194</f>
        <v>0</v>
      </c>
      <c r="K75" s="948">
        <f>产能及CAPEX!O194</f>
        <v>0</v>
      </c>
      <c r="L75" s="948">
        <f>产能及CAPEX!P194</f>
        <v>0</v>
      </c>
      <c r="M75" s="948">
        <f>产能及CAPEX!Q194</f>
        <v>0</v>
      </c>
      <c r="N75" s="948">
        <f>产能及CAPEX!R194</f>
        <v>0</v>
      </c>
      <c r="O75" s="948">
        <f>产能及CAPEX!S194</f>
        <v>0</v>
      </c>
      <c r="P75" s="948">
        <f>产能及CAPEX!T194</f>
        <v>0</v>
      </c>
    </row>
    <row r="76" spans="2:18">
      <c r="B76" s="1133"/>
      <c r="C76" s="1133" t="s">
        <v>1069</v>
      </c>
      <c r="E76" s="948">
        <f>产能及CAPEX!I195</f>
        <v>7300</v>
      </c>
      <c r="F76" s="948">
        <f>产能及CAPEX!J195</f>
        <v>7300</v>
      </c>
      <c r="G76" s="948">
        <f>产能及CAPEX!K195</f>
        <v>7300</v>
      </c>
      <c r="H76" s="948">
        <f>产能及CAPEX!L195</f>
        <v>7300</v>
      </c>
      <c r="I76" s="948">
        <f>产能及CAPEX!M195</f>
        <v>7300</v>
      </c>
      <c r="J76" s="948">
        <f>产能及CAPEX!N195</f>
        <v>4258.3333333333339</v>
      </c>
      <c r="K76" s="948">
        <f>产能及CAPEX!O195</f>
        <v>7300</v>
      </c>
      <c r="L76" s="948">
        <f>产能及CAPEX!P195</f>
        <v>7300</v>
      </c>
      <c r="M76" s="948">
        <f>产能及CAPEX!Q195</f>
        <v>7300</v>
      </c>
      <c r="N76" s="948">
        <f>产能及CAPEX!R195</f>
        <v>7300</v>
      </c>
      <c r="O76" s="948">
        <f>产能及CAPEX!S195</f>
        <v>7300</v>
      </c>
      <c r="P76" s="948">
        <f>产能及CAPEX!T195</f>
        <v>7300</v>
      </c>
    </row>
    <row r="77" spans="2:18">
      <c r="B77" s="1133"/>
      <c r="C77" s="1133" t="s">
        <v>1070</v>
      </c>
      <c r="E77" s="948">
        <f>产能及CAPEX!I200*产能及CAPEX!$H$192</f>
        <v>3472.57670110556</v>
      </c>
      <c r="F77" s="1467"/>
      <c r="G77" s="948">
        <f>产能及CAPEX!K200*产能及CAPEX!$H$192</f>
        <v>5130.0542654132478</v>
      </c>
      <c r="H77" s="948">
        <f>产能及CAPEX!L200*产能及CAPEX!$H$192</f>
        <v>4065.3544809011887</v>
      </c>
      <c r="I77" s="948">
        <f>产能及CAPEX!M200*产能及CAPEX!$H$192</f>
        <v>4714.4538353144635</v>
      </c>
      <c r="J77" s="948">
        <f>产能及CAPEX!N200*产能及CAPEX!$H$192</f>
        <v>2315.5121226060619</v>
      </c>
      <c r="K77" s="948">
        <f>产能及CAPEX!O200*产能及CAPEX!$H$192</f>
        <v>4302.2604776780945</v>
      </c>
      <c r="L77" s="948">
        <f>产能及CAPEX!P200*产能及CAPEX!$H$192</f>
        <v>4631.5876766725341</v>
      </c>
      <c r="M77" s="948">
        <f>产能及CAPEX!Q200*产能及CAPEX!$H$192</f>
        <v>4895.6612635182546</v>
      </c>
      <c r="N77" s="948">
        <f>产能及CAPEX!R200*产能及CAPEX!$H$192</f>
        <v>5107.9597790093476</v>
      </c>
      <c r="O77" s="948">
        <f>产能及CAPEX!S200*产能及CAPEX!$H$192</f>
        <v>5333.3777552088295</v>
      </c>
      <c r="P77" s="948">
        <f>产能及CAPEX!T200*产能及CAPEX!$H$192</f>
        <v>5573.3734385792241</v>
      </c>
    </row>
    <row r="78" spans="2:18">
      <c r="B78" s="1133"/>
      <c r="D78" s="1133" t="s">
        <v>1073</v>
      </c>
      <c r="E78" s="948">
        <f>产能及CAPEX!I199</f>
        <v>756.44550000000015</v>
      </c>
      <c r="F78" s="948">
        <f>产能及CAPEX!J199</f>
        <v>704.09703999999965</v>
      </c>
      <c r="G78" s="948">
        <f>产能及CAPEX!K199</f>
        <v>1159.9412200000004</v>
      </c>
      <c r="H78" s="948">
        <f>产能及CAPEX!L199</f>
        <v>902.24199999999996</v>
      </c>
      <c r="I78" s="948">
        <f>产能及CAPEX!M199</f>
        <v>1039.7911572868099</v>
      </c>
      <c r="J78" s="948">
        <f>产能及CAPEX!N199</f>
        <v>825.09545593939526</v>
      </c>
      <c r="K78" s="948">
        <f>产能及CAPEX!O199</f>
        <v>875.6526494147239</v>
      </c>
      <c r="L78" s="948">
        <f>产能及CAPEX!P199</f>
        <v>786.63496949030673</v>
      </c>
      <c r="M78" s="948">
        <f>产能及CAPEX!Q199</f>
        <v>746.79487577176064</v>
      </c>
      <c r="N78" s="948">
        <f>产能及CAPEX!R199</f>
        <v>746.57882904304745</v>
      </c>
      <c r="O78" s="948">
        <f>产能及CAPEX!S199</f>
        <v>746.57882904304745</v>
      </c>
      <c r="P78" s="948">
        <f>产能及CAPEX!T199</f>
        <v>746.57882904304745</v>
      </c>
    </row>
    <row r="79" spans="2:18">
      <c r="B79" s="1133"/>
      <c r="D79" s="1133" t="s">
        <v>1074</v>
      </c>
      <c r="E79" s="1140">
        <f>IF(E77-E78&lt;0,0,E77-E78)</f>
        <v>2716.1312011055597</v>
      </c>
      <c r="F79" s="1466"/>
      <c r="G79" s="1140">
        <f>IF(G77-G78&lt;0,0,G77-G78)</f>
        <v>3970.1130454132472</v>
      </c>
      <c r="H79" s="1140">
        <f t="shared" ref="H79:P79" si="43">IF(H77-H78&lt;0,0,H77-H78)</f>
        <v>3163.112480901189</v>
      </c>
      <c r="I79" s="1140">
        <f t="shared" si="43"/>
        <v>3674.6626780276538</v>
      </c>
      <c r="J79" s="1140">
        <f t="shared" si="43"/>
        <v>1490.4166666666665</v>
      </c>
      <c r="K79" s="1140">
        <f t="shared" si="43"/>
        <v>3426.6078282633707</v>
      </c>
      <c r="L79" s="1140">
        <f t="shared" si="43"/>
        <v>3844.9527071822276</v>
      </c>
      <c r="M79" s="1140">
        <f t="shared" si="43"/>
        <v>4148.8663877464942</v>
      </c>
      <c r="N79" s="1140">
        <f t="shared" si="43"/>
        <v>4361.3809499663002</v>
      </c>
      <c r="O79" s="1140">
        <f t="shared" si="43"/>
        <v>4586.7989261657822</v>
      </c>
      <c r="P79" s="1140">
        <f t="shared" si="43"/>
        <v>4826.7946095361767</v>
      </c>
    </row>
    <row r="80" spans="2:18">
      <c r="B80" s="1133"/>
      <c r="C80" s="1141" t="s">
        <v>1075</v>
      </c>
      <c r="D80" s="1133"/>
      <c r="E80" s="1140"/>
      <c r="F80" s="1466"/>
      <c r="G80" s="1140"/>
      <c r="H80" s="1140"/>
      <c r="I80" s="1140"/>
      <c r="J80" s="1140"/>
      <c r="K80" s="1142">
        <f>K79/K76</f>
        <v>0.46939833263881792</v>
      </c>
      <c r="L80" s="1142">
        <f t="shared" ref="L80" si="44">L79/L76</f>
        <v>0.52670585029893524</v>
      </c>
      <c r="M80" s="1142">
        <f t="shared" ref="M80" si="45">M79/M76</f>
        <v>0.5683378613351362</v>
      </c>
      <c r="N80" s="1142">
        <f t="shared" ref="N80" si="46">N79/N76</f>
        <v>0.59744944520086307</v>
      </c>
      <c r="O80" s="1142">
        <f t="shared" ref="O80" si="47">O79/O76</f>
        <v>0.62832862002270984</v>
      </c>
      <c r="P80" s="1142">
        <f t="shared" ref="P80" si="48">P79/P76</f>
        <v>0.66120474103235294</v>
      </c>
    </row>
    <row r="81" spans="2:16">
      <c r="B81" s="1133"/>
    </row>
    <row r="82" spans="2:16">
      <c r="B82" s="1133" t="s">
        <v>844</v>
      </c>
    </row>
    <row r="83" spans="2:16">
      <c r="B83" s="1133"/>
      <c r="C83" s="1133" t="s">
        <v>965</v>
      </c>
      <c r="E83" s="948">
        <f>产能及CAPEX!I207</f>
        <v>23300</v>
      </c>
      <c r="F83" s="948">
        <f>产能及CAPEX!J207</f>
        <v>23300</v>
      </c>
      <c r="G83" s="948">
        <f>产能及CAPEX!K207</f>
        <v>23300</v>
      </c>
      <c r="H83" s="948">
        <f>产能及CAPEX!L207</f>
        <v>23300</v>
      </c>
      <c r="I83" s="948">
        <f>产能及CAPEX!M207</f>
        <v>23300</v>
      </c>
      <c r="J83" s="948">
        <f>产能及CAPEX!N207</f>
        <v>13591.666666666668</v>
      </c>
      <c r="K83" s="948">
        <f>产能及CAPEX!O207</f>
        <v>23300</v>
      </c>
      <c r="L83" s="948">
        <f>产能及CAPEX!P207</f>
        <v>23300</v>
      </c>
      <c r="M83" s="948">
        <f>产能及CAPEX!Q207</f>
        <v>23300</v>
      </c>
      <c r="N83" s="948">
        <f>产能及CAPEX!R207</f>
        <v>23300</v>
      </c>
      <c r="O83" s="948">
        <f>产能及CAPEX!S207</f>
        <v>23300</v>
      </c>
      <c r="P83" s="948">
        <f>产能及CAPEX!T207</f>
        <v>23300</v>
      </c>
    </row>
    <row r="84" spans="2:16">
      <c r="B84" s="1133"/>
      <c r="C84" s="1133" t="s">
        <v>966</v>
      </c>
      <c r="E84" s="948">
        <f>产能及CAPEX!I208</f>
        <v>0</v>
      </c>
      <c r="F84" s="948">
        <f>产能及CAPEX!J208</f>
        <v>0</v>
      </c>
      <c r="G84" s="948">
        <f>产能及CAPEX!K208</f>
        <v>0</v>
      </c>
      <c r="H84" s="948">
        <f>产能及CAPEX!L208</f>
        <v>0</v>
      </c>
      <c r="I84" s="948">
        <f>产能及CAPEX!M208</f>
        <v>0</v>
      </c>
      <c r="J84" s="948">
        <f>产能及CAPEX!N208</f>
        <v>0</v>
      </c>
      <c r="K84" s="948">
        <f>产能及CAPEX!O208</f>
        <v>0</v>
      </c>
      <c r="L84" s="948">
        <f>产能及CAPEX!P208</f>
        <v>0</v>
      </c>
      <c r="M84" s="948">
        <f>产能及CAPEX!Q208</f>
        <v>0</v>
      </c>
      <c r="N84" s="948">
        <f>产能及CAPEX!R208</f>
        <v>0</v>
      </c>
      <c r="O84" s="948">
        <f>产能及CAPEX!S208</f>
        <v>0</v>
      </c>
      <c r="P84" s="948">
        <f>产能及CAPEX!T208</f>
        <v>0</v>
      </c>
    </row>
    <row r="85" spans="2:16">
      <c r="B85" s="1133"/>
      <c r="C85" s="1133" t="s">
        <v>1069</v>
      </c>
      <c r="E85" s="948">
        <f>产能及CAPEX!I209</f>
        <v>23300</v>
      </c>
      <c r="F85" s="948">
        <f>产能及CAPEX!J209</f>
        <v>23300</v>
      </c>
      <c r="G85" s="948">
        <f>产能及CAPEX!K209</f>
        <v>23300</v>
      </c>
      <c r="H85" s="948">
        <f>产能及CAPEX!L209</f>
        <v>23300</v>
      </c>
      <c r="I85" s="948">
        <f>产能及CAPEX!M209</f>
        <v>23300</v>
      </c>
      <c r="J85" s="948">
        <f>产能及CAPEX!N209</f>
        <v>13591.666666666668</v>
      </c>
      <c r="K85" s="948">
        <f>产能及CAPEX!O209</f>
        <v>23300</v>
      </c>
      <c r="L85" s="948">
        <f>产能及CAPEX!P209</f>
        <v>23300</v>
      </c>
      <c r="M85" s="948">
        <f>产能及CAPEX!Q209</f>
        <v>23300</v>
      </c>
      <c r="N85" s="948">
        <f>产能及CAPEX!R209</f>
        <v>23300</v>
      </c>
      <c r="O85" s="948">
        <f>产能及CAPEX!S209</f>
        <v>23300</v>
      </c>
      <c r="P85" s="948">
        <f>产能及CAPEX!T209</f>
        <v>23300</v>
      </c>
    </row>
    <row r="86" spans="2:16">
      <c r="B86" s="1133"/>
      <c r="C86" s="1133" t="s">
        <v>1070</v>
      </c>
      <c r="E86" s="948">
        <f>产能及CAPEX!I214*产能及CAPEX!$H$206</f>
        <v>10750.359852167669</v>
      </c>
      <c r="F86" s="1467"/>
      <c r="G86" s="948">
        <f>产能及CAPEX!K214*产能及CAPEX!$H$206</f>
        <v>13779.624926219785</v>
      </c>
      <c r="H86" s="948">
        <f>产能及CAPEX!L214*产能及CAPEX!$H$206</f>
        <v>13681.505740420522</v>
      </c>
      <c r="I86" s="948">
        <f>产能及CAPEX!M214*产能及CAPEX!$H$206</f>
        <v>16430.615692184285</v>
      </c>
      <c r="J86" s="948">
        <f>产能及CAPEX!N214*产能及CAPEX!$H$206</f>
        <v>8987.3894921635037</v>
      </c>
      <c r="K86" s="948">
        <f>产能及CAPEX!O214*产能及CAPEX!$H$206</f>
        <v>16209.552086554755</v>
      </c>
      <c r="L86" s="948">
        <f>产能及CAPEX!P214*产能及CAPEX!$H$206</f>
        <v>17541.727931367295</v>
      </c>
      <c r="M86" s="948">
        <f>产能及CAPEX!Q214*产能及CAPEX!$H$206</f>
        <v>18938.736785962068</v>
      </c>
      <c r="N86" s="948">
        <f>产能及CAPEX!R214*产能及CAPEX!$H$206</f>
        <v>19892.694397329593</v>
      </c>
      <c r="O86" s="948">
        <f>产能及CAPEX!S214*产能及CAPEX!$H$206</f>
        <v>20909.637329809852</v>
      </c>
      <c r="P86" s="948">
        <f>产能及CAPEX!T214*产能及CAPEX!$H$206</f>
        <v>21994.27224916629</v>
      </c>
    </row>
    <row r="87" spans="2:16">
      <c r="B87" s="1133"/>
      <c r="D87" s="1133" t="s">
        <v>1073</v>
      </c>
      <c r="E87" s="948">
        <f>产能及CAPEX!I213</f>
        <v>5867.0312800000002</v>
      </c>
      <c r="F87" s="948">
        <f>产能及CAPEX!J213</f>
        <v>4854.1105989999924</v>
      </c>
      <c r="G87" s="948">
        <f>产能及CAPEX!K213</f>
        <v>4823.0738600000013</v>
      </c>
      <c r="H87" s="948">
        <f>产能及CAPEX!L213</f>
        <v>7099.2979999999998</v>
      </c>
      <c r="I87" s="948">
        <f>产能及CAPEX!M213</f>
        <v>8780.1890950456109</v>
      </c>
      <c r="J87" s="948">
        <f>产能及CAPEX!N213</f>
        <v>4366.2228254968359</v>
      </c>
      <c r="K87" s="948">
        <f>产能及CAPEX!O213</f>
        <v>6967.2558860182426</v>
      </c>
      <c r="L87" s="948">
        <f>产能及CAPEX!P213</f>
        <v>5568.1151698127696</v>
      </c>
      <c r="M87" s="948">
        <f>产能及CAPEX!Q213</f>
        <v>5009.3123141808546</v>
      </c>
      <c r="N87" s="948">
        <f>产能及CAPEX!R213</f>
        <v>4709.0921029006113</v>
      </c>
      <c r="O87" s="948">
        <f>产能及CAPEX!S213</f>
        <v>4475.2455037159716</v>
      </c>
      <c r="P87" s="948">
        <f>产能及CAPEX!T213</f>
        <v>4253.0912344905628</v>
      </c>
    </row>
    <row r="88" spans="2:16">
      <c r="B88" s="1133"/>
      <c r="D88" s="1133" t="s">
        <v>1074</v>
      </c>
      <c r="E88" s="1140">
        <f>IF(E86-E87&lt;0,0,E86-E87)</f>
        <v>4883.3285721676684</v>
      </c>
      <c r="F88" s="1466"/>
      <c r="G88" s="1140">
        <f>IF(G86-G87&lt;0,0,G86-G87)</f>
        <v>8956.5510662197848</v>
      </c>
      <c r="H88" s="1140">
        <f t="shared" ref="H88" si="49">IF(H86-H87&lt;0,0,H86-H87)</f>
        <v>6582.207740420522</v>
      </c>
      <c r="I88" s="1140">
        <f t="shared" ref="I88" si="50">IF(I86-I87&lt;0,0,I86-I87)</f>
        <v>7650.426597138674</v>
      </c>
      <c r="J88" s="1140">
        <f t="shared" ref="J88" si="51">IF(J86-J87&lt;0,0,J86-J87)</f>
        <v>4621.1666666666679</v>
      </c>
      <c r="K88" s="1140">
        <f t="shared" ref="K88" si="52">IF(K86-K87&lt;0,0,K86-K87)</f>
        <v>9242.2962005365116</v>
      </c>
      <c r="L88" s="1140">
        <f t="shared" ref="L88" si="53">IF(L86-L87&lt;0,0,L86-L87)</f>
        <v>11973.612761554527</v>
      </c>
      <c r="M88" s="1140">
        <f t="shared" ref="M88" si="54">IF(M86-M87&lt;0,0,M86-M87)</f>
        <v>13929.424471781214</v>
      </c>
      <c r="N88" s="1140">
        <f t="shared" ref="N88" si="55">IF(N86-N87&lt;0,0,N86-N87)</f>
        <v>15183.602294428982</v>
      </c>
      <c r="O88" s="1140">
        <f t="shared" ref="O88" si="56">IF(O86-O87&lt;0,0,O86-O87)</f>
        <v>16434.391826093881</v>
      </c>
      <c r="P88" s="1140">
        <f t="shared" ref="P88" si="57">IF(P86-P87&lt;0,0,P86-P87)</f>
        <v>17741.181014675727</v>
      </c>
    </row>
    <row r="89" spans="2:16">
      <c r="B89" s="1133"/>
      <c r="C89" s="1141" t="s">
        <v>1075</v>
      </c>
      <c r="D89" s="1133"/>
      <c r="E89" s="1140"/>
      <c r="F89" s="1466"/>
      <c r="G89" s="1140"/>
      <c r="H89" s="1140"/>
      <c r="I89" s="1140"/>
      <c r="J89" s="1140"/>
      <c r="K89" s="1142">
        <f>K88/K85</f>
        <v>0.39666507298439962</v>
      </c>
      <c r="L89" s="1142">
        <f t="shared" ref="L89" si="58">L88/L85</f>
        <v>0.51388895972337023</v>
      </c>
      <c r="M89" s="1142">
        <f t="shared" ref="M89" si="59">M88/M85</f>
        <v>0.59782937647129675</v>
      </c>
      <c r="N89" s="1142">
        <f t="shared" ref="N89" si="60">N88/N85</f>
        <v>0.65165675083386188</v>
      </c>
      <c r="O89" s="1142">
        <f t="shared" ref="O89" si="61">O88/O85</f>
        <v>0.70533870498257001</v>
      </c>
      <c r="P89" s="1142">
        <f t="shared" ref="P89" si="62">P88/P85</f>
        <v>0.76142407788307842</v>
      </c>
    </row>
  </sheetData>
  <phoneticPr fontId="5" type="noConversion"/>
  <conditionalFormatting sqref="E2:E4 M3:P4 E7:E17 M9:P17 G7:K17 E6:P16">
    <cfRule type="containsText" dxfId="70" priority="4" operator="containsText" text="Error">
      <formula>NOT(ISERROR(SEARCH("Error",E2)))</formula>
    </cfRule>
  </conditionalFormatting>
  <conditionalFormatting sqref="G3:K4 L7:P16">
    <cfRule type="containsText" dxfId="69" priority="3" operator="containsText" text="Error">
      <formula>NOT(ISERROR(SEARCH("Error",G3)))</formula>
    </cfRule>
  </conditionalFormatting>
  <conditionalFormatting sqref="K5:P5">
    <cfRule type="containsText" dxfId="68" priority="2" operator="containsText" text="Error">
      <formula>NOT(ISERROR(SEARCH("Error",K5)))</formula>
    </cfRule>
  </conditionalFormatting>
  <conditionalFormatting sqref="E5:J5">
    <cfRule type="containsText" dxfId="67" priority="1" operator="containsText" text="Error">
      <formula>NOT(ISERROR(SEARCH("Error",E5)))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2:Q96"/>
  <sheetViews>
    <sheetView showGridLines="0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14" sqref="K14"/>
    </sheetView>
  </sheetViews>
  <sheetFormatPr defaultRowHeight="14.5"/>
  <cols>
    <col min="1" max="2" width="2.83203125" style="1178" customWidth="1"/>
    <col min="3" max="3" width="2.83203125" style="1180" customWidth="1"/>
    <col min="4" max="4" width="2.83203125" style="1178" customWidth="1"/>
    <col min="5" max="5" width="17.33203125" style="1178" customWidth="1"/>
    <col min="6" max="17" width="11.4140625" style="1179" customWidth="1"/>
    <col min="18" max="16384" width="8.6640625" style="1179"/>
  </cols>
  <sheetData>
    <row r="2" spans="1:17">
      <c r="B2" s="1133"/>
      <c r="C2" s="1135"/>
      <c r="D2" s="1133"/>
      <c r="E2" s="1133"/>
      <c r="F2" s="6" t="s">
        <v>1</v>
      </c>
      <c r="G2" s="6" t="s">
        <v>2</v>
      </c>
      <c r="H2" s="6" t="s">
        <v>2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4</v>
      </c>
      <c r="N2" s="6" t="s">
        <v>4</v>
      </c>
      <c r="O2" s="6" t="s">
        <v>4</v>
      </c>
      <c r="P2" s="6" t="s">
        <v>4</v>
      </c>
      <c r="Q2" s="6" t="s">
        <v>4</v>
      </c>
    </row>
    <row r="3" spans="1:17">
      <c r="B3" s="1135"/>
      <c r="C3" s="1135"/>
      <c r="D3" s="1135"/>
      <c r="E3" s="1135"/>
      <c r="F3" s="8">
        <v>44561</v>
      </c>
      <c r="G3" s="8">
        <v>44926</v>
      </c>
      <c r="H3" s="8">
        <v>45291</v>
      </c>
      <c r="I3" s="7" t="s">
        <v>5</v>
      </c>
      <c r="J3" s="8">
        <v>45657</v>
      </c>
      <c r="K3" s="8" t="s">
        <v>838</v>
      </c>
      <c r="L3" s="9">
        <v>46022</v>
      </c>
      <c r="M3" s="9">
        <v>46387</v>
      </c>
      <c r="N3" s="9">
        <v>46752</v>
      </c>
      <c r="O3" s="9">
        <v>46753</v>
      </c>
      <c r="P3" s="9">
        <v>47483</v>
      </c>
      <c r="Q3" s="9">
        <v>47848</v>
      </c>
    </row>
    <row r="4" spans="1:17" s="1181" customFormat="1">
      <c r="A4" s="1180"/>
      <c r="B4" s="1180" t="s">
        <v>864</v>
      </c>
      <c r="C4" s="1180"/>
      <c r="D4" s="1180"/>
      <c r="E4" s="1180"/>
    </row>
    <row r="5" spans="1:17">
      <c r="C5" s="1135" t="s">
        <v>841</v>
      </c>
    </row>
    <row r="6" spans="1:17">
      <c r="C6" s="1135"/>
      <c r="D6" s="1178" t="s">
        <v>1079</v>
      </c>
      <c r="F6" s="948">
        <f>中国!H43+中国!H937</f>
        <v>49680.646769999999</v>
      </c>
      <c r="G6" s="948">
        <f>中国!I43+中国!I937</f>
        <v>81224.803475671011</v>
      </c>
      <c r="H6" s="948">
        <f>中国!J43+中国!J937</f>
        <v>69716.735728055995</v>
      </c>
      <c r="I6" s="948">
        <f>中国!K43+中国!K937</f>
        <v>87344.5</v>
      </c>
      <c r="J6" s="948">
        <f>中国!L43+中国!L937</f>
        <v>111832.21644737496</v>
      </c>
      <c r="K6" s="948">
        <f>中国!M43+中国!M937</f>
        <v>80578.922800887769</v>
      </c>
      <c r="L6" s="948">
        <f>中国!N43+中国!N937</f>
        <v>142657.05970396541</v>
      </c>
      <c r="M6" s="948">
        <f>中国!O43+中国!O937</f>
        <v>179119.69607229173</v>
      </c>
      <c r="N6" s="948">
        <f>中国!P43+中国!P937</f>
        <v>219137.92261420432</v>
      </c>
      <c r="O6" s="948">
        <f>中国!Q43+中国!Q937</f>
        <v>257139.51630911807</v>
      </c>
      <c r="P6" s="948">
        <f>中国!R43+中国!R937</f>
        <v>296742.91660966305</v>
      </c>
      <c r="Q6" s="948">
        <f>中国!S43+中国!S937</f>
        <v>334898.69035209296</v>
      </c>
    </row>
    <row r="7" spans="1:17">
      <c r="C7" s="1135"/>
      <c r="E7" s="1178" t="s">
        <v>1078</v>
      </c>
      <c r="F7" s="948">
        <f>中国!H31+中国!H913</f>
        <v>419825.91399999993</v>
      </c>
      <c r="G7" s="948">
        <f>中国!I31+中国!I913</f>
        <v>427104.01400000014</v>
      </c>
      <c r="H7" s="948">
        <f>中国!J31+中国!J913</f>
        <v>380950.16399999999</v>
      </c>
      <c r="I7" s="948">
        <f>中国!K31+中国!K913</f>
        <v>747717</v>
      </c>
      <c r="J7" s="948">
        <f>中国!L31+中国!L913</f>
        <v>936506.17269897275</v>
      </c>
      <c r="K7" s="948">
        <f>中国!M31+中国!M913</f>
        <v>654708.94770672591</v>
      </c>
      <c r="L7" s="948">
        <f>中国!N31+中国!N913</f>
        <v>1174682.4692989727</v>
      </c>
      <c r="M7" s="948">
        <f>中国!O31+中国!O913</f>
        <v>1490037.670228973</v>
      </c>
      <c r="N7" s="948">
        <f>中国!P31+中国!P913</f>
        <v>1835536.731878473</v>
      </c>
      <c r="O7" s="948">
        <f>中国!Q31+中国!Q913</f>
        <v>2152565.0431923484</v>
      </c>
      <c r="P7" s="948">
        <f>中国!R31+中国!R913</f>
        <v>2476618.5713180923</v>
      </c>
      <c r="Q7" s="948">
        <f>中国!S31+中国!S913</f>
        <v>2794013.4285819563</v>
      </c>
    </row>
    <row r="8" spans="1:17">
      <c r="C8" s="1135"/>
      <c r="E8" s="1178" t="s">
        <v>1080</v>
      </c>
      <c r="F8" s="1182">
        <f>F6/F7</f>
        <v>0.11833630348506788</v>
      </c>
      <c r="G8" s="1182">
        <f t="shared" ref="G8:Q8" si="0">G6/G7</f>
        <v>0.19017569681672666</v>
      </c>
      <c r="H8" s="1182">
        <f t="shared" si="0"/>
        <v>0.1830074962982717</v>
      </c>
      <c r="I8" s="1182">
        <f t="shared" si="0"/>
        <v>0.1168149179435535</v>
      </c>
      <c r="J8" s="1182">
        <f t="shared" si="0"/>
        <v>0.11941428653382929</v>
      </c>
      <c r="K8" s="1182">
        <f t="shared" si="0"/>
        <v>0.12307594555280578</v>
      </c>
      <c r="L8" s="1182">
        <f t="shared" si="0"/>
        <v>0.12144308222212623</v>
      </c>
      <c r="M8" s="1182">
        <f t="shared" si="0"/>
        <v>0.1202115219306949</v>
      </c>
      <c r="N8" s="1182">
        <f t="shared" si="0"/>
        <v>0.11938629110948948</v>
      </c>
      <c r="O8" s="1182">
        <f t="shared" si="0"/>
        <v>0.11945725734158021</v>
      </c>
      <c r="P8" s="1182">
        <f t="shared" si="0"/>
        <v>0.11981777091000823</v>
      </c>
      <c r="Q8" s="1182">
        <f t="shared" si="0"/>
        <v>0.11986294944976834</v>
      </c>
    </row>
    <row r="9" spans="1:17">
      <c r="C9" s="1135"/>
      <c r="D9" s="1178" t="s">
        <v>1084</v>
      </c>
      <c r="F9" s="941">
        <f>F7*F10</f>
        <v>43147.618217461888</v>
      </c>
      <c r="G9" s="941">
        <f t="shared" ref="G9:Q9" si="1">G7*G10</f>
        <v>57618.03990465602</v>
      </c>
      <c r="H9" s="941">
        <f t="shared" si="1"/>
        <v>48532.288993272006</v>
      </c>
      <c r="I9" s="1466"/>
      <c r="J9" s="941">
        <f t="shared" si="1"/>
        <v>75750.238284929103</v>
      </c>
      <c r="K9" s="941">
        <f t="shared" si="1"/>
        <v>54841.695004653891</v>
      </c>
      <c r="L9" s="941">
        <f t="shared" si="1"/>
        <v>98396.102358359145</v>
      </c>
      <c r="M9" s="941">
        <f t="shared" si="1"/>
        <v>124412.69192624619</v>
      </c>
      <c r="N9" s="941">
        <f t="shared" si="1"/>
        <v>152771.1724363098</v>
      </c>
      <c r="O9" s="941">
        <f t="shared" si="1"/>
        <v>178585.57222652086</v>
      </c>
      <c r="P9" s="941">
        <f t="shared" si="1"/>
        <v>204815.03211206751</v>
      </c>
      <c r="Q9" s="941">
        <f t="shared" si="1"/>
        <v>230326.90363393573</v>
      </c>
    </row>
    <row r="10" spans="1:17">
      <c r="C10" s="1135"/>
      <c r="E10" s="1178" t="s">
        <v>1081</v>
      </c>
      <c r="F10" s="1183">
        <f>各区域分剂型成本优化!E6/10000</f>
        <v>0.10277502359576092</v>
      </c>
      <c r="G10" s="1183">
        <f>各区域分剂型成本优化!F6/10000</f>
        <v>0.134904</v>
      </c>
      <c r="H10" s="1183">
        <f>各区域分剂型成本优化!G6/10000</f>
        <v>0.12739800000000001</v>
      </c>
      <c r="I10" s="1469"/>
      <c r="J10" s="1183">
        <f>各区域分剂型成本优化!H6/10000</f>
        <v>8.0886E-2</v>
      </c>
      <c r="K10" s="1183">
        <f>各区域分剂型成本优化!I6/10000</f>
        <v>8.3764999999999992E-2</v>
      </c>
      <c r="L10" s="1183">
        <f>各区域分剂型成本优化!J6/10000</f>
        <v>8.3763999999999991E-2</v>
      </c>
      <c r="M10" s="1183">
        <f>各区域分剂型成本优化!K6/10000</f>
        <v>8.3496339999999988E-2</v>
      </c>
      <c r="N10" s="1183">
        <f>各区域分剂型成本优化!L6/10000</f>
        <v>8.3229700492E-2</v>
      </c>
      <c r="O10" s="1183">
        <f>各区域分剂型成本优化!M6/10000</f>
        <v>8.2964077109452E-2</v>
      </c>
      <c r="P10" s="1183">
        <f>各区域分剂型成本优化!N6/10000</f>
        <v>8.2699465506738082E-2</v>
      </c>
      <c r="Q10" s="1183">
        <f>各区域分剂型成本优化!O6/10000</f>
        <v>8.24358613590606E-2</v>
      </c>
    </row>
    <row r="11" spans="1:17">
      <c r="C11" s="1135"/>
      <c r="D11" s="1178" t="s">
        <v>1082</v>
      </c>
      <c r="F11" s="941">
        <f>F6-F9</f>
        <v>6533.0285525381114</v>
      </c>
      <c r="G11" s="941">
        <f t="shared" ref="G11:Q11" si="2">G6-G9</f>
        <v>23606.763571014992</v>
      </c>
      <c r="H11" s="941">
        <f t="shared" si="2"/>
        <v>21184.446734783989</v>
      </c>
      <c r="I11" s="1466"/>
      <c r="J11" s="941">
        <f t="shared" si="2"/>
        <v>36081.978162445856</v>
      </c>
      <c r="K11" s="941">
        <f t="shared" si="2"/>
        <v>25737.227796233878</v>
      </c>
      <c r="L11" s="941">
        <f t="shared" si="2"/>
        <v>44260.957345606264</v>
      </c>
      <c r="M11" s="941">
        <f t="shared" si="2"/>
        <v>54707.00414604554</v>
      </c>
      <c r="N11" s="941">
        <f t="shared" si="2"/>
        <v>66366.750177894515</v>
      </c>
      <c r="O11" s="941">
        <f t="shared" si="2"/>
        <v>78553.944082597212</v>
      </c>
      <c r="P11" s="941">
        <f t="shared" si="2"/>
        <v>91927.884497595544</v>
      </c>
      <c r="Q11" s="941">
        <f t="shared" si="2"/>
        <v>104571.78671815724</v>
      </c>
    </row>
    <row r="12" spans="1:17">
      <c r="C12" s="1135"/>
      <c r="D12" s="1178" t="s">
        <v>652</v>
      </c>
      <c r="F12" s="1184">
        <f>F11/F6</f>
        <v>0.13150047306717283</v>
      </c>
      <c r="G12" s="1184">
        <f t="shared" ref="G12:Q12" si="3">G11/G6</f>
        <v>0.29063491151549348</v>
      </c>
      <c r="H12" s="1184">
        <f t="shared" si="3"/>
        <v>0.3038645816324238</v>
      </c>
      <c r="I12" s="1468"/>
      <c r="J12" s="1184">
        <f t="shared" si="3"/>
        <v>0.3226438615693985</v>
      </c>
      <c r="K12" s="1184">
        <f t="shared" si="3"/>
        <v>0.31940396944534882</v>
      </c>
      <c r="L12" s="1184">
        <f t="shared" si="3"/>
        <v>0.31026124776056879</v>
      </c>
      <c r="M12" s="1184">
        <f t="shared" si="3"/>
        <v>0.30542148823190329</v>
      </c>
      <c r="N12" s="1184">
        <f t="shared" si="3"/>
        <v>0.30285378900271043</v>
      </c>
      <c r="O12" s="1184">
        <f t="shared" si="3"/>
        <v>0.30549152930724294</v>
      </c>
      <c r="P12" s="1184">
        <f t="shared" si="3"/>
        <v>0.30978965074511916</v>
      </c>
      <c r="Q12" s="1184">
        <f t="shared" si="3"/>
        <v>0.31224901658533377</v>
      </c>
    </row>
    <row r="13" spans="1:17">
      <c r="C13" s="1135"/>
      <c r="F13" s="948"/>
    </row>
    <row r="14" spans="1:17">
      <c r="C14" s="1135" t="s">
        <v>842</v>
      </c>
    </row>
    <row r="15" spans="1:17">
      <c r="C15" s="1135"/>
      <c r="D15" s="1178" t="s">
        <v>1079</v>
      </c>
      <c r="F15" s="948">
        <f>中国!H44+中国!H938</f>
        <v>71178.659309999988</v>
      </c>
      <c r="G15" s="948">
        <f>中国!I44+中国!I938</f>
        <v>210892.48695000002</v>
      </c>
      <c r="H15" s="948">
        <f>中国!J44+中国!J938</f>
        <v>248531.66746</v>
      </c>
      <c r="I15" s="948">
        <f>中国!K44+中国!K938</f>
        <v>318048.5</v>
      </c>
      <c r="J15" s="948">
        <f>中国!L44+中国!L938</f>
        <v>367659.45847260341</v>
      </c>
      <c r="K15" s="948">
        <f>中国!M44+中国!M938</f>
        <v>196488.01048759554</v>
      </c>
      <c r="L15" s="948">
        <f>中国!N44+中国!N938</f>
        <v>382493.87379144633</v>
      </c>
      <c r="M15" s="948">
        <f>中国!O44+中国!O938</f>
        <v>458392.59586017992</v>
      </c>
      <c r="N15" s="948">
        <f>中国!P44+中国!P938</f>
        <v>532325.86534448399</v>
      </c>
      <c r="O15" s="948">
        <f>中国!Q44+中国!Q938</f>
        <v>618595.56810293254</v>
      </c>
      <c r="P15" s="948">
        <f>中国!R44+中国!R938</f>
        <v>709082.0142840069</v>
      </c>
      <c r="Q15" s="948">
        <f>中国!S44+中国!S938</f>
        <v>799280.56302533869</v>
      </c>
    </row>
    <row r="16" spans="1:17">
      <c r="C16" s="1135"/>
      <c r="E16" s="1178" t="s">
        <v>1078</v>
      </c>
      <c r="F16" s="948">
        <f>中国!H32+中国!H914</f>
        <v>426989.19500000001</v>
      </c>
      <c r="G16" s="948">
        <f>中国!I32+中国!I914</f>
        <v>895470.79399949999</v>
      </c>
      <c r="H16" s="948">
        <f>中国!J32+中国!J914</f>
        <v>1102676.929</v>
      </c>
      <c r="I16" s="948">
        <f>中国!K32+中国!K914</f>
        <v>1615178</v>
      </c>
      <c r="J16" s="948">
        <f>中国!L32+中国!L914</f>
        <v>1882614.3600749611</v>
      </c>
      <c r="K16" s="948">
        <f>中国!M32+中国!M914</f>
        <v>1097255.1493111728</v>
      </c>
      <c r="L16" s="948">
        <f>中国!N32+中国!N914</f>
        <v>2069306.7700100651</v>
      </c>
      <c r="M16" s="948">
        <f>中国!O32+中国!O914</f>
        <v>2312876.6025119238</v>
      </c>
      <c r="N16" s="948">
        <f>中国!P32+中国!P914</f>
        <v>2504076.8778453753</v>
      </c>
      <c r="O16" s="948">
        <f>中国!Q32+中国!Q914</f>
        <v>2747627.241280349</v>
      </c>
      <c r="P16" s="948">
        <f>中国!R32+中国!R914</f>
        <v>3018864.0837723073</v>
      </c>
      <c r="Q16" s="948">
        <f>中国!S32+中国!S914</f>
        <v>3291061.9213131401</v>
      </c>
    </row>
    <row r="17" spans="3:17">
      <c r="C17" s="1135"/>
      <c r="E17" s="1178" t="s">
        <v>1080</v>
      </c>
      <c r="F17" s="1182">
        <f>F15/F16</f>
        <v>0.16669897070814635</v>
      </c>
      <c r="G17" s="1182">
        <f t="shared" ref="G17" si="4">G15/G16</f>
        <v>0.23551017896192578</v>
      </c>
      <c r="H17" s="1182">
        <f t="shared" ref="H17" si="5">H15/H16</f>
        <v>0.22538937827001548</v>
      </c>
      <c r="I17" s="1182">
        <f t="shared" ref="I17" si="6">I15/I16</f>
        <v>0.19691235269425414</v>
      </c>
      <c r="J17" s="1182">
        <f t="shared" ref="J17" si="7">J15/J16</f>
        <v>0.19529196540175339</v>
      </c>
      <c r="K17" s="1182">
        <f t="shared" ref="K17" si="8">K15/K16</f>
        <v>0.17907230657422335</v>
      </c>
      <c r="L17" s="1182">
        <f t="shared" ref="L17" si="9">L15/L16</f>
        <v>0.18484155144845241</v>
      </c>
      <c r="M17" s="1182">
        <f t="shared" ref="M17" si="10">M15/M16</f>
        <v>0.19819154872436248</v>
      </c>
      <c r="N17" s="1182">
        <f t="shared" ref="N17" si="11">N15/N16</f>
        <v>0.21258367506772477</v>
      </c>
      <c r="O17" s="1182">
        <f t="shared" ref="O17" si="12">O15/O16</f>
        <v>0.22513809690381334</v>
      </c>
      <c r="P17" s="1182">
        <f t="shared" ref="P17" si="13">P15/P16</f>
        <v>0.23488371606248445</v>
      </c>
      <c r="Q17" s="1182">
        <f t="shared" ref="Q17" si="14">Q15/Q16</f>
        <v>0.24286403055777941</v>
      </c>
    </row>
    <row r="18" spans="3:17">
      <c r="C18" s="1135"/>
      <c r="D18" s="1178" t="s">
        <v>1084</v>
      </c>
      <c r="F18" s="941">
        <f>F16*F19</f>
        <v>53377.492277754995</v>
      </c>
      <c r="G18" s="941">
        <f t="shared" ref="G18" si="15">G16*G19</f>
        <v>143331.74169994198</v>
      </c>
      <c r="H18" s="941">
        <f t="shared" ref="H18" si="16">H16*H19</f>
        <v>157930.90315602499</v>
      </c>
      <c r="I18" s="1466"/>
      <c r="J18" s="941">
        <f t="shared" ref="J18" si="17">J16*J19</f>
        <v>229865.33075079267</v>
      </c>
      <c r="K18" s="941">
        <f t="shared" ref="K18" si="18">K16*K19</f>
        <v>135167.57007819542</v>
      </c>
      <c r="L18" s="941">
        <f t="shared" ref="L18" si="19">L16*L19</f>
        <v>254913.76238399989</v>
      </c>
      <c r="M18" s="941">
        <f t="shared" ref="M18" si="20">M16*M19</f>
        <v>284025.88410605228</v>
      </c>
      <c r="N18" s="941">
        <f t="shared" ref="N18" si="21">N16*N19</f>
        <v>306543.50818334054</v>
      </c>
      <c r="O18" s="941">
        <f t="shared" ref="O18" si="22">O16*O19</f>
        <v>335307.47942497919</v>
      </c>
      <c r="P18" s="941">
        <f t="shared" ref="P18" si="23">P16*P19</f>
        <v>367258.54134998569</v>
      </c>
      <c r="Q18" s="941">
        <f t="shared" ref="Q18" si="24">Q16*Q19</f>
        <v>399125.31114994118</v>
      </c>
    </row>
    <row r="19" spans="3:17">
      <c r="C19" s="1135"/>
      <c r="E19" s="1178" t="s">
        <v>1081</v>
      </c>
      <c r="F19" s="1183">
        <f>各区域分剂型成本优化!E11/10000</f>
        <v>0.12500899999999998</v>
      </c>
      <c r="G19" s="1183">
        <f>各区域分剂型成本优化!F11/10000</f>
        <v>0.16006300000000001</v>
      </c>
      <c r="H19" s="1183">
        <f>各区域分剂型成本优化!G11/10000</f>
        <v>0.14322499999999999</v>
      </c>
      <c r="I19" s="1469"/>
      <c r="J19" s="1183">
        <f>各区域分剂型成本优化!H11/10000</f>
        <v>0.122099</v>
      </c>
      <c r="K19" s="1183">
        <f>各区域分剂型成本优化!I11/10000</f>
        <v>0.12318699999999999</v>
      </c>
      <c r="L19" s="1183">
        <f>各区域分剂型成本优化!J11/10000</f>
        <v>0.12318799999999999</v>
      </c>
      <c r="M19" s="1183">
        <f>各区域分剂型成本优化!K11/10000</f>
        <v>0.12280200499999999</v>
      </c>
      <c r="N19" s="1183">
        <f>各区域分剂型成本优化!L11/10000</f>
        <v>0.122417770355</v>
      </c>
      <c r="O19" s="1183">
        <f>各区域分剂型成本优化!M11/10000</f>
        <v>0.122035287169715</v>
      </c>
      <c r="P19" s="1183">
        <f>各区域分剂型成本优化!N11/10000</f>
        <v>0.12165454659723116</v>
      </c>
      <c r="Q19" s="1183">
        <f>各区域分剂型成本优化!O11/10000</f>
        <v>0.12127553983873066</v>
      </c>
    </row>
    <row r="20" spans="3:17">
      <c r="C20" s="1135"/>
      <c r="D20" s="1178" t="s">
        <v>1082</v>
      </c>
      <c r="F20" s="941">
        <f>F15-F18</f>
        <v>17801.167032244994</v>
      </c>
      <c r="G20" s="941">
        <f t="shared" ref="G20:H20" si="25">G15-G18</f>
        <v>67560.74525005804</v>
      </c>
      <c r="H20" s="941">
        <f t="shared" si="25"/>
        <v>90600.764303975011</v>
      </c>
      <c r="I20" s="1466"/>
      <c r="J20" s="941">
        <f t="shared" ref="J20:Q20" si="26">J15-J18</f>
        <v>137794.12772181074</v>
      </c>
      <c r="K20" s="941">
        <f t="shared" si="26"/>
        <v>61320.440409400122</v>
      </c>
      <c r="L20" s="941">
        <f t="shared" si="26"/>
        <v>127580.11140744644</v>
      </c>
      <c r="M20" s="941">
        <f t="shared" si="26"/>
        <v>174366.71175412764</v>
      </c>
      <c r="N20" s="941">
        <f t="shared" si="26"/>
        <v>225782.35716114345</v>
      </c>
      <c r="O20" s="941">
        <f t="shared" si="26"/>
        <v>283288.08867795335</v>
      </c>
      <c r="P20" s="941">
        <f t="shared" si="26"/>
        <v>341823.47293402121</v>
      </c>
      <c r="Q20" s="941">
        <f t="shared" si="26"/>
        <v>400155.25187539752</v>
      </c>
    </row>
    <row r="21" spans="3:17">
      <c r="C21" s="1135"/>
      <c r="D21" s="1178" t="s">
        <v>652</v>
      </c>
      <c r="F21" s="1184">
        <f>F20/F15</f>
        <v>0.25009135048072034</v>
      </c>
      <c r="G21" s="1184">
        <f t="shared" ref="G21" si="27">G20/G15</f>
        <v>0.32035633998699942</v>
      </c>
      <c r="H21" s="1184">
        <f t="shared" ref="H21" si="28">H20/H15</f>
        <v>0.36454414533937324</v>
      </c>
      <c r="I21" s="1468"/>
      <c r="J21" s="1184">
        <f t="shared" ref="J21" si="29">J20/J15</f>
        <v>0.37478738693208036</v>
      </c>
      <c r="K21" s="1184">
        <f t="shared" ref="K21" si="30">K20/K15</f>
        <v>0.31208235177927729</v>
      </c>
      <c r="L21" s="1184">
        <f t="shared" ref="L21" si="31">L20/L15</f>
        <v>0.33354811710529286</v>
      </c>
      <c r="M21" s="1184">
        <f t="shared" ref="M21" si="32">M20/M15</f>
        <v>0.3803872779116908</v>
      </c>
      <c r="N21" s="1184">
        <f t="shared" ref="N21" si="33">N20/N15</f>
        <v>0.42414312709571783</v>
      </c>
      <c r="O21" s="1184">
        <f t="shared" ref="O21" si="34">O20/O15</f>
        <v>0.45795363446705944</v>
      </c>
      <c r="P21" s="1184">
        <f t="shared" ref="P21" si="35">P20/P15</f>
        <v>0.48206479088201987</v>
      </c>
      <c r="Q21" s="1184">
        <f t="shared" ref="Q21" si="36">Q20/Q15</f>
        <v>0.50064429236309582</v>
      </c>
    </row>
    <row r="22" spans="3:17">
      <c r="C22" s="1135"/>
    </row>
    <row r="23" spans="3:17">
      <c r="C23" s="1135" t="s">
        <v>843</v>
      </c>
    </row>
    <row r="24" spans="3:17">
      <c r="C24" s="1135"/>
      <c r="D24" s="1178" t="s">
        <v>1079</v>
      </c>
      <c r="F24" s="948">
        <f>中国!H45+中国!H939</f>
        <v>239289.20410999999</v>
      </c>
      <c r="G24" s="948">
        <f>中国!I45+中国!I939</f>
        <v>261008.26860999997</v>
      </c>
      <c r="H24" s="948">
        <f>中国!J45+中国!J939</f>
        <v>433574.39451816498</v>
      </c>
      <c r="I24" s="948">
        <f>中国!K45+中国!K939</f>
        <v>454230</v>
      </c>
      <c r="J24" s="948">
        <f>中国!L45+中国!L939</f>
        <v>538736.90744292527</v>
      </c>
      <c r="K24" s="948">
        <f>中国!M45+中国!M939</f>
        <v>351786.08967432042</v>
      </c>
      <c r="L24" s="948">
        <f>中国!N45+中国!N939</f>
        <v>632839.41442907637</v>
      </c>
      <c r="M24" s="948">
        <f>中国!O45+中国!O939</f>
        <v>811801.31312048691</v>
      </c>
      <c r="N24" s="948">
        <f>中国!P45+中国!P939</f>
        <v>985170.56457178993</v>
      </c>
      <c r="O24" s="948">
        <f>中国!Q45+中国!Q939</f>
        <v>1158605.8062468737</v>
      </c>
      <c r="P24" s="948">
        <f>中国!R45+中国!R939</f>
        <v>1347514.7027655318</v>
      </c>
      <c r="Q24" s="948">
        <f>中国!S45+中国!S939</f>
        <v>1525756.4570445283</v>
      </c>
    </row>
    <row r="25" spans="3:17">
      <c r="C25" s="1135"/>
      <c r="E25" s="1178" t="s">
        <v>1078</v>
      </c>
      <c r="F25" s="948">
        <f>中国!H33+中国!H915</f>
        <v>2522161.3430000017</v>
      </c>
      <c r="G25" s="948">
        <f>中国!I33+中国!I915</f>
        <v>2108461.2419999996</v>
      </c>
      <c r="H25" s="948">
        <f>中国!J33+中国!J915</f>
        <v>3029936.0510000009</v>
      </c>
      <c r="I25" s="948">
        <f>中国!K33+中国!K915</f>
        <v>3105815</v>
      </c>
      <c r="J25" s="948">
        <f>中国!L33+中国!L915</f>
        <v>3740743.4674657146</v>
      </c>
      <c r="K25" s="948">
        <f>中国!M33+中国!M915</f>
        <v>2626393.5469679213</v>
      </c>
      <c r="L25" s="948">
        <f>中国!N33+中国!N915</f>
        <v>4317148.7980185701</v>
      </c>
      <c r="M25" s="948">
        <f>中国!O33+中国!O915</f>
        <v>5283286.1971496921</v>
      </c>
      <c r="N25" s="948">
        <f>中国!P33+中国!P915</f>
        <v>6275784.0248194998</v>
      </c>
      <c r="O25" s="948">
        <f>中国!Q33+中国!Q915</f>
        <v>7255947.8353014803</v>
      </c>
      <c r="P25" s="948">
        <f>中国!R33+中国!R915</f>
        <v>8276642.5128401285</v>
      </c>
      <c r="Q25" s="948">
        <f>中国!S33+中国!S915</f>
        <v>9243902.9655090086</v>
      </c>
    </row>
    <row r="26" spans="3:17">
      <c r="C26" s="1135"/>
      <c r="E26" s="1178" t="s">
        <v>1080</v>
      </c>
      <c r="F26" s="1182">
        <f>F24/F25</f>
        <v>9.487466167623354E-2</v>
      </c>
      <c r="G26" s="1182">
        <f t="shared" ref="G26" si="37">G24/G25</f>
        <v>0.12379087811091005</v>
      </c>
      <c r="H26" s="1182">
        <f t="shared" ref="H26" si="38">H24/H25</f>
        <v>0.14309687967674037</v>
      </c>
      <c r="I26" s="1182">
        <f t="shared" ref="I26" si="39">I24/I25</f>
        <v>0.14625146700624475</v>
      </c>
      <c r="J26" s="1182">
        <f t="shared" ref="J26" si="40">J24/J25</f>
        <v>0.14401867225819409</v>
      </c>
      <c r="K26" s="1182">
        <f t="shared" ref="K26" si="41">K24/K25</f>
        <v>0.1339426416427367</v>
      </c>
      <c r="L26" s="1182">
        <f t="shared" ref="L26" si="42">L24/L25</f>
        <v>0.14658735291207217</v>
      </c>
      <c r="M26" s="1182">
        <f t="shared" ref="M26" si="43">M24/M25</f>
        <v>0.15365461624215054</v>
      </c>
      <c r="N26" s="1182">
        <f t="shared" ref="N26" si="44">N24/N25</f>
        <v>0.1569796794592728</v>
      </c>
      <c r="O26" s="1182">
        <f t="shared" ref="O26" si="45">O24/O25</f>
        <v>0.15967670007356582</v>
      </c>
      <c r="P26" s="1182">
        <f t="shared" ref="P26" si="46">P24/P25</f>
        <v>0.16280933973831044</v>
      </c>
      <c r="Q26" s="1182">
        <f t="shared" ref="Q26" si="47">Q24/Q25</f>
        <v>0.16505543845899875</v>
      </c>
    </row>
    <row r="27" spans="3:17">
      <c r="C27" s="1135"/>
      <c r="D27" s="1178" t="s">
        <v>1084</v>
      </c>
      <c r="F27" s="941">
        <f>F25*F28</f>
        <v>196922.79117741113</v>
      </c>
      <c r="G27" s="941">
        <f t="shared" ref="G27" si="48">G25*G28</f>
        <v>192401.30525498398</v>
      </c>
      <c r="H27" s="941">
        <f t="shared" ref="H27" si="49">H25*H28</f>
        <v>279541.90006526012</v>
      </c>
      <c r="I27" s="1466"/>
      <c r="J27" s="941">
        <f t="shared" ref="J27" si="50">J25*J28</f>
        <v>323768.82859609253</v>
      </c>
      <c r="K27" s="941">
        <f t="shared" ref="K27" si="51">K25*K28</f>
        <v>198248.06410577963</v>
      </c>
      <c r="L27" s="941">
        <f t="shared" ref="L27" si="52">L25*L28</f>
        <v>325871.34272083576</v>
      </c>
      <c r="M27" s="941">
        <f t="shared" ref="M27" si="53">M25*M28</f>
        <v>397360.1867998722</v>
      </c>
      <c r="N27" s="941">
        <f t="shared" ref="N27" si="54">N25*N28</f>
        <v>470305.32876302872</v>
      </c>
      <c r="O27" s="941">
        <f t="shared" ref="O27" si="55">O25*O28</f>
        <v>541799.24034496886</v>
      </c>
      <c r="P27" s="941">
        <f t="shared" ref="P27" si="56">P25*P28</f>
        <v>615788.25256419764</v>
      </c>
      <c r="Q27" s="941">
        <f t="shared" ref="Q27" si="57">Q25*Q28</f>
        <v>685277.02808773774</v>
      </c>
    </row>
    <row r="28" spans="3:17">
      <c r="C28" s="1135"/>
      <c r="E28" s="1178" t="s">
        <v>1081</v>
      </c>
      <c r="F28" s="1183">
        <f>各区域分剂型成本优化!E16/10000</f>
        <v>7.8076999999999994E-2</v>
      </c>
      <c r="G28" s="1183">
        <f>各区域分剂型成本优化!F16/10000</f>
        <v>9.1252E-2</v>
      </c>
      <c r="H28" s="1183">
        <f>各区域分剂型成本优化!G16/10000</f>
        <v>9.2260000000000009E-2</v>
      </c>
      <c r="I28" s="1466"/>
      <c r="J28" s="1183">
        <f>各区域分剂型成本优化!H16/10000</f>
        <v>8.6552000000000004E-2</v>
      </c>
      <c r="K28" s="1183">
        <f>各区域分剂型成本优化!I16/10000</f>
        <v>7.5483000000000008E-2</v>
      </c>
      <c r="L28" s="1183">
        <f>各区域分剂型成本优化!J16/10000</f>
        <v>7.5483000000000008E-2</v>
      </c>
      <c r="M28" s="1183">
        <f>各区域分剂型成本优化!K16/10000</f>
        <v>7.5210800999999994E-2</v>
      </c>
      <c r="N28" s="1183">
        <f>各区域分剂型成本优化!L16/10000</f>
        <v>7.4939693096999993E-2</v>
      </c>
      <c r="O28" s="1183">
        <f>各区域分剂型成本优化!M16/10000</f>
        <v>7.4669671370708998E-2</v>
      </c>
      <c r="P28" s="1183">
        <f>各区域分剂型成本优化!N16/10000</f>
        <v>7.4400730925478858E-2</v>
      </c>
      <c r="Q28" s="1183">
        <f>各区域分剂型成本优化!O16/10000</f>
        <v>7.4132866890171151E-2</v>
      </c>
    </row>
    <row r="29" spans="3:17">
      <c r="C29" s="1135"/>
      <c r="D29" s="1178" t="s">
        <v>1082</v>
      </c>
      <c r="F29" s="941">
        <f>F24-F27</f>
        <v>42366.412932588864</v>
      </c>
      <c r="G29" s="941">
        <f t="shared" ref="G29" si="58">G24-G27</f>
        <v>68606.963355015992</v>
      </c>
      <c r="H29" s="941">
        <f>H24-H27</f>
        <v>154032.49445290485</v>
      </c>
      <c r="I29" s="1466"/>
      <c r="J29" s="941">
        <f t="shared" ref="J29:Q29" si="59">J24-J27</f>
        <v>214968.07884683274</v>
      </c>
      <c r="K29" s="941">
        <f t="shared" si="59"/>
        <v>153538.02556854079</v>
      </c>
      <c r="L29" s="941">
        <f t="shared" si="59"/>
        <v>306968.0717082406</v>
      </c>
      <c r="M29" s="941">
        <f t="shared" si="59"/>
        <v>414441.12632061471</v>
      </c>
      <c r="N29" s="941">
        <f t="shared" si="59"/>
        <v>514865.23580876121</v>
      </c>
      <c r="O29" s="941">
        <f t="shared" si="59"/>
        <v>616806.56590190483</v>
      </c>
      <c r="P29" s="941">
        <f t="shared" si="59"/>
        <v>731726.4502013342</v>
      </c>
      <c r="Q29" s="941">
        <f t="shared" si="59"/>
        <v>840479.42895679059</v>
      </c>
    </row>
    <row r="30" spans="3:17">
      <c r="C30" s="1135"/>
      <c r="D30" s="1178" t="s">
        <v>652</v>
      </c>
      <c r="F30" s="1184">
        <f>F29/F24</f>
        <v>0.17705108381368198</v>
      </c>
      <c r="G30" s="1184">
        <f t="shared" ref="G30" si="60">G29/G24</f>
        <v>0.26285360123026946</v>
      </c>
      <c r="H30" s="1184">
        <f>H29/H24</f>
        <v>0.35526197210995936</v>
      </c>
      <c r="I30" s="1468"/>
      <c r="J30" s="1184">
        <f>J29/J24</f>
        <v>0.39902237228773274</v>
      </c>
      <c r="K30" s="1184">
        <f t="shared" ref="K30" si="61">K29/K24</f>
        <v>0.43645280491529542</v>
      </c>
      <c r="L30" s="1184">
        <f t="shared" ref="L30" si="62">L29/L24</f>
        <v>0.48506471738201629</v>
      </c>
      <c r="M30" s="1184">
        <f t="shared" ref="M30" si="63">M29/M24</f>
        <v>0.51052039411902705</v>
      </c>
      <c r="N30" s="1184">
        <f t="shared" ref="N30" si="64">N29/N24</f>
        <v>0.52261532604006533</v>
      </c>
      <c r="O30" s="1184">
        <f t="shared" ref="O30" si="65">O29/O24</f>
        <v>0.53236964856921909</v>
      </c>
      <c r="P30" s="1184">
        <f t="shared" ref="P30" si="66">P29/P24</f>
        <v>0.54301926999356454</v>
      </c>
      <c r="Q30" s="1184">
        <f t="shared" ref="Q30" si="67">Q29/Q24</f>
        <v>0.55086080421042039</v>
      </c>
    </row>
    <row r="31" spans="3:17">
      <c r="C31" s="1135"/>
    </row>
    <row r="32" spans="3:17">
      <c r="C32" s="1135" t="s">
        <v>844</v>
      </c>
    </row>
    <row r="33" spans="3:17">
      <c r="C33" s="1135"/>
      <c r="D33" s="1178" t="s">
        <v>1079</v>
      </c>
      <c r="F33" s="948">
        <f>中国!H46+中国!H940</f>
        <v>894873.01468000014</v>
      </c>
      <c r="G33" s="948">
        <f>中国!I46+中国!I940</f>
        <v>802156.84488999995</v>
      </c>
      <c r="H33" s="948">
        <f>中国!J46+中国!J940</f>
        <v>814751.5573363374</v>
      </c>
      <c r="I33" s="948">
        <f>中国!K46+中国!K940</f>
        <v>916768.5</v>
      </c>
      <c r="J33" s="948">
        <f>中国!L46+中国!L940</f>
        <v>1127414.5175791276</v>
      </c>
      <c r="K33" s="948">
        <f>中国!M46+中国!M940</f>
        <v>540631.92033400817</v>
      </c>
      <c r="L33" s="948">
        <f>中国!N46+中国!N940</f>
        <v>926231.74357971014</v>
      </c>
      <c r="M33" s="948">
        <f>中国!O46+中国!O940</f>
        <v>915231.52212802321</v>
      </c>
      <c r="N33" s="948">
        <f>中国!P46+中国!P940</f>
        <v>959431.34594840684</v>
      </c>
      <c r="O33" s="948">
        <f>中国!Q46+中国!Q940</f>
        <v>1029221.065907401</v>
      </c>
      <c r="P33" s="948">
        <f>中国!R46+中国!R940</f>
        <v>1114306.3459870832</v>
      </c>
      <c r="Q33" s="948">
        <f>中国!S46+中国!S940</f>
        <v>1217018.9379454833</v>
      </c>
    </row>
    <row r="34" spans="3:17">
      <c r="C34" s="1135"/>
      <c r="E34" s="1178" t="s">
        <v>1078</v>
      </c>
      <c r="F34" s="948">
        <f>中国!H34+中国!H916</f>
        <v>12532983.676999699</v>
      </c>
      <c r="G34" s="948">
        <f>中国!I34+中国!I916</f>
        <v>9698576.535999991</v>
      </c>
      <c r="H34" s="948">
        <f>中国!J34+中国!J916</f>
        <v>10550812.7549944</v>
      </c>
      <c r="I34" s="948">
        <f>中国!K34+中国!K916</f>
        <v>12464935</v>
      </c>
      <c r="J34" s="948">
        <f>中国!L34+中国!L916</f>
        <v>15466286.386146914</v>
      </c>
      <c r="K34" s="948">
        <f>中国!M34+中国!M916</f>
        <v>8574589.4854058716</v>
      </c>
      <c r="L34" s="948">
        <f>中国!N34+中国!N916</f>
        <v>14100055.587473925</v>
      </c>
      <c r="M34" s="948">
        <f>中国!O34+中国!O916</f>
        <v>13436567.268638831</v>
      </c>
      <c r="N34" s="948">
        <f>中国!P34+中国!P916</f>
        <v>13786523.784313256</v>
      </c>
      <c r="O34" s="948">
        <f>中国!Q34+中国!Q916</f>
        <v>14522726.033745315</v>
      </c>
      <c r="P34" s="948">
        <f>中国!R34+中国!R916</f>
        <v>15415704.74311425</v>
      </c>
      <c r="Q34" s="948">
        <f>中国!S34+中国!S916</f>
        <v>16469960.892699491</v>
      </c>
    </row>
    <row r="35" spans="3:17">
      <c r="C35" s="1135"/>
      <c r="E35" s="1178" t="s">
        <v>1080</v>
      </c>
      <c r="F35" s="1182">
        <f>F33/F34</f>
        <v>7.1401434625838908E-2</v>
      </c>
      <c r="G35" s="1182">
        <f t="shared" ref="G35:Q35" si="68">G33/G34</f>
        <v>8.2708719358195168E-2</v>
      </c>
      <c r="H35" s="1182">
        <f t="shared" si="68"/>
        <v>7.7221686732205669E-2</v>
      </c>
      <c r="I35" s="1182">
        <f t="shared" si="68"/>
        <v>7.3547796278119387E-2</v>
      </c>
      <c r="J35" s="1182">
        <f t="shared" si="68"/>
        <v>7.2894972292052468E-2</v>
      </c>
      <c r="K35" s="1182">
        <f t="shared" si="68"/>
        <v>6.3050472708247415E-2</v>
      </c>
      <c r="L35" s="1182">
        <f t="shared" si="68"/>
        <v>6.5689935605824645E-2</v>
      </c>
      <c r="M35" s="1182">
        <f t="shared" si="68"/>
        <v>6.8114980845158921E-2</v>
      </c>
      <c r="N35" s="1182">
        <f t="shared" si="68"/>
        <v>6.9591969734972517E-2</v>
      </c>
      <c r="O35" s="1182">
        <f t="shared" si="68"/>
        <v>7.0869688205635842E-2</v>
      </c>
      <c r="P35" s="1182">
        <f t="shared" si="68"/>
        <v>7.2283840703735044E-2</v>
      </c>
      <c r="Q35" s="1182">
        <f t="shared" si="68"/>
        <v>7.3893250012812203E-2</v>
      </c>
    </row>
    <row r="36" spans="3:17">
      <c r="C36" s="1135"/>
      <c r="D36" s="1178" t="s">
        <v>1084</v>
      </c>
      <c r="F36" s="941">
        <f>F34*F37</f>
        <v>572744.82105520926</v>
      </c>
      <c r="G36" s="941">
        <f t="shared" ref="G36" si="69">G34*G37</f>
        <v>505101.86599487945</v>
      </c>
      <c r="H36" s="941">
        <f t="shared" ref="H36" si="70">H34*H37</f>
        <v>493683.07961894298</v>
      </c>
      <c r="I36" s="1466"/>
      <c r="J36" s="941">
        <f t="shared" ref="J36" si="71">J34*J37</f>
        <v>692069.91692091594</v>
      </c>
      <c r="K36" s="941">
        <f t="shared" ref="K36" si="72">K34*K37</f>
        <v>374795.30640709063</v>
      </c>
      <c r="L36" s="941">
        <f t="shared" ref="L36" si="73">L34*L37</f>
        <v>616313.42972848529</v>
      </c>
      <c r="M36" s="941">
        <f t="shared" ref="M36" si="74">M34*M37</f>
        <v>585397.72509582574</v>
      </c>
      <c r="N36" s="941">
        <f t="shared" ref="N36" si="75">N34*N37</f>
        <v>598688.38100178191</v>
      </c>
      <c r="O36" s="941">
        <f t="shared" ref="O36" si="76">O34*O37</f>
        <v>628606.7179983547</v>
      </c>
      <c r="P36" s="941">
        <f t="shared" ref="P36" si="77">P34*P37</f>
        <v>665090.1836310837</v>
      </c>
      <c r="Q36" s="941">
        <f t="shared" ref="Q36" si="78">Q34*Q37</f>
        <v>708267.74756495527</v>
      </c>
    </row>
    <row r="37" spans="3:17">
      <c r="C37" s="1135"/>
      <c r="E37" s="1178" t="s">
        <v>1081</v>
      </c>
      <c r="F37" s="1183">
        <f>各区域分剂型成本优化!E21/10000</f>
        <v>4.5699000000000004E-2</v>
      </c>
      <c r="G37" s="1183">
        <f>各区域分剂型成本优化!F21/10000</f>
        <v>5.2079999999999994E-2</v>
      </c>
      <c r="H37" s="1183">
        <f>各区域分剂型成本优化!G21/10000</f>
        <v>4.6790999999999999E-2</v>
      </c>
      <c r="I37" s="1466"/>
      <c r="J37" s="1183">
        <f>各区域分剂型成本优化!H21/10000</f>
        <v>4.4747000000000002E-2</v>
      </c>
      <c r="K37" s="1183">
        <f>各区域分剂型成本优化!I21/10000</f>
        <v>4.3709999999999999E-2</v>
      </c>
      <c r="L37" s="1183">
        <f>各区域分剂型成本优化!J21/10000</f>
        <v>4.3709999999999999E-2</v>
      </c>
      <c r="M37" s="1183">
        <f>各区域分剂型成本优化!K21/10000</f>
        <v>4.3567505999999992E-2</v>
      </c>
      <c r="N37" s="1183">
        <f>各区域分剂型成本优化!L21/10000</f>
        <v>4.3425622757999993E-2</v>
      </c>
      <c r="O37" s="1183">
        <f>各区域分剂型成本优化!M21/10000</f>
        <v>4.3284347342069991E-2</v>
      </c>
      <c r="P37" s="1183">
        <f>各区域分剂型成本优化!N21/10000</f>
        <v>4.3143676835673717E-2</v>
      </c>
      <c r="Q37" s="1183">
        <f>各区域分剂型成本优化!O21/10000</f>
        <v>4.3003608337582849E-2</v>
      </c>
    </row>
    <row r="38" spans="3:17">
      <c r="C38" s="1135"/>
      <c r="D38" s="1178" t="s">
        <v>1082</v>
      </c>
      <c r="F38" s="941">
        <f>F33-F36</f>
        <v>322128.19362479087</v>
      </c>
      <c r="G38" s="941">
        <f t="shared" ref="G38" si="79">G33-G36</f>
        <v>297054.9788951205</v>
      </c>
      <c r="H38" s="941">
        <f>H33-H36</f>
        <v>321068.47771739442</v>
      </c>
      <c r="I38" s="1466"/>
      <c r="J38" s="941">
        <f t="shared" ref="J38:Q38" si="80">J33-J36</f>
        <v>435344.60065821162</v>
      </c>
      <c r="K38" s="941">
        <f t="shared" si="80"/>
        <v>165836.61392691755</v>
      </c>
      <c r="L38" s="941">
        <f t="shared" si="80"/>
        <v>309918.31385122484</v>
      </c>
      <c r="M38" s="941">
        <f t="shared" si="80"/>
        <v>329833.79703219747</v>
      </c>
      <c r="N38" s="941">
        <f t="shared" si="80"/>
        <v>360742.96494662494</v>
      </c>
      <c r="O38" s="941">
        <f t="shared" si="80"/>
        <v>400614.34790904634</v>
      </c>
      <c r="P38" s="941">
        <f t="shared" si="80"/>
        <v>449216.16235599946</v>
      </c>
      <c r="Q38" s="941">
        <f t="shared" si="80"/>
        <v>508751.19038052799</v>
      </c>
    </row>
    <row r="39" spans="3:17">
      <c r="C39" s="1135"/>
      <c r="D39" s="1178" t="s">
        <v>652</v>
      </c>
      <c r="F39" s="1184">
        <f>F38/F33</f>
        <v>0.35997084317039274</v>
      </c>
      <c r="G39" s="1184">
        <f t="shared" ref="G39" si="81">G38/G33</f>
        <v>0.37032031925858061</v>
      </c>
      <c r="H39" s="1184">
        <f>H38/H33</f>
        <v>0.39406917952640896</v>
      </c>
      <c r="I39" s="1468"/>
      <c r="J39" s="1184">
        <f>J38/J33</f>
        <v>0.38614422102086954</v>
      </c>
      <c r="K39" s="1184">
        <f t="shared" ref="K39" si="82">K38/K33</f>
        <v>0.30674587957082133</v>
      </c>
      <c r="L39" s="1184">
        <f t="shared" ref="L39" si="83">L38/L33</f>
        <v>0.3346012658273288</v>
      </c>
      <c r="M39" s="1184">
        <f t="shared" ref="M39" si="84">M38/M33</f>
        <v>0.36038290755687075</v>
      </c>
      <c r="N39" s="1184">
        <f t="shared" ref="N39" si="85">N38/N33</f>
        <v>0.37599664266756588</v>
      </c>
      <c r="O39" s="1184">
        <f t="shared" ref="O39" si="86">O38/O33</f>
        <v>0.38924033055604945</v>
      </c>
      <c r="P39" s="1184">
        <f t="shared" ref="P39" si="87">P38/P33</f>
        <v>0.40313524550384883</v>
      </c>
      <c r="Q39" s="1184">
        <f t="shared" ref="Q39" si="88">Q38/Q33</f>
        <v>0.41803062755899173</v>
      </c>
    </row>
    <row r="40" spans="3:17">
      <c r="C40" s="1135"/>
    </row>
    <row r="41" spans="3:17">
      <c r="C41" s="1135" t="s">
        <v>870</v>
      </c>
    </row>
    <row r="42" spans="3:17">
      <c r="C42" s="1135"/>
      <c r="D42" s="1178" t="s">
        <v>1079</v>
      </c>
      <c r="F42" s="948">
        <f>中国!H961</f>
        <v>56372</v>
      </c>
      <c r="G42" s="948">
        <f>中国!I961</f>
        <v>109189</v>
      </c>
      <c r="H42" s="948">
        <f>中国!J961</f>
        <v>124822</v>
      </c>
      <c r="I42" s="948">
        <f>中国!K961</f>
        <v>150530</v>
      </c>
      <c r="J42" s="948">
        <f>中国!L961</f>
        <v>196300</v>
      </c>
      <c r="K42" s="948">
        <f>中国!M961</f>
        <v>201362</v>
      </c>
      <c r="L42" s="948">
        <f>中国!N961</f>
        <v>345192</v>
      </c>
      <c r="M42" s="948">
        <f>中国!O961</f>
        <v>396970.8</v>
      </c>
      <c r="N42" s="948">
        <f>中国!P961</f>
        <v>456516.41999999993</v>
      </c>
      <c r="O42" s="948">
        <f>中国!Q961</f>
        <v>524993.88299999991</v>
      </c>
      <c r="P42" s="948">
        <f>中国!R961</f>
        <v>603742.9654499999</v>
      </c>
      <c r="Q42" s="948">
        <f>中国!S961</f>
        <v>694304.41026749974</v>
      </c>
    </row>
    <row r="43" spans="3:17">
      <c r="C43" s="1135"/>
      <c r="E43" s="1178" t="s">
        <v>1071</v>
      </c>
      <c r="F43" s="948">
        <f>中国!H951</f>
        <v>598</v>
      </c>
      <c r="G43" s="948">
        <f>中国!I951</f>
        <v>1080</v>
      </c>
      <c r="H43" s="948">
        <f>中国!J951</f>
        <v>1343</v>
      </c>
      <c r="I43" s="948">
        <f>中国!K951</f>
        <v>1637</v>
      </c>
      <c r="J43" s="948">
        <f>中国!L951</f>
        <v>2134.7445691888661</v>
      </c>
      <c r="K43" s="948">
        <f>中国!M951</f>
        <v>2189.7933568059525</v>
      </c>
      <c r="L43" s="948">
        <f>中国!N951</f>
        <v>3753.931468810204</v>
      </c>
      <c r="M43" s="948">
        <f>中国!O951</f>
        <v>4317.0211891317349</v>
      </c>
      <c r="N43" s="948">
        <f>中国!P951</f>
        <v>4964.5743675014946</v>
      </c>
      <c r="O43" s="948">
        <f>中国!Q951</f>
        <v>5709.2605226267187</v>
      </c>
      <c r="P43" s="948">
        <f>中国!R951</f>
        <v>6565.6496010207265</v>
      </c>
      <c r="Q43" s="948">
        <f>中国!S951</f>
        <v>7550.4970411738341</v>
      </c>
    </row>
    <row r="44" spans="3:17">
      <c r="C44" s="1135"/>
      <c r="E44" s="1178" t="s">
        <v>1083</v>
      </c>
      <c r="F44" s="1202">
        <f>F42*1000/F43</f>
        <v>94267.558528428097</v>
      </c>
      <c r="G44" s="1202">
        <f t="shared" ref="G44:Q44" si="89">G42*1000/G43</f>
        <v>101100.92592592593</v>
      </c>
      <c r="H44" s="1202">
        <f t="shared" si="89"/>
        <v>92942.665673864482</v>
      </c>
      <c r="I44" s="1202">
        <f t="shared" si="89"/>
        <v>91954.795357361028</v>
      </c>
      <c r="J44" s="1202">
        <f t="shared" si="89"/>
        <v>91954.795357361028</v>
      </c>
      <c r="K44" s="1202">
        <f t="shared" si="89"/>
        <v>91954.795357361014</v>
      </c>
      <c r="L44" s="1202">
        <f t="shared" si="89"/>
        <v>91954.795357361028</v>
      </c>
      <c r="M44" s="1202">
        <f t="shared" si="89"/>
        <v>91954.795357361014</v>
      </c>
      <c r="N44" s="1202">
        <f t="shared" si="89"/>
        <v>91954.795357361014</v>
      </c>
      <c r="O44" s="1202">
        <f t="shared" si="89"/>
        <v>91954.795357361014</v>
      </c>
      <c r="P44" s="1202">
        <f t="shared" si="89"/>
        <v>91954.795357361014</v>
      </c>
      <c r="Q44" s="1202">
        <f t="shared" si="89"/>
        <v>91954.795357360999</v>
      </c>
    </row>
    <row r="45" spans="3:17">
      <c r="C45" s="1135"/>
      <c r="D45" s="1178" t="s">
        <v>659</v>
      </c>
      <c r="F45" s="948">
        <f>-中国!H967</f>
        <v>48031</v>
      </c>
      <c r="G45" s="948">
        <f>-中国!I967</f>
        <v>97905.4</v>
      </c>
      <c r="H45" s="948">
        <f>-中国!J967</f>
        <v>109790</v>
      </c>
      <c r="I45" s="1467"/>
      <c r="J45" s="948">
        <f>-中国!L967</f>
        <v>169810</v>
      </c>
      <c r="K45" s="948">
        <f>-中国!M967</f>
        <v>123247</v>
      </c>
      <c r="L45" s="948">
        <f>-中国!N967</f>
        <v>211280.57142857142</v>
      </c>
      <c r="M45" s="948">
        <f>-中国!O967</f>
        <v>242270.24023747584</v>
      </c>
      <c r="N45" s="948">
        <f>-中国!P967</f>
        <v>277805.86319772596</v>
      </c>
      <c r="O45" s="948">
        <f>-中国!Q967</f>
        <v>318554.37601554592</v>
      </c>
      <c r="P45" s="948">
        <f>-中国!R967</f>
        <v>365280.57181585301</v>
      </c>
      <c r="Q45" s="948">
        <f>-中国!S967</f>
        <v>418861.46114383265</v>
      </c>
    </row>
    <row r="46" spans="3:17">
      <c r="C46" s="1135"/>
      <c r="D46" s="1178" t="s">
        <v>1082</v>
      </c>
      <c r="F46" s="941">
        <f>F42-F45</f>
        <v>8341</v>
      </c>
      <c r="G46" s="941">
        <f>G42-G45</f>
        <v>11283.600000000006</v>
      </c>
      <c r="H46" s="941">
        <f>H42-H45</f>
        <v>15032</v>
      </c>
      <c r="I46" s="1466"/>
      <c r="J46" s="941">
        <f t="shared" ref="J46:Q46" si="90">J42-J45</f>
        <v>26490</v>
      </c>
      <c r="K46" s="941">
        <f t="shared" si="90"/>
        <v>78115</v>
      </c>
      <c r="L46" s="941">
        <f t="shared" si="90"/>
        <v>133911.42857142858</v>
      </c>
      <c r="M46" s="941">
        <f t="shared" si="90"/>
        <v>154700.55976252415</v>
      </c>
      <c r="N46" s="941">
        <f t="shared" si="90"/>
        <v>178710.55680227396</v>
      </c>
      <c r="O46" s="941">
        <f t="shared" si="90"/>
        <v>206439.506984454</v>
      </c>
      <c r="P46" s="941">
        <f t="shared" si="90"/>
        <v>238462.39363414689</v>
      </c>
      <c r="Q46" s="941">
        <f t="shared" si="90"/>
        <v>275442.94912366709</v>
      </c>
    </row>
    <row r="47" spans="3:17">
      <c r="C47" s="1135"/>
      <c r="D47" s="1178" t="s">
        <v>652</v>
      </c>
      <c r="F47" s="1184">
        <f>F46/F42</f>
        <v>0.14796352799262044</v>
      </c>
      <c r="G47" s="1184">
        <f>G46/G42</f>
        <v>0.10334008004469319</v>
      </c>
      <c r="H47" s="1184">
        <f>H46/H42</f>
        <v>0.12042748874397141</v>
      </c>
      <c r="I47" s="1468"/>
      <c r="J47" s="1184">
        <f t="shared" ref="J47:Q47" si="91">J46/J42</f>
        <v>0.13494651044319919</v>
      </c>
      <c r="K47" s="1184">
        <f t="shared" si="91"/>
        <v>0.38793317507772074</v>
      </c>
      <c r="L47" s="1184">
        <f t="shared" si="91"/>
        <v>0.38793317507772074</v>
      </c>
      <c r="M47" s="1184">
        <f t="shared" si="91"/>
        <v>0.38970261732733025</v>
      </c>
      <c r="N47" s="1184">
        <f t="shared" si="91"/>
        <v>0.39146578079770711</v>
      </c>
      <c r="O47" s="1184">
        <f t="shared" si="91"/>
        <v>0.39322269014790412</v>
      </c>
      <c r="P47" s="1184">
        <f t="shared" si="91"/>
        <v>0.3949733699280602</v>
      </c>
      <c r="Q47" s="1184">
        <f t="shared" si="91"/>
        <v>0.39671784457993747</v>
      </c>
    </row>
    <row r="48" spans="3:17">
      <c r="C48" s="1135"/>
    </row>
    <row r="49" spans="1:17" s="1181" customFormat="1">
      <c r="A49" s="1180"/>
      <c r="B49" s="1180" t="s">
        <v>981</v>
      </c>
      <c r="C49" s="1180"/>
      <c r="D49" s="1180"/>
      <c r="E49" s="1180"/>
    </row>
    <row r="50" spans="1:17">
      <c r="C50" s="1135" t="s">
        <v>841</v>
      </c>
    </row>
    <row r="51" spans="1:17">
      <c r="C51" s="1135"/>
      <c r="D51" s="1178" t="s">
        <v>1085</v>
      </c>
      <c r="F51" s="1467"/>
      <c r="G51" s="1467"/>
      <c r="H51" s="948">
        <f>美国!J23*(1-美国!J29)</f>
        <v>38732.591457817522</v>
      </c>
      <c r="I51" s="948">
        <f>美国!K23*(1-美国!K29)</f>
        <v>37178.842792421987</v>
      </c>
      <c r="J51" s="948">
        <f>美国!L23*(1-美国!L29)</f>
        <v>41797.318016869031</v>
      </c>
      <c r="K51" s="948">
        <f>美国!M23*(1-美国!M29)</f>
        <v>21360.111021492907</v>
      </c>
      <c r="L51" s="948">
        <f>美国!N23*(1-美国!N29)</f>
        <v>36539.604673023707</v>
      </c>
      <c r="M51" s="948">
        <f>美国!O23*(1-美国!O29)</f>
        <v>39927.265000254039</v>
      </c>
      <c r="N51" s="948">
        <f>美国!P23*(1-美国!P29)</f>
        <v>42094.791518092476</v>
      </c>
      <c r="O51" s="948">
        <f>美国!Q23*(1-美国!Q29)</f>
        <v>44394.930160671276</v>
      </c>
      <c r="P51" s="948">
        <f>美国!R23*(1-美国!R29)</f>
        <v>46924.228087174022</v>
      </c>
      <c r="Q51" s="948">
        <f>美国!S23*(1-美国!S29)</f>
        <v>49730.18408553789</v>
      </c>
    </row>
    <row r="52" spans="1:17">
      <c r="C52" s="1135"/>
      <c r="E52" s="1178" t="s">
        <v>1096</v>
      </c>
      <c r="F52" s="1467"/>
      <c r="G52" s="1467"/>
      <c r="H52" s="948">
        <f>美国!J11</f>
        <v>7842</v>
      </c>
      <c r="I52" s="948">
        <f>美国!K11</f>
        <v>7131</v>
      </c>
      <c r="J52" s="948">
        <f>美国!L11</f>
        <v>8467.7987343430395</v>
      </c>
      <c r="K52" s="948">
        <f>美国!M11</f>
        <v>5026.183433653744</v>
      </c>
      <c r="L52" s="948">
        <f>美国!N11</f>
        <v>8713.7618152116484</v>
      </c>
      <c r="M52" s="948">
        <f>美国!O11</f>
        <v>9738.1834349933961</v>
      </c>
      <c r="N52" s="948">
        <f>美国!P11</f>
        <v>10382.673023243064</v>
      </c>
      <c r="O52" s="948">
        <f>美国!Q11</f>
        <v>11080.793719830566</v>
      </c>
      <c r="P52" s="948">
        <f>美国!R11</f>
        <v>11842.552764407443</v>
      </c>
      <c r="Q52" s="948">
        <f>美国!S11</f>
        <v>12673.568938277162</v>
      </c>
    </row>
    <row r="53" spans="1:17">
      <c r="C53" s="1135"/>
      <c r="E53" s="1178" t="s">
        <v>1086</v>
      </c>
      <c r="F53" s="1470"/>
      <c r="G53" s="1470"/>
      <c r="H53" s="1182">
        <f t="shared" ref="H53:Q53" si="92">H51/H52</f>
        <v>4.9391215835013416</v>
      </c>
      <c r="I53" s="1182">
        <f t="shared" si="92"/>
        <v>5.2136927208556987</v>
      </c>
      <c r="J53" s="1182">
        <f t="shared" si="92"/>
        <v>4.9360311136530344</v>
      </c>
      <c r="K53" s="1182">
        <f t="shared" si="92"/>
        <v>4.249767503205776</v>
      </c>
      <c r="L53" s="1182">
        <f t="shared" si="92"/>
        <v>4.19332148937516</v>
      </c>
      <c r="M53" s="1182">
        <f t="shared" si="92"/>
        <v>4.100073208395167</v>
      </c>
      <c r="N53" s="1182">
        <f t="shared" si="92"/>
        <v>4.0543308475435378</v>
      </c>
      <c r="O53" s="1182">
        <f t="shared" si="92"/>
        <v>4.0064756445398491</v>
      </c>
      <c r="P53" s="1182">
        <f t="shared" si="92"/>
        <v>3.9623406389375657</v>
      </c>
      <c r="Q53" s="1182">
        <f t="shared" si="92"/>
        <v>3.9239289522733434</v>
      </c>
    </row>
    <row r="54" spans="1:17">
      <c r="C54" s="1135"/>
      <c r="D54" s="1178" t="s">
        <v>1087</v>
      </c>
      <c r="F54" s="1466"/>
      <c r="G54" s="1466"/>
      <c r="H54" s="941">
        <f>H52*H55</f>
        <v>36611.170406649813</v>
      </c>
      <c r="I54" s="1466"/>
      <c r="J54" s="941">
        <f t="shared" ref="J54" si="93">J52*J55</f>
        <v>36363.124233786082</v>
      </c>
      <c r="K54" s="941">
        <f t="shared" ref="K54" si="94">K52*K55</f>
        <v>17581.218168358853</v>
      </c>
      <c r="L54" s="941">
        <f t="shared" ref="L54" si="95">L52*L55</f>
        <v>30480.094802164604</v>
      </c>
      <c r="M54" s="941">
        <f t="shared" ref="M54" si="96">M52*M55</f>
        <v>33587.35895181739</v>
      </c>
      <c r="N54" s="941">
        <f t="shared" ref="N54" si="97">N52*N55</f>
        <v>35465.574717105956</v>
      </c>
      <c r="O54" s="941">
        <f t="shared" ref="O54" si="98">O52*O55</f>
        <v>37496.889513796923</v>
      </c>
      <c r="P54" s="941">
        <f t="shared" ref="P54" si="99">P52*P55</f>
        <v>39709.947424980652</v>
      </c>
      <c r="Q54" s="941">
        <f t="shared" ref="Q54" si="100">Q52*Q55</f>
        <v>42119.273959563005</v>
      </c>
    </row>
    <row r="55" spans="1:17">
      <c r="C55" s="1135"/>
      <c r="E55" s="1178" t="s">
        <v>1088</v>
      </c>
      <c r="F55" s="1471"/>
      <c r="G55" s="1471"/>
      <c r="H55" s="1183">
        <f>各区域分剂型成本优化!G105</f>
        <v>4.6686011740180842</v>
      </c>
      <c r="I55" s="1466"/>
      <c r="J55" s="1183">
        <f>各区域分剂型成本优化!H105</f>
        <v>4.2942830096217746</v>
      </c>
      <c r="K55" s="1183">
        <f>各区域分剂型成本优化!I105</f>
        <v>3.4979260905283605</v>
      </c>
      <c r="L55" s="1183">
        <f>各区域分剂型成本优化!J105</f>
        <v>3.4979260907677534</v>
      </c>
      <c r="M55" s="1183">
        <f>各区域分剂型成本优化!K105</f>
        <v>3.4490374078520496</v>
      </c>
      <c r="N55" s="1183">
        <f>各区域分剂型成本优化!L105</f>
        <v>3.4158423979750987</v>
      </c>
      <c r="O55" s="1183">
        <f>各区域分剂型成本优化!M105</f>
        <v>3.3839533937619661</v>
      </c>
      <c r="P55" s="1183">
        <f>各区域分剂型成本优化!N105</f>
        <v>3.3531577367616308</v>
      </c>
      <c r="Q55" s="1183">
        <f>各区域分剂型成本优化!O105</f>
        <v>3.3233948672779046</v>
      </c>
    </row>
    <row r="56" spans="1:17">
      <c r="C56" s="1135"/>
      <c r="D56" s="1178" t="s">
        <v>1089</v>
      </c>
      <c r="F56" s="1466"/>
      <c r="G56" s="1466"/>
      <c r="H56" s="941">
        <f>H51-H54</f>
        <v>2121.4210511677084</v>
      </c>
      <c r="I56" s="1466"/>
      <c r="J56" s="941">
        <f t="shared" ref="J56:Q56" si="101">J51-J54</f>
        <v>5434.1937830829484</v>
      </c>
      <c r="K56" s="941">
        <f t="shared" si="101"/>
        <v>3778.8928531340534</v>
      </c>
      <c r="L56" s="941">
        <f t="shared" si="101"/>
        <v>6059.5098708591031</v>
      </c>
      <c r="M56" s="941">
        <f t="shared" si="101"/>
        <v>6339.9060484366491</v>
      </c>
      <c r="N56" s="941">
        <f t="shared" si="101"/>
        <v>6629.21680098652</v>
      </c>
      <c r="O56" s="941">
        <f t="shared" si="101"/>
        <v>6898.0406468743531</v>
      </c>
      <c r="P56" s="941">
        <f t="shared" si="101"/>
        <v>7214.2806621933705</v>
      </c>
      <c r="Q56" s="941">
        <f t="shared" si="101"/>
        <v>7610.9101259748859</v>
      </c>
    </row>
    <row r="57" spans="1:17">
      <c r="C57" s="1135"/>
      <c r="D57" s="1178" t="s">
        <v>652</v>
      </c>
      <c r="F57" s="1468"/>
      <c r="G57" s="1468"/>
      <c r="H57" s="1184">
        <f>H56/H51</f>
        <v>5.4770955707368126E-2</v>
      </c>
      <c r="I57" s="1468"/>
      <c r="J57" s="1184">
        <f t="shared" ref="J57" si="102">J56/J51</f>
        <v>0.13001297788747487</v>
      </c>
      <c r="K57" s="1184">
        <f t="shared" ref="K57" si="103">K56/K51</f>
        <v>0.1769135398843043</v>
      </c>
      <c r="L57" s="1184">
        <f t="shared" ref="L57" si="104">L56/L51</f>
        <v>0.16583402926996335</v>
      </c>
      <c r="M57" s="1184">
        <f t="shared" ref="M57" si="105">M56/M51</f>
        <v>0.15878638440164411</v>
      </c>
      <c r="N57" s="1184">
        <f t="shared" ref="N57" si="106">N56/N51</f>
        <v>0.15748306528937817</v>
      </c>
      <c r="O57" s="1184">
        <f t="shared" ref="O57" si="107">O56/O51</f>
        <v>0.15537901787229777</v>
      </c>
      <c r="P57" s="1184">
        <f>P56/P51</f>
        <v>0.1537431931494101</v>
      </c>
      <c r="Q57" s="1184">
        <f t="shared" ref="Q57" si="108">Q56/Q51</f>
        <v>0.15304407707165971</v>
      </c>
    </row>
    <row r="58" spans="1:17">
      <c r="C58" s="1135"/>
      <c r="F58" s="948"/>
    </row>
    <row r="59" spans="1:17">
      <c r="C59" s="1135" t="s">
        <v>842</v>
      </c>
    </row>
    <row r="60" spans="1:17">
      <c r="C60" s="1135"/>
      <c r="D60" s="1178" t="s">
        <v>1079</v>
      </c>
      <c r="F60" s="1467"/>
      <c r="G60" s="1467"/>
      <c r="H60" s="948">
        <f>美国!J24*(1-美国!J29)</f>
        <v>22874.207471174177</v>
      </c>
      <c r="I60" s="948">
        <f>美国!K24*(1-美国!K29)</f>
        <v>27585.338630384602</v>
      </c>
      <c r="J60" s="948">
        <f>美国!L24*(1-美国!L29)</f>
        <v>34021.211574082365</v>
      </c>
      <c r="K60" s="948">
        <f>美国!M24*(1-美国!M29)</f>
        <v>22636.340991131205</v>
      </c>
      <c r="L60" s="948">
        <f>美国!N24*(1-美国!N29)</f>
        <v>38368.316526006311</v>
      </c>
      <c r="M60" s="948">
        <f>美国!O24*(1-美国!O29)</f>
        <v>42311.31048321374</v>
      </c>
      <c r="N60" s="948">
        <f>美国!P24*(1-美国!P29)</f>
        <v>46364.499353515399</v>
      </c>
      <c r="O60" s="948">
        <f>美国!Q24*(1-美国!Q29)</f>
        <v>50605.193967623782</v>
      </c>
      <c r="P60" s="948">
        <f>美国!R24*(1-美国!R29)</f>
        <v>55029.005973641186</v>
      </c>
      <c r="Q60" s="948">
        <f>美国!S24*(1-美国!S29)</f>
        <v>59626.252179234507</v>
      </c>
    </row>
    <row r="61" spans="1:17">
      <c r="C61" s="1135"/>
      <c r="E61" s="1178" t="s">
        <v>1078</v>
      </c>
      <c r="F61" s="1467"/>
      <c r="G61" s="1467"/>
      <c r="H61" s="948">
        <f>美国!J12</f>
        <v>6295</v>
      </c>
      <c r="I61" s="948">
        <f>美国!K12</f>
        <v>7330</v>
      </c>
      <c r="J61" s="948">
        <f>美国!L12</f>
        <v>9091.2480846676881</v>
      </c>
      <c r="K61" s="948">
        <f>美国!M12</f>
        <v>5885.3562561740782</v>
      </c>
      <c r="L61" s="948">
        <f>美国!N12</f>
        <v>10038.995584667689</v>
      </c>
      <c r="M61" s="948">
        <f>美国!O12</f>
        <v>10989.082463901075</v>
      </c>
      <c r="N61" s="948">
        <f>美国!P12</f>
        <v>11987.062317096128</v>
      </c>
      <c r="O61" s="948">
        <f>美国!Q12</f>
        <v>13047.307896200937</v>
      </c>
      <c r="P61" s="948">
        <f>美国!R12</f>
        <v>14161.174824935984</v>
      </c>
      <c r="Q61" s="948">
        <f>美国!S12</f>
        <v>15322.092470455285</v>
      </c>
    </row>
    <row r="62" spans="1:17">
      <c r="C62" s="1135"/>
      <c r="E62" s="1178" t="s">
        <v>1080</v>
      </c>
      <c r="F62" s="1470"/>
      <c r="G62" s="1470"/>
      <c r="H62" s="1182">
        <f t="shared" ref="H62" si="109">H60/H61</f>
        <v>3.6337104799323554</v>
      </c>
      <c r="I62" s="1182">
        <f t="shared" ref="I62" si="110">I60/I61</f>
        <v>3.7633476985517875</v>
      </c>
      <c r="J62" s="1182">
        <f t="shared" ref="J62" si="111">J60/J61</f>
        <v>3.7421937293141134</v>
      </c>
      <c r="K62" s="1182">
        <f t="shared" ref="K62" si="112">K60/K61</f>
        <v>3.846214231701671</v>
      </c>
      <c r="L62" s="1182">
        <f t="shared" ref="L62" si="113">L60/L61</f>
        <v>3.8219278216045134</v>
      </c>
      <c r="M62" s="1182">
        <f t="shared" ref="M62" si="114">M60/M61</f>
        <v>3.8503042107660566</v>
      </c>
      <c r="N62" s="1182">
        <f t="shared" ref="N62" si="115">N60/N61</f>
        <v>3.8678783948081805</v>
      </c>
      <c r="O62" s="1182">
        <f t="shared" ref="O62" si="116">O60/O61</f>
        <v>3.8785927618339415</v>
      </c>
      <c r="P62" s="1182">
        <f t="shared" ref="P62" si="117">P60/P61</f>
        <v>3.8859068300422557</v>
      </c>
      <c r="Q62" s="1182">
        <f t="shared" ref="Q62" si="118">Q60/Q61</f>
        <v>3.8915214938304543</v>
      </c>
    </row>
    <row r="63" spans="1:17">
      <c r="C63" s="1135"/>
      <c r="D63" s="1178" t="s">
        <v>1084</v>
      </c>
      <c r="F63" s="1466"/>
      <c r="G63" s="1466"/>
      <c r="H63" s="941">
        <f>H61*H64</f>
        <v>17868.28451256299</v>
      </c>
      <c r="I63" s="1466"/>
      <c r="J63" s="941">
        <f t="shared" ref="J63" si="119">J61*J64</f>
        <v>28949.453469517335</v>
      </c>
      <c r="K63" s="941">
        <f t="shared" ref="K63" si="120">K61*K64</f>
        <v>18533.811283211511</v>
      </c>
      <c r="L63" s="941">
        <f t="shared" ref="L63" si="121">L61*L64</f>
        <v>31612.99367755717</v>
      </c>
      <c r="M63" s="941">
        <f t="shared" ref="M63" si="122">M61*M64</f>
        <v>33911.00950527432</v>
      </c>
      <c r="N63" s="941">
        <f t="shared" ref="N63" si="123">N61*N64</f>
        <v>35963.744276372447</v>
      </c>
      <c r="O63" s="941">
        <f t="shared" ref="O63" si="124">O61*O64</f>
        <v>38654.963972098019</v>
      </c>
      <c r="P63" s="941">
        <f t="shared" ref="P63" si="125">P61*P64</f>
        <v>41642.177458924692</v>
      </c>
      <c r="Q63" s="941">
        <f t="shared" ref="Q63" si="126">Q61*Q64</f>
        <v>44735.054827091772</v>
      </c>
    </row>
    <row r="64" spans="1:17">
      <c r="C64" s="1135"/>
      <c r="E64" s="1178" t="s">
        <v>1081</v>
      </c>
      <c r="F64" s="1471"/>
      <c r="G64" s="1471"/>
      <c r="H64" s="1183">
        <f>各区域分剂型成本优化!G112</f>
        <v>2.8384884054905464</v>
      </c>
      <c r="I64" s="1469"/>
      <c r="J64" s="1183">
        <f>各区域分剂型成本优化!H112</f>
        <v>3.1843211404977869</v>
      </c>
      <c r="K64" s="1183">
        <f>各区域分剂型成本优化!I112</f>
        <v>3.1491400820075204</v>
      </c>
      <c r="L64" s="1183">
        <f>各区域分剂型成本优化!J112</f>
        <v>3.1490195817835516</v>
      </c>
      <c r="M64" s="1183">
        <f>各区域分剂型成本优化!K112</f>
        <v>3.0858817937413185</v>
      </c>
      <c r="N64" s="1183">
        <f>各区域分剂型成本优化!L112</f>
        <v>3.0002133404345797</v>
      </c>
      <c r="O64" s="1183">
        <f>各区域分剂型成本优化!M112</f>
        <v>2.9626773798565309</v>
      </c>
      <c r="P64" s="1183">
        <f>各区域分剂型成本优化!N112</f>
        <v>2.9405877671673286</v>
      </c>
      <c r="Q64" s="1183">
        <f>各区域分剂型成本优化!O112</f>
        <v>2.9196439659499394</v>
      </c>
    </row>
    <row r="65" spans="3:17">
      <c r="C65" s="1135"/>
      <c r="D65" s="1178" t="s">
        <v>1082</v>
      </c>
      <c r="F65" s="1466"/>
      <c r="G65" s="1466"/>
      <c r="H65" s="941">
        <f t="shared" ref="H65" si="127">H60-H63</f>
        <v>5005.9229586111869</v>
      </c>
      <c r="I65" s="1466"/>
      <c r="J65" s="941">
        <f t="shared" ref="J65:Q65" si="128">J60-J63</f>
        <v>5071.7581045650295</v>
      </c>
      <c r="K65" s="941">
        <f t="shared" si="128"/>
        <v>4102.5297079196935</v>
      </c>
      <c r="L65" s="941">
        <f t="shared" si="128"/>
        <v>6755.322848449141</v>
      </c>
      <c r="M65" s="941">
        <f t="shared" si="128"/>
        <v>8400.3009779394197</v>
      </c>
      <c r="N65" s="941">
        <f t="shared" si="128"/>
        <v>10400.755077142952</v>
      </c>
      <c r="O65" s="941">
        <f t="shared" si="128"/>
        <v>11950.229995525762</v>
      </c>
      <c r="P65" s="941">
        <f t="shared" si="128"/>
        <v>13386.828514716493</v>
      </c>
      <c r="Q65" s="941">
        <f t="shared" si="128"/>
        <v>14891.197352142735</v>
      </c>
    </row>
    <row r="66" spans="3:17">
      <c r="C66" s="1135"/>
      <c r="D66" s="1178" t="s">
        <v>652</v>
      </c>
      <c r="F66" s="1468"/>
      <c r="G66" s="1468"/>
      <c r="H66" s="1184">
        <f t="shared" ref="H66" si="129">H65/H60</f>
        <v>0.21884574426981113</v>
      </c>
      <c r="I66" s="1468"/>
      <c r="J66" s="1184">
        <f t="shared" ref="J66" si="130">J65/J60</f>
        <v>0.14907635177898063</v>
      </c>
      <c r="K66" s="1184">
        <f t="shared" ref="K66" si="131">K65/K60</f>
        <v>0.18123643346453575</v>
      </c>
      <c r="L66" s="1184">
        <f t="shared" ref="L66" si="132">L65/L60</f>
        <v>0.1760651355101894</v>
      </c>
      <c r="M66" s="1184">
        <f t="shared" ref="M66" si="133">M65/M60</f>
        <v>0.19853558970413099</v>
      </c>
      <c r="N66" s="1184">
        <f t="shared" ref="N66" si="134">N65/N60</f>
        <v>0.22432583597722722</v>
      </c>
      <c r="O66" s="1184">
        <f t="shared" ref="O66" si="135">O65/O60</f>
        <v>0.23614631342330764</v>
      </c>
      <c r="P66" s="1184">
        <f t="shared" ref="P66" si="136">P65/P60</f>
        <v>0.24326858677274246</v>
      </c>
      <c r="Q66" s="1184">
        <f t="shared" ref="Q66" si="137">Q65/Q60</f>
        <v>0.24974229987456359</v>
      </c>
    </row>
    <row r="67" spans="3:17">
      <c r="C67" s="1135"/>
    </row>
    <row r="68" spans="3:17">
      <c r="C68" s="1135" t="s">
        <v>843</v>
      </c>
    </row>
    <row r="69" spans="3:17">
      <c r="C69" s="1135"/>
      <c r="D69" s="1178" t="s">
        <v>1079</v>
      </c>
      <c r="F69" s="1467"/>
      <c r="G69" s="1467"/>
      <c r="H69" s="948">
        <f>美国!J25*(1-美国!J29)</f>
        <v>142283.09532706003</v>
      </c>
      <c r="I69" s="948">
        <f>美国!K25*(1-美国!K29)</f>
        <v>117478.88810854686</v>
      </c>
      <c r="J69" s="948">
        <f>美国!L25*(1-美国!L29)</f>
        <v>139016.56504783675</v>
      </c>
      <c r="K69" s="948">
        <f>美国!M25*(1-美国!M29)</f>
        <v>71143.983032579519</v>
      </c>
      <c r="L69" s="948">
        <f>美国!N25*(1-美国!N29)</f>
        <v>135067.47216822905</v>
      </c>
      <c r="M69" s="948">
        <f>美国!O25*(1-美国!O29)</f>
        <v>145676.90096686035</v>
      </c>
      <c r="N69" s="948">
        <f>美国!P25*(1-美国!P29)</f>
        <v>153915.21628826112</v>
      </c>
      <c r="O69" s="948">
        <f>美国!Q25*(1-美国!Q29)</f>
        <v>160456.48722624819</v>
      </c>
      <c r="P69" s="948">
        <f>美国!R25*(1-美国!R29)</f>
        <v>167477.04201690538</v>
      </c>
      <c r="Q69" s="948">
        <f>美国!S25*(1-美国!S29)</f>
        <v>175127.54023709823</v>
      </c>
    </row>
    <row r="70" spans="3:17">
      <c r="C70" s="1135"/>
      <c r="E70" s="1178" t="s">
        <v>1078</v>
      </c>
      <c r="F70" s="1467"/>
      <c r="G70" s="1467"/>
      <c r="H70" s="948">
        <f>美国!J13</f>
        <v>27209</v>
      </c>
      <c r="I70" s="948">
        <f>美国!K13</f>
        <v>21562</v>
      </c>
      <c r="J70" s="948">
        <f>美国!L13</f>
        <v>25004.720762878344</v>
      </c>
      <c r="K70" s="948">
        <f>美国!M13</f>
        <v>12281.111677268622</v>
      </c>
      <c r="L70" s="948">
        <f>美国!N13</f>
        <v>22818.512101589549</v>
      </c>
      <c r="M70" s="948">
        <f>美国!O13</f>
        <v>24565.211706280359</v>
      </c>
      <c r="N70" s="948">
        <f>美国!P13</f>
        <v>25965.816427545702</v>
      </c>
      <c r="O70" s="948">
        <f>美国!Q13</f>
        <v>27091.81432330711</v>
      </c>
      <c r="P70" s="948">
        <f>美国!R13</f>
        <v>28287.395772759402</v>
      </c>
      <c r="Q70" s="948">
        <f>美国!S13</f>
        <v>29560.295085511418</v>
      </c>
    </row>
    <row r="71" spans="3:17">
      <c r="C71" s="1135"/>
      <c r="E71" s="1178" t="s">
        <v>1080</v>
      </c>
      <c r="F71" s="1470"/>
      <c r="G71" s="1470"/>
      <c r="H71" s="1182">
        <f t="shared" ref="H71" si="138">H69/H70</f>
        <v>5.2292658799316412</v>
      </c>
      <c r="I71" s="1182">
        <f t="shared" ref="I71" si="139">I69/I70</f>
        <v>5.4484226003407317</v>
      </c>
      <c r="J71" s="1182">
        <f t="shared" ref="J71" si="140">J69/J70</f>
        <v>5.5596127773687751</v>
      </c>
      <c r="K71" s="1182">
        <f t="shared" ref="K71" si="141">K69/K70</f>
        <v>5.7929595383666674</v>
      </c>
      <c r="L71" s="1182">
        <f t="shared" ref="L71" si="142">L69/L70</f>
        <v>5.9192059309958331</v>
      </c>
      <c r="M71" s="1182">
        <f t="shared" ref="M71" si="143">M69/M70</f>
        <v>5.9302115002581681</v>
      </c>
      <c r="N71" s="1182">
        <f t="shared" ref="N71" si="144">N69/N70</f>
        <v>5.9276093520010003</v>
      </c>
      <c r="O71" s="1182">
        <f t="shared" ref="O71" si="145">O69/O70</f>
        <v>5.9226925635691865</v>
      </c>
      <c r="P71" s="1182">
        <f t="shared" ref="P71" si="146">P69/P70</f>
        <v>5.9205535695931681</v>
      </c>
      <c r="Q71" s="1182">
        <f t="shared" ref="Q71" si="147">Q69/Q70</f>
        <v>5.9244178628965933</v>
      </c>
    </row>
    <row r="72" spans="3:17">
      <c r="C72" s="1135"/>
      <c r="D72" s="1178" t="s">
        <v>1084</v>
      </c>
      <c r="F72" s="1466"/>
      <c r="G72" s="1466"/>
      <c r="H72" s="941">
        <f>H70*H73</f>
        <v>139289.17722647608</v>
      </c>
      <c r="I72" s="1466"/>
      <c r="J72" s="941">
        <f>J70*J73</f>
        <v>135650.02354916383</v>
      </c>
      <c r="K72" s="941">
        <f t="shared" ref="K72:Q72" si="148">K70*K73</f>
        <v>64295.012790353256</v>
      </c>
      <c r="L72" s="941">
        <f t="shared" si="148"/>
        <v>119307.34532356651</v>
      </c>
      <c r="M72" s="941">
        <f t="shared" si="148"/>
        <v>126605.50177135807</v>
      </c>
      <c r="N72" s="941">
        <f t="shared" si="148"/>
        <v>132412.76642861983</v>
      </c>
      <c r="O72" s="941">
        <f t="shared" si="148"/>
        <v>137001.13141163622</v>
      </c>
      <c r="P72" s="941">
        <f t="shared" si="148"/>
        <v>141868.64034397519</v>
      </c>
      <c r="Q72" s="941">
        <f t="shared" si="148"/>
        <v>147046.0856760554</v>
      </c>
    </row>
    <row r="73" spans="3:17">
      <c r="C73" s="1135"/>
      <c r="E73" s="1178" t="s">
        <v>1081</v>
      </c>
      <c r="F73" s="1471"/>
      <c r="G73" s="1471"/>
      <c r="H73" s="1183">
        <f>各区域分剂型成本优化!G119</f>
        <v>5.1192317698730596</v>
      </c>
      <c r="I73" s="1466"/>
      <c r="J73" s="1183">
        <f>各区域分剂型成本优化!H119</f>
        <v>5.4249765408517563</v>
      </c>
      <c r="K73" s="1183">
        <f>各区域分剂型成本优化!I119</f>
        <v>5.2352762909369437</v>
      </c>
      <c r="L73" s="1183">
        <f>各区域分剂型成本优化!J119</f>
        <v>5.228533078423439</v>
      </c>
      <c r="M73" s="1183">
        <f>各区域分剂型成本优化!K119</f>
        <v>5.1538534772321958</v>
      </c>
      <c r="N73" s="1183">
        <f>各区域分剂型成本优化!L119</f>
        <v>5.0995032949609254</v>
      </c>
      <c r="O73" s="1183">
        <f>各区域分剂型成本优化!M119</f>
        <v>5.056919768336595</v>
      </c>
      <c r="P73" s="1183">
        <f>各区域分剂型成本优化!N119</f>
        <v>5.0152598522552525</v>
      </c>
      <c r="Q73" s="1183">
        <f>各区域分剂型成本优化!O119</f>
        <v>4.9744457980099144</v>
      </c>
    </row>
    <row r="74" spans="3:17">
      <c r="C74" s="1135"/>
      <c r="D74" s="1178" t="s">
        <v>1082</v>
      </c>
      <c r="F74" s="1466"/>
      <c r="G74" s="1466"/>
      <c r="H74" s="941">
        <f>H69-H72</f>
        <v>2993.9181005839491</v>
      </c>
      <c r="I74" s="1466"/>
      <c r="J74" s="941">
        <f t="shared" ref="J74:Q74" si="149">J69-J72</f>
        <v>3366.5414986729156</v>
      </c>
      <c r="K74" s="941">
        <f t="shared" si="149"/>
        <v>6848.9702422262635</v>
      </c>
      <c r="L74" s="941">
        <f t="shared" si="149"/>
        <v>15760.126844662547</v>
      </c>
      <c r="M74" s="941">
        <f t="shared" si="149"/>
        <v>19071.399195502279</v>
      </c>
      <c r="N74" s="941">
        <f t="shared" si="149"/>
        <v>21502.449859641289</v>
      </c>
      <c r="O74" s="941">
        <f t="shared" si="149"/>
        <v>23455.355814611976</v>
      </c>
      <c r="P74" s="941">
        <f t="shared" si="149"/>
        <v>25608.401672930195</v>
      </c>
      <c r="Q74" s="941">
        <f t="shared" si="149"/>
        <v>28081.454561042832</v>
      </c>
    </row>
    <row r="75" spans="3:17">
      <c r="C75" s="1135"/>
      <c r="D75" s="1178" t="s">
        <v>652</v>
      </c>
      <c r="F75" s="1468"/>
      <c r="G75" s="1468"/>
      <c r="H75" s="1184">
        <f>H74/H69</f>
        <v>2.1041980382152627E-2</v>
      </c>
      <c r="I75" s="1468"/>
      <c r="J75" s="1184">
        <f>J74/J69</f>
        <v>2.4216837018771548E-2</v>
      </c>
      <c r="K75" s="1184">
        <f t="shared" ref="K75" si="150">K74/K69</f>
        <v>9.6269142523126114E-2</v>
      </c>
      <c r="L75" s="1184">
        <f t="shared" ref="L75" si="151">L74/L69</f>
        <v>0.11668336270507096</v>
      </c>
      <c r="M75" s="1184">
        <f t="shared" ref="M75" si="152">M74/M69</f>
        <v>0.13091573934457035</v>
      </c>
      <c r="N75" s="1184">
        <f t="shared" ref="N75" si="153">N74/N69</f>
        <v>0.1397032104959024</v>
      </c>
      <c r="O75" s="1184">
        <f t="shared" ref="O75" si="154">O74/O69</f>
        <v>0.14617891878400191</v>
      </c>
      <c r="P75" s="1184">
        <f t="shared" ref="P75" si="155">P74/P69</f>
        <v>0.1529069379571753</v>
      </c>
      <c r="Q75" s="1184">
        <f t="shared" ref="Q75" si="156">Q74/Q69</f>
        <v>0.16034859236316837</v>
      </c>
    </row>
    <row r="76" spans="3:17">
      <c r="C76" s="1135"/>
    </row>
    <row r="77" spans="3:17">
      <c r="C77" s="1135" t="s">
        <v>844</v>
      </c>
    </row>
    <row r="78" spans="3:17">
      <c r="C78" s="1135"/>
      <c r="D78" s="1178" t="s">
        <v>1079</v>
      </c>
      <c r="F78" s="1467"/>
      <c r="G78" s="1467"/>
      <c r="H78" s="948">
        <f>美国!J26*(1-美国!J29)</f>
        <v>289800.01543601102</v>
      </c>
      <c r="I78" s="948">
        <f>美国!K26*(1-美国!K29)</f>
        <v>271879.7124797799</v>
      </c>
      <c r="J78" s="948">
        <f>美国!L26*(1-美国!L29)</f>
        <v>334221.86641586496</v>
      </c>
      <c r="K78" s="948">
        <f>美国!M26*(1-美国!M29)</f>
        <v>185006.5240219383</v>
      </c>
      <c r="L78" s="948">
        <f>美国!N26*(1-美国!N29)</f>
        <v>340337.11121513025</v>
      </c>
      <c r="M78" s="948">
        <f>美国!O26*(1-美国!O29)</f>
        <v>367541.74417134764</v>
      </c>
      <c r="N78" s="948">
        <f>美国!P26*(1-美国!P29)</f>
        <v>394741.51427338994</v>
      </c>
      <c r="O78" s="948">
        <f>美国!Q26*(1-美国!Q29)</f>
        <v>416391.29415626271</v>
      </c>
      <c r="P78" s="948">
        <f>美国!R26*(1-美国!R29)</f>
        <v>439977.75514072005</v>
      </c>
      <c r="Q78" s="948">
        <f>美国!S26*(1-美国!S29)</f>
        <v>465950.16287625558</v>
      </c>
    </row>
    <row r="79" spans="3:17">
      <c r="C79" s="1135"/>
      <c r="E79" s="1178" t="s">
        <v>1078</v>
      </c>
      <c r="F79" s="1467"/>
      <c r="G79" s="1467"/>
      <c r="H79" s="948">
        <f>美国!J14</f>
        <v>73168</v>
      </c>
      <c r="I79" s="948">
        <f>美国!K14</f>
        <v>72647</v>
      </c>
      <c r="J79" s="948">
        <f>美国!L14</f>
        <v>87244.413066585723</v>
      </c>
      <c r="K79" s="948">
        <f>美国!M14</f>
        <v>47721.858750404914</v>
      </c>
      <c r="L79" s="948">
        <f>美国!N14</f>
        <v>86070.594331801141</v>
      </c>
      <c r="M79" s="948">
        <f>美国!O14</f>
        <v>93144.273240707684</v>
      </c>
      <c r="N79" s="948">
        <f>美国!P14</f>
        <v>100562.20692324892</v>
      </c>
      <c r="O79" s="948">
        <f>美国!Q14</f>
        <v>105627.59664773451</v>
      </c>
      <c r="P79" s="948">
        <f>美国!R14</f>
        <v>111027.43016149967</v>
      </c>
      <c r="Q79" s="948">
        <f>美国!S14</f>
        <v>116786.69924207276</v>
      </c>
    </row>
    <row r="80" spans="3:17">
      <c r="C80" s="1135"/>
      <c r="E80" s="1178" t="s">
        <v>1080</v>
      </c>
      <c r="F80" s="1470"/>
      <c r="G80" s="1470"/>
      <c r="H80" s="1182">
        <f t="shared" ref="H80" si="157">H78/H79</f>
        <v>3.9607480788870957</v>
      </c>
      <c r="I80" s="1182">
        <f t="shared" ref="I80" si="158">I78/I79</f>
        <v>3.7424768053709019</v>
      </c>
      <c r="J80" s="1182">
        <f t="shared" ref="J80" si="159">J78/J79</f>
        <v>3.8308684151589607</v>
      </c>
      <c r="K80" s="1182">
        <f t="shared" ref="K80" si="160">K78/K79</f>
        <v>3.8767669337768313</v>
      </c>
      <c r="L80" s="1182">
        <f t="shared" ref="L80" si="161">L78/L79</f>
        <v>3.9541624390687327</v>
      </c>
      <c r="M80" s="1182">
        <f t="shared" ref="M80" si="162">M78/M79</f>
        <v>3.9459403287363624</v>
      </c>
      <c r="N80" s="1182">
        <f t="shared" ref="N80" si="163">N78/N79</f>
        <v>3.9253465725415566</v>
      </c>
      <c r="O80" s="1182">
        <f t="shared" ref="O80" si="164">O78/O79</f>
        <v>3.9420691880827095</v>
      </c>
      <c r="P80" s="1182">
        <f t="shared" ref="P80" si="165">P78/P79</f>
        <v>3.9627842822330637</v>
      </c>
      <c r="Q80" s="1182">
        <f t="shared" ref="Q80" si="166">Q78/Q79</f>
        <v>3.9897536782886971</v>
      </c>
    </row>
    <row r="81" spans="3:17">
      <c r="C81" s="1135"/>
      <c r="D81" s="1178" t="s">
        <v>1084</v>
      </c>
      <c r="F81" s="1466"/>
      <c r="G81" s="1466"/>
      <c r="H81" s="941">
        <f>H79*H82</f>
        <v>293599.71672203037</v>
      </c>
      <c r="I81" s="1466"/>
      <c r="J81" s="941">
        <f>J79*J82</f>
        <v>284714.33229228639</v>
      </c>
      <c r="K81" s="941">
        <f t="shared" ref="K81" si="167">K79*K82</f>
        <v>160730.52214232297</v>
      </c>
      <c r="L81" s="941">
        <f t="shared" ref="L81" si="168">L79*L82</f>
        <v>289891.71694103023</v>
      </c>
      <c r="M81" s="941">
        <f t="shared" ref="M81" si="169">M79*M82</f>
        <v>306298.93712294806</v>
      </c>
      <c r="N81" s="941">
        <f t="shared" ref="N81" si="170">N79*N82</f>
        <v>326042.38718178641</v>
      </c>
      <c r="O81" s="941">
        <f t="shared" ref="O81" si="171">O79*O82</f>
        <v>339166.05168382102</v>
      </c>
      <c r="P81" s="941">
        <f t="shared" ref="P81" si="172">P79*P82</f>
        <v>353310.83104999166</v>
      </c>
      <c r="Q81" s="941">
        <f t="shared" ref="Q81" si="173">Q79*Q82</f>
        <v>368450.5603940204</v>
      </c>
    </row>
    <row r="82" spans="3:17">
      <c r="C82" s="1135"/>
      <c r="E82" s="1178" t="s">
        <v>1081</v>
      </c>
      <c r="F82" s="1471"/>
      <c r="G82" s="1471"/>
      <c r="H82" s="1183">
        <f>各区域分剂型成本优化!G126</f>
        <v>4.0126792685604409</v>
      </c>
      <c r="I82" s="1466"/>
      <c r="J82" s="1183">
        <f>各区域分剂型成本优化!H126</f>
        <v>3.2634104842334124</v>
      </c>
      <c r="K82" s="1183">
        <f>各区域分剂型成本优化!I126</f>
        <v>3.3680691899067989</v>
      </c>
      <c r="L82" s="1183">
        <f>各区域分剂型成本优化!J126</f>
        <v>3.3680691900825157</v>
      </c>
      <c r="M82" s="1183">
        <f>各区域分剂型成本优化!K126</f>
        <v>3.288435525514235</v>
      </c>
      <c r="N82" s="1183">
        <f>各区域分剂型成本优化!L126</f>
        <v>3.2421960213206984</v>
      </c>
      <c r="O82" s="1183">
        <f>各区域分剂型成本优化!M126</f>
        <v>3.2109606054460524</v>
      </c>
      <c r="P82" s="1183">
        <f>各区域分剂型成本优化!N126</f>
        <v>3.182194080652577</v>
      </c>
      <c r="Q82" s="1183">
        <f>各区域分剂型成本优化!O126</f>
        <v>3.1549017378280779</v>
      </c>
    </row>
    <row r="83" spans="3:17">
      <c r="C83" s="1135"/>
      <c r="D83" s="1178" t="s">
        <v>1082</v>
      </c>
      <c r="F83" s="1466"/>
      <c r="G83" s="1466"/>
      <c r="H83" s="941">
        <f>H78-H81</f>
        <v>-3799.7012860193499</v>
      </c>
      <c r="I83" s="1466"/>
      <c r="J83" s="941">
        <f t="shared" ref="J83:Q83" si="174">J78-J81</f>
        <v>49507.534123578575</v>
      </c>
      <c r="K83" s="941">
        <f t="shared" si="174"/>
        <v>24276.001879615331</v>
      </c>
      <c r="L83" s="941">
        <f t="shared" si="174"/>
        <v>50445.394274100021</v>
      </c>
      <c r="M83" s="941">
        <f t="shared" si="174"/>
        <v>61242.807048399583</v>
      </c>
      <c r="N83" s="941">
        <f t="shared" si="174"/>
        <v>68699.127091603528</v>
      </c>
      <c r="O83" s="941">
        <f t="shared" si="174"/>
        <v>77225.242472441692</v>
      </c>
      <c r="P83" s="941">
        <f t="shared" si="174"/>
        <v>86666.924090728397</v>
      </c>
      <c r="Q83" s="941">
        <f t="shared" si="174"/>
        <v>97499.602482235176</v>
      </c>
    </row>
    <row r="84" spans="3:17">
      <c r="C84" s="1135"/>
      <c r="D84" s="1178" t="s">
        <v>652</v>
      </c>
      <c r="F84" s="1468"/>
      <c r="G84" s="1468"/>
      <c r="H84" s="1184">
        <f>H83/H78</f>
        <v>-1.3111459915909974E-2</v>
      </c>
      <c r="I84" s="1468"/>
      <c r="J84" s="1184">
        <f>J83/J78</f>
        <v>0.14812775314340873</v>
      </c>
      <c r="K84" s="1184">
        <f t="shared" ref="K84" si="175">K83/K78</f>
        <v>0.13121700441621537</v>
      </c>
      <c r="L84" s="1184">
        <f t="shared" ref="L84" si="176">L83/L78</f>
        <v>0.14822184420027301</v>
      </c>
      <c r="M84" s="1184">
        <f t="shared" ref="M84" si="177">M83/M78</f>
        <v>0.16662816678545292</v>
      </c>
      <c r="N84" s="1184">
        <f t="shared" ref="N84" si="178">N83/N78</f>
        <v>0.1740357287174612</v>
      </c>
      <c r="O84" s="1184">
        <f t="shared" ref="O84" si="179">O83/O78</f>
        <v>0.18546315342380987</v>
      </c>
      <c r="P84" s="1184">
        <f t="shared" ref="P84" si="180">P83/P78</f>
        <v>0.19698024065559708</v>
      </c>
      <c r="Q84" s="1184">
        <f t="shared" ref="Q84" si="181">Q83/Q78</f>
        <v>0.20924899324078264</v>
      </c>
    </row>
    <row r="85" spans="3:17">
      <c r="C85" s="1135"/>
    </row>
    <row r="86" spans="3:17">
      <c r="C86" s="1135"/>
    </row>
    <row r="87" spans="3:17">
      <c r="C87" s="1135"/>
      <c r="F87" s="948"/>
      <c r="G87" s="948"/>
      <c r="H87" s="948"/>
      <c r="I87" s="1203"/>
      <c r="J87" s="948"/>
      <c r="K87" s="948"/>
      <c r="L87" s="948"/>
      <c r="M87" s="948"/>
      <c r="N87" s="948"/>
      <c r="O87" s="948"/>
      <c r="P87" s="948"/>
      <c r="Q87" s="948"/>
    </row>
    <row r="88" spans="3:17">
      <c r="C88" s="1135"/>
      <c r="F88" s="948"/>
      <c r="G88" s="948"/>
      <c r="H88" s="948"/>
      <c r="I88" s="1203"/>
      <c r="J88" s="948"/>
      <c r="K88" s="948"/>
      <c r="L88" s="948"/>
      <c r="M88" s="948"/>
      <c r="N88" s="948"/>
      <c r="O88" s="948"/>
      <c r="P88" s="948"/>
      <c r="Q88" s="948"/>
    </row>
    <row r="89" spans="3:17">
      <c r="C89" s="1135"/>
      <c r="F89" s="1202"/>
      <c r="G89" s="1202"/>
      <c r="H89" s="1202"/>
      <c r="I89" s="1204"/>
      <c r="J89" s="1202"/>
      <c r="K89" s="1202"/>
      <c r="L89" s="1202"/>
      <c r="M89" s="1202"/>
      <c r="N89" s="1202"/>
      <c r="O89" s="1202"/>
      <c r="P89" s="1202"/>
      <c r="Q89" s="1202"/>
    </row>
    <row r="90" spans="3:17">
      <c r="C90" s="1135"/>
      <c r="F90" s="941"/>
      <c r="G90" s="941"/>
      <c r="H90" s="941"/>
      <c r="I90" s="1112"/>
      <c r="J90" s="941"/>
      <c r="K90" s="941"/>
      <c r="L90" s="941"/>
      <c r="M90" s="941"/>
      <c r="N90" s="941"/>
      <c r="O90" s="941"/>
      <c r="P90" s="941"/>
      <c r="Q90" s="941"/>
    </row>
    <row r="91" spans="3:17">
      <c r="C91" s="1135"/>
      <c r="F91" s="941"/>
      <c r="G91" s="941"/>
      <c r="H91" s="941"/>
      <c r="I91" s="1112"/>
      <c r="J91" s="941"/>
      <c r="K91" s="941"/>
      <c r="L91" s="941"/>
      <c r="M91" s="941"/>
      <c r="N91" s="941"/>
      <c r="O91" s="941"/>
      <c r="P91" s="941"/>
      <c r="Q91" s="941"/>
    </row>
    <row r="92" spans="3:17">
      <c r="C92" s="1135"/>
      <c r="F92" s="1184"/>
      <c r="G92" s="1184"/>
      <c r="H92" s="1184"/>
      <c r="I92" s="1205"/>
      <c r="J92" s="1184"/>
      <c r="K92" s="1184"/>
      <c r="L92" s="1184"/>
      <c r="M92" s="1184"/>
      <c r="N92" s="1184"/>
      <c r="O92" s="1184"/>
      <c r="P92" s="1184"/>
      <c r="Q92" s="1184"/>
    </row>
    <row r="93" spans="3:17">
      <c r="I93" s="1125"/>
    </row>
    <row r="94" spans="3:17">
      <c r="I94" s="1125"/>
    </row>
    <row r="95" spans="3:17">
      <c r="I95" s="1125"/>
    </row>
    <row r="96" spans="3:17">
      <c r="I96" s="1125"/>
    </row>
  </sheetData>
  <phoneticPr fontId="5" type="noConversion"/>
  <conditionalFormatting sqref="F2:F3 N3:Q3">
    <cfRule type="containsText" dxfId="66" priority="2" operator="containsText" text="Error">
      <formula>NOT(ISERROR(SEARCH("Error",F2)))</formula>
    </cfRule>
  </conditionalFormatting>
  <conditionalFormatting sqref="H3:L3">
    <cfRule type="containsText" dxfId="65" priority="1" operator="containsText" text="Error">
      <formula>NOT(ISERROR(SEARCH("Error",H3)))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"/>
  <sheetViews>
    <sheetView workbookViewId="0">
      <selection activeCell="E17" sqref="E17"/>
    </sheetView>
  </sheetViews>
  <sheetFormatPr defaultColWidth="8.6640625" defaultRowHeight="14"/>
  <cols>
    <col min="1" max="16384" width="8.6640625" style="470"/>
  </cols>
  <sheetData/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U59"/>
  <sheetViews>
    <sheetView showGridLines="0" zoomScale="70" zoomScaleNormal="70" workbookViewId="0">
      <pane xSplit="7" ySplit="6" topLeftCell="H28" activePane="bottomRight" state="frozen"/>
      <selection activeCell="A4" sqref="A4:R53"/>
      <selection pane="topRight" activeCell="A4" sqref="A4:R53"/>
      <selection pane="bottomLeft" activeCell="A4" sqref="A4:R53"/>
      <selection pane="bottomRight" activeCell="S45" sqref="S45"/>
    </sheetView>
  </sheetViews>
  <sheetFormatPr defaultColWidth="8.6640625" defaultRowHeight="14.5"/>
  <cols>
    <col min="1" max="4" width="2.4140625" style="216" customWidth="1"/>
    <col min="5" max="7" width="11.1640625" style="216" customWidth="1"/>
    <col min="8" max="19" width="11.5" style="216" customWidth="1"/>
    <col min="20" max="20" width="8.6640625" style="216"/>
    <col min="21" max="21" width="11.25" style="216" customWidth="1"/>
    <col min="22" max="16384" width="8.6640625" style="216"/>
  </cols>
  <sheetData>
    <row r="1" spans="1:21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</row>
    <row r="2" spans="1:21" s="1" customFormat="1" ht="20.25" customHeight="1">
      <c r="A2" s="1579" t="s">
        <v>477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</row>
    <row r="3" spans="1:21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</row>
    <row r="4" spans="1:21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U4" s="468" t="s">
        <v>356</v>
      </c>
    </row>
    <row r="5" spans="1:21" s="1" customFormat="1" ht="14.25" customHeight="1">
      <c r="A5" s="5" t="s">
        <v>471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  <c r="U5" s="468" t="s">
        <v>723</v>
      </c>
    </row>
    <row r="6" spans="1:21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1" s="184" customFormat="1" ht="14.25" customHeight="1">
      <c r="A7" s="213"/>
      <c r="B7" s="213"/>
      <c r="C7" s="214"/>
      <c r="D7" s="214"/>
      <c r="E7" s="215"/>
      <c r="F7" s="215"/>
      <c r="G7" s="215"/>
      <c r="H7" s="215"/>
      <c r="I7" s="215"/>
      <c r="J7" s="215"/>
      <c r="K7" s="215"/>
      <c r="L7" s="674"/>
      <c r="M7" s="674"/>
      <c r="N7" s="674"/>
      <c r="O7" s="215"/>
      <c r="P7" s="215"/>
      <c r="U7" s="185"/>
    </row>
    <row r="8" spans="1:21" s="184" customFormat="1">
      <c r="B8" s="183" t="s">
        <v>658</v>
      </c>
      <c r="H8" s="427">
        <f>集团!H23</f>
        <v>1025.8019006867896</v>
      </c>
      <c r="I8" s="427">
        <f>集团!I23</f>
        <v>1065.4784546805349</v>
      </c>
      <c r="J8" s="427">
        <f>集团!J23</f>
        <v>964.25071225071235</v>
      </c>
      <c r="K8" s="427">
        <f>集团!K23</f>
        <v>882</v>
      </c>
      <c r="L8" s="427">
        <f>集团!L23</f>
        <v>1058.2698021189528</v>
      </c>
      <c r="M8" s="427">
        <f>集团!M23</f>
        <v>616.84498319128465</v>
      </c>
      <c r="N8" s="427">
        <f>集团!N23</f>
        <v>1151.4886907542771</v>
      </c>
      <c r="O8" s="427">
        <f>集团!O23</f>
        <v>1290.0068662577848</v>
      </c>
      <c r="P8" s="427">
        <f>集团!P23</f>
        <v>1429.2016678646849</v>
      </c>
      <c r="Q8" s="427">
        <f>集团!Q23</f>
        <v>1573.4186791899328</v>
      </c>
      <c r="R8" s="427">
        <f>集团!R23</f>
        <v>1740.8288120849238</v>
      </c>
      <c r="S8" s="427">
        <f>集团!S23</f>
        <v>1941.2009819748844</v>
      </c>
      <c r="U8" s="25">
        <f>POWER(S8/N8,1/5)-1</f>
        <v>0.11010015956847674</v>
      </c>
    </row>
    <row r="9" spans="1:21" s="184" customFormat="1">
      <c r="B9" s="184" t="s">
        <v>659</v>
      </c>
      <c r="H9" s="20">
        <f>H10-H8</f>
        <v>-895.07465679463485</v>
      </c>
      <c r="I9" s="20">
        <f t="shared" ref="I9:L9" si="0">I10-I8</f>
        <v>-877.75668939300601</v>
      </c>
      <c r="J9" s="20">
        <f t="shared" si="0"/>
        <v>-802.00076218875029</v>
      </c>
      <c r="K9" s="20">
        <f t="shared" si="0"/>
        <v>-703</v>
      </c>
      <c r="L9" s="20">
        <f t="shared" si="0"/>
        <v>-839.13261313537191</v>
      </c>
      <c r="M9" s="20">
        <f t="shared" ref="M9:S9" si="1">M10-M8</f>
        <v>-470.8741185303204</v>
      </c>
      <c r="N9" s="20">
        <f t="shared" si="1"/>
        <v>-899.43948016769752</v>
      </c>
      <c r="O9" s="20">
        <f t="shared" si="1"/>
        <v>-1007.4478309680402</v>
      </c>
      <c r="P9" s="20">
        <f t="shared" si="1"/>
        <v>-1102.6017687805581</v>
      </c>
      <c r="Q9" s="20">
        <f t="shared" si="1"/>
        <v>-1201.9280809753932</v>
      </c>
      <c r="R9" s="20">
        <f t="shared" si="1"/>
        <v>-1319.5719260732253</v>
      </c>
      <c r="S9" s="20">
        <f t="shared" si="1"/>
        <v>-1463.4440200746853</v>
      </c>
      <c r="U9" s="185"/>
    </row>
    <row r="10" spans="1:21" s="183" customFormat="1">
      <c r="B10" s="183" t="s">
        <v>651</v>
      </c>
      <c r="H10" s="427">
        <f>集团!H67</f>
        <v>130.72724389215483</v>
      </c>
      <c r="I10" s="427">
        <f>集团!I67</f>
        <v>187.72176528752891</v>
      </c>
      <c r="J10" s="427">
        <f>集团!J67</f>
        <v>162.24995006196207</v>
      </c>
      <c r="K10" s="427">
        <f>集团!K67</f>
        <v>179</v>
      </c>
      <c r="L10" s="524">
        <f>集团!L67</f>
        <v>219.1371889835809</v>
      </c>
      <c r="M10" s="524">
        <f>集团!M67</f>
        <v>145.97086466096428</v>
      </c>
      <c r="N10" s="524">
        <f>集团!N67</f>
        <v>252.04921058657956</v>
      </c>
      <c r="O10" s="524">
        <f>集团!O67</f>
        <v>282.55903528974466</v>
      </c>
      <c r="P10" s="524">
        <f>集团!P67</f>
        <v>326.59989908412678</v>
      </c>
      <c r="Q10" s="524">
        <f>集团!Q67</f>
        <v>371.4905982145396</v>
      </c>
      <c r="R10" s="524">
        <f>集团!R67</f>
        <v>421.25688601169861</v>
      </c>
      <c r="S10" s="524">
        <f>集团!S67</f>
        <v>477.75696190019892</v>
      </c>
      <c r="U10" s="218"/>
    </row>
    <row r="11" spans="1:21" s="183" customFormat="1">
      <c r="C11" s="185" t="s">
        <v>660</v>
      </c>
      <c r="H11" s="24">
        <f>H10/H8</f>
        <v>0.12743907357222772</v>
      </c>
      <c r="I11" s="24">
        <f t="shared" ref="I11:L11" si="2">I10/I8</f>
        <v>0.17618541647922295</v>
      </c>
      <c r="J11" s="24">
        <f t="shared" si="2"/>
        <v>0.16826531523450497</v>
      </c>
      <c r="K11" s="24">
        <f t="shared" si="2"/>
        <v>0.20294784580498867</v>
      </c>
      <c r="L11" s="24">
        <f t="shared" si="2"/>
        <v>0.2070711916231634</v>
      </c>
      <c r="M11" s="24">
        <f t="shared" ref="M11:S11" si="3">M10/M8</f>
        <v>0.23664108266841244</v>
      </c>
      <c r="N11" s="24">
        <f t="shared" si="3"/>
        <v>0.21888987066080168</v>
      </c>
      <c r="O11" s="24">
        <f t="shared" si="3"/>
        <v>0.21903684598937653</v>
      </c>
      <c r="P11" s="24">
        <f t="shared" si="3"/>
        <v>0.22851911415138992</v>
      </c>
      <c r="Q11" s="24">
        <f t="shared" si="3"/>
        <v>0.23610409811951627</v>
      </c>
      <c r="R11" s="24">
        <f t="shared" si="3"/>
        <v>0.24198639354272602</v>
      </c>
      <c r="S11" s="24">
        <f t="shared" si="3"/>
        <v>0.24611411509495118</v>
      </c>
      <c r="U11" s="218"/>
    </row>
    <row r="12" spans="1:21" s="184" customFormat="1">
      <c r="U12" s="185"/>
    </row>
    <row r="13" spans="1:21" s="183" customFormat="1">
      <c r="B13" s="184" t="s">
        <v>661</v>
      </c>
      <c r="C13" s="184"/>
      <c r="D13" s="184"/>
      <c r="H13" s="21">
        <f>集团!H88</f>
        <v>-44.568275741326758</v>
      </c>
      <c r="I13" s="21">
        <f>集团!I88</f>
        <v>-38.092794283629601</v>
      </c>
      <c r="J13" s="21">
        <f>集团!J88</f>
        <v>-37.915595903874312</v>
      </c>
      <c r="K13" s="21">
        <f>集团!K88</f>
        <v>-31</v>
      </c>
      <c r="L13" s="21">
        <f>集团!L88</f>
        <v>-40.34750517661913</v>
      </c>
      <c r="M13" s="21">
        <f>集团!M88</f>
        <v>-23.934226783199147</v>
      </c>
      <c r="N13" s="21">
        <f>集团!N88</f>
        <v>-37.639350715158272</v>
      </c>
      <c r="O13" s="21">
        <f>集团!O88</f>
        <v>-41.900993690550536</v>
      </c>
      <c r="P13" s="21">
        <f>集团!P88</f>
        <v>-46.538228222124197</v>
      </c>
      <c r="Q13" s="21">
        <f>集团!Q88</f>
        <v>-51.538804910872173</v>
      </c>
      <c r="R13" s="21">
        <f>集团!R88</f>
        <v>-57.246272026542698</v>
      </c>
      <c r="S13" s="21">
        <f>集团!S88</f>
        <v>-63.754306626792498</v>
      </c>
      <c r="U13" s="25">
        <f>POWER(S13/N13,1/5)-1</f>
        <v>0.11115202157364457</v>
      </c>
    </row>
    <row r="14" spans="1:21" s="218" customFormat="1">
      <c r="B14" s="185"/>
      <c r="C14" s="185" t="s">
        <v>663</v>
      </c>
      <c r="D14" s="185"/>
      <c r="H14" s="94">
        <f>-H13/H$8</f>
        <v>4.3447254008291109E-2</v>
      </c>
      <c r="I14" s="94">
        <f t="shared" ref="I14:L14" si="4">-I13/I$8</f>
        <v>3.5751820336011451E-2</v>
      </c>
      <c r="J14" s="94">
        <f t="shared" si="4"/>
        <v>3.9321304534350163E-2</v>
      </c>
      <c r="K14" s="94">
        <f t="shared" si="4"/>
        <v>3.5147392290249435E-2</v>
      </c>
      <c r="L14" s="94">
        <f t="shared" si="4"/>
        <v>3.812591561795689E-2</v>
      </c>
      <c r="M14" s="94">
        <f t="shared" ref="M14:S14" si="5">-M13/M$8</f>
        <v>3.8801039864787397E-2</v>
      </c>
      <c r="N14" s="94">
        <f t="shared" si="5"/>
        <v>3.2687555698443553E-2</v>
      </c>
      <c r="O14" s="94">
        <f t="shared" si="5"/>
        <v>3.248121757064925E-2</v>
      </c>
      <c r="P14" s="94">
        <f t="shared" si="5"/>
        <v>3.2562394285234199E-2</v>
      </c>
      <c r="Q14" s="94">
        <f t="shared" si="5"/>
        <v>3.2755938131741692E-2</v>
      </c>
      <c r="R14" s="94">
        <f t="shared" si="5"/>
        <v>3.2884492506750872E-2</v>
      </c>
      <c r="S14" s="94">
        <f t="shared" si="5"/>
        <v>3.2842712948729265E-2</v>
      </c>
    </row>
    <row r="15" spans="1:21" s="183" customFormat="1">
      <c r="B15" s="184" t="s">
        <v>662</v>
      </c>
      <c r="C15" s="184"/>
      <c r="D15" s="184"/>
      <c r="H15" s="21">
        <f>集团!H99</f>
        <v>-71.161082616765853</v>
      </c>
      <c r="I15" s="21">
        <f>集团!I99</f>
        <v>-73.093901777528075</v>
      </c>
      <c r="J15" s="21">
        <f>集团!J99</f>
        <v>-74.654317733624922</v>
      </c>
      <c r="K15" s="21">
        <f>集团!K99</f>
        <v>-54</v>
      </c>
      <c r="L15" s="21">
        <f>集团!L99</f>
        <v>-70.226889654548501</v>
      </c>
      <c r="M15" s="21">
        <f>集团!M99</f>
        <v>-47.973332174609304</v>
      </c>
      <c r="N15" s="21">
        <f>集团!N99</f>
        <v>-84.756585663159171</v>
      </c>
      <c r="O15" s="21">
        <f>集团!O99</f>
        <v>-90.29311711139438</v>
      </c>
      <c r="P15" s="21">
        <f>集团!P99</f>
        <v>-95.884443197802895</v>
      </c>
      <c r="Q15" s="21">
        <f>集团!Q99</f>
        <v>-101.56305509919598</v>
      </c>
      <c r="R15" s="21">
        <f>集团!R99</f>
        <v>-107.99412973266897</v>
      </c>
      <c r="S15" s="21">
        <f>集团!S99</f>
        <v>-115.26468214107898</v>
      </c>
      <c r="U15" s="25">
        <f>POWER(S15/N15,1/5)-1</f>
        <v>6.3419355542722933E-2</v>
      </c>
    </row>
    <row r="16" spans="1:21" s="218" customFormat="1">
      <c r="B16" s="185"/>
      <c r="C16" s="185" t="s">
        <v>663</v>
      </c>
      <c r="D16" s="185"/>
      <c r="H16" s="94">
        <f>-H15/H$8</f>
        <v>6.9371174462751969E-2</v>
      </c>
      <c r="I16" s="94">
        <f t="shared" ref="I16" si="6">-I15/I$8</f>
        <v>6.8601951974189848E-2</v>
      </c>
      <c r="J16" s="94">
        <f t="shared" ref="J16" si="7">-J15/J$8</f>
        <v>7.7422102763471168E-2</v>
      </c>
      <c r="K16" s="94">
        <f t="shared" ref="K16" si="8">-K15/K$8</f>
        <v>6.1224489795918366E-2</v>
      </c>
      <c r="L16" s="94">
        <f t="shared" ref="L16:S16" si="9">-L15/L$8</f>
        <v>6.6360099772226872E-2</v>
      </c>
      <c r="M16" s="94">
        <f t="shared" si="9"/>
        <v>7.777210398375356E-2</v>
      </c>
      <c r="N16" s="94">
        <f t="shared" si="9"/>
        <v>7.3606094739532169E-2</v>
      </c>
      <c r="O16" s="94">
        <f t="shared" si="9"/>
        <v>6.9994291870188324E-2</v>
      </c>
      <c r="P16" s="94">
        <f t="shared" si="9"/>
        <v>6.70895125255907E-2</v>
      </c>
      <c r="Q16" s="94">
        <f t="shared" si="9"/>
        <v>6.454928776585088E-2</v>
      </c>
      <c r="R16" s="94">
        <f t="shared" si="9"/>
        <v>6.2036042247789171E-2</v>
      </c>
      <c r="S16" s="94">
        <f t="shared" si="9"/>
        <v>5.9378025877472124E-2</v>
      </c>
    </row>
    <row r="17" spans="2:21" s="183" customFormat="1">
      <c r="B17" s="184" t="s">
        <v>664</v>
      </c>
      <c r="C17" s="184"/>
      <c r="D17" s="184"/>
      <c r="H17" s="21">
        <f>集团!H110</f>
        <v>-11.727935464381503</v>
      </c>
      <c r="I17" s="21">
        <f>集团!I110</f>
        <v>-13.259454249817875</v>
      </c>
      <c r="J17" s="21">
        <f>集团!J110</f>
        <v>-13.025654915361986</v>
      </c>
      <c r="K17" s="21">
        <f>集团!K110</f>
        <v>-13</v>
      </c>
      <c r="L17" s="21">
        <f>集团!L110</f>
        <v>-15.83161924614328</v>
      </c>
      <c r="M17" s="21">
        <f>集团!M110</f>
        <v>-8.7826782481959569</v>
      </c>
      <c r="N17" s="21">
        <f>集团!N110</f>
        <v>-15.620416883767481</v>
      </c>
      <c r="O17" s="21">
        <f>集团!O110</f>
        <v>-17.766899834316241</v>
      </c>
      <c r="P17" s="21">
        <f>集团!P110</f>
        <v>-20.194008834197348</v>
      </c>
      <c r="Q17" s="21">
        <f>集团!Q110</f>
        <v>-22.836823671653264</v>
      </c>
      <c r="R17" s="21">
        <f>集团!R110</f>
        <v>-25.767559410761042</v>
      </c>
      <c r="S17" s="21">
        <f>集团!S110</f>
        <v>-28.870103522052091</v>
      </c>
      <c r="U17" s="25">
        <f>POWER(S17/N17,1/5)-1</f>
        <v>0.13070976850239036</v>
      </c>
    </row>
    <row r="18" spans="2:21" s="218" customFormat="1">
      <c r="B18" s="185"/>
      <c r="C18" s="185" t="s">
        <v>663</v>
      </c>
      <c r="D18" s="185"/>
      <c r="H18" s="94">
        <f>-H17/H$8</f>
        <v>1.1432943784301311E-2</v>
      </c>
      <c r="I18" s="94">
        <f t="shared" ref="I18" si="10">-I17/I$8</f>
        <v>1.2444601006778208E-2</v>
      </c>
      <c r="J18" s="94">
        <f t="shared" ref="J18" si="11">-J17/J$8</f>
        <v>1.3508576918712422E-2</v>
      </c>
      <c r="K18" s="94">
        <f t="shared" ref="K18" si="12">-K17/K$8</f>
        <v>1.4739229024943311E-2</v>
      </c>
      <c r="L18" s="94">
        <f t="shared" ref="L18:S18" si="13">-L17/L$8</f>
        <v>1.4959908347043391E-2</v>
      </c>
      <c r="M18" s="94">
        <f t="shared" si="13"/>
        <v>1.4238063836976095E-2</v>
      </c>
      <c r="N18" s="94">
        <f t="shared" si="13"/>
        <v>1.3565410593425285E-2</v>
      </c>
      <c r="O18" s="94">
        <f t="shared" si="13"/>
        <v>1.3772717261464439E-2</v>
      </c>
      <c r="P18" s="94">
        <f t="shared" si="13"/>
        <v>1.4129572675610181E-2</v>
      </c>
      <c r="Q18" s="94">
        <f t="shared" si="13"/>
        <v>1.4514142976496692E-2</v>
      </c>
      <c r="R18" s="94">
        <f t="shared" si="13"/>
        <v>1.4801891623048348E-2</v>
      </c>
      <c r="S18" s="94">
        <f t="shared" si="13"/>
        <v>1.4872289778403594E-2</v>
      </c>
    </row>
    <row r="19" spans="2:21" s="218" customFormat="1">
      <c r="B19" s="185"/>
      <c r="C19" s="185"/>
      <c r="D19" s="18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</row>
    <row r="20" spans="2:21" s="184" customFormat="1">
      <c r="B20" s="184" t="s">
        <v>355</v>
      </c>
      <c r="H20" s="21">
        <f>集团!H121</f>
        <v>-22.621444140952725</v>
      </c>
      <c r="I20" s="21">
        <f>集团!I121</f>
        <v>-17.591460654030595</v>
      </c>
      <c r="J20" s="21">
        <f>集团!J121</f>
        <v>-37.728713825706819</v>
      </c>
      <c r="K20" s="21">
        <f>集团!K121</f>
        <v>-28</v>
      </c>
      <c r="L20" s="21">
        <f>集团!L121</f>
        <v>-31.783561927388327</v>
      </c>
      <c r="M20" s="21">
        <f>集团!M121</f>
        <v>-20.819236992816492</v>
      </c>
      <c r="N20" s="21">
        <f>集团!N121</f>
        <v>-35.355664040141086</v>
      </c>
      <c r="O20" s="21">
        <f ca="1">集团!O121</f>
        <v>-12.412779247011152</v>
      </c>
      <c r="P20" s="21">
        <f ca="1">集团!P121</f>
        <v>-9.894269850849561</v>
      </c>
      <c r="Q20" s="21">
        <f ca="1">集团!Q121</f>
        <v>-4.5442281800614621</v>
      </c>
      <c r="R20" s="21">
        <f ca="1">集团!R121</f>
        <v>0.92161245347886478</v>
      </c>
      <c r="S20" s="21">
        <f ca="1">集团!S121</f>
        <v>7.728196596551399</v>
      </c>
      <c r="U20" s="185"/>
    </row>
    <row r="21" spans="2:21" s="184" customFormat="1">
      <c r="C21" s="185" t="s">
        <v>663</v>
      </c>
      <c r="H21" s="94">
        <f>-H20/H$8</f>
        <v>2.2052449040898963E-2</v>
      </c>
      <c r="I21" s="94">
        <f t="shared" ref="I21:L21" si="14">-I20/I$8</f>
        <v>1.6510386086882524E-2</v>
      </c>
      <c r="J21" s="94">
        <f t="shared" si="14"/>
        <v>3.9127493862713449E-2</v>
      </c>
      <c r="K21" s="94">
        <f t="shared" si="14"/>
        <v>3.1746031746031744E-2</v>
      </c>
      <c r="L21" s="94">
        <f t="shared" si="14"/>
        <v>3.0033514954077613E-2</v>
      </c>
      <c r="M21" s="94">
        <f t="shared" ref="M21:S21" si="15">-M20/M$8</f>
        <v>3.375116530105654E-2</v>
      </c>
      <c r="N21" s="94">
        <f t="shared" si="15"/>
        <v>3.0704308539045686E-2</v>
      </c>
      <c r="O21" s="94">
        <f t="shared" ca="1" si="15"/>
        <v>9.6222582776010427E-3</v>
      </c>
      <c r="P21" s="94">
        <f t="shared" ca="1" si="15"/>
        <v>6.9229347217542843E-3</v>
      </c>
      <c r="Q21" s="94">
        <f t="shared" ca="1" si="15"/>
        <v>2.8881239559206432E-3</v>
      </c>
      <c r="R21" s="94">
        <f t="shared" ca="1" si="15"/>
        <v>-5.2941015628933956E-4</v>
      </c>
      <c r="S21" s="94">
        <f t="shared" ca="1" si="15"/>
        <v>-3.9811419159128513E-3</v>
      </c>
      <c r="U21" s="185"/>
    </row>
    <row r="22" spans="2:21" s="184" customFormat="1">
      <c r="B22" s="183"/>
      <c r="U22" s="185"/>
    </row>
    <row r="23" spans="2:21" s="184" customFormat="1">
      <c r="B23" s="183" t="s">
        <v>666</v>
      </c>
      <c r="H23" s="23">
        <f>SUM(H24:H29)</f>
        <v>-19.373561570276582</v>
      </c>
      <c r="I23" s="23">
        <f t="shared" ref="I23:L23" si="16">SUM(I24:I29)</f>
        <v>-15.80281583078664</v>
      </c>
      <c r="J23" s="23">
        <f t="shared" si="16"/>
        <v>-17.161726489479758</v>
      </c>
      <c r="K23" s="23">
        <f t="shared" si="16"/>
        <v>-10</v>
      </c>
      <c r="L23" s="23">
        <f t="shared" si="16"/>
        <v>-12.672843165180502</v>
      </c>
      <c r="M23" s="23">
        <f t="shared" ref="M23" si="17">SUM(M24:M29)</f>
        <v>-4.2292375979612498</v>
      </c>
      <c r="N23" s="23">
        <f t="shared" ref="N23" si="18">SUM(N24:N29)</f>
        <v>-9.4718749270545075</v>
      </c>
      <c r="O23" s="23">
        <f t="shared" ref="O23" ca="1" si="19">SUM(O24:O29)</f>
        <v>-10.229832550688938</v>
      </c>
      <c r="P23" s="23">
        <f t="shared" ref="P23" ca="1" si="20">SUM(P24:P29)</f>
        <v>-10.846736055150465</v>
      </c>
      <c r="Q23" s="23">
        <f t="shared" ref="Q23" ca="1" si="21">SUM(Q24:Q29)</f>
        <v>-11.379703743086242</v>
      </c>
      <c r="R23" s="23">
        <f t="shared" ref="R23" ca="1" si="22">SUM(R24:R29)</f>
        <v>-12.096617783265179</v>
      </c>
      <c r="S23" s="23">
        <f t="shared" ref="S23" ca="1" si="23">SUM(S24:S29)</f>
        <v>-13.217667468125519</v>
      </c>
      <c r="U23" s="185"/>
    </row>
    <row r="24" spans="2:21" s="184" customFormat="1">
      <c r="B24" s="183"/>
      <c r="C24" s="184" t="s">
        <v>667</v>
      </c>
      <c r="H24" s="21">
        <f>集团!H132</f>
        <v>-3.2170889994338245</v>
      </c>
      <c r="I24" s="21">
        <f>集团!I132</f>
        <v>-3.048729663787336</v>
      </c>
      <c r="J24" s="21">
        <f>集团!J132</f>
        <v>-3.2603306065474036</v>
      </c>
      <c r="K24" s="21">
        <f>集团!K132</f>
        <v>-3</v>
      </c>
      <c r="L24" s="21">
        <f>集团!L132</f>
        <v>-3.9863014261197383</v>
      </c>
      <c r="M24" s="21">
        <f>集团!M132</f>
        <v>-1.9193618838579136</v>
      </c>
      <c r="N24" s="21">
        <f>集团!N132</f>
        <v>-3.3562006168038847</v>
      </c>
      <c r="O24" s="21">
        <f>集团!O132</f>
        <v>-3.7688117022012433</v>
      </c>
      <c r="P24" s="21">
        <f>集团!P132</f>
        <v>-4.2193391413211208</v>
      </c>
      <c r="Q24" s="21">
        <f>集团!Q132</f>
        <v>-4.699835658649727</v>
      </c>
      <c r="R24" s="21">
        <f>集团!R132</f>
        <v>-5.2442348730304946</v>
      </c>
      <c r="S24" s="21">
        <f>集团!S132</f>
        <v>-5.850761664699446</v>
      </c>
      <c r="U24" s="185"/>
    </row>
    <row r="25" spans="2:21" s="184" customFormat="1">
      <c r="B25" s="183"/>
      <c r="C25" s="184" t="s">
        <v>1019</v>
      </c>
      <c r="H25" s="21">
        <f>集团!H143</f>
        <v>-1.49150586</v>
      </c>
      <c r="I25" s="21">
        <f>集团!I143</f>
        <v>-0.20190606999999999</v>
      </c>
      <c r="J25" s="21">
        <f>集团!J143</f>
        <v>0.14466589999999999</v>
      </c>
      <c r="K25" s="21">
        <f>集团!K143</f>
        <v>0</v>
      </c>
      <c r="L25" s="21">
        <f>集团!L143</f>
        <v>-7.8758999999999996E-2</v>
      </c>
      <c r="M25" s="21">
        <f>集团!M143</f>
        <v>0</v>
      </c>
      <c r="N25" s="21">
        <f>集团!N143</f>
        <v>0</v>
      </c>
      <c r="O25" s="21">
        <f>集团!O143</f>
        <v>0</v>
      </c>
      <c r="P25" s="21">
        <f>集团!P143</f>
        <v>0</v>
      </c>
      <c r="Q25" s="21">
        <f>集团!Q143</f>
        <v>0</v>
      </c>
      <c r="R25" s="21">
        <f>集团!R143</f>
        <v>0</v>
      </c>
      <c r="S25" s="21">
        <f>集团!S143</f>
        <v>0</v>
      </c>
      <c r="U25" s="185"/>
    </row>
    <row r="26" spans="2:21" s="184" customFormat="1">
      <c r="C26" s="184" t="s">
        <v>668</v>
      </c>
      <c r="H26" s="21">
        <f>集团!H154</f>
        <v>-20.470870102793516</v>
      </c>
      <c r="I26" s="21">
        <f>集团!I154</f>
        <v>-15.984869979501795</v>
      </c>
      <c r="J26" s="21">
        <f>集团!J154</f>
        <v>-15.342640875359994</v>
      </c>
      <c r="K26" s="21">
        <f>集团!K154</f>
        <v>-10</v>
      </c>
      <c r="L26" s="21">
        <f>集团!L154</f>
        <v>-13.464614524344976</v>
      </c>
      <c r="M26" s="21">
        <f>集团!M154</f>
        <v>-5.1169887943775203</v>
      </c>
      <c r="N26" s="21">
        <f>集团!N154</f>
        <v>-10.57158701018761</v>
      </c>
      <c r="O26" s="21">
        <f>集团!O154</f>
        <v>-11.467442763595596</v>
      </c>
      <c r="P26" s="21">
        <f>集团!P154</f>
        <v>-12.304482118765556</v>
      </c>
      <c r="Q26" s="21">
        <f>集团!Q154</f>
        <v>-13.103541531461838</v>
      </c>
      <c r="R26" s="21">
        <f>集团!R154</f>
        <v>-14.11707361959043</v>
      </c>
      <c r="S26" s="21">
        <f>集团!S154</f>
        <v>-15.519980599223024</v>
      </c>
      <c r="U26" s="185"/>
    </row>
    <row r="27" spans="2:21" s="184" customFormat="1">
      <c r="C27" s="184" t="s">
        <v>669</v>
      </c>
      <c r="H27" s="21">
        <f>集团!H165</f>
        <v>-2.3691085530922916E-3</v>
      </c>
      <c r="I27" s="21">
        <f>集团!I165</f>
        <v>-8.0874205156033552E-2</v>
      </c>
      <c r="J27" s="21">
        <f>集团!J165</f>
        <v>-0.45697692790352673</v>
      </c>
      <c r="K27" s="21">
        <f>集团!K165</f>
        <v>0</v>
      </c>
      <c r="L27" s="21">
        <f>集团!L165</f>
        <v>0.64161291931638553</v>
      </c>
      <c r="M27" s="21">
        <f>集团!M165</f>
        <v>-4.1509620000000004E-2</v>
      </c>
      <c r="N27" s="21">
        <f>集团!N165</f>
        <v>0.10791485259740913</v>
      </c>
      <c r="O27" s="21">
        <f ca="1">集团!O165</f>
        <v>3.2382579030073688E-2</v>
      </c>
      <c r="P27" s="21">
        <f ca="1">集团!P165</f>
        <v>-1.442240346537349E-2</v>
      </c>
      <c r="Q27" s="21">
        <f ca="1">集团!Q165</f>
        <v>-5.5184831205964735E-2</v>
      </c>
      <c r="R27" s="21">
        <f ca="1">集团!R165</f>
        <v>-8.0358176473769305E-2</v>
      </c>
      <c r="S27" s="21">
        <f ca="1">集团!S165</f>
        <v>-9.0977531907037945E-2</v>
      </c>
      <c r="U27" s="185"/>
    </row>
    <row r="28" spans="2:21" s="184" customFormat="1">
      <c r="C28" s="184" t="s">
        <v>670</v>
      </c>
      <c r="H28" s="21">
        <f>集团!H176</f>
        <v>3.6133860456102811</v>
      </c>
      <c r="I28" s="21">
        <f>集团!I176</f>
        <v>0.34507136527854188</v>
      </c>
      <c r="J28" s="21">
        <f>集团!J176</f>
        <v>0.45441626066033569</v>
      </c>
      <c r="K28" s="21">
        <f>集团!K176</f>
        <v>2</v>
      </c>
      <c r="L28" s="21">
        <f>集团!L176</f>
        <v>2.2191572467627108</v>
      </c>
      <c r="M28" s="21">
        <f>集团!M176</f>
        <v>1.6418524900606224</v>
      </c>
      <c r="N28" s="21">
        <f>集团!N176</f>
        <v>2.2890604826558367</v>
      </c>
      <c r="O28" s="21">
        <f>集团!O176</f>
        <v>2.6186482337745725</v>
      </c>
      <c r="P28" s="21">
        <f>集团!P176</f>
        <v>2.9963688140045202</v>
      </c>
      <c r="Q28" s="21">
        <f>集团!Q176</f>
        <v>3.410879898779446</v>
      </c>
      <c r="R28" s="21">
        <f>集团!R176</f>
        <v>3.8668973026321067</v>
      </c>
      <c r="S28" s="21">
        <f>集团!S176</f>
        <v>4.3401894533689322</v>
      </c>
      <c r="U28" s="185"/>
    </row>
    <row r="29" spans="2:21" s="184" customFormat="1">
      <c r="C29" s="184" t="s">
        <v>671</v>
      </c>
      <c r="H29" s="21">
        <f>集团!H187</f>
        <v>2.1948864548935707</v>
      </c>
      <c r="I29" s="21">
        <f>集团!I187</f>
        <v>3.1684927223799826</v>
      </c>
      <c r="J29" s="21">
        <f>集团!J187</f>
        <v>1.2991397596708292</v>
      </c>
      <c r="K29" s="21">
        <f>集团!K187</f>
        <v>1</v>
      </c>
      <c r="L29" s="21">
        <f>集团!L187</f>
        <v>1.9960616192051122</v>
      </c>
      <c r="M29" s="21">
        <f>集团!M187</f>
        <v>1.2067702102135613</v>
      </c>
      <c r="N29" s="21">
        <f>集团!N187</f>
        <v>2.0589373646837426</v>
      </c>
      <c r="O29" s="21">
        <f>集团!O187</f>
        <v>2.3553911023032561</v>
      </c>
      <c r="P29" s="21">
        <f>集团!P187</f>
        <v>2.6951387943970664</v>
      </c>
      <c r="Q29" s="21">
        <f>集团!Q187</f>
        <v>3.0679783794518407</v>
      </c>
      <c r="R29" s="21">
        <f>集团!R187</f>
        <v>3.4781515831974077</v>
      </c>
      <c r="S29" s="21">
        <f>集团!S187</f>
        <v>3.9038628743350547</v>
      </c>
      <c r="U29" s="185"/>
    </row>
    <row r="30" spans="2:21" s="184" customFormat="1">
      <c r="U30" s="185"/>
    </row>
    <row r="31" spans="2:21" s="183" customFormat="1">
      <c r="B31" s="183" t="s">
        <v>672</v>
      </c>
      <c r="H31" s="23">
        <f>SUM(H10,H13,H15,H17,H23,H20)</f>
        <v>-38.725055641548593</v>
      </c>
      <c r="I31" s="23">
        <f>SUM(I10,I13,I15,I17,I23,I20)</f>
        <v>29.881338491736134</v>
      </c>
      <c r="J31" s="23">
        <f>SUM(J10,J13,J15,J17,J23,J20)</f>
        <v>-18.236058806085719</v>
      </c>
      <c r="K31" s="23">
        <f>SUM(K10,K13,K15,K17,K23,K20)</f>
        <v>43</v>
      </c>
      <c r="L31" s="23">
        <f>SUM(L10,L13,L15,L17,L23,L20)</f>
        <v>48.274769813701162</v>
      </c>
      <c r="M31" s="23">
        <f t="shared" ref="M31:S31" si="24">SUM(M10,M13,M15,M17,M23,M20)</f>
        <v>40.232152864182126</v>
      </c>
      <c r="N31" s="23">
        <f t="shared" si="24"/>
        <v>69.205318357299063</v>
      </c>
      <c r="O31" s="23">
        <f t="shared" ca="1" si="24"/>
        <v>109.95541285578341</v>
      </c>
      <c r="P31" s="23">
        <f t="shared" ca="1" si="24"/>
        <v>143.2422129240023</v>
      </c>
      <c r="Q31" s="23">
        <f t="shared" ca="1" si="24"/>
        <v>179.62798260967048</v>
      </c>
      <c r="R31" s="23">
        <f t="shared" ca="1" si="24"/>
        <v>219.07391951193964</v>
      </c>
      <c r="S31" s="23">
        <f t="shared" ca="1" si="24"/>
        <v>264.37839873870121</v>
      </c>
      <c r="U31" s="218"/>
    </row>
    <row r="32" spans="2:21" s="218" customFormat="1">
      <c r="B32" s="185"/>
      <c r="C32" s="185" t="s">
        <v>679</v>
      </c>
      <c r="D32" s="185"/>
      <c r="H32" s="175">
        <f>H31/H$8</f>
        <v>-3.7751007885266731E-2</v>
      </c>
      <c r="I32" s="175">
        <f t="shared" ref="I32:L32" si="25">I31/I$8</f>
        <v>2.8044995523344985E-2</v>
      </c>
      <c r="J32" s="175">
        <f t="shared" si="25"/>
        <v>-1.8912154872584849E-2</v>
      </c>
      <c r="K32" s="175">
        <f t="shared" si="25"/>
        <v>4.8752834467120185E-2</v>
      </c>
      <c r="L32" s="175">
        <f t="shared" si="25"/>
        <v>4.561669407654035E-2</v>
      </c>
      <c r="M32" s="175">
        <f t="shared" ref="M32:S32" si="26">M31/M$8</f>
        <v>6.5222469113777437E-2</v>
      </c>
      <c r="N32" s="175">
        <f t="shared" si="26"/>
        <v>6.0100736475289615E-2</v>
      </c>
      <c r="O32" s="175">
        <f t="shared" ca="1" si="26"/>
        <v>8.5236300466179679E-2</v>
      </c>
      <c r="P32" s="175">
        <f t="shared" ca="1" si="26"/>
        <v>0.10022533288672618</v>
      </c>
      <c r="Q32" s="175">
        <f t="shared" ca="1" si="26"/>
        <v>0.11416413506807425</v>
      </c>
      <c r="R32" s="175">
        <f t="shared" ca="1" si="26"/>
        <v>0.1258446080344702</v>
      </c>
      <c r="S32" s="175">
        <f t="shared" ca="1" si="26"/>
        <v>0.1361932129612542</v>
      </c>
    </row>
    <row r="33" spans="2:21" s="184" customFormat="1">
      <c r="B33" s="184" t="s">
        <v>673</v>
      </c>
      <c r="H33" s="21">
        <f>集团!H197</f>
        <v>0</v>
      </c>
      <c r="I33" s="21">
        <f>集团!I197</f>
        <v>0</v>
      </c>
      <c r="J33" s="21">
        <f>集团!J197</f>
        <v>1</v>
      </c>
      <c r="K33" s="21">
        <f>集团!K197</f>
        <v>0</v>
      </c>
      <c r="L33" s="21">
        <f>集团!L197</f>
        <v>0</v>
      </c>
      <c r="M33" s="21">
        <f>集团!M197</f>
        <v>0</v>
      </c>
      <c r="N33" s="21">
        <f>集团!N197</f>
        <v>0</v>
      </c>
      <c r="O33" s="21">
        <f>集团!O197</f>
        <v>0</v>
      </c>
      <c r="P33" s="21">
        <f>集团!P197</f>
        <v>0</v>
      </c>
      <c r="Q33" s="21">
        <f>集团!Q197</f>
        <v>0</v>
      </c>
      <c r="R33" s="21">
        <f>集团!R197</f>
        <v>0</v>
      </c>
      <c r="S33" s="21">
        <f>集团!S197</f>
        <v>0</v>
      </c>
      <c r="U33" s="185"/>
    </row>
    <row r="34" spans="2:21" s="184" customFormat="1">
      <c r="U34" s="185"/>
    </row>
    <row r="35" spans="2:21" s="183" customFormat="1">
      <c r="B35" s="183" t="s">
        <v>674</v>
      </c>
      <c r="H35" s="217">
        <f>H31+H33</f>
        <v>-38.725055641548593</v>
      </c>
      <c r="I35" s="217">
        <f t="shared" ref="I35:K35" si="27">I31+I33</f>
        <v>29.881338491736134</v>
      </c>
      <c r="J35" s="217">
        <f t="shared" si="27"/>
        <v>-17.236058806085719</v>
      </c>
      <c r="K35" s="217">
        <f t="shared" si="27"/>
        <v>43</v>
      </c>
      <c r="L35" s="217">
        <f>L31+L33</f>
        <v>48.274769813701162</v>
      </c>
      <c r="M35" s="217">
        <f t="shared" ref="M35:S35" si="28">M31+M33</f>
        <v>40.232152864182126</v>
      </c>
      <c r="N35" s="217">
        <f t="shared" si="28"/>
        <v>69.205318357299063</v>
      </c>
      <c r="O35" s="217">
        <f t="shared" ca="1" si="28"/>
        <v>109.95541285578341</v>
      </c>
      <c r="P35" s="217">
        <f t="shared" ca="1" si="28"/>
        <v>143.2422129240023</v>
      </c>
      <c r="Q35" s="217">
        <f t="shared" ca="1" si="28"/>
        <v>179.62798260967048</v>
      </c>
      <c r="R35" s="217">
        <f t="shared" ca="1" si="28"/>
        <v>219.07391951193964</v>
      </c>
      <c r="S35" s="217">
        <f t="shared" ca="1" si="28"/>
        <v>264.37839873870121</v>
      </c>
      <c r="U35" s="218"/>
    </row>
    <row r="36" spans="2:21" s="218" customFormat="1">
      <c r="B36" s="185"/>
      <c r="C36" s="185" t="s">
        <v>675</v>
      </c>
      <c r="D36" s="185"/>
      <c r="H36" s="175">
        <f>H35/H$8</f>
        <v>-3.7751007885266731E-2</v>
      </c>
      <c r="I36" s="175">
        <f t="shared" ref="I36" si="29">I35/I$8</f>
        <v>2.8044995523344985E-2</v>
      </c>
      <c r="J36" s="175">
        <f t="shared" ref="J36" si="30">J35/J$8</f>
        <v>-1.7875080191389288E-2</v>
      </c>
      <c r="K36" s="175">
        <f t="shared" ref="K36" si="31">K35/K$8</f>
        <v>4.8752834467120185E-2</v>
      </c>
      <c r="L36" s="175">
        <f t="shared" ref="L36:S36" si="32">L35/L$8</f>
        <v>4.561669407654035E-2</v>
      </c>
      <c r="M36" s="175">
        <f t="shared" si="32"/>
        <v>6.5222469113777437E-2</v>
      </c>
      <c r="N36" s="175">
        <f t="shared" si="32"/>
        <v>6.0100736475289615E-2</v>
      </c>
      <c r="O36" s="175">
        <f t="shared" ca="1" si="32"/>
        <v>8.5236300466179679E-2</v>
      </c>
      <c r="P36" s="175">
        <f t="shared" ca="1" si="32"/>
        <v>0.10022533288672618</v>
      </c>
      <c r="Q36" s="175">
        <f t="shared" ca="1" si="32"/>
        <v>0.11416413506807425</v>
      </c>
      <c r="R36" s="175">
        <f t="shared" ca="1" si="32"/>
        <v>0.1258446080344702</v>
      </c>
      <c r="S36" s="175">
        <f t="shared" ca="1" si="32"/>
        <v>0.1361932129612542</v>
      </c>
    </row>
    <row r="37" spans="2:21" s="184" customFormat="1">
      <c r="B37" s="184" t="s">
        <v>676</v>
      </c>
      <c r="H37" s="21">
        <f>集团!H207</f>
        <v>2.9161307587038321</v>
      </c>
      <c r="I37" s="21">
        <f>集团!I207</f>
        <v>-6.1053816940127357</v>
      </c>
      <c r="J37" s="21">
        <f>集团!J207</f>
        <v>-8.5760866254744634</v>
      </c>
      <c r="K37" s="21">
        <f>集团!K207</f>
        <v>-10</v>
      </c>
      <c r="L37" s="21">
        <f>集团!L207</f>
        <v>-10.34151730345512</v>
      </c>
      <c r="M37" s="21">
        <f>集团!M207</f>
        <v>-5.870223075894601</v>
      </c>
      <c r="N37" s="21">
        <f>集团!N207</f>
        <v>-13.305301493758854</v>
      </c>
      <c r="O37" s="21">
        <f ca="1">集团!O207</f>
        <v>-28.014828160089181</v>
      </c>
      <c r="P37" s="21">
        <f ca="1">集团!P207</f>
        <v>-36.7005680072931</v>
      </c>
      <c r="Q37" s="21">
        <f ca="1">集团!Q207</f>
        <v>-45.89586640427062</v>
      </c>
      <c r="R37" s="21">
        <f ca="1">集团!R207</f>
        <v>-55.890404938992909</v>
      </c>
      <c r="S37" s="21">
        <f ca="1">集团!S207</f>
        <v>-67.862917729561843</v>
      </c>
      <c r="U37" s="185"/>
    </row>
    <row r="38" spans="2:21" s="185" customFormat="1">
      <c r="C38" s="185" t="s">
        <v>677</v>
      </c>
      <c r="H38" s="175">
        <f>-H37/H35</f>
        <v>7.5303462071080393E-2</v>
      </c>
      <c r="I38" s="175">
        <f t="shared" ref="I38:L38" si="33">-I37/I35</f>
        <v>0.20432089063551206</v>
      </c>
      <c r="J38" s="175">
        <f t="shared" si="33"/>
        <v>-0.4975665679700752</v>
      </c>
      <c r="K38" s="175">
        <f t="shared" si="33"/>
        <v>0.23255813953488372</v>
      </c>
      <c r="L38" s="175">
        <f t="shared" si="33"/>
        <v>0.21422199097715905</v>
      </c>
      <c r="M38" s="175">
        <f t="shared" ref="M38:S38" si="34">-M37/M35</f>
        <v>0.14590874855023586</v>
      </c>
      <c r="N38" s="175">
        <f t="shared" si="34"/>
        <v>0.19225836698077337</v>
      </c>
      <c r="O38" s="175">
        <f ca="1">-O37/O35</f>
        <v>0.2547835293641541</v>
      </c>
      <c r="P38" s="175">
        <f t="shared" ca="1" si="34"/>
        <v>0.25621335539380924</v>
      </c>
      <c r="Q38" s="175">
        <f t="shared" ca="1" si="34"/>
        <v>0.2555051041462833</v>
      </c>
      <c r="R38" s="175">
        <f t="shared" ca="1" si="34"/>
        <v>0.25512121690937684</v>
      </c>
      <c r="S38" s="175">
        <f t="shared" ca="1" si="34"/>
        <v>0.25668858746903245</v>
      </c>
    </row>
    <row r="39" spans="2:21" s="184" customFormat="1">
      <c r="U39" s="185"/>
    </row>
    <row r="40" spans="2:21" s="183" customFormat="1">
      <c r="B40" s="183" t="s">
        <v>678</v>
      </c>
      <c r="H40" s="217">
        <f>H35+H37</f>
        <v>-35.808924882844764</v>
      </c>
      <c r="I40" s="217">
        <f t="shared" ref="I40:K40" si="35">I35+I37</f>
        <v>23.775956797723399</v>
      </c>
      <c r="J40" s="217">
        <f t="shared" si="35"/>
        <v>-25.812145431560182</v>
      </c>
      <c r="K40" s="217">
        <f t="shared" si="35"/>
        <v>33</v>
      </c>
      <c r="L40" s="217">
        <f>L35+L37</f>
        <v>37.933252510246042</v>
      </c>
      <c r="M40" s="217">
        <f t="shared" ref="M40:S40" si="36">M35+M37</f>
        <v>34.361929788287526</v>
      </c>
      <c r="N40" s="217">
        <f t="shared" si="36"/>
        <v>55.900016863540209</v>
      </c>
      <c r="O40" s="217">
        <f t="shared" ca="1" si="36"/>
        <v>81.940584695694227</v>
      </c>
      <c r="P40" s="217">
        <f t="shared" ca="1" si="36"/>
        <v>106.5416449167092</v>
      </c>
      <c r="Q40" s="217">
        <f t="shared" ca="1" si="36"/>
        <v>133.73211620539985</v>
      </c>
      <c r="R40" s="217">
        <f t="shared" ca="1" si="36"/>
        <v>163.18351457294673</v>
      </c>
      <c r="S40" s="217">
        <f t="shared" ca="1" si="36"/>
        <v>196.51548100913936</v>
      </c>
      <c r="U40" s="25">
        <f ca="1">POWER(S40/N40,1/5)-1</f>
        <v>0.28586970935224221</v>
      </c>
    </row>
    <row r="41" spans="2:21" s="218" customFormat="1">
      <c r="B41" s="185"/>
      <c r="C41" s="185" t="s">
        <v>680</v>
      </c>
      <c r="D41" s="185"/>
      <c r="H41" s="94">
        <f>H40/H$8</f>
        <v>-3.4908226294833491E-2</v>
      </c>
      <c r="I41" s="94">
        <f t="shared" ref="I41" si="37">I40/I$8</f>
        <v>2.2314817060146191E-2</v>
      </c>
      <c r="J41" s="94">
        <f t="shared" ref="J41" si="38">J40/J$8</f>
        <v>-2.6769122494408729E-2</v>
      </c>
      <c r="K41" s="94">
        <f t="shared" ref="K41" si="39">K40/K$8</f>
        <v>3.7414965986394558E-2</v>
      </c>
      <c r="L41" s="94">
        <f t="shared" ref="L41:S41" si="40">L40/L$8</f>
        <v>3.5844595049667895E-2</v>
      </c>
      <c r="M41" s="94">
        <f t="shared" si="40"/>
        <v>5.5705940268029761E-2</v>
      </c>
      <c r="N41" s="94">
        <f t="shared" si="40"/>
        <v>4.8545867026208632E-2</v>
      </c>
      <c r="O41" s="94">
        <f t="shared" ca="1" si="40"/>
        <v>6.351949500346292E-2</v>
      </c>
      <c r="P41" s="94">
        <f t="shared" ca="1" si="40"/>
        <v>7.4546264052356565E-2</v>
      </c>
      <c r="Q41" s="94">
        <f t="shared" ca="1" si="40"/>
        <v>8.4994615847735572E-2</v>
      </c>
      <c r="R41" s="94">
        <f t="shared" ca="1" si="40"/>
        <v>9.3738978491232638E-2</v>
      </c>
      <c r="S41" s="94">
        <f t="shared" ca="1" si="40"/>
        <v>0.10123396950336074</v>
      </c>
    </row>
    <row r="42" spans="2:21" s="183" customFormat="1">
      <c r="C42" s="185" t="s">
        <v>151</v>
      </c>
      <c r="H42" s="1209"/>
      <c r="I42" s="1209"/>
      <c r="J42" s="1209"/>
      <c r="K42" s="1209"/>
      <c r="L42" s="1209"/>
      <c r="M42" s="1209"/>
      <c r="U42" s="218"/>
    </row>
    <row r="43" spans="2:21" s="184" customFormat="1">
      <c r="I43" s="564"/>
      <c r="J43" s="564"/>
      <c r="K43" s="564"/>
      <c r="L43" s="564"/>
      <c r="M43" s="564"/>
      <c r="N43" s="564"/>
      <c r="O43" s="564"/>
      <c r="P43" s="564"/>
      <c r="Q43" s="564"/>
      <c r="R43" s="564"/>
      <c r="S43" s="564"/>
      <c r="U43" s="25"/>
    </row>
    <row r="44" spans="2:21" s="184" customFormat="1">
      <c r="B44" s="183" t="s">
        <v>79</v>
      </c>
      <c r="H44" s="428">
        <f>集团!H228</f>
        <v>22.203618436351796</v>
      </c>
      <c r="I44" s="428">
        <f>集团!I228</f>
        <v>82.699851411589904</v>
      </c>
      <c r="J44" s="428">
        <f>集团!J228</f>
        <v>50.062678062678067</v>
      </c>
      <c r="K44" s="428">
        <f>集团!K228</f>
        <v>96</v>
      </c>
      <c r="L44" s="428">
        <f>集团!L228</f>
        <v>105.49077863108919</v>
      </c>
      <c r="M44" s="428">
        <f>集团!M228</f>
        <v>75.148209627697426</v>
      </c>
      <c r="N44" s="217">
        <f>N35+N48-N20</f>
        <v>131.26852833687414</v>
      </c>
      <c r="O44" s="217">
        <f t="shared" ref="O44:S44" ca="1" si="41">O35+O48-O20</f>
        <v>154.33575618181658</v>
      </c>
      <c r="P44" s="217">
        <f t="shared" ca="1" si="41"/>
        <v>190.90881666880344</v>
      </c>
      <c r="Q44" s="217">
        <f t="shared" ca="1" si="41"/>
        <v>225.52223768541882</v>
      </c>
      <c r="R44" s="217">
        <f t="shared" ca="1" si="41"/>
        <v>261.9912327620662</v>
      </c>
      <c r="S44" s="217">
        <f t="shared" ca="1" si="41"/>
        <v>302.50123053446566</v>
      </c>
      <c r="U44" s="25">
        <f ca="1">POWER(S44/N44,1/5)-1</f>
        <v>0.18171651726611748</v>
      </c>
    </row>
    <row r="45" spans="2:21" s="218" customFormat="1">
      <c r="B45" s="185"/>
      <c r="C45" s="185" t="s">
        <v>681</v>
      </c>
      <c r="D45" s="185"/>
      <c r="H45" s="175">
        <f>H44/H$8</f>
        <v>2.1645132867745852E-2</v>
      </c>
      <c r="I45" s="175">
        <f t="shared" ref="I45" si="42">I44/I$8</f>
        <v>7.7617572695438508E-2</v>
      </c>
      <c r="J45" s="175">
        <f t="shared" ref="J45" si="43">J44/J$8</f>
        <v>5.1918735891647853E-2</v>
      </c>
      <c r="K45" s="175">
        <f t="shared" ref="K45" si="44">K44/K$8</f>
        <v>0.10884353741496598</v>
      </c>
      <c r="L45" s="175">
        <f t="shared" ref="L45:N45" si="45">L44/L$8</f>
        <v>9.96823101442251E-2</v>
      </c>
      <c r="M45" s="175">
        <f t="shared" si="45"/>
        <v>0.12182673390470591</v>
      </c>
      <c r="N45" s="175">
        <f t="shared" si="45"/>
        <v>0.11399897314743693</v>
      </c>
      <c r="O45" s="175">
        <f t="shared" ref="O45" ca="1" si="46">O44/O$8</f>
        <v>0.11963948426843128</v>
      </c>
      <c r="P45" s="175">
        <f t="shared" ref="P45" ca="1" si="47">P44/P$8</f>
        <v>0.13357724172966642</v>
      </c>
      <c r="Q45" s="175">
        <f t="shared" ref="Q45" ca="1" si="48">Q44/Q$8</f>
        <v>0.14333263019448064</v>
      </c>
      <c r="R45" s="175">
        <f t="shared" ref="R45" ca="1" si="49">R44/R$8</f>
        <v>0.15049798747775167</v>
      </c>
      <c r="S45" s="175">
        <f t="shared" ref="S45" ca="1" si="50">S44/S$8</f>
        <v>0.15583199954221921</v>
      </c>
    </row>
    <row r="46" spans="2:21" s="218" customFormat="1">
      <c r="B46" s="185"/>
      <c r="C46" s="185" t="s">
        <v>151</v>
      </c>
      <c r="D46" s="185"/>
      <c r="H46" s="175"/>
      <c r="I46" s="175">
        <f>I44/H44-1</f>
        <v>2.7246114478437256</v>
      </c>
      <c r="J46" s="175">
        <f>J44/I44-1</f>
        <v>-0.39464609418074392</v>
      </c>
      <c r="K46" s="175"/>
      <c r="L46" s="175">
        <f>L44/J44-1</f>
        <v>1.1071741008144946</v>
      </c>
      <c r="M46" s="175"/>
      <c r="N46" s="175">
        <f t="shared" ref="N46" si="51">N44/L44-1</f>
        <v>0.24436021840290034</v>
      </c>
      <c r="O46" s="175">
        <f ca="1">O44/N44-1</f>
        <v>0.17572550052321034</v>
      </c>
      <c r="P46" s="175">
        <f t="shared" ref="P46:S46" ca="1" si="52">P44/O44-1</f>
        <v>0.23697075384074728</v>
      </c>
      <c r="Q46" s="175">
        <f t="shared" ca="1" si="52"/>
        <v>0.18130865625061299</v>
      </c>
      <c r="R46" s="175">
        <f t="shared" ca="1" si="52"/>
        <v>0.16170908665564965</v>
      </c>
      <c r="S46" s="175">
        <f t="shared" ca="1" si="52"/>
        <v>0.1546234862339444</v>
      </c>
    </row>
    <row r="47" spans="2:21" s="184" customFormat="1">
      <c r="U47" s="185"/>
    </row>
    <row r="48" spans="2:21" s="183" customFormat="1">
      <c r="B48" s="183" t="s">
        <v>682</v>
      </c>
      <c r="H48" s="428">
        <f>集团!H351</f>
        <v>35.840000000000003</v>
      </c>
      <c r="I48" s="428">
        <f>集团!I351</f>
        <v>34.17</v>
      </c>
      <c r="J48" s="428">
        <f>集团!J351</f>
        <v>34.64</v>
      </c>
      <c r="K48" s="428">
        <f>集团!K351</f>
        <v>27.43312957746479</v>
      </c>
      <c r="L48" s="428">
        <f>集团!L351</f>
        <v>33.15</v>
      </c>
      <c r="M48" s="428">
        <f>集团!M351</f>
        <v>17.940000000000001</v>
      </c>
      <c r="N48" s="428">
        <f>集团!N351</f>
        <v>26.707545939433984</v>
      </c>
      <c r="O48" s="428">
        <f>集团!O351</f>
        <v>31.967564079022022</v>
      </c>
      <c r="P48" s="428">
        <f>集团!P351</f>
        <v>37.772333893951597</v>
      </c>
      <c r="Q48" s="428">
        <f>集团!Q351</f>
        <v>41.350026895686881</v>
      </c>
      <c r="R48" s="428">
        <f>集团!R351</f>
        <v>43.838925703605454</v>
      </c>
      <c r="S48" s="428">
        <f>集团!S351</f>
        <v>45.851028392315882</v>
      </c>
      <c r="U48" s="218"/>
    </row>
    <row r="49" spans="8:21" s="184" customFormat="1">
      <c r="U49" s="185"/>
    </row>
    <row r="50" spans="8:21" s="184" customFormat="1">
      <c r="K50" s="223"/>
      <c r="L50" s="223"/>
      <c r="M50" s="223"/>
      <c r="N50" s="223"/>
      <c r="U50" s="185"/>
    </row>
    <row r="51" spans="8:21" s="184" customFormat="1">
      <c r="U51" s="185"/>
    </row>
    <row r="52" spans="8:21" s="184" customFormat="1">
      <c r="H52" s="686"/>
      <c r="I52" s="686"/>
      <c r="J52" s="686"/>
      <c r="U52" s="185"/>
    </row>
    <row r="53" spans="8:21" s="184" customFormat="1">
      <c r="U53" s="185"/>
    </row>
    <row r="54" spans="8:21" s="184" customFormat="1">
      <c r="U54" s="185"/>
    </row>
    <row r="55" spans="8:21" s="184" customFormat="1">
      <c r="U55" s="185"/>
    </row>
    <row r="56" spans="8:21" s="184" customFormat="1">
      <c r="U56" s="185"/>
    </row>
    <row r="57" spans="8:21" s="184" customFormat="1"/>
    <row r="58" spans="8:21" s="184" customFormat="1"/>
    <row r="59" spans="8:21" s="184" customFormat="1"/>
  </sheetData>
  <mergeCells count="2">
    <mergeCell ref="A1:S1"/>
    <mergeCell ref="A2:S2"/>
  </mergeCells>
  <phoneticPr fontId="5" type="noConversion"/>
  <conditionalFormatting sqref="H4:H5 P5:S5">
    <cfRule type="containsText" dxfId="64" priority="3" operator="containsText" text="Error">
      <formula>NOT(ISERROR(SEARCH("Error",H4)))</formula>
    </cfRule>
  </conditionalFormatting>
  <conditionalFormatting sqref="J5:N5">
    <cfRule type="containsText" dxfId="63" priority="1" operator="containsText" text="Error">
      <formula>NOT(ISERROR(SEARCH("Error",J5)))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104"/>
  <sheetViews>
    <sheetView showGridLines="0" zoomScale="69" zoomScaleNormal="100" workbookViewId="0">
      <pane xSplit="7" ySplit="7" topLeftCell="H8" activePane="bottomRight" state="frozen"/>
      <selection activeCell="A4" sqref="A4:R47"/>
      <selection pane="topRight" activeCell="A4" sqref="A4:R47"/>
      <selection pane="bottomLeft" activeCell="A4" sqref="A4:R47"/>
      <selection pane="bottomRight" activeCell="M95" sqref="M95"/>
    </sheetView>
  </sheetViews>
  <sheetFormatPr defaultColWidth="8.6640625" defaultRowHeight="14.5" outlineLevelRow="2"/>
  <cols>
    <col min="1" max="4" width="2.4140625" style="216" customWidth="1"/>
    <col min="5" max="7" width="11.1640625" style="216" customWidth="1"/>
    <col min="8" max="14" width="10.33203125" style="216" customWidth="1"/>
    <col min="15" max="15" width="10.33203125" style="549" customWidth="1"/>
    <col min="16" max="16" width="10.33203125" style="541" customWidth="1"/>
    <col min="17" max="17" width="10.33203125" style="1090" customWidth="1"/>
    <col min="18" max="21" width="10.33203125" style="216" customWidth="1"/>
    <col min="22" max="22" width="8.6640625" style="216"/>
    <col min="23" max="23" width="8.6640625" style="1286"/>
    <col min="24" max="16384" width="8.6640625" style="216"/>
  </cols>
  <sheetData>
    <row r="1" spans="1:26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T1" s="1579"/>
      <c r="U1" s="1579"/>
      <c r="W1" s="692"/>
    </row>
    <row r="2" spans="1:26" s="1" customFormat="1" ht="20.25" customHeight="1">
      <c r="A2" s="1579" t="s">
        <v>473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T2" s="1579"/>
      <c r="U2" s="1579"/>
      <c r="W2" s="692"/>
    </row>
    <row r="3" spans="1:26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542"/>
      <c r="P3" s="538"/>
      <c r="Q3" s="1086">
        <v>2026</v>
      </c>
      <c r="R3" s="4">
        <v>2027</v>
      </c>
      <c r="S3" s="4">
        <v>2028</v>
      </c>
      <c r="T3" s="4">
        <v>2029</v>
      </c>
      <c r="U3" s="4">
        <v>2030</v>
      </c>
      <c r="W3" s="692"/>
    </row>
    <row r="4" spans="1:26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550" t="s">
        <v>726</v>
      </c>
      <c r="P4" s="551" t="s">
        <v>730</v>
      </c>
      <c r="Q4" s="1096" t="s">
        <v>4</v>
      </c>
      <c r="R4" s="6" t="s">
        <v>4</v>
      </c>
      <c r="S4" s="6" t="s">
        <v>4</v>
      </c>
      <c r="T4" s="6" t="s">
        <v>4</v>
      </c>
      <c r="U4" s="6" t="s">
        <v>4</v>
      </c>
      <c r="W4" s="692"/>
    </row>
    <row r="5" spans="1:26" s="1" customFormat="1" ht="14.25" customHeight="1">
      <c r="A5" s="5" t="s">
        <v>474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552"/>
      <c r="P5" s="553" t="s">
        <v>728</v>
      </c>
      <c r="Q5" s="1097">
        <v>46387</v>
      </c>
      <c r="R5" s="9">
        <v>46752</v>
      </c>
      <c r="S5" s="9">
        <v>46753</v>
      </c>
      <c r="T5" s="9">
        <v>47483</v>
      </c>
      <c r="U5" s="9">
        <v>47848</v>
      </c>
      <c r="W5" s="692"/>
    </row>
    <row r="6" spans="1:26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554"/>
      <c r="P6" s="555"/>
      <c r="Q6" s="1098"/>
      <c r="R6" s="7"/>
      <c r="S6" s="7"/>
      <c r="T6" s="7"/>
      <c r="U6" s="7"/>
      <c r="W6" s="692"/>
    </row>
    <row r="7" spans="1:26" s="108" customFormat="1" ht="14.25" customHeight="1">
      <c r="A7" s="106"/>
      <c r="B7" s="106"/>
      <c r="C7" s="106"/>
      <c r="D7" s="107"/>
      <c r="E7" s="107"/>
      <c r="F7" s="107"/>
      <c r="G7" s="107" t="s">
        <v>1138</v>
      </c>
      <c r="H7" s="107">
        <v>6.3757000000000001</v>
      </c>
      <c r="I7" s="107">
        <v>6.9645999999999999</v>
      </c>
      <c r="J7" s="107">
        <v>7.0827</v>
      </c>
      <c r="K7" s="107">
        <f>集团!K9</f>
        <v>7.1</v>
      </c>
      <c r="L7" s="107">
        <v>7.1883999999999997</v>
      </c>
      <c r="M7" s="107">
        <v>7.1494</v>
      </c>
      <c r="N7" s="107">
        <f>M7</f>
        <v>7.1494</v>
      </c>
      <c r="O7" s="543">
        <f>N7</f>
        <v>7.1494</v>
      </c>
      <c r="P7" s="1100">
        <f>N7</f>
        <v>7.1494</v>
      </c>
      <c r="Q7" s="1087">
        <f>P7</f>
        <v>7.1494</v>
      </c>
      <c r="R7" s="1087">
        <f t="shared" ref="R7:U7" si="0">Q7</f>
        <v>7.1494</v>
      </c>
      <c r="S7" s="1087">
        <f t="shared" si="0"/>
        <v>7.1494</v>
      </c>
      <c r="T7" s="1087">
        <f t="shared" si="0"/>
        <v>7.1494</v>
      </c>
      <c r="U7" s="1087">
        <f t="shared" si="0"/>
        <v>7.1494</v>
      </c>
      <c r="W7" s="1285"/>
    </row>
    <row r="8" spans="1:26">
      <c r="A8" s="1077"/>
      <c r="X8" s="222"/>
    </row>
    <row r="9" spans="1:26">
      <c r="A9" s="1077"/>
      <c r="B9" s="183" t="s">
        <v>683</v>
      </c>
    </row>
    <row r="10" spans="1:26">
      <c r="A10" s="1077"/>
      <c r="C10" s="183" t="s">
        <v>1020</v>
      </c>
      <c r="W10" s="1287"/>
    </row>
    <row r="11" spans="1:26">
      <c r="A11" s="1077"/>
      <c r="C11" s="184"/>
      <c r="D11" s="184" t="s">
        <v>365</v>
      </c>
      <c r="E11" s="184"/>
      <c r="H11" s="1070">
        <v>47.28</v>
      </c>
      <c r="I11" s="1070">
        <v>68.61</v>
      </c>
      <c r="J11" s="1070">
        <v>19.149999999999999</v>
      </c>
      <c r="K11" s="1070">
        <v>32</v>
      </c>
      <c r="L11" s="1070">
        <v>36.5</v>
      </c>
      <c r="M11" s="1070">
        <v>25.37</v>
      </c>
      <c r="N11" s="523">
        <f>现金流量表!N33</f>
        <v>41.886303076213558</v>
      </c>
      <c r="O11" s="1309">
        <f>'回报测算-EVEBITDA（核心假设）'!G42-'回报测算-EVEBITDA（核心假设）'!J42-O18+O52</f>
        <v>75.439897054298257</v>
      </c>
      <c r="P11" s="1307">
        <f>N11+O11</f>
        <v>117.32620013051181</v>
      </c>
      <c r="Q11" s="1088">
        <f ca="1">现金流量表!P33</f>
        <v>127.35246465977508</v>
      </c>
      <c r="R11" s="523">
        <f ca="1">现金流量表!Q33</f>
        <v>156.17134299582466</v>
      </c>
      <c r="S11" s="523">
        <f ca="1">现金流量表!R33</f>
        <v>235.2416305339874</v>
      </c>
      <c r="T11" s="523">
        <f ca="1">现金流量表!S33</f>
        <v>350.81337467284095</v>
      </c>
      <c r="U11" s="523">
        <f ca="1">现金流量表!T33</f>
        <v>496.92083768761415</v>
      </c>
      <c r="W11" s="1287"/>
      <c r="X11" s="1103"/>
      <c r="Y11" s="1105"/>
      <c r="Z11" s="1104"/>
    </row>
    <row r="12" spans="1:26">
      <c r="A12" s="1077"/>
      <c r="C12" s="184"/>
      <c r="D12" s="184" t="s">
        <v>1021</v>
      </c>
      <c r="E12" s="184"/>
      <c r="H12" s="1070">
        <v>0</v>
      </c>
      <c r="I12" s="1070">
        <v>7.0000000000000007E-2</v>
      </c>
      <c r="J12" s="1070">
        <v>0</v>
      </c>
      <c r="K12" s="1070"/>
      <c r="L12" s="1070">
        <v>0.67</v>
      </c>
      <c r="M12" s="1070">
        <v>0</v>
      </c>
      <c r="N12" s="1065">
        <f>L12</f>
        <v>0.67</v>
      </c>
      <c r="O12" s="1093"/>
      <c r="P12" s="1307">
        <f t="shared" ref="P12:P22" si="1">N12+O12</f>
        <v>0.67</v>
      </c>
      <c r="Q12" s="1099">
        <f>P12</f>
        <v>0.67</v>
      </c>
      <c r="R12" s="1099">
        <f t="shared" ref="R12:U12" si="2">Q12</f>
        <v>0.67</v>
      </c>
      <c r="S12" s="1099">
        <f t="shared" si="2"/>
        <v>0.67</v>
      </c>
      <c r="T12" s="1099">
        <f t="shared" si="2"/>
        <v>0.67</v>
      </c>
      <c r="U12" s="1099">
        <f t="shared" si="2"/>
        <v>0.67</v>
      </c>
      <c r="W12" s="1287"/>
      <c r="X12" s="1103"/>
      <c r="Y12" s="1105"/>
      <c r="Z12" s="1104"/>
    </row>
    <row r="13" spans="1:26">
      <c r="A13" s="1077"/>
      <c r="B13" s="1077"/>
      <c r="C13" s="1078"/>
      <c r="D13" s="184" t="s">
        <v>366</v>
      </c>
      <c r="E13" s="184"/>
      <c r="H13" s="1070">
        <v>1.31</v>
      </c>
      <c r="I13" s="1070">
        <v>2.0099999999999998</v>
      </c>
      <c r="J13" s="1070">
        <v>0.37</v>
      </c>
      <c r="K13" s="1070"/>
      <c r="L13" s="1070">
        <v>0.15</v>
      </c>
      <c r="M13" s="1070">
        <v>0.65</v>
      </c>
      <c r="N13" s="523">
        <f>集团!N252</f>
        <v>0.63462828406001071</v>
      </c>
      <c r="O13" s="1092"/>
      <c r="P13" s="1307">
        <f t="shared" si="1"/>
        <v>0.63462828406001071</v>
      </c>
      <c r="Q13" s="1088">
        <f>集团!O252</f>
        <v>0.62397462422954986</v>
      </c>
      <c r="R13" s="523">
        <f>集团!P252</f>
        <v>0.64235298166517074</v>
      </c>
      <c r="S13" s="523">
        <f>集团!Q252</f>
        <v>0.67624560396183941</v>
      </c>
      <c r="T13" s="523">
        <f>集团!R252</f>
        <v>0.71788641655049112</v>
      </c>
      <c r="U13" s="523">
        <f>集团!S252</f>
        <v>0.76252160333252017</v>
      </c>
      <c r="W13" s="1287"/>
      <c r="X13" s="1103"/>
      <c r="Y13" s="1105"/>
      <c r="Z13" s="1104"/>
    </row>
    <row r="14" spans="1:26">
      <c r="A14" s="1077"/>
      <c r="B14" s="1077"/>
      <c r="C14" s="1078"/>
      <c r="D14" s="184" t="s">
        <v>1022</v>
      </c>
      <c r="E14" s="184"/>
      <c r="H14" s="1070">
        <v>145.63999999999999</v>
      </c>
      <c r="I14" s="1070">
        <v>148.4</v>
      </c>
      <c r="J14" s="1070">
        <v>162.41</v>
      </c>
      <c r="K14" s="1070"/>
      <c r="L14" s="1070">
        <v>178.55</v>
      </c>
      <c r="M14" s="1070">
        <v>164.85</v>
      </c>
      <c r="N14" s="523">
        <f>集团!N263</f>
        <v>171.16298460233597</v>
      </c>
      <c r="O14" s="1092"/>
      <c r="P14" s="1307">
        <f t="shared" si="1"/>
        <v>171.16298460233597</v>
      </c>
      <c r="Q14" s="1088">
        <f>集团!O263</f>
        <v>179.30377147519428</v>
      </c>
      <c r="R14" s="523">
        <f>集团!P263</f>
        <v>193.28424070216514</v>
      </c>
      <c r="S14" s="523">
        <f>集团!Q263</f>
        <v>211.16461459381279</v>
      </c>
      <c r="T14" s="523">
        <f>集团!R263</f>
        <v>233.03683274227015</v>
      </c>
      <c r="U14" s="523">
        <f>集团!S263</f>
        <v>259.49618511621134</v>
      </c>
      <c r="W14" s="1287"/>
      <c r="X14" s="1103"/>
      <c r="Y14" s="1105"/>
      <c r="Z14" s="1104"/>
    </row>
    <row r="15" spans="1:26">
      <c r="A15" s="1077"/>
      <c r="B15" s="1077"/>
      <c r="C15" s="1078"/>
      <c r="D15" s="184" t="s">
        <v>1023</v>
      </c>
      <c r="E15" s="184"/>
      <c r="H15" s="1070">
        <v>8.1</v>
      </c>
      <c r="I15" s="1070">
        <v>0.83</v>
      </c>
      <c r="J15" s="1070">
        <v>0</v>
      </c>
      <c r="K15" s="1070"/>
      <c r="L15" s="1070">
        <v>0</v>
      </c>
      <c r="M15" s="1070">
        <v>0</v>
      </c>
      <c r="N15" s="393">
        <v>0</v>
      </c>
      <c r="O15" s="1093"/>
      <c r="P15" s="1307">
        <f t="shared" si="1"/>
        <v>0</v>
      </c>
      <c r="Q15" s="1099">
        <f>P15</f>
        <v>0</v>
      </c>
      <c r="R15" s="1099">
        <f t="shared" ref="R15:U15" si="3">Q15</f>
        <v>0</v>
      </c>
      <c r="S15" s="1099">
        <f t="shared" si="3"/>
        <v>0</v>
      </c>
      <c r="T15" s="1099">
        <f t="shared" si="3"/>
        <v>0</v>
      </c>
      <c r="U15" s="1099">
        <f t="shared" si="3"/>
        <v>0</v>
      </c>
      <c r="W15" s="1287"/>
      <c r="X15" s="1103"/>
      <c r="Y15" s="1105"/>
      <c r="Z15" s="1104"/>
    </row>
    <row r="16" spans="1:26">
      <c r="A16" s="1077"/>
      <c r="B16" s="1077"/>
      <c r="C16" s="1078"/>
      <c r="D16" s="184" t="s">
        <v>367</v>
      </c>
      <c r="E16" s="184"/>
      <c r="H16" s="1070">
        <v>13.61</v>
      </c>
      <c r="I16" s="1070">
        <v>13.09</v>
      </c>
      <c r="J16" s="1070">
        <v>18.010000000000002</v>
      </c>
      <c r="K16" s="1070"/>
      <c r="L16" s="1070">
        <v>22.53</v>
      </c>
      <c r="M16" s="1070">
        <v>24.32</v>
      </c>
      <c r="N16" s="523">
        <f>集团!N330</f>
        <v>16.534891264149625</v>
      </c>
      <c r="O16" s="1092"/>
      <c r="P16" s="1307">
        <f t="shared" si="1"/>
        <v>16.534891264149625</v>
      </c>
      <c r="Q16" s="1088">
        <f>集团!O330</f>
        <v>18.511632002940601</v>
      </c>
      <c r="R16" s="523">
        <f>集团!P330</f>
        <v>20.634714827797286</v>
      </c>
      <c r="S16" s="523">
        <f>集团!Q330</f>
        <v>22.916557121535824</v>
      </c>
      <c r="T16" s="523">
        <f>集团!R330</f>
        <v>25.620582054010992</v>
      </c>
      <c r="U16" s="523">
        <f>集团!S330</f>
        <v>28.855558442037797</v>
      </c>
      <c r="W16" s="1287"/>
      <c r="X16" s="1103"/>
      <c r="Y16" s="1105"/>
      <c r="Z16" s="1104"/>
    </row>
    <row r="17" spans="1:26">
      <c r="A17" s="1077"/>
      <c r="B17" s="1077"/>
      <c r="C17" s="1078"/>
      <c r="D17" s="184" t="s">
        <v>1024</v>
      </c>
      <c r="E17" s="184"/>
      <c r="H17" s="1070">
        <v>0</v>
      </c>
      <c r="I17" s="1070">
        <v>0.03</v>
      </c>
      <c r="J17" s="1070">
        <v>0.01</v>
      </c>
      <c r="K17" s="1070"/>
      <c r="L17" s="1070">
        <v>2.14</v>
      </c>
      <c r="M17" s="1070">
        <v>-0.48</v>
      </c>
      <c r="N17" s="1065">
        <f t="shared" ref="N17:N18" si="4">M17</f>
        <v>-0.48</v>
      </c>
      <c r="O17" s="1093"/>
      <c r="P17" s="1307">
        <f t="shared" si="1"/>
        <v>-0.48</v>
      </c>
      <c r="Q17" s="1099">
        <f>P17</f>
        <v>-0.48</v>
      </c>
      <c r="R17" s="1099">
        <f t="shared" ref="R17:U20" si="5">Q17</f>
        <v>-0.48</v>
      </c>
      <c r="S17" s="1099">
        <f t="shared" si="5"/>
        <v>-0.48</v>
      </c>
      <c r="T17" s="1099">
        <f t="shared" si="5"/>
        <v>-0.48</v>
      </c>
      <c r="U17" s="1099">
        <f t="shared" si="5"/>
        <v>-0.48</v>
      </c>
      <c r="W17" s="1287"/>
      <c r="X17" s="1103"/>
      <c r="Y17" s="1105"/>
      <c r="Z17" s="1104"/>
    </row>
    <row r="18" spans="1:26">
      <c r="A18" s="1077"/>
      <c r="B18" s="1311"/>
      <c r="C18" s="1078"/>
      <c r="D18" s="184" t="s">
        <v>1025</v>
      </c>
      <c r="E18" s="184"/>
      <c r="H18" s="1070">
        <v>24.8</v>
      </c>
      <c r="I18" s="1070">
        <v>21.28</v>
      </c>
      <c r="J18" s="1070">
        <v>21.24</v>
      </c>
      <c r="K18" s="1070"/>
      <c r="L18" s="1070">
        <v>23.46</v>
      </c>
      <c r="M18" s="1070">
        <v>43.74</v>
      </c>
      <c r="N18" s="1065">
        <f t="shared" si="4"/>
        <v>43.74</v>
      </c>
      <c r="O18" s="1308">
        <f>O19+O20</f>
        <v>-41.971773855148683</v>
      </c>
      <c r="P18" s="1307">
        <f t="shared" si="1"/>
        <v>1.7682261448513188</v>
      </c>
      <c r="Q18" s="1099">
        <f>P18</f>
        <v>1.7682261448513188</v>
      </c>
      <c r="R18" s="1099">
        <f t="shared" si="5"/>
        <v>1.7682261448513188</v>
      </c>
      <c r="S18" s="1099">
        <f t="shared" si="5"/>
        <v>1.7682261448513188</v>
      </c>
      <c r="T18" s="1099">
        <f t="shared" si="5"/>
        <v>1.7682261448513188</v>
      </c>
      <c r="U18" s="1099">
        <f t="shared" si="5"/>
        <v>1.7682261448513188</v>
      </c>
      <c r="W18" s="1287"/>
      <c r="X18" s="1103"/>
      <c r="Y18" s="1105"/>
      <c r="Z18" s="1104"/>
    </row>
    <row r="19" spans="1:26">
      <c r="A19" s="1077"/>
      <c r="B19" s="1312"/>
      <c r="C19" s="1078"/>
      <c r="D19" s="184"/>
      <c r="E19" s="184" t="s">
        <v>1152</v>
      </c>
      <c r="H19" s="1070">
        <f>152.17/H7</f>
        <v>23.867183211255231</v>
      </c>
      <c r="I19" s="1070">
        <f>162.51/I7</f>
        <v>23.333716222037157</v>
      </c>
      <c r="J19" s="1070">
        <f>163.66/J7</f>
        <v>23.107007214762731</v>
      </c>
      <c r="K19" s="1070"/>
      <c r="L19" s="1070">
        <f>201.55/L7-5</f>
        <v>23.038228256635694</v>
      </c>
      <c r="M19" s="1070">
        <f>335.82/M7-5</f>
        <v>41.971773855148683</v>
      </c>
      <c r="N19" s="1065">
        <f>M19</f>
        <v>41.971773855148683</v>
      </c>
      <c r="O19" s="1308">
        <f>-N19</f>
        <v>-41.971773855148683</v>
      </c>
      <c r="P19" s="1307">
        <f t="shared" si="1"/>
        <v>0</v>
      </c>
      <c r="Q19" s="1099">
        <f t="shared" ref="Q19" si="6">P19</f>
        <v>0</v>
      </c>
      <c r="R19" s="1099">
        <f t="shared" si="5"/>
        <v>0</v>
      </c>
      <c r="S19" s="1099">
        <f t="shared" si="5"/>
        <v>0</v>
      </c>
      <c r="T19" s="1099">
        <f t="shared" si="5"/>
        <v>0</v>
      </c>
      <c r="U19" s="1099">
        <f t="shared" si="5"/>
        <v>0</v>
      </c>
      <c r="W19" s="1287"/>
      <c r="X19" s="1103"/>
      <c r="Y19" s="1105"/>
      <c r="Z19" s="1104"/>
    </row>
    <row r="20" spans="1:26">
      <c r="A20" s="1077"/>
      <c r="B20" s="1311"/>
      <c r="C20" s="1078"/>
      <c r="D20" s="184"/>
      <c r="E20" s="184" t="s">
        <v>665</v>
      </c>
      <c r="H20" s="223">
        <f>H18-H19</f>
        <v>0.93281678874476981</v>
      </c>
      <c r="I20" s="223">
        <f t="shared" ref="I20:M20" si="7">I18-I19</f>
        <v>-2.0537162220371563</v>
      </c>
      <c r="J20" s="223">
        <f t="shared" si="7"/>
        <v>-1.867007214762733</v>
      </c>
      <c r="K20" s="223"/>
      <c r="L20" s="223">
        <f t="shared" si="7"/>
        <v>0.42177174336430667</v>
      </c>
      <c r="M20" s="223">
        <f t="shared" si="7"/>
        <v>1.7682261448513188</v>
      </c>
      <c r="N20" s="1065">
        <f>M20</f>
        <v>1.7682261448513188</v>
      </c>
      <c r="O20" s="1093"/>
      <c r="P20" s="1307">
        <f t="shared" si="1"/>
        <v>1.7682261448513188</v>
      </c>
      <c r="Q20" s="1099">
        <f>P20</f>
        <v>1.7682261448513188</v>
      </c>
      <c r="R20" s="1099">
        <f t="shared" si="5"/>
        <v>1.7682261448513188</v>
      </c>
      <c r="S20" s="1099">
        <f t="shared" si="5"/>
        <v>1.7682261448513188</v>
      </c>
      <c r="T20" s="1099">
        <f t="shared" si="5"/>
        <v>1.7682261448513188</v>
      </c>
      <c r="U20" s="1099">
        <f t="shared" si="5"/>
        <v>1.7682261448513188</v>
      </c>
      <c r="W20" s="1287"/>
      <c r="X20" s="1103"/>
      <c r="Y20" s="1105"/>
      <c r="Z20" s="1104"/>
    </row>
    <row r="21" spans="1:26">
      <c r="A21" s="1077"/>
      <c r="B21" s="1077"/>
      <c r="C21" s="1078"/>
      <c r="D21" s="184" t="s">
        <v>1026</v>
      </c>
      <c r="E21" s="184"/>
      <c r="H21" s="1070">
        <v>368.76</v>
      </c>
      <c r="I21" s="1070">
        <v>371.56</v>
      </c>
      <c r="J21" s="1070">
        <v>314.64999999999998</v>
      </c>
      <c r="K21" s="1070"/>
      <c r="L21" s="1070">
        <v>325.06</v>
      </c>
      <c r="M21" s="1070">
        <v>351.82</v>
      </c>
      <c r="N21" s="523">
        <f>集团!N296</f>
        <v>357.01007953607001</v>
      </c>
      <c r="O21" s="1092"/>
      <c r="P21" s="1307">
        <f t="shared" si="1"/>
        <v>357.01007953607001</v>
      </c>
      <c r="Q21" s="1088">
        <f>集团!O296</f>
        <v>382.96139716941099</v>
      </c>
      <c r="R21" s="523">
        <f>集团!P296</f>
        <v>410.3660289221217</v>
      </c>
      <c r="S21" s="523">
        <f>集团!Q296</f>
        <v>439.08143230047881</v>
      </c>
      <c r="T21" s="523">
        <f>集团!R296</f>
        <v>473.95517604357974</v>
      </c>
      <c r="U21" s="523">
        <f>集团!S296</f>
        <v>517.94942531000572</v>
      </c>
      <c r="W21" s="1287"/>
      <c r="X21" s="1103"/>
      <c r="Y21" s="1105"/>
      <c r="Z21" s="1104"/>
    </row>
    <row r="22" spans="1:26">
      <c r="A22" s="1077"/>
      <c r="B22" s="1077"/>
      <c r="C22" s="1078"/>
      <c r="D22" s="184" t="s">
        <v>368</v>
      </c>
      <c r="E22" s="184"/>
      <c r="H22" s="1070">
        <v>9.77</v>
      </c>
      <c r="I22" s="1070">
        <v>5.29</v>
      </c>
      <c r="J22" s="1070">
        <v>6.9</v>
      </c>
      <c r="K22" s="1070"/>
      <c r="L22" s="1070">
        <v>5.94</v>
      </c>
      <c r="M22" s="1070">
        <v>4.62</v>
      </c>
      <c r="N22" s="1065">
        <f t="shared" ref="N22" si="8">M22</f>
        <v>4.62</v>
      </c>
      <c r="O22" s="1093"/>
      <c r="P22" s="1307">
        <f t="shared" si="1"/>
        <v>4.62</v>
      </c>
      <c r="Q22" s="1099">
        <f>P22</f>
        <v>4.62</v>
      </c>
      <c r="R22" s="1099">
        <f t="shared" ref="R22:U22" si="9">Q22</f>
        <v>4.62</v>
      </c>
      <c r="S22" s="1099">
        <f t="shared" si="9"/>
        <v>4.62</v>
      </c>
      <c r="T22" s="1099">
        <f t="shared" si="9"/>
        <v>4.62</v>
      </c>
      <c r="U22" s="1099">
        <f t="shared" si="9"/>
        <v>4.62</v>
      </c>
      <c r="W22" s="1287"/>
      <c r="X22" s="1103"/>
      <c r="Y22" s="1105"/>
      <c r="Z22" s="1104"/>
    </row>
    <row r="23" spans="1:26" s="224" customFormat="1">
      <c r="A23" s="1102"/>
      <c r="C23" s="183" t="s">
        <v>1027</v>
      </c>
      <c r="D23" s="183"/>
      <c r="E23" s="183"/>
      <c r="H23" s="217">
        <f>SUM(H11:H18,H21:H22)</f>
        <v>619.27</v>
      </c>
      <c r="I23" s="217">
        <f t="shared" ref="I23:U23" si="10">SUM(I11:I18,I21:I22)</f>
        <v>631.16999999999996</v>
      </c>
      <c r="J23" s="217">
        <f t="shared" si="10"/>
        <v>542.7399999999999</v>
      </c>
      <c r="K23" s="217"/>
      <c r="L23" s="217">
        <f t="shared" si="10"/>
        <v>595</v>
      </c>
      <c r="M23" s="217">
        <f t="shared" si="10"/>
        <v>614.89</v>
      </c>
      <c r="N23" s="217">
        <f t="shared" si="10"/>
        <v>635.77888676282919</v>
      </c>
      <c r="O23" s="547">
        <f>SUM(O11:O18,O21:O22)</f>
        <v>33.468123199149574</v>
      </c>
      <c r="P23" s="547">
        <f t="shared" si="10"/>
        <v>669.24700996197873</v>
      </c>
      <c r="Q23" s="217">
        <f t="shared" ca="1" si="10"/>
        <v>715.33146607640185</v>
      </c>
      <c r="R23" s="217">
        <f t="shared" ca="1" si="10"/>
        <v>787.67690657442529</v>
      </c>
      <c r="S23" s="217">
        <f t="shared" ca="1" si="10"/>
        <v>915.65870629862798</v>
      </c>
      <c r="T23" s="217">
        <f t="shared" ca="1" si="10"/>
        <v>1090.7220780741036</v>
      </c>
      <c r="U23" s="217">
        <f t="shared" ca="1" si="10"/>
        <v>1310.5627543040528</v>
      </c>
      <c r="W23" s="1287"/>
      <c r="X23" s="1103"/>
      <c r="Y23" s="1105"/>
      <c r="Z23" s="1104"/>
    </row>
    <row r="24" spans="1:26" s="224" customFormat="1">
      <c r="A24" s="1102"/>
      <c r="C24" s="183"/>
      <c r="D24" s="183"/>
      <c r="E24" s="183"/>
      <c r="O24" s="1081"/>
      <c r="P24" s="1081"/>
      <c r="Q24" s="1091"/>
      <c r="W24" s="1287"/>
      <c r="X24" s="1103"/>
      <c r="Y24" s="1105"/>
      <c r="Z24" s="1104"/>
    </row>
    <row r="25" spans="1:26" s="224" customFormat="1">
      <c r="A25" s="1102"/>
      <c r="C25" s="183" t="s">
        <v>1028</v>
      </c>
      <c r="D25" s="183"/>
      <c r="E25" s="183"/>
      <c r="O25" s="1081"/>
      <c r="P25" s="1081"/>
      <c r="Q25" s="1091"/>
      <c r="W25" s="1287"/>
      <c r="X25" s="1103"/>
      <c r="Y25" s="1105"/>
      <c r="Z25" s="1104"/>
    </row>
    <row r="26" spans="1:26">
      <c r="A26" s="1077"/>
      <c r="C26" s="184"/>
      <c r="D26" s="184" t="s">
        <v>369</v>
      </c>
      <c r="E26" s="184"/>
      <c r="H26" s="1070">
        <v>2.12</v>
      </c>
      <c r="I26" s="1070">
        <v>2</v>
      </c>
      <c r="J26" s="1070">
        <v>1.97</v>
      </c>
      <c r="K26" s="1070"/>
      <c r="L26" s="1070">
        <v>1.94</v>
      </c>
      <c r="M26" s="1070">
        <v>1.95</v>
      </c>
      <c r="N26" s="1065">
        <f>M26</f>
        <v>1.95</v>
      </c>
      <c r="O26" s="1093"/>
      <c r="P26" s="548">
        <f t="shared" ref="P26:P38" si="11">N26+O26</f>
        <v>1.95</v>
      </c>
      <c r="Q26" s="1099">
        <f>P26</f>
        <v>1.95</v>
      </c>
      <c r="R26" s="1099">
        <f t="shared" ref="R26:U26" si="12">Q26</f>
        <v>1.95</v>
      </c>
      <c r="S26" s="1099">
        <f t="shared" si="12"/>
        <v>1.95</v>
      </c>
      <c r="T26" s="1099">
        <f t="shared" si="12"/>
        <v>1.95</v>
      </c>
      <c r="U26" s="1099">
        <f t="shared" si="12"/>
        <v>1.95</v>
      </c>
      <c r="W26" s="1287"/>
      <c r="X26" s="1103"/>
      <c r="Y26" s="1105"/>
      <c r="Z26" s="1104"/>
    </row>
    <row r="27" spans="1:26">
      <c r="A27" s="1077"/>
      <c r="C27" s="184"/>
      <c r="D27" s="184" t="s">
        <v>370</v>
      </c>
      <c r="E27" s="184"/>
      <c r="H27" s="1070">
        <v>1.24</v>
      </c>
      <c r="I27" s="1070">
        <v>2.37</v>
      </c>
      <c r="J27" s="1070">
        <v>2.16</v>
      </c>
      <c r="K27" s="1070"/>
      <c r="L27" s="1070">
        <v>2.1</v>
      </c>
      <c r="M27" s="1070">
        <v>1.85</v>
      </c>
      <c r="N27" s="1065">
        <f>M27</f>
        <v>1.85</v>
      </c>
      <c r="O27" s="1093"/>
      <c r="P27" s="548">
        <f t="shared" si="11"/>
        <v>1.85</v>
      </c>
      <c r="Q27" s="1099">
        <f t="shared" ref="Q27:U27" si="13">P27</f>
        <v>1.85</v>
      </c>
      <c r="R27" s="1099">
        <f t="shared" si="13"/>
        <v>1.85</v>
      </c>
      <c r="S27" s="1099">
        <f t="shared" si="13"/>
        <v>1.85</v>
      </c>
      <c r="T27" s="1099">
        <f t="shared" si="13"/>
        <v>1.85</v>
      </c>
      <c r="U27" s="1099">
        <f t="shared" si="13"/>
        <v>1.85</v>
      </c>
      <c r="W27" s="1287"/>
      <c r="X27" s="1103"/>
      <c r="Y27" s="1105"/>
      <c r="Z27" s="1104"/>
    </row>
    <row r="28" spans="1:26">
      <c r="A28" s="1077"/>
      <c r="C28" s="184"/>
      <c r="D28" s="184" t="s">
        <v>1029</v>
      </c>
      <c r="E28" s="184"/>
      <c r="H28" s="1070">
        <v>0</v>
      </c>
      <c r="I28" s="1070">
        <v>0</v>
      </c>
      <c r="J28" s="1070">
        <v>0.23</v>
      </c>
      <c r="K28" s="1070"/>
      <c r="L28" s="1070">
        <v>0.21</v>
      </c>
      <c r="M28" s="1070">
        <v>0.38</v>
      </c>
      <c r="N28" s="1065">
        <f>M28</f>
        <v>0.38</v>
      </c>
      <c r="O28" s="1093"/>
      <c r="P28" s="548">
        <f t="shared" si="11"/>
        <v>0.38</v>
      </c>
      <c r="Q28" s="1099">
        <f t="shared" ref="Q28:U28" si="14">P28</f>
        <v>0.38</v>
      </c>
      <c r="R28" s="1099">
        <f t="shared" si="14"/>
        <v>0.38</v>
      </c>
      <c r="S28" s="1099">
        <f t="shared" si="14"/>
        <v>0.38</v>
      </c>
      <c r="T28" s="1099">
        <f t="shared" si="14"/>
        <v>0.38</v>
      </c>
      <c r="U28" s="1099">
        <f t="shared" si="14"/>
        <v>0.38</v>
      </c>
      <c r="W28" s="1287"/>
      <c r="X28" s="1103"/>
      <c r="Y28" s="1105"/>
      <c r="Z28" s="1104"/>
    </row>
    <row r="29" spans="1:26">
      <c r="A29" s="1077"/>
      <c r="C29" s="184"/>
      <c r="D29" s="184" t="s">
        <v>1030</v>
      </c>
      <c r="E29" s="184"/>
      <c r="H29" s="1070">
        <v>0</v>
      </c>
      <c r="I29" s="1070">
        <v>0</v>
      </c>
      <c r="J29" s="1070">
        <v>0</v>
      </c>
      <c r="K29" s="1070"/>
      <c r="L29" s="1070">
        <v>0</v>
      </c>
      <c r="M29" s="1070">
        <v>0</v>
      </c>
      <c r="N29" s="1065">
        <f t="shared" ref="N29:N30" si="15">M29</f>
        <v>0</v>
      </c>
      <c r="O29" s="1093"/>
      <c r="P29" s="548">
        <f t="shared" si="11"/>
        <v>0</v>
      </c>
      <c r="Q29" s="1099">
        <f t="shared" ref="Q29:U29" si="16">P29</f>
        <v>0</v>
      </c>
      <c r="R29" s="1099">
        <f t="shared" si="16"/>
        <v>0</v>
      </c>
      <c r="S29" s="1099">
        <f t="shared" si="16"/>
        <v>0</v>
      </c>
      <c r="T29" s="1099">
        <f t="shared" si="16"/>
        <v>0</v>
      </c>
      <c r="U29" s="1099">
        <f t="shared" si="16"/>
        <v>0</v>
      </c>
      <c r="W29" s="1287"/>
      <c r="X29" s="1103"/>
      <c r="Y29" s="1105"/>
      <c r="Z29" s="1104"/>
    </row>
    <row r="30" spans="1:26">
      <c r="A30" s="1077"/>
      <c r="C30" s="184"/>
      <c r="D30" s="184" t="s">
        <v>371</v>
      </c>
      <c r="E30" s="184"/>
      <c r="H30" s="1070">
        <v>0</v>
      </c>
      <c r="I30" s="1070">
        <v>0</v>
      </c>
      <c r="J30" s="1070">
        <v>0</v>
      </c>
      <c r="K30" s="1070"/>
      <c r="L30" s="1070">
        <v>0</v>
      </c>
      <c r="M30" s="1070">
        <v>0</v>
      </c>
      <c r="N30" s="1065">
        <f t="shared" si="15"/>
        <v>0</v>
      </c>
      <c r="O30" s="1093"/>
      <c r="P30" s="548">
        <f t="shared" si="11"/>
        <v>0</v>
      </c>
      <c r="Q30" s="1099">
        <f t="shared" ref="Q30:U30" si="17">P30</f>
        <v>0</v>
      </c>
      <c r="R30" s="1099">
        <f t="shared" si="17"/>
        <v>0</v>
      </c>
      <c r="S30" s="1099">
        <f t="shared" si="17"/>
        <v>0</v>
      </c>
      <c r="T30" s="1099">
        <f t="shared" si="17"/>
        <v>0</v>
      </c>
      <c r="U30" s="1099">
        <f t="shared" si="17"/>
        <v>0</v>
      </c>
      <c r="W30" s="1287"/>
      <c r="X30" s="1103"/>
      <c r="Y30" s="1105"/>
      <c r="Z30" s="1104"/>
    </row>
    <row r="31" spans="1:26">
      <c r="A31" s="1077"/>
      <c r="C31" s="184"/>
      <c r="D31" s="184" t="s">
        <v>1031</v>
      </c>
      <c r="E31" s="184"/>
      <c r="H31" s="1070">
        <v>238.46</v>
      </c>
      <c r="I31" s="1070">
        <v>239.24</v>
      </c>
      <c r="J31" s="1070">
        <v>230.08</v>
      </c>
      <c r="K31" s="1070"/>
      <c r="L31" s="1070">
        <v>209.9</v>
      </c>
      <c r="M31" s="1070">
        <v>215.79</v>
      </c>
      <c r="N31" s="523">
        <f>'固定资产&amp;无形资产'!N15</f>
        <v>220.11424994298028</v>
      </c>
      <c r="O31" s="1092"/>
      <c r="P31" s="548">
        <f t="shared" si="11"/>
        <v>220.11424994298028</v>
      </c>
      <c r="Q31" s="1088">
        <f>'固定资产&amp;无形资产'!O15</f>
        <v>241.52006942499932</v>
      </c>
      <c r="R31" s="1088">
        <f>'固定资产&amp;无形资产'!P15</f>
        <v>262.8553472535786</v>
      </c>
      <c r="S31" s="1088">
        <f>'固定资产&amp;无形资产'!Q15</f>
        <v>257.17001825732495</v>
      </c>
      <c r="T31" s="1088">
        <f>'固定资产&amp;无形资产'!R15</f>
        <v>237.53479893929261</v>
      </c>
      <c r="U31" s="1088">
        <f>'固定资产&amp;无形资产'!S15</f>
        <v>210.86857041456929</v>
      </c>
      <c r="W31" s="1287"/>
      <c r="X31" s="1103"/>
      <c r="Y31" s="1105"/>
      <c r="Z31" s="1104"/>
    </row>
    <row r="32" spans="1:26">
      <c r="A32" s="1077"/>
      <c r="C32" s="184"/>
      <c r="D32" s="184" t="s">
        <v>372</v>
      </c>
      <c r="E32" s="184"/>
      <c r="H32" s="1070">
        <v>54.25</v>
      </c>
      <c r="I32" s="1070">
        <v>45.07</v>
      </c>
      <c r="J32" s="1070">
        <v>16.62</v>
      </c>
      <c r="K32" s="1070"/>
      <c r="L32" s="1070">
        <v>17.95</v>
      </c>
      <c r="M32" s="1070">
        <v>37.57</v>
      </c>
      <c r="N32" s="1065">
        <f>L32</f>
        <v>17.95</v>
      </c>
      <c r="O32" s="1093"/>
      <c r="P32" s="548">
        <f t="shared" si="11"/>
        <v>17.95</v>
      </c>
      <c r="Q32" s="1099">
        <f t="shared" ref="Q32:U32" si="18">P32</f>
        <v>17.95</v>
      </c>
      <c r="R32" s="1099">
        <f t="shared" si="18"/>
        <v>17.95</v>
      </c>
      <c r="S32" s="1099">
        <f t="shared" si="18"/>
        <v>17.95</v>
      </c>
      <c r="T32" s="1099">
        <f t="shared" si="18"/>
        <v>17.95</v>
      </c>
      <c r="U32" s="1099">
        <f t="shared" si="18"/>
        <v>17.95</v>
      </c>
      <c r="W32" s="1287"/>
      <c r="X32" s="1103"/>
      <c r="Y32" s="1105"/>
      <c r="Z32" s="1104"/>
    </row>
    <row r="33" spans="1:26">
      <c r="A33" s="1077"/>
      <c r="C33" s="184"/>
      <c r="D33" s="184" t="s">
        <v>1032</v>
      </c>
      <c r="E33" s="184"/>
      <c r="H33" s="1070">
        <v>36.54</v>
      </c>
      <c r="I33" s="1070">
        <v>31.24</v>
      </c>
      <c r="J33" s="1070">
        <v>50.93</v>
      </c>
      <c r="K33" s="1070"/>
      <c r="L33" s="1070">
        <v>44.51</v>
      </c>
      <c r="M33" s="1070">
        <v>41.75</v>
      </c>
      <c r="N33" s="523">
        <f>'固定资产&amp;无形资产'!N30</f>
        <v>44.51</v>
      </c>
      <c r="O33" s="1092"/>
      <c r="P33" s="548">
        <f t="shared" si="11"/>
        <v>44.51</v>
      </c>
      <c r="Q33" s="1088">
        <f>'固定资产&amp;无形资产'!O30</f>
        <v>44.51</v>
      </c>
      <c r="R33" s="523">
        <f>'固定资产&amp;无形资产'!P30</f>
        <v>44.51</v>
      </c>
      <c r="S33" s="523">
        <f>'固定资产&amp;无形资产'!Q30</f>
        <v>44.51</v>
      </c>
      <c r="T33" s="523">
        <f>'固定资产&amp;无形资产'!R30</f>
        <v>44.51</v>
      </c>
      <c r="U33" s="523">
        <f>'固定资产&amp;无形资产'!S30</f>
        <v>44.51</v>
      </c>
      <c r="W33" s="1287"/>
      <c r="X33" s="1103"/>
      <c r="Y33" s="1105"/>
      <c r="Z33" s="1104"/>
    </row>
    <row r="34" spans="1:26">
      <c r="A34" s="1077"/>
      <c r="C34" s="184"/>
      <c r="D34" s="184" t="s">
        <v>1033</v>
      </c>
      <c r="E34" s="184"/>
      <c r="H34" s="1070">
        <v>35.51</v>
      </c>
      <c r="I34" s="1070">
        <v>71.760000000000005</v>
      </c>
      <c r="J34" s="1070">
        <v>56.53</v>
      </c>
      <c r="K34" s="1070"/>
      <c r="L34" s="1070">
        <v>64.510000000000005</v>
      </c>
      <c r="M34" s="1070">
        <v>66.98</v>
      </c>
      <c r="N34" s="1065">
        <f t="shared" ref="N34:N38" si="19">M34</f>
        <v>66.98</v>
      </c>
      <c r="O34" s="1093"/>
      <c r="P34" s="1307">
        <f t="shared" si="11"/>
        <v>66.98</v>
      </c>
      <c r="Q34" s="1099">
        <f t="shared" ref="Q34:U34" si="20">P34</f>
        <v>66.98</v>
      </c>
      <c r="R34" s="1099">
        <f t="shared" si="20"/>
        <v>66.98</v>
      </c>
      <c r="S34" s="1099">
        <f t="shared" si="20"/>
        <v>66.98</v>
      </c>
      <c r="T34" s="1099">
        <f t="shared" si="20"/>
        <v>66.98</v>
      </c>
      <c r="U34" s="1099">
        <f t="shared" si="20"/>
        <v>66.98</v>
      </c>
      <c r="W34" s="1287"/>
      <c r="X34" s="1103"/>
      <c r="Y34" s="1105"/>
      <c r="Z34" s="1104"/>
    </row>
    <row r="35" spans="1:26">
      <c r="A35" s="1077"/>
      <c r="C35" s="184"/>
      <c r="D35" s="184" t="s">
        <v>1034</v>
      </c>
      <c r="E35" s="184"/>
      <c r="H35" s="1070">
        <v>13.36</v>
      </c>
      <c r="I35" s="1070">
        <v>12.69</v>
      </c>
      <c r="J35" s="1070">
        <v>12.99</v>
      </c>
      <c r="K35" s="1070"/>
      <c r="L35" s="1070">
        <v>12.92</v>
      </c>
      <c r="M35" s="1070">
        <v>17.28</v>
      </c>
      <c r="N35" s="1065">
        <f t="shared" si="19"/>
        <v>17.28</v>
      </c>
      <c r="O35" s="1093"/>
      <c r="P35" s="1307">
        <f t="shared" si="11"/>
        <v>17.28</v>
      </c>
      <c r="Q35" s="1099">
        <f t="shared" ref="Q35:U35" si="21">P35</f>
        <v>17.28</v>
      </c>
      <c r="R35" s="1099">
        <f t="shared" si="21"/>
        <v>17.28</v>
      </c>
      <c r="S35" s="1099">
        <f t="shared" si="21"/>
        <v>17.28</v>
      </c>
      <c r="T35" s="1099">
        <f t="shared" si="21"/>
        <v>17.28</v>
      </c>
      <c r="U35" s="1099">
        <f t="shared" si="21"/>
        <v>17.28</v>
      </c>
      <c r="W35" s="1287"/>
      <c r="X35" s="1103"/>
      <c r="Y35" s="1105"/>
      <c r="Z35" s="1104"/>
    </row>
    <row r="36" spans="1:26">
      <c r="A36" s="1077"/>
      <c r="C36" s="184"/>
      <c r="D36" s="184" t="s">
        <v>373</v>
      </c>
      <c r="E36" s="184"/>
      <c r="H36" s="1070">
        <v>18.920000000000002</v>
      </c>
      <c r="I36" s="1070">
        <v>19.66</v>
      </c>
      <c r="J36" s="1070">
        <v>10.96</v>
      </c>
      <c r="K36" s="1070"/>
      <c r="L36" s="1070">
        <v>8.01</v>
      </c>
      <c r="M36" s="1070">
        <v>7.05</v>
      </c>
      <c r="N36" s="1065">
        <f t="shared" si="19"/>
        <v>7.05</v>
      </c>
      <c r="O36" s="1093"/>
      <c r="P36" s="1307">
        <f t="shared" si="11"/>
        <v>7.05</v>
      </c>
      <c r="Q36" s="1099">
        <f t="shared" ref="Q36:U36" si="22">P36</f>
        <v>7.05</v>
      </c>
      <c r="R36" s="1099">
        <f t="shared" si="22"/>
        <v>7.05</v>
      </c>
      <c r="S36" s="1099">
        <f t="shared" si="22"/>
        <v>7.05</v>
      </c>
      <c r="T36" s="1099">
        <f t="shared" si="22"/>
        <v>7.05</v>
      </c>
      <c r="U36" s="1099">
        <f t="shared" si="22"/>
        <v>7.05</v>
      </c>
      <c r="W36" s="1287"/>
      <c r="X36" s="1103"/>
      <c r="Y36" s="1105"/>
      <c r="Z36" s="1104"/>
    </row>
    <row r="37" spans="1:26">
      <c r="A37" s="1077"/>
      <c r="C37" s="184"/>
      <c r="D37" s="184" t="s">
        <v>374</v>
      </c>
      <c r="E37" s="184"/>
      <c r="H37" s="1070">
        <v>7.96</v>
      </c>
      <c r="I37" s="1070">
        <v>6.66</v>
      </c>
      <c r="J37" s="1070">
        <v>8.1199999999999992</v>
      </c>
      <c r="K37" s="1070"/>
      <c r="L37" s="1070">
        <v>8.56</v>
      </c>
      <c r="M37" s="1070">
        <v>7.18</v>
      </c>
      <c r="N37" s="1065">
        <f t="shared" si="19"/>
        <v>7.18</v>
      </c>
      <c r="O37" s="1093"/>
      <c r="P37" s="1307">
        <f t="shared" si="11"/>
        <v>7.18</v>
      </c>
      <c r="Q37" s="1099">
        <f t="shared" ref="Q37:U37" si="23">P37</f>
        <v>7.18</v>
      </c>
      <c r="R37" s="1099">
        <f t="shared" si="23"/>
        <v>7.18</v>
      </c>
      <c r="S37" s="1099">
        <f t="shared" si="23"/>
        <v>7.18</v>
      </c>
      <c r="T37" s="1099">
        <f t="shared" si="23"/>
        <v>7.18</v>
      </c>
      <c r="U37" s="1099">
        <f t="shared" si="23"/>
        <v>7.18</v>
      </c>
      <c r="W37" s="1287"/>
      <c r="X37" s="1103"/>
      <c r="Y37" s="1105"/>
      <c r="Z37" s="1104"/>
    </row>
    <row r="38" spans="1:26">
      <c r="A38" s="1077"/>
      <c r="C38" s="184"/>
      <c r="D38" s="184" t="s">
        <v>375</v>
      </c>
      <c r="E38" s="184"/>
      <c r="H38" s="1070">
        <v>10.38</v>
      </c>
      <c r="I38" s="1070">
        <v>8.34</v>
      </c>
      <c r="J38" s="1070">
        <v>7.72</v>
      </c>
      <c r="K38" s="1070"/>
      <c r="L38" s="1070">
        <v>14.55</v>
      </c>
      <c r="M38" s="1070">
        <v>8.33</v>
      </c>
      <c r="N38" s="1065">
        <f t="shared" si="19"/>
        <v>8.33</v>
      </c>
      <c r="O38" s="1093"/>
      <c r="P38" s="1307">
        <f t="shared" si="11"/>
        <v>8.33</v>
      </c>
      <c r="Q38" s="1099">
        <f t="shared" ref="Q38:U38" si="24">P38</f>
        <v>8.33</v>
      </c>
      <c r="R38" s="1099">
        <f t="shared" si="24"/>
        <v>8.33</v>
      </c>
      <c r="S38" s="1099">
        <f t="shared" si="24"/>
        <v>8.33</v>
      </c>
      <c r="T38" s="1099">
        <f t="shared" si="24"/>
        <v>8.33</v>
      </c>
      <c r="U38" s="1099">
        <f t="shared" si="24"/>
        <v>8.33</v>
      </c>
      <c r="W38" s="1287"/>
      <c r="X38" s="1103"/>
      <c r="Y38" s="1105"/>
      <c r="Z38" s="1104"/>
    </row>
    <row r="39" spans="1:26" s="224" customFormat="1">
      <c r="A39" s="1102"/>
      <c r="C39" s="183" t="s">
        <v>1035</v>
      </c>
      <c r="D39" s="183"/>
      <c r="E39" s="183"/>
      <c r="H39" s="217">
        <f>SUM(H26:H38)</f>
        <v>418.74000000000007</v>
      </c>
      <c r="I39" s="217">
        <f t="shared" ref="I39:M39" si="25">SUM(I26:I38)</f>
        <v>439.03000000000003</v>
      </c>
      <c r="J39" s="217">
        <f t="shared" si="25"/>
        <v>398.31</v>
      </c>
      <c r="K39" s="217"/>
      <c r="L39" s="217">
        <f t="shared" si="25"/>
        <v>385.16</v>
      </c>
      <c r="M39" s="217">
        <f t="shared" si="25"/>
        <v>406.11000000000007</v>
      </c>
      <c r="N39" s="217">
        <f>SUM(N26:N38)</f>
        <v>393.57424994298032</v>
      </c>
      <c r="O39" s="547">
        <f t="shared" ref="O39" si="26">SUM(O26:O38)</f>
        <v>0</v>
      </c>
      <c r="P39" s="540">
        <f t="shared" ref="P39" si="27">SUM(P26:P38)</f>
        <v>393.57424994298032</v>
      </c>
      <c r="Q39" s="1089">
        <f>SUM(Q26:Q38)</f>
        <v>414.98006942499939</v>
      </c>
      <c r="R39" s="217">
        <f t="shared" ref="R39" si="28">SUM(R26:R38)</f>
        <v>436.31534725357864</v>
      </c>
      <c r="S39" s="217">
        <f t="shared" ref="S39" si="29">SUM(S26:S38)</f>
        <v>430.63001825732493</v>
      </c>
      <c r="T39" s="217">
        <f t="shared" ref="T39" si="30">SUM(T26:T38)</f>
        <v>410.99479893929259</v>
      </c>
      <c r="U39" s="217">
        <f t="shared" ref="U39" si="31">SUM(U26:U38)</f>
        <v>384.32857041456936</v>
      </c>
      <c r="W39" s="1287"/>
      <c r="X39" s="1103"/>
      <c r="Y39" s="1105"/>
      <c r="Z39" s="1104"/>
    </row>
    <row r="40" spans="1:26">
      <c r="A40" s="1077"/>
      <c r="B40" s="183" t="s">
        <v>1036</v>
      </c>
      <c r="H40" s="217">
        <f>H39+H23</f>
        <v>1038.01</v>
      </c>
      <c r="I40" s="217">
        <f t="shared" ref="I40:M40" si="32">I39+I23</f>
        <v>1070.2</v>
      </c>
      <c r="J40" s="217">
        <f t="shared" si="32"/>
        <v>941.05</v>
      </c>
      <c r="K40" s="217"/>
      <c r="L40" s="217">
        <f t="shared" si="32"/>
        <v>980.16000000000008</v>
      </c>
      <c r="M40" s="217">
        <f t="shared" si="32"/>
        <v>1021</v>
      </c>
      <c r="N40" s="217">
        <f t="shared" ref="N40" si="33">N39+N23</f>
        <v>1029.3531367058094</v>
      </c>
      <c r="O40" s="547">
        <f t="shared" ref="O40" si="34">O39+O23</f>
        <v>33.468123199149574</v>
      </c>
      <c r="P40" s="540">
        <f t="shared" ref="P40" si="35">P39+P23</f>
        <v>1062.8212599049591</v>
      </c>
      <c r="Q40" s="1089">
        <f t="shared" ref="Q40" ca="1" si="36">Q39+Q23</f>
        <v>1130.3115355014013</v>
      </c>
      <c r="R40" s="217">
        <f t="shared" ref="R40" ca="1" si="37">R39+R23</f>
        <v>1223.9922538280039</v>
      </c>
      <c r="S40" s="217">
        <f t="shared" ref="S40" ca="1" si="38">S39+S23</f>
        <v>1346.288724555953</v>
      </c>
      <c r="T40" s="217">
        <f t="shared" ref="T40" ca="1" si="39">T39+T23</f>
        <v>1501.7168770133962</v>
      </c>
      <c r="U40" s="217">
        <f t="shared" ref="U40" ca="1" si="40">U39+U23</f>
        <v>1694.8913247186222</v>
      </c>
      <c r="W40" s="1287"/>
      <c r="X40" s="1103"/>
      <c r="Y40" s="1105"/>
      <c r="Z40" s="1104"/>
    </row>
    <row r="41" spans="1:26">
      <c r="A41" s="1077"/>
      <c r="W41" s="1287"/>
      <c r="X41" s="1103"/>
      <c r="Y41" s="1105"/>
      <c r="Z41" s="1104"/>
    </row>
    <row r="42" spans="1:26" s="224" customFormat="1">
      <c r="A42" s="1102"/>
      <c r="B42" s="183" t="s">
        <v>684</v>
      </c>
      <c r="C42" s="183"/>
      <c r="D42" s="183"/>
      <c r="E42" s="183"/>
      <c r="O42" s="1081"/>
      <c r="P42" s="1082"/>
      <c r="Q42" s="1091"/>
      <c r="W42" s="1287"/>
      <c r="X42" s="1103"/>
      <c r="Y42" s="1105"/>
      <c r="Z42" s="1104"/>
    </row>
    <row r="43" spans="1:26" s="224" customFormat="1">
      <c r="A43" s="1102"/>
      <c r="B43" s="183"/>
      <c r="C43" s="183" t="s">
        <v>1037</v>
      </c>
      <c r="D43" s="183"/>
      <c r="E43" s="183"/>
      <c r="O43" s="1081"/>
      <c r="P43" s="1082"/>
      <c r="Q43" s="1091"/>
      <c r="W43" s="1287"/>
      <c r="X43" s="1103"/>
      <c r="Y43" s="1105"/>
      <c r="Z43" s="1104"/>
    </row>
    <row r="44" spans="1:26">
      <c r="A44" s="1077"/>
      <c r="B44" s="184"/>
      <c r="C44" s="184"/>
      <c r="D44" s="184" t="s">
        <v>376</v>
      </c>
      <c r="E44" s="184"/>
      <c r="H44" s="1070">
        <v>127.65</v>
      </c>
      <c r="I44" s="1070">
        <v>170.77</v>
      </c>
      <c r="J44" s="1070">
        <v>165.31</v>
      </c>
      <c r="K44" s="1070"/>
      <c r="L44" s="1070">
        <v>190.54</v>
      </c>
      <c r="M44" s="1070">
        <v>167.54</v>
      </c>
      <c r="N44" s="523">
        <f>'债务&amp;权益'!N28+'债务&amp;权益'!N36</f>
        <v>167.54</v>
      </c>
      <c r="O44" s="1092">
        <f>'债务&amp;权益'!O27+'债务&amp;权益'!O35</f>
        <v>-30</v>
      </c>
      <c r="P44" s="1307">
        <f t="shared" ref="P44:P57" si="41">N44+O44</f>
        <v>137.54</v>
      </c>
      <c r="Q44" s="1088">
        <f ca="1">'债务&amp;权益'!Q28+'债务&amp;权益'!Q36</f>
        <v>131.66167066077082</v>
      </c>
      <c r="R44" s="523">
        <f ca="1">'债务&amp;权益'!R28+'债务&amp;权益'!R36</f>
        <v>126.66167066077082</v>
      </c>
      <c r="S44" s="523">
        <f ca="1">'债务&amp;权益'!S28+'债务&amp;权益'!S36</f>
        <v>121.66167066077082</v>
      </c>
      <c r="T44" s="523">
        <f ca="1">'债务&amp;权益'!T28+'债务&amp;权益'!T36</f>
        <v>116.66167066077082</v>
      </c>
      <c r="U44" s="523">
        <f ca="1">'债务&amp;权益'!U28+'债务&amp;权益'!U36</f>
        <v>111.66167066077082</v>
      </c>
      <c r="W44" s="1287"/>
      <c r="X44" s="1103"/>
      <c r="Y44" s="1105"/>
      <c r="Z44" s="1104"/>
    </row>
    <row r="45" spans="1:26">
      <c r="A45" s="1077"/>
      <c r="B45" s="184"/>
      <c r="C45" s="184"/>
      <c r="D45" s="184" t="s">
        <v>377</v>
      </c>
      <c r="E45" s="184"/>
      <c r="H45" s="1070">
        <v>11.19</v>
      </c>
      <c r="I45" s="1070">
        <v>3.32</v>
      </c>
      <c r="J45" s="1070">
        <v>5.5</v>
      </c>
      <c r="K45" s="1070"/>
      <c r="L45" s="1070">
        <v>10.07</v>
      </c>
      <c r="M45" s="1070">
        <v>18.899999999999999</v>
      </c>
      <c r="N45" s="523">
        <f>-集团!N307</f>
        <v>14.761475487174961</v>
      </c>
      <c r="O45" s="1092"/>
      <c r="P45" s="1307">
        <f t="shared" si="41"/>
        <v>14.761475487174961</v>
      </c>
      <c r="Q45" s="1088">
        <f>-集团!O307</f>
        <v>16.428949944324462</v>
      </c>
      <c r="R45" s="523">
        <f>-集团!P307</f>
        <v>18.523668869972681</v>
      </c>
      <c r="S45" s="523">
        <f>-集团!Q307</f>
        <v>20.875338910323222</v>
      </c>
      <c r="T45" s="523">
        <f>-集团!R307</f>
        <v>23.512633757194539</v>
      </c>
      <c r="U45" s="523">
        <f>-集团!S307</f>
        <v>26.252350698076352</v>
      </c>
      <c r="W45" s="1287"/>
      <c r="X45" s="1103"/>
      <c r="Y45" s="1105"/>
      <c r="Z45" s="1104"/>
    </row>
    <row r="46" spans="1:26">
      <c r="A46" s="1077"/>
      <c r="B46" s="184"/>
      <c r="C46" s="184"/>
      <c r="D46" s="184" t="s">
        <v>378</v>
      </c>
      <c r="E46" s="184"/>
      <c r="H46" s="1070">
        <v>96.63</v>
      </c>
      <c r="I46" s="1070">
        <v>93.75</v>
      </c>
      <c r="J46" s="1070">
        <v>103.77</v>
      </c>
      <c r="K46" s="1070"/>
      <c r="L46" s="1070">
        <v>97.26</v>
      </c>
      <c r="M46" s="1070">
        <v>115.13</v>
      </c>
      <c r="N46" s="523">
        <f>-集团!N318</f>
        <v>106.65426901492005</v>
      </c>
      <c r="O46" s="1092"/>
      <c r="P46" s="1307">
        <f t="shared" si="41"/>
        <v>106.65426901492005</v>
      </c>
      <c r="Q46" s="1088">
        <f>-集团!O318</f>
        <v>122.50131631152421</v>
      </c>
      <c r="R46" s="523">
        <f>-集团!P318</f>
        <v>139.31143564419358</v>
      </c>
      <c r="S46" s="523">
        <f>-集团!Q318</f>
        <v>157.11447433394477</v>
      </c>
      <c r="T46" s="523">
        <f>-集团!R318</f>
        <v>178.21889796415866</v>
      </c>
      <c r="U46" s="523">
        <f>-集团!S318</f>
        <v>203.5879529978082</v>
      </c>
      <c r="W46" s="1287"/>
      <c r="X46" s="1103"/>
      <c r="Y46" s="1105"/>
      <c r="Z46" s="1104"/>
    </row>
    <row r="47" spans="1:26">
      <c r="A47" s="1077"/>
      <c r="B47" s="184"/>
      <c r="C47" s="184"/>
      <c r="D47" s="184" t="s">
        <v>379</v>
      </c>
      <c r="E47" s="184"/>
      <c r="H47" s="1070">
        <v>1.83</v>
      </c>
      <c r="I47" s="1070">
        <v>0.93</v>
      </c>
      <c r="J47" s="1070">
        <v>3.42</v>
      </c>
      <c r="K47" s="1070"/>
      <c r="L47" s="1070">
        <v>5.79</v>
      </c>
      <c r="M47" s="1070">
        <v>7.48</v>
      </c>
      <c r="N47" s="523">
        <f>-集团!N275</f>
        <v>7.4173753401743454</v>
      </c>
      <c r="O47" s="1092"/>
      <c r="P47" s="1307">
        <f t="shared" si="41"/>
        <v>7.4173753401743454</v>
      </c>
      <c r="Q47" s="1088">
        <f>-集团!O275</f>
        <v>7.3308738263978164</v>
      </c>
      <c r="R47" s="523">
        <f>-集团!P275</f>
        <v>7.5651089779736047</v>
      </c>
      <c r="S47" s="523">
        <f>-集团!Q275</f>
        <v>7.9747547704211179</v>
      </c>
      <c r="T47" s="523">
        <f>-集团!R275</f>
        <v>8.4776741778325206</v>
      </c>
      <c r="U47" s="523">
        <f>-集团!S275</f>
        <v>9.0278688993877854</v>
      </c>
      <c r="W47" s="1287"/>
      <c r="X47" s="1103"/>
      <c r="Y47" s="1105"/>
      <c r="Z47" s="1104"/>
    </row>
    <row r="48" spans="1:26">
      <c r="A48" s="1077"/>
      <c r="B48" s="184"/>
      <c r="C48" s="184"/>
      <c r="D48" s="184" t="s">
        <v>380</v>
      </c>
      <c r="E48" s="184"/>
      <c r="H48" s="1070">
        <v>2.84</v>
      </c>
      <c r="I48" s="1070">
        <v>3.42</v>
      </c>
      <c r="J48" s="1070">
        <v>0.65</v>
      </c>
      <c r="K48" s="1070"/>
      <c r="L48" s="1070">
        <v>0.48</v>
      </c>
      <c r="M48" s="1070">
        <v>0</v>
      </c>
      <c r="N48" s="1065">
        <f t="shared" ref="N48" si="42">M48</f>
        <v>0</v>
      </c>
      <c r="O48" s="1093"/>
      <c r="P48" s="1307">
        <f t="shared" si="41"/>
        <v>0</v>
      </c>
      <c r="Q48" s="1099">
        <f>P48</f>
        <v>0</v>
      </c>
      <c r="R48" s="1099">
        <f t="shared" ref="R48:U48" si="43">Q48</f>
        <v>0</v>
      </c>
      <c r="S48" s="1099">
        <f t="shared" si="43"/>
        <v>0</v>
      </c>
      <c r="T48" s="1099">
        <f t="shared" si="43"/>
        <v>0</v>
      </c>
      <c r="U48" s="1099">
        <f t="shared" si="43"/>
        <v>0</v>
      </c>
      <c r="W48" s="1287"/>
      <c r="X48" s="1103"/>
      <c r="Y48" s="1105"/>
      <c r="Z48" s="1104"/>
    </row>
    <row r="49" spans="1:26">
      <c r="A49" s="1077"/>
      <c r="B49" s="184"/>
      <c r="C49" s="184"/>
      <c r="D49" s="184" t="s">
        <v>381</v>
      </c>
      <c r="E49" s="184"/>
      <c r="H49" s="1070">
        <v>24.7</v>
      </c>
      <c r="I49" s="1070">
        <v>20.93</v>
      </c>
      <c r="J49" s="1070">
        <v>22.61</v>
      </c>
      <c r="K49" s="1070"/>
      <c r="L49" s="1070">
        <v>27.3</v>
      </c>
      <c r="M49" s="1070">
        <v>18.399999999999999</v>
      </c>
      <c r="N49" s="1065">
        <f t="shared" ref="N49:N51" si="44">M49</f>
        <v>18.399999999999999</v>
      </c>
      <c r="O49" s="1093"/>
      <c r="P49" s="1307">
        <f t="shared" si="41"/>
        <v>18.399999999999999</v>
      </c>
      <c r="Q49" s="1099">
        <f t="shared" ref="Q49:U49" si="45">P49</f>
        <v>18.399999999999999</v>
      </c>
      <c r="R49" s="1099">
        <f t="shared" si="45"/>
        <v>18.399999999999999</v>
      </c>
      <c r="S49" s="1099">
        <f t="shared" si="45"/>
        <v>18.399999999999999</v>
      </c>
      <c r="T49" s="1099">
        <f t="shared" si="45"/>
        <v>18.399999999999999</v>
      </c>
      <c r="U49" s="1099">
        <f t="shared" si="45"/>
        <v>18.399999999999999</v>
      </c>
      <c r="W49" s="1287"/>
      <c r="X49" s="1103"/>
      <c r="Y49" s="1105"/>
      <c r="Z49" s="1104"/>
    </row>
    <row r="50" spans="1:26">
      <c r="A50" s="1077"/>
      <c r="B50" s="184"/>
      <c r="C50" s="184"/>
      <c r="D50" s="184" t="s">
        <v>382</v>
      </c>
      <c r="E50" s="184"/>
      <c r="H50" s="1070">
        <v>10.41</v>
      </c>
      <c r="I50" s="1070">
        <v>10.61</v>
      </c>
      <c r="J50" s="1070">
        <v>13.8</v>
      </c>
      <c r="K50" s="1070"/>
      <c r="L50" s="1070">
        <v>18.239999999999998</v>
      </c>
      <c r="M50" s="1070">
        <v>8.44</v>
      </c>
      <c r="N50" s="1065">
        <f t="shared" si="44"/>
        <v>8.44</v>
      </c>
      <c r="O50" s="1093"/>
      <c r="P50" s="1307">
        <f t="shared" si="41"/>
        <v>8.44</v>
      </c>
      <c r="Q50" s="1099">
        <f t="shared" ref="Q50:U50" si="46">P50</f>
        <v>8.44</v>
      </c>
      <c r="R50" s="1099">
        <f t="shared" si="46"/>
        <v>8.44</v>
      </c>
      <c r="S50" s="1099">
        <f t="shared" si="46"/>
        <v>8.44</v>
      </c>
      <c r="T50" s="1099">
        <f t="shared" si="46"/>
        <v>8.44</v>
      </c>
      <c r="U50" s="1099">
        <f t="shared" si="46"/>
        <v>8.44</v>
      </c>
      <c r="W50" s="1287"/>
      <c r="X50" s="1103"/>
      <c r="Y50" s="1105"/>
      <c r="Z50" s="1104"/>
    </row>
    <row r="51" spans="1:26">
      <c r="A51" s="1077"/>
      <c r="B51" s="184"/>
      <c r="C51" s="184"/>
      <c r="D51" s="184" t="s">
        <v>383</v>
      </c>
      <c r="E51" s="184"/>
      <c r="H51" s="1070">
        <v>2.46</v>
      </c>
      <c r="I51" s="1070">
        <v>1.47</v>
      </c>
      <c r="J51" s="1070">
        <v>1.92</v>
      </c>
      <c r="K51" s="1070"/>
      <c r="L51" s="1070">
        <v>2.88</v>
      </c>
      <c r="M51" s="1070">
        <v>4.2300000000000004</v>
      </c>
      <c r="N51" s="1065">
        <f t="shared" si="44"/>
        <v>4.2300000000000004</v>
      </c>
      <c r="O51" s="1093"/>
      <c r="P51" s="1307">
        <f t="shared" si="41"/>
        <v>4.2300000000000004</v>
      </c>
      <c r="Q51" s="1099">
        <f t="shared" ref="Q51:U51" si="47">P51</f>
        <v>4.2300000000000004</v>
      </c>
      <c r="R51" s="1099">
        <f t="shared" si="47"/>
        <v>4.2300000000000004</v>
      </c>
      <c r="S51" s="1099">
        <f t="shared" si="47"/>
        <v>4.2300000000000004</v>
      </c>
      <c r="T51" s="1099">
        <f t="shared" si="47"/>
        <v>4.2300000000000004</v>
      </c>
      <c r="U51" s="1099">
        <f t="shared" si="47"/>
        <v>4.2300000000000004</v>
      </c>
      <c r="W51" s="1287"/>
      <c r="X51" s="1103"/>
      <c r="Y51" s="1105"/>
      <c r="Z51" s="1104"/>
    </row>
    <row r="52" spans="1:26">
      <c r="A52" s="1077"/>
      <c r="B52" s="1312"/>
      <c r="C52" s="1078"/>
      <c r="D52" s="184" t="s">
        <v>384</v>
      </c>
      <c r="E52" s="184"/>
      <c r="H52" s="1070">
        <v>94.11</v>
      </c>
      <c r="I52" s="1070">
        <v>96.25</v>
      </c>
      <c r="J52" s="1070">
        <v>68.239999999999995</v>
      </c>
      <c r="K52" s="1070"/>
      <c r="L52" s="1070">
        <v>65.95</v>
      </c>
      <c r="M52" s="1070">
        <v>54.26</v>
      </c>
      <c r="N52" s="1296">
        <f>N53+N54</f>
        <v>54.26</v>
      </c>
      <c r="O52" s="548">
        <f>O53+O54</f>
        <v>-16.531876800850419</v>
      </c>
      <c r="P52" s="1307">
        <f t="shared" si="41"/>
        <v>37.728123199149579</v>
      </c>
      <c r="Q52" s="1310">
        <f>Q53+Q54</f>
        <v>37.728123199149579</v>
      </c>
      <c r="R52" s="1310">
        <f t="shared" ref="R52:U52" si="48">R53+R54</f>
        <v>37.728123199149579</v>
      </c>
      <c r="S52" s="1310">
        <f t="shared" si="48"/>
        <v>37.728123199149579</v>
      </c>
      <c r="T52" s="1310">
        <f t="shared" si="48"/>
        <v>37.728123199149579</v>
      </c>
      <c r="U52" s="1310">
        <f t="shared" si="48"/>
        <v>37.728123199149579</v>
      </c>
      <c r="W52" s="1287"/>
      <c r="X52" s="1103"/>
      <c r="Y52" s="1105"/>
      <c r="Z52" s="1104"/>
    </row>
    <row r="53" spans="1:26">
      <c r="A53" s="1077"/>
      <c r="B53" s="1312"/>
      <c r="C53" s="1078"/>
      <c r="D53" s="184"/>
      <c r="E53" s="184" t="s">
        <v>1153</v>
      </c>
      <c r="H53" s="1070">
        <f>114.06/H7</f>
        <v>17.889800335649419</v>
      </c>
      <c r="I53" s="1070">
        <f>187.41/I7</f>
        <v>26.908939494012579</v>
      </c>
      <c r="J53" s="1070">
        <f>222.04/J7</f>
        <v>31.349626554844903</v>
      </c>
      <c r="K53" s="1070"/>
      <c r="L53" s="1070">
        <f>130.69/L7-5</f>
        <v>13.180679984419342</v>
      </c>
      <c r="M53" s="1070">
        <f>153.94/M7-5</f>
        <v>16.531876800850419</v>
      </c>
      <c r="N53" s="1065">
        <f>M53</f>
        <v>16.531876800850419</v>
      </c>
      <c r="O53" s="1308">
        <f>-N53</f>
        <v>-16.531876800850419</v>
      </c>
      <c r="P53" s="1307">
        <f t="shared" si="41"/>
        <v>0</v>
      </c>
      <c r="Q53" s="1099">
        <f t="shared" ref="Q53:U54" si="49">P53</f>
        <v>0</v>
      </c>
      <c r="R53" s="1099">
        <f t="shared" si="49"/>
        <v>0</v>
      </c>
      <c r="S53" s="1099">
        <f t="shared" si="49"/>
        <v>0</v>
      </c>
      <c r="T53" s="1099">
        <f t="shared" si="49"/>
        <v>0</v>
      </c>
      <c r="U53" s="1099">
        <f t="shared" si="49"/>
        <v>0</v>
      </c>
      <c r="W53" s="1287"/>
      <c r="X53" s="1103"/>
      <c r="Y53" s="1105"/>
      <c r="Z53" s="1104"/>
    </row>
    <row r="54" spans="1:26">
      <c r="A54" s="1077"/>
      <c r="B54" s="1312"/>
      <c r="C54" s="1078"/>
      <c r="D54" s="184"/>
      <c r="E54" s="184" t="s">
        <v>665</v>
      </c>
      <c r="H54" s="223">
        <f>H52-H53</f>
        <v>76.220199664350588</v>
      </c>
      <c r="I54" s="223">
        <f t="shared" ref="I54:M54" si="50">I52-I53</f>
        <v>69.341060505987429</v>
      </c>
      <c r="J54" s="223">
        <f t="shared" si="50"/>
        <v>36.890373445155092</v>
      </c>
      <c r="K54" s="223"/>
      <c r="L54" s="223">
        <f t="shared" si="50"/>
        <v>52.769320015580661</v>
      </c>
      <c r="M54" s="223">
        <f t="shared" si="50"/>
        <v>37.728123199149579</v>
      </c>
      <c r="N54" s="1065">
        <f>M54</f>
        <v>37.728123199149579</v>
      </c>
      <c r="O54" s="1093"/>
      <c r="P54" s="1307">
        <f t="shared" si="41"/>
        <v>37.728123199149579</v>
      </c>
      <c r="Q54" s="1099">
        <f>P54</f>
        <v>37.728123199149579</v>
      </c>
      <c r="R54" s="1099">
        <f t="shared" si="49"/>
        <v>37.728123199149579</v>
      </c>
      <c r="S54" s="1099">
        <f t="shared" si="49"/>
        <v>37.728123199149579</v>
      </c>
      <c r="T54" s="1099">
        <f t="shared" si="49"/>
        <v>37.728123199149579</v>
      </c>
      <c r="U54" s="1099">
        <f t="shared" si="49"/>
        <v>37.728123199149579</v>
      </c>
      <c r="W54" s="1287"/>
      <c r="X54" s="1103"/>
      <c r="Y54" s="1105"/>
      <c r="Z54" s="1104"/>
    </row>
    <row r="55" spans="1:26">
      <c r="A55" s="1077"/>
      <c r="B55" s="184"/>
      <c r="C55" s="184"/>
      <c r="D55" s="184" t="s">
        <v>385</v>
      </c>
      <c r="E55" s="184"/>
      <c r="H55" s="1070">
        <v>32.659999999999997</v>
      </c>
      <c r="I55" s="1070">
        <v>29.6</v>
      </c>
      <c r="J55" s="1070">
        <v>61.86</v>
      </c>
      <c r="K55" s="1070"/>
      <c r="L55" s="1070">
        <v>21.44</v>
      </c>
      <c r="M55" s="1070">
        <v>49.05</v>
      </c>
      <c r="N55" s="1296">
        <f>N56+N57</f>
        <v>49.05</v>
      </c>
      <c r="O55" s="1093"/>
      <c r="P55" s="1307">
        <f t="shared" si="41"/>
        <v>49.05</v>
      </c>
      <c r="Q55" s="1296">
        <f>Q56+Q57</f>
        <v>47.05</v>
      </c>
      <c r="R55" s="1296">
        <f t="shared" ref="R55" si="51">R56+R57</f>
        <v>45.05</v>
      </c>
      <c r="S55" s="1296">
        <f>S56+S57</f>
        <v>43.05</v>
      </c>
      <c r="T55" s="1296">
        <f>T56+T57</f>
        <v>41.05</v>
      </c>
      <c r="U55" s="1296">
        <f>U56+U57</f>
        <v>39.049999999999997</v>
      </c>
      <c r="W55" s="1287"/>
      <c r="X55" s="1103"/>
      <c r="Y55" s="1105"/>
      <c r="Z55" s="1104"/>
    </row>
    <row r="56" spans="1:26" outlineLevel="2">
      <c r="A56" s="1077"/>
      <c r="B56" s="184"/>
      <c r="C56" s="184"/>
      <c r="D56" s="184"/>
      <c r="E56" s="184" t="s">
        <v>1133</v>
      </c>
      <c r="H56" s="1280"/>
      <c r="I56" s="1260"/>
      <c r="J56" s="1260"/>
      <c r="K56" s="1070"/>
      <c r="L56" s="1070">
        <v>7.29</v>
      </c>
      <c r="M56" s="1070">
        <v>32.58</v>
      </c>
      <c r="N56" s="1293">
        <f>'债务&amp;权益'!N61</f>
        <v>32.58</v>
      </c>
      <c r="O56" s="1294"/>
      <c r="P56" s="1307">
        <f t="shared" si="41"/>
        <v>32.58</v>
      </c>
      <c r="Q56" s="1295">
        <f>'债务&amp;权益'!Q61</f>
        <v>30.58</v>
      </c>
      <c r="R56" s="1295">
        <f>'债务&amp;权益'!R61</f>
        <v>28.58</v>
      </c>
      <c r="S56" s="1295">
        <f>'债务&amp;权益'!S61</f>
        <v>26.58</v>
      </c>
      <c r="T56" s="1295">
        <f>'债务&amp;权益'!T61</f>
        <v>24.58</v>
      </c>
      <c r="U56" s="1295">
        <f>'债务&amp;权益'!U61</f>
        <v>22.58</v>
      </c>
      <c r="W56" s="1287"/>
      <c r="X56" s="1103"/>
      <c r="Y56" s="1105"/>
      <c r="Z56" s="1104"/>
    </row>
    <row r="57" spans="1:26" outlineLevel="2">
      <c r="A57" s="1077"/>
      <c r="B57" s="184"/>
      <c r="C57" s="184"/>
      <c r="D57" s="184"/>
      <c r="E57" s="184" t="s">
        <v>1134</v>
      </c>
      <c r="H57" s="1280"/>
      <c r="I57" s="1260"/>
      <c r="J57" s="1260"/>
      <c r="K57" s="1070"/>
      <c r="L57" s="1070">
        <v>14.15</v>
      </c>
      <c r="M57" s="1070">
        <v>16.47</v>
      </c>
      <c r="N57" s="1065">
        <f>M57</f>
        <v>16.47</v>
      </c>
      <c r="O57" s="1093"/>
      <c r="P57" s="1307">
        <f t="shared" si="41"/>
        <v>16.47</v>
      </c>
      <c r="Q57" s="1099">
        <f>N57</f>
        <v>16.47</v>
      </c>
      <c r="R57" s="1099">
        <f>Q57</f>
        <v>16.47</v>
      </c>
      <c r="S57" s="1099">
        <f t="shared" ref="S57:U57" si="52">R57</f>
        <v>16.47</v>
      </c>
      <c r="T57" s="1099">
        <f t="shared" si="52"/>
        <v>16.47</v>
      </c>
      <c r="U57" s="1099">
        <f t="shared" si="52"/>
        <v>16.47</v>
      </c>
      <c r="W57" s="1287"/>
      <c r="X57" s="1103"/>
      <c r="Y57" s="1105"/>
      <c r="Z57" s="1104"/>
    </row>
    <row r="58" spans="1:26" s="224" customFormat="1">
      <c r="A58" s="1102"/>
      <c r="B58" s="183"/>
      <c r="C58" s="183" t="s">
        <v>1038</v>
      </c>
      <c r="D58" s="183"/>
      <c r="E58" s="183"/>
      <c r="H58" s="217">
        <f>SUM(H44:H52,H55)</f>
        <v>404.48</v>
      </c>
      <c r="I58" s="217">
        <f t="shared" ref="I58:U58" si="53">SUM(I44:I52,I55)</f>
        <v>431.05000000000013</v>
      </c>
      <c r="J58" s="217">
        <f t="shared" si="53"/>
        <v>447.08000000000004</v>
      </c>
      <c r="K58" s="217"/>
      <c r="L58" s="217">
        <f t="shared" si="53"/>
        <v>439.95000000000005</v>
      </c>
      <c r="M58" s="217">
        <f t="shared" si="53"/>
        <v>443.43</v>
      </c>
      <c r="N58" s="217">
        <f t="shared" si="53"/>
        <v>430.75311984226937</v>
      </c>
      <c r="O58" s="547">
        <f>SUM(O44:O52,O55)</f>
        <v>-46.531876800850419</v>
      </c>
      <c r="P58" s="540">
        <f t="shared" si="53"/>
        <v>384.22124304141897</v>
      </c>
      <c r="Q58" s="217">
        <f ca="1">SUM(Q44:Q52,Q55)</f>
        <v>393.77093394216689</v>
      </c>
      <c r="R58" s="217">
        <f t="shared" ca="1" si="53"/>
        <v>405.91000735206023</v>
      </c>
      <c r="S58" s="217">
        <f t="shared" ca="1" si="53"/>
        <v>419.47436187460954</v>
      </c>
      <c r="T58" s="217">
        <f t="shared" ca="1" si="53"/>
        <v>436.71899975910617</v>
      </c>
      <c r="U58" s="217">
        <f t="shared" ca="1" si="53"/>
        <v>458.37796645519279</v>
      </c>
      <c r="W58" s="1287"/>
      <c r="X58" s="1103"/>
      <c r="Y58" s="1105"/>
      <c r="Z58" s="1104"/>
    </row>
    <row r="59" spans="1:26" s="224" customFormat="1">
      <c r="A59" s="1102"/>
      <c r="B59" s="183"/>
      <c r="C59" s="183"/>
      <c r="D59" s="183"/>
      <c r="E59" s="183"/>
      <c r="O59" s="1081"/>
      <c r="P59" s="1081"/>
      <c r="Q59" s="1091"/>
      <c r="W59" s="1287"/>
      <c r="X59" s="1103"/>
      <c r="Y59" s="1105"/>
      <c r="Z59" s="1104"/>
    </row>
    <row r="60" spans="1:26" s="224" customFormat="1">
      <c r="A60" s="1102"/>
      <c r="B60" s="183"/>
      <c r="C60" s="183" t="s">
        <v>1039</v>
      </c>
      <c r="D60" s="183"/>
      <c r="E60" s="183"/>
      <c r="O60" s="1081"/>
      <c r="P60" s="1081"/>
      <c r="Q60" s="1091"/>
      <c r="W60" s="1287"/>
      <c r="X60" s="1103"/>
      <c r="Y60" s="1105"/>
      <c r="Z60" s="1104"/>
    </row>
    <row r="61" spans="1:26">
      <c r="A61" s="1077"/>
      <c r="B61" s="184"/>
      <c r="C61" s="184"/>
      <c r="D61" s="184" t="s">
        <v>386</v>
      </c>
      <c r="E61" s="184"/>
      <c r="H61" s="1070">
        <v>282.77999999999997</v>
      </c>
      <c r="I61" s="1070">
        <v>264.73</v>
      </c>
      <c r="J61" s="1070">
        <v>200.46</v>
      </c>
      <c r="K61" s="1070"/>
      <c r="L61" s="1070">
        <v>215.91</v>
      </c>
      <c r="M61" s="1070">
        <v>221.61</v>
      </c>
      <c r="N61" s="523">
        <f>'债务&amp;权益'!N45+'债务&amp;权益'!N53</f>
        <v>221.61</v>
      </c>
      <c r="O61" s="1092">
        <f>'债务&amp;权益'!O52+'债务&amp;权益'!O44</f>
        <v>-20</v>
      </c>
      <c r="P61" s="1307">
        <f>N61+O61</f>
        <v>201.61</v>
      </c>
      <c r="Q61" s="1088">
        <f>'债务&amp;权益'!Q45+'债务&amp;权益'!Q53</f>
        <v>177.61</v>
      </c>
      <c r="R61" s="523">
        <f>'债务&amp;权益'!R45+'债务&amp;权益'!R53</f>
        <v>152.61000000000001</v>
      </c>
      <c r="S61" s="523">
        <f>'债务&amp;权益'!S45+'债务&amp;权益'!S53</f>
        <v>127.61000000000001</v>
      </c>
      <c r="T61" s="523">
        <f>'债务&amp;权益'!T45+'债务&amp;权益'!T53</f>
        <v>102.61000000000001</v>
      </c>
      <c r="U61" s="523">
        <f>'债务&amp;权益'!U45+'债务&amp;权益'!U53</f>
        <v>77.610000000000014</v>
      </c>
      <c r="W61" s="1287"/>
      <c r="X61" s="1103"/>
      <c r="Y61" s="1105"/>
      <c r="Z61" s="1104"/>
    </row>
    <row r="62" spans="1:26">
      <c r="A62" s="1077"/>
      <c r="B62" s="184"/>
      <c r="C62" s="184"/>
      <c r="D62" s="184" t="s">
        <v>387</v>
      </c>
      <c r="E62" s="184"/>
      <c r="H62" s="1070">
        <v>27.06</v>
      </c>
      <c r="I62" s="1070">
        <v>20.5</v>
      </c>
      <c r="J62" s="1070">
        <v>8.2899999999999991</v>
      </c>
      <c r="K62" s="1070"/>
      <c r="L62" s="1070">
        <v>15.2</v>
      </c>
      <c r="M62" s="1070">
        <v>12.23</v>
      </c>
      <c r="N62" s="1065">
        <f t="shared" ref="N62" si="54">M62</f>
        <v>12.23</v>
      </c>
      <c r="O62" s="1093"/>
      <c r="P62" s="1307">
        <f>N62+O62</f>
        <v>12.23</v>
      </c>
      <c r="Q62" s="1099">
        <f>P62</f>
        <v>12.23</v>
      </c>
      <c r="R62" s="1099">
        <f t="shared" ref="R62:U62" si="55">Q62</f>
        <v>12.23</v>
      </c>
      <c r="S62" s="1099">
        <f t="shared" si="55"/>
        <v>12.23</v>
      </c>
      <c r="T62" s="1099">
        <f t="shared" si="55"/>
        <v>12.23</v>
      </c>
      <c r="U62" s="1099">
        <f t="shared" si="55"/>
        <v>12.23</v>
      </c>
      <c r="W62" s="1287"/>
      <c r="X62" s="1103"/>
      <c r="Y62" s="1105"/>
      <c r="Z62" s="1104"/>
    </row>
    <row r="63" spans="1:26">
      <c r="A63" s="1077"/>
      <c r="B63" s="184"/>
      <c r="C63" s="184"/>
      <c r="D63" s="184" t="s">
        <v>1040</v>
      </c>
      <c r="E63" s="184"/>
      <c r="H63" s="1070">
        <v>2.71</v>
      </c>
      <c r="I63" s="1070">
        <v>0.5</v>
      </c>
      <c r="J63" s="1070">
        <v>0.31</v>
      </c>
      <c r="K63" s="1070"/>
      <c r="L63" s="1070">
        <v>0.27</v>
      </c>
      <c r="M63" s="1070">
        <v>0.24</v>
      </c>
      <c r="N63" s="1065">
        <f t="shared" ref="N63:N68" si="56">M63</f>
        <v>0.24</v>
      </c>
      <c r="O63" s="1093"/>
      <c r="P63" s="1307">
        <f t="shared" ref="P63:P68" si="57">N63+O63</f>
        <v>0.24</v>
      </c>
      <c r="Q63" s="1099">
        <f t="shared" ref="Q63:U68" si="58">P63</f>
        <v>0.24</v>
      </c>
      <c r="R63" s="1099">
        <f t="shared" si="58"/>
        <v>0.24</v>
      </c>
      <c r="S63" s="1099">
        <f t="shared" si="58"/>
        <v>0.24</v>
      </c>
      <c r="T63" s="1099">
        <f t="shared" si="58"/>
        <v>0.24</v>
      </c>
      <c r="U63" s="1099">
        <f t="shared" si="58"/>
        <v>0.24</v>
      </c>
      <c r="W63" s="1287"/>
      <c r="X63" s="1103"/>
      <c r="Y63" s="1105"/>
      <c r="Z63" s="1104"/>
    </row>
    <row r="64" spans="1:26">
      <c r="A64" s="1077"/>
      <c r="B64" s="184"/>
      <c r="C64" s="184"/>
      <c r="D64" s="184" t="s">
        <v>388</v>
      </c>
      <c r="E64" s="184"/>
      <c r="H64" s="1070">
        <v>1.34</v>
      </c>
      <c r="I64" s="1070">
        <v>1.2</v>
      </c>
      <c r="J64" s="1070">
        <v>1.1499999999999999</v>
      </c>
      <c r="K64" s="1070"/>
      <c r="L64" s="1070">
        <v>1.26</v>
      </c>
      <c r="M64" s="1070">
        <v>1.32</v>
      </c>
      <c r="N64" s="1065">
        <f t="shared" si="56"/>
        <v>1.32</v>
      </c>
      <c r="O64" s="1093"/>
      <c r="P64" s="1307">
        <f t="shared" si="57"/>
        <v>1.32</v>
      </c>
      <c r="Q64" s="1099">
        <f t="shared" si="58"/>
        <v>1.32</v>
      </c>
      <c r="R64" s="1099">
        <f t="shared" si="58"/>
        <v>1.32</v>
      </c>
      <c r="S64" s="1099">
        <f t="shared" si="58"/>
        <v>1.32</v>
      </c>
      <c r="T64" s="1099">
        <f t="shared" si="58"/>
        <v>1.32</v>
      </c>
      <c r="U64" s="1099">
        <f t="shared" si="58"/>
        <v>1.32</v>
      </c>
      <c r="W64" s="1287"/>
      <c r="X64" s="1103"/>
      <c r="Y64" s="1105"/>
      <c r="Z64" s="1104"/>
    </row>
    <row r="65" spans="1:26">
      <c r="A65" s="1077"/>
      <c r="B65" s="184"/>
      <c r="C65" s="184"/>
      <c r="D65" s="184" t="s">
        <v>389</v>
      </c>
      <c r="E65" s="184"/>
      <c r="H65" s="1070">
        <v>27.86</v>
      </c>
      <c r="I65" s="1070">
        <v>64.02</v>
      </c>
      <c r="J65" s="1070">
        <v>59.83</v>
      </c>
      <c r="K65" s="1070"/>
      <c r="L65" s="1070">
        <v>65.56</v>
      </c>
      <c r="M65" s="1070">
        <v>65.08</v>
      </c>
      <c r="N65" s="1065">
        <f t="shared" si="56"/>
        <v>65.08</v>
      </c>
      <c r="O65" s="1093"/>
      <c r="P65" s="1307">
        <f t="shared" si="57"/>
        <v>65.08</v>
      </c>
      <c r="Q65" s="1099">
        <f t="shared" si="58"/>
        <v>65.08</v>
      </c>
      <c r="R65" s="1099">
        <f t="shared" si="58"/>
        <v>65.08</v>
      </c>
      <c r="S65" s="1099">
        <f t="shared" si="58"/>
        <v>65.08</v>
      </c>
      <c r="T65" s="1099">
        <f t="shared" si="58"/>
        <v>65.08</v>
      </c>
      <c r="U65" s="1099">
        <f t="shared" si="58"/>
        <v>65.08</v>
      </c>
      <c r="W65" s="1287"/>
      <c r="X65" s="1103"/>
      <c r="Y65" s="1105"/>
      <c r="Z65" s="1104"/>
    </row>
    <row r="66" spans="1:26">
      <c r="A66" s="1077"/>
      <c r="B66" s="184"/>
      <c r="C66" s="184"/>
      <c r="D66" s="184" t="s">
        <v>390</v>
      </c>
      <c r="E66" s="184"/>
      <c r="H66" s="1070">
        <v>7.71</v>
      </c>
      <c r="I66" s="1070">
        <v>8.41</v>
      </c>
      <c r="J66" s="1070">
        <v>11.71</v>
      </c>
      <c r="K66" s="1070"/>
      <c r="L66" s="1070">
        <v>11.55</v>
      </c>
      <c r="M66" s="1070">
        <v>12.17</v>
      </c>
      <c r="N66" s="1065">
        <f t="shared" si="56"/>
        <v>12.17</v>
      </c>
      <c r="O66" s="1093"/>
      <c r="P66" s="1307">
        <f t="shared" si="57"/>
        <v>12.17</v>
      </c>
      <c r="Q66" s="1099">
        <f t="shared" si="58"/>
        <v>12.17</v>
      </c>
      <c r="R66" s="1099">
        <f t="shared" si="58"/>
        <v>12.17</v>
      </c>
      <c r="S66" s="1099">
        <f t="shared" si="58"/>
        <v>12.17</v>
      </c>
      <c r="T66" s="1099">
        <f t="shared" si="58"/>
        <v>12.17</v>
      </c>
      <c r="U66" s="1099">
        <f t="shared" si="58"/>
        <v>12.17</v>
      </c>
      <c r="W66" s="1287"/>
      <c r="X66" s="1103"/>
      <c r="Y66" s="1105"/>
      <c r="Z66" s="1104"/>
    </row>
    <row r="67" spans="1:26">
      <c r="A67" s="1077"/>
      <c r="B67" s="184"/>
      <c r="C67" s="184"/>
      <c r="D67" s="184" t="s">
        <v>391</v>
      </c>
      <c r="E67" s="184"/>
      <c r="H67" s="1070">
        <v>1.1299999999999999</v>
      </c>
      <c r="I67" s="1070">
        <v>0.78</v>
      </c>
      <c r="J67" s="1070">
        <v>0.54</v>
      </c>
      <c r="K67" s="1070"/>
      <c r="L67" s="1070">
        <v>1.35</v>
      </c>
      <c r="M67" s="1070">
        <v>0.94</v>
      </c>
      <c r="N67" s="1065">
        <f t="shared" si="56"/>
        <v>0.94</v>
      </c>
      <c r="O67" s="1093"/>
      <c r="P67" s="1307">
        <f t="shared" si="57"/>
        <v>0.94</v>
      </c>
      <c r="Q67" s="1099">
        <f t="shared" si="58"/>
        <v>0.94</v>
      </c>
      <c r="R67" s="1099">
        <f t="shared" si="58"/>
        <v>0.94</v>
      </c>
      <c r="S67" s="1099">
        <f t="shared" si="58"/>
        <v>0.94</v>
      </c>
      <c r="T67" s="1099">
        <f t="shared" si="58"/>
        <v>0.94</v>
      </c>
      <c r="U67" s="1099">
        <f t="shared" si="58"/>
        <v>0.94</v>
      </c>
      <c r="W67" s="1287"/>
      <c r="X67" s="1103"/>
      <c r="Y67" s="1105"/>
      <c r="Z67" s="1104"/>
    </row>
    <row r="68" spans="1:26">
      <c r="A68" s="1077"/>
      <c r="B68" s="184"/>
      <c r="C68" s="184"/>
      <c r="D68" s="184" t="s">
        <v>392</v>
      </c>
      <c r="E68" s="184"/>
      <c r="H68" s="1070">
        <v>0.22</v>
      </c>
      <c r="I68" s="1070">
        <v>0.18</v>
      </c>
      <c r="J68" s="1070">
        <v>0.16</v>
      </c>
      <c r="K68" s="1070"/>
      <c r="L68" s="1070">
        <v>0.14000000000000001</v>
      </c>
      <c r="M68" s="1070">
        <v>0.14000000000000001</v>
      </c>
      <c r="N68" s="1065">
        <f t="shared" si="56"/>
        <v>0.14000000000000001</v>
      </c>
      <c r="O68" s="1093"/>
      <c r="P68" s="1307">
        <f t="shared" si="57"/>
        <v>0.14000000000000001</v>
      </c>
      <c r="Q68" s="1099">
        <f t="shared" si="58"/>
        <v>0.14000000000000001</v>
      </c>
      <c r="R68" s="1099">
        <f t="shared" si="58"/>
        <v>0.14000000000000001</v>
      </c>
      <c r="S68" s="1099">
        <f t="shared" si="58"/>
        <v>0.14000000000000001</v>
      </c>
      <c r="T68" s="1099">
        <f t="shared" si="58"/>
        <v>0.14000000000000001</v>
      </c>
      <c r="U68" s="1099">
        <f t="shared" si="58"/>
        <v>0.14000000000000001</v>
      </c>
      <c r="W68" s="1287"/>
      <c r="X68" s="1103"/>
      <c r="Y68" s="1105"/>
      <c r="Z68" s="1104"/>
    </row>
    <row r="69" spans="1:26" s="224" customFormat="1">
      <c r="A69" s="1102"/>
      <c r="B69" s="183"/>
      <c r="C69" s="183" t="s">
        <v>1041</v>
      </c>
      <c r="D69" s="183"/>
      <c r="E69" s="183"/>
      <c r="H69" s="217">
        <f>SUM(H61:H68)</f>
        <v>350.80999999999995</v>
      </c>
      <c r="I69" s="217">
        <f t="shared" ref="I69:M69" si="59">SUM(I61:I68)</f>
        <v>360.32</v>
      </c>
      <c r="J69" s="217">
        <f t="shared" si="59"/>
        <v>282.45000000000005</v>
      </c>
      <c r="K69" s="217"/>
      <c r="L69" s="217">
        <f t="shared" si="59"/>
        <v>311.24</v>
      </c>
      <c r="M69" s="217">
        <f t="shared" si="59"/>
        <v>313.73</v>
      </c>
      <c r="N69" s="217">
        <f>SUM(N61:N68)</f>
        <v>313.73</v>
      </c>
      <c r="O69" s="547">
        <f t="shared" ref="O69" si="60">SUM(O61:O68)</f>
        <v>-20</v>
      </c>
      <c r="P69" s="540">
        <f t="shared" ref="P69" si="61">SUM(P61:P68)</f>
        <v>293.73</v>
      </c>
      <c r="Q69" s="1089">
        <f>SUM(Q61:Q68)</f>
        <v>269.73</v>
      </c>
      <c r="R69" s="217">
        <f t="shared" ref="R69" si="62">SUM(R61:R68)</f>
        <v>244.73</v>
      </c>
      <c r="S69" s="217">
        <f t="shared" ref="S69" si="63">SUM(S61:S68)</f>
        <v>219.73</v>
      </c>
      <c r="T69" s="217">
        <f t="shared" ref="T69" si="64">SUM(T61:T68)</f>
        <v>194.73</v>
      </c>
      <c r="U69" s="217">
        <f t="shared" ref="U69" si="65">SUM(U61:U68)</f>
        <v>169.73</v>
      </c>
      <c r="W69" s="1287"/>
      <c r="X69" s="1103"/>
      <c r="Y69" s="1105"/>
      <c r="Z69" s="1104"/>
    </row>
    <row r="70" spans="1:26" s="224" customFormat="1">
      <c r="A70" s="1102"/>
      <c r="B70" s="183" t="s">
        <v>1042</v>
      </c>
      <c r="C70" s="183"/>
      <c r="D70" s="183"/>
      <c r="E70" s="183"/>
      <c r="H70" s="217">
        <f>H69+H58</f>
        <v>755.29</v>
      </c>
      <c r="I70" s="217">
        <f t="shared" ref="I70:M70" si="66">I69+I58</f>
        <v>791.37000000000012</v>
      </c>
      <c r="J70" s="217">
        <f t="shared" si="66"/>
        <v>729.53000000000009</v>
      </c>
      <c r="K70" s="217"/>
      <c r="L70" s="217">
        <f t="shared" si="66"/>
        <v>751.19</v>
      </c>
      <c r="M70" s="217">
        <f t="shared" si="66"/>
        <v>757.16000000000008</v>
      </c>
      <c r="N70" s="217">
        <f>N69+N58</f>
        <v>744.48311984226939</v>
      </c>
      <c r="O70" s="547">
        <f t="shared" ref="O70" si="67">O69+O58</f>
        <v>-66.531876800850426</v>
      </c>
      <c r="P70" s="540">
        <f t="shared" ref="P70" si="68">P69+P58</f>
        <v>677.95124304141905</v>
      </c>
      <c r="Q70" s="1089">
        <f ca="1">Q69+Q58</f>
        <v>663.50093394216697</v>
      </c>
      <c r="R70" s="217">
        <f t="shared" ref="R70" ca="1" si="69">R69+R58</f>
        <v>650.64000735206025</v>
      </c>
      <c r="S70" s="217">
        <f t="shared" ref="S70" ca="1" si="70">S69+S58</f>
        <v>639.2043618746095</v>
      </c>
      <c r="T70" s="217">
        <f t="shared" ref="T70" ca="1" si="71">T69+T58</f>
        <v>631.44899975910619</v>
      </c>
      <c r="U70" s="217">
        <f t="shared" ref="U70" ca="1" si="72">U69+U58</f>
        <v>628.10796645519281</v>
      </c>
      <c r="W70" s="1287"/>
      <c r="X70" s="1103"/>
      <c r="Y70" s="1105"/>
      <c r="Z70" s="1104"/>
    </row>
    <row r="71" spans="1:26" s="224" customFormat="1">
      <c r="A71" s="1102"/>
      <c r="B71" s="183"/>
      <c r="C71" s="183"/>
      <c r="D71" s="183"/>
      <c r="E71" s="183"/>
      <c r="O71" s="1081"/>
      <c r="P71" s="1082"/>
      <c r="Q71" s="1091"/>
      <c r="W71" s="1287"/>
      <c r="X71" s="1103"/>
      <c r="Y71" s="1105"/>
      <c r="Z71" s="1104"/>
    </row>
    <row r="72" spans="1:26" s="224" customFormat="1">
      <c r="A72" s="1102"/>
      <c r="B72" s="183" t="s">
        <v>702</v>
      </c>
      <c r="C72" s="183"/>
      <c r="D72" s="183"/>
      <c r="E72" s="183"/>
      <c r="O72" s="1081"/>
      <c r="P72" s="1082"/>
      <c r="Q72" s="1091"/>
      <c r="W72" s="1287"/>
      <c r="X72" s="1103"/>
      <c r="Y72" s="1105"/>
      <c r="Z72" s="1104"/>
    </row>
    <row r="73" spans="1:26">
      <c r="A73" s="1077"/>
      <c r="B73" s="184"/>
      <c r="C73" s="184"/>
      <c r="D73" s="184" t="s">
        <v>393</v>
      </c>
      <c r="E73" s="184"/>
      <c r="H73" s="1070">
        <v>0.01</v>
      </c>
      <c r="I73" s="1070">
        <v>0.01</v>
      </c>
      <c r="J73" s="1070">
        <v>0.01</v>
      </c>
      <c r="K73" s="1070"/>
      <c r="L73" s="1070">
        <v>0.01</v>
      </c>
      <c r="M73" s="1070">
        <v>0.01</v>
      </c>
      <c r="N73" s="1065">
        <f>L73</f>
        <v>0.01</v>
      </c>
      <c r="O73" s="1094">
        <f>'回报测算-EVEBITDA（核心假设）'!G42</f>
        <v>100</v>
      </c>
      <c r="P73" s="1307">
        <f>N73+O73</f>
        <v>100.01</v>
      </c>
      <c r="Q73" s="1099">
        <f>P73</f>
        <v>100.01</v>
      </c>
      <c r="R73" s="1099">
        <f t="shared" ref="R73:U73" si="73">Q73</f>
        <v>100.01</v>
      </c>
      <c r="S73" s="1099">
        <f t="shared" si="73"/>
        <v>100.01</v>
      </c>
      <c r="T73" s="1099">
        <f t="shared" si="73"/>
        <v>100.01</v>
      </c>
      <c r="U73" s="1099">
        <f t="shared" si="73"/>
        <v>100.01</v>
      </c>
      <c r="W73" s="1287"/>
      <c r="X73" s="1103"/>
      <c r="Y73" s="1105"/>
      <c r="Z73" s="1104"/>
    </row>
    <row r="74" spans="1:26">
      <c r="A74" s="1077"/>
      <c r="B74" s="184"/>
      <c r="C74" s="184"/>
      <c r="D74" s="184" t="s">
        <v>394</v>
      </c>
      <c r="E74" s="184"/>
      <c r="H74" s="1070">
        <v>74.77</v>
      </c>
      <c r="I74" s="1070">
        <v>68.27</v>
      </c>
      <c r="J74" s="1070">
        <v>67.64</v>
      </c>
      <c r="K74" s="1070"/>
      <c r="L74" s="1070">
        <v>66.680000000000007</v>
      </c>
      <c r="M74" s="1070">
        <v>66.33</v>
      </c>
      <c r="N74" s="1065">
        <f>L74</f>
        <v>66.680000000000007</v>
      </c>
      <c r="O74" s="1093"/>
      <c r="P74" s="1307">
        <f t="shared" ref="P74:P81" si="74">N74+O74</f>
        <v>66.680000000000007</v>
      </c>
      <c r="Q74" s="1099">
        <f t="shared" ref="Q74:U77" si="75">P74</f>
        <v>66.680000000000007</v>
      </c>
      <c r="R74" s="1099">
        <f t="shared" si="75"/>
        <v>66.680000000000007</v>
      </c>
      <c r="S74" s="1099">
        <f t="shared" si="75"/>
        <v>66.680000000000007</v>
      </c>
      <c r="T74" s="1099">
        <f t="shared" si="75"/>
        <v>66.680000000000007</v>
      </c>
      <c r="U74" s="1099">
        <f t="shared" si="75"/>
        <v>66.680000000000007</v>
      </c>
      <c r="W74" s="1287"/>
      <c r="X74" s="1103"/>
      <c r="Y74" s="1105"/>
      <c r="Z74" s="1104"/>
    </row>
    <row r="75" spans="1:26">
      <c r="A75" s="1077"/>
      <c r="B75" s="184"/>
      <c r="C75" s="184"/>
      <c r="D75" s="184" t="s">
        <v>1151</v>
      </c>
      <c r="E75" s="184"/>
      <c r="H75" s="1070">
        <v>202.61</v>
      </c>
      <c r="I75" s="1070">
        <v>179.33</v>
      </c>
      <c r="J75" s="1070">
        <v>184.81</v>
      </c>
      <c r="K75" s="1070"/>
      <c r="L75" s="1070">
        <v>184.63</v>
      </c>
      <c r="M75" s="1070">
        <v>184.55</v>
      </c>
      <c r="N75" s="1065">
        <f t="shared" ref="N75" si="76">M75</f>
        <v>184.55</v>
      </c>
      <c r="O75" s="1093"/>
      <c r="P75" s="1307">
        <f t="shared" si="74"/>
        <v>184.55</v>
      </c>
      <c r="Q75" s="1099">
        <f t="shared" ref="Q75:U75" si="77">P75</f>
        <v>184.55</v>
      </c>
      <c r="R75" s="1099">
        <f t="shared" si="77"/>
        <v>184.55</v>
      </c>
      <c r="S75" s="1099">
        <f t="shared" si="77"/>
        <v>184.55</v>
      </c>
      <c r="T75" s="1099">
        <f t="shared" si="77"/>
        <v>184.55</v>
      </c>
      <c r="U75" s="1099">
        <f t="shared" si="77"/>
        <v>184.55</v>
      </c>
      <c r="W75" s="1287"/>
      <c r="X75" s="1103"/>
      <c r="Y75" s="1105"/>
      <c r="Z75" s="1104"/>
    </row>
    <row r="76" spans="1:26">
      <c r="A76" s="1077"/>
      <c r="B76" s="184"/>
      <c r="C76" s="184"/>
      <c r="D76" s="184" t="s">
        <v>395</v>
      </c>
      <c r="E76" s="184"/>
      <c r="H76" s="1070">
        <v>-5.67</v>
      </c>
      <c r="I76" s="1070">
        <v>14.01</v>
      </c>
      <c r="J76" s="1070">
        <v>9.5399999999999991</v>
      </c>
      <c r="K76" s="1070"/>
      <c r="L76" s="1070">
        <v>0.95</v>
      </c>
      <c r="M76" s="1070">
        <v>-0.69</v>
      </c>
      <c r="N76" s="1065">
        <f>L76</f>
        <v>0.95</v>
      </c>
      <c r="O76" s="1093"/>
      <c r="P76" s="1307">
        <f t="shared" si="74"/>
        <v>0.95</v>
      </c>
      <c r="Q76" s="1099">
        <f>P76</f>
        <v>0.95</v>
      </c>
      <c r="R76" s="1099">
        <f t="shared" si="75"/>
        <v>0.95</v>
      </c>
      <c r="S76" s="1099">
        <f t="shared" si="75"/>
        <v>0.95</v>
      </c>
      <c r="T76" s="1099">
        <f t="shared" si="75"/>
        <v>0.95</v>
      </c>
      <c r="U76" s="1099">
        <f t="shared" si="75"/>
        <v>0.95</v>
      </c>
      <c r="W76" s="1287"/>
      <c r="X76" s="1103"/>
      <c r="Y76" s="1105"/>
      <c r="Z76" s="1104"/>
    </row>
    <row r="77" spans="1:26">
      <c r="A77" s="1077"/>
      <c r="B77" s="184"/>
      <c r="C77" s="184"/>
      <c r="D77" s="184" t="s">
        <v>396</v>
      </c>
      <c r="E77" s="184"/>
      <c r="H77" s="1070">
        <v>0</v>
      </c>
      <c r="I77" s="1070">
        <v>0</v>
      </c>
      <c r="J77" s="1070">
        <v>0</v>
      </c>
      <c r="K77" s="1070"/>
      <c r="L77" s="1070">
        <v>0</v>
      </c>
      <c r="M77" s="1070">
        <v>0</v>
      </c>
      <c r="N77" s="1065">
        <f>L77</f>
        <v>0</v>
      </c>
      <c r="O77" s="1093"/>
      <c r="P77" s="1307">
        <f t="shared" si="74"/>
        <v>0</v>
      </c>
      <c r="Q77" s="1099">
        <f t="shared" si="75"/>
        <v>0</v>
      </c>
      <c r="R77" s="1099">
        <f t="shared" si="75"/>
        <v>0</v>
      </c>
      <c r="S77" s="1099">
        <f t="shared" si="75"/>
        <v>0</v>
      </c>
      <c r="T77" s="1099">
        <f t="shared" si="75"/>
        <v>0</v>
      </c>
      <c r="U77" s="1099">
        <f t="shared" si="75"/>
        <v>0</v>
      </c>
      <c r="W77" s="1287"/>
      <c r="X77" s="1103"/>
      <c r="Y77" s="1105"/>
      <c r="Z77" s="1104"/>
    </row>
    <row r="78" spans="1:26">
      <c r="A78" s="1077"/>
      <c r="B78" s="184"/>
      <c r="C78" s="184"/>
      <c r="D78" s="184" t="s">
        <v>397</v>
      </c>
      <c r="E78" s="184"/>
      <c r="H78" s="1070">
        <v>12.84</v>
      </c>
      <c r="I78" s="1070">
        <v>19.29</v>
      </c>
      <c r="J78" s="1070">
        <v>-48</v>
      </c>
      <c r="K78" s="1070"/>
      <c r="L78" s="1070">
        <v>-20.49</v>
      </c>
      <c r="M78" s="1070">
        <v>14.3</v>
      </c>
      <c r="N78" s="523">
        <f>'债务&amp;权益'!N86</f>
        <v>35.410016863540207</v>
      </c>
      <c r="O78" s="1092"/>
      <c r="P78" s="1307">
        <f t="shared" si="74"/>
        <v>35.410016863540207</v>
      </c>
      <c r="Q78" s="1088">
        <f ca="1">'债务&amp;权益'!Q86</f>
        <v>117.35060155923443</v>
      </c>
      <c r="R78" s="1088">
        <f ca="1">'债务&amp;权益'!R86</f>
        <v>223.89224647594364</v>
      </c>
      <c r="S78" s="1088">
        <f ca="1">'债务&amp;权益'!S86</f>
        <v>357.62436268134348</v>
      </c>
      <c r="T78" s="1088">
        <f ca="1">'债务&amp;权益'!T86</f>
        <v>520.80787725429025</v>
      </c>
      <c r="U78" s="1088">
        <f ca="1">'债务&amp;权益'!U86</f>
        <v>717.32335826342955</v>
      </c>
      <c r="W78" s="1287"/>
      <c r="X78" s="1103"/>
      <c r="Y78" s="1105"/>
      <c r="Z78" s="1104"/>
    </row>
    <row r="79" spans="1:26" s="224" customFormat="1">
      <c r="A79" s="1102"/>
      <c r="B79" s="183"/>
      <c r="C79" s="183" t="s">
        <v>398</v>
      </c>
      <c r="D79" s="183"/>
      <c r="E79" s="183"/>
      <c r="H79" s="217">
        <f>SUM(H73:H78)</f>
        <v>284.55999999999995</v>
      </c>
      <c r="I79" s="217">
        <f t="shared" ref="I79:M79" si="78">SUM(I73:I78)</f>
        <v>280.91000000000003</v>
      </c>
      <c r="J79" s="217">
        <f t="shared" si="78"/>
        <v>214</v>
      </c>
      <c r="K79" s="217"/>
      <c r="L79" s="217">
        <f t="shared" si="78"/>
        <v>231.77999999999997</v>
      </c>
      <c r="M79" s="217">
        <f t="shared" si="78"/>
        <v>264.5</v>
      </c>
      <c r="N79" s="217">
        <f>SUM(N73:N78)</f>
        <v>287.60001686354019</v>
      </c>
      <c r="O79" s="547">
        <f>SUM(O73:O78)</f>
        <v>100</v>
      </c>
      <c r="P79" s="540">
        <f t="shared" si="74"/>
        <v>387.60001686354019</v>
      </c>
      <c r="Q79" s="1089">
        <f ca="1">SUM(Q73:Q78)</f>
        <v>469.54060155923446</v>
      </c>
      <c r="R79" s="217">
        <f ca="1">SUM(R73:R78)</f>
        <v>576.08224647594363</v>
      </c>
      <c r="S79" s="217">
        <f ca="1">SUM(S73:S78)</f>
        <v>709.81436268134348</v>
      </c>
      <c r="T79" s="217">
        <f t="shared" ref="T79" ca="1" si="79">SUM(T73:T78)</f>
        <v>872.99787725429019</v>
      </c>
      <c r="U79" s="217">
        <f t="shared" ref="U79" ca="1" si="80">SUM(U73:U78)</f>
        <v>1069.5133582634296</v>
      </c>
      <c r="W79" s="1287"/>
      <c r="X79" s="1103"/>
      <c r="Y79" s="1105"/>
      <c r="Z79" s="1104"/>
    </row>
    <row r="80" spans="1:26" s="224" customFormat="1">
      <c r="A80" s="1102"/>
      <c r="B80" s="183"/>
      <c r="C80" s="183" t="s">
        <v>399</v>
      </c>
      <c r="D80" s="183"/>
      <c r="E80" s="183"/>
      <c r="H80" s="1279">
        <v>-1.85</v>
      </c>
      <c r="I80" s="1279">
        <v>-2.08</v>
      </c>
      <c r="J80" s="1279">
        <v>-2.5</v>
      </c>
      <c r="K80" s="217"/>
      <c r="L80" s="1279">
        <v>-2.8</v>
      </c>
      <c r="M80" s="1279">
        <v>-0.66</v>
      </c>
      <c r="N80" s="1065">
        <v>-3</v>
      </c>
      <c r="O80" s="1093"/>
      <c r="P80" s="1307">
        <f t="shared" si="74"/>
        <v>-3</v>
      </c>
      <c r="Q80" s="1099">
        <f>P80</f>
        <v>-3</v>
      </c>
      <c r="R80" s="1065">
        <f t="shared" ref="R80" si="81">Q80</f>
        <v>-3</v>
      </c>
      <c r="S80" s="1065">
        <f t="shared" ref="S80" si="82">R80</f>
        <v>-3</v>
      </c>
      <c r="T80" s="1065">
        <f t="shared" ref="T80" si="83">S80</f>
        <v>-3</v>
      </c>
      <c r="U80" s="1065">
        <f t="shared" ref="U80" si="84">T80</f>
        <v>-3</v>
      </c>
      <c r="W80" s="1287"/>
      <c r="X80" s="1103"/>
      <c r="Y80" s="1105"/>
      <c r="Z80" s="1104"/>
    </row>
    <row r="81" spans="1:26" s="224" customFormat="1">
      <c r="A81" s="1102"/>
      <c r="B81" s="183" t="s">
        <v>1043</v>
      </c>
      <c r="C81" s="183"/>
      <c r="D81" s="183"/>
      <c r="E81" s="183"/>
      <c r="H81" s="217">
        <f>H80+H79</f>
        <v>282.70999999999992</v>
      </c>
      <c r="I81" s="217">
        <f t="shared" ref="I81:M81" si="85">I80+I79</f>
        <v>278.83000000000004</v>
      </c>
      <c r="J81" s="217">
        <f t="shared" si="85"/>
        <v>211.5</v>
      </c>
      <c r="K81" s="217"/>
      <c r="L81" s="217">
        <f t="shared" si="85"/>
        <v>228.97999999999996</v>
      </c>
      <c r="M81" s="217">
        <f t="shared" si="85"/>
        <v>263.83999999999997</v>
      </c>
      <c r="N81" s="217">
        <f>N80+N79</f>
        <v>284.60001686354019</v>
      </c>
      <c r="O81" s="547">
        <f>O80+O79</f>
        <v>100</v>
      </c>
      <c r="P81" s="540">
        <f t="shared" si="74"/>
        <v>384.60001686354019</v>
      </c>
      <c r="Q81" s="1089">
        <f ca="1">Q80+Q79</f>
        <v>466.54060155923446</v>
      </c>
      <c r="R81" s="217">
        <f t="shared" ref="R81" ca="1" si="86">R80+R79</f>
        <v>573.08224647594363</v>
      </c>
      <c r="S81" s="217">
        <f t="shared" ref="S81" ca="1" si="87">S80+S79</f>
        <v>706.81436268134348</v>
      </c>
      <c r="T81" s="217">
        <f t="shared" ref="T81" ca="1" si="88">T80+T79</f>
        <v>869.99787725429019</v>
      </c>
      <c r="U81" s="217">
        <f t="shared" ref="U81" ca="1" si="89">U80+U79</f>
        <v>1066.5133582634296</v>
      </c>
      <c r="W81" s="1287"/>
      <c r="X81" s="1103"/>
      <c r="Y81" s="1105"/>
      <c r="Z81" s="1104"/>
    </row>
    <row r="82" spans="1:26" s="224" customFormat="1">
      <c r="A82" s="1102"/>
      <c r="B82" s="183"/>
      <c r="C82" s="183"/>
      <c r="D82" s="183"/>
      <c r="E82" s="183"/>
      <c r="O82" s="1081"/>
      <c r="P82" s="1082"/>
      <c r="Q82" s="1091"/>
      <c r="W82" s="1287"/>
      <c r="X82" s="1103"/>
      <c r="Y82" s="1105"/>
      <c r="Z82" s="1104"/>
    </row>
    <row r="83" spans="1:26" s="183" customFormat="1">
      <c r="B83" s="183" t="s">
        <v>400</v>
      </c>
      <c r="H83" s="217">
        <f>H81+H70</f>
        <v>1038</v>
      </c>
      <c r="I83" s="217">
        <f t="shared" ref="I83:M83" si="90">I81+I70</f>
        <v>1070.2000000000003</v>
      </c>
      <c r="J83" s="217">
        <f t="shared" si="90"/>
        <v>941.03000000000009</v>
      </c>
      <c r="K83" s="217"/>
      <c r="L83" s="217">
        <f t="shared" si="90"/>
        <v>980.17000000000007</v>
      </c>
      <c r="M83" s="217">
        <f t="shared" si="90"/>
        <v>1021</v>
      </c>
      <c r="N83" s="217">
        <f>N81+N70</f>
        <v>1029.0831367058095</v>
      </c>
      <c r="O83" s="547">
        <f>O81+O70</f>
        <v>33.468123199149574</v>
      </c>
      <c r="P83" s="540">
        <f t="shared" ref="P83:U83" si="91">P81+P70</f>
        <v>1062.5512599049594</v>
      </c>
      <c r="Q83" s="1089">
        <f t="shared" ca="1" si="91"/>
        <v>1130.0415355014015</v>
      </c>
      <c r="R83" s="217">
        <f t="shared" ca="1" si="91"/>
        <v>1223.7222538280039</v>
      </c>
      <c r="S83" s="217">
        <f t="shared" ca="1" si="91"/>
        <v>1346.018724555953</v>
      </c>
      <c r="T83" s="217">
        <f t="shared" ca="1" si="91"/>
        <v>1501.4468770133963</v>
      </c>
      <c r="U83" s="217">
        <f t="shared" ca="1" si="91"/>
        <v>1694.6213247186224</v>
      </c>
      <c r="W83" s="1287"/>
      <c r="X83" s="1313"/>
      <c r="Y83" s="1105"/>
      <c r="Z83" s="1104"/>
    </row>
    <row r="84" spans="1:26">
      <c r="W84" s="1287"/>
      <c r="X84" s="1077"/>
      <c r="Y84" s="1077"/>
      <c r="Z84" s="1077"/>
    </row>
    <row r="85" spans="1:26" s="1071" customFormat="1">
      <c r="B85" s="1071" t="s">
        <v>475</v>
      </c>
      <c r="H85" s="1072">
        <f>H40-H83</f>
        <v>9.9999999999909051E-3</v>
      </c>
      <c r="I85" s="1119">
        <f>I40-I83</f>
        <v>0</v>
      </c>
      <c r="J85" s="1119">
        <f>J40-J83</f>
        <v>1.9999999999868123E-2</v>
      </c>
      <c r="K85" s="1119"/>
      <c r="L85" s="1119">
        <f t="shared" ref="L85:U85" si="92">L40-L83</f>
        <v>-9.9999999999909051E-3</v>
      </c>
      <c r="M85" s="1119">
        <f t="shared" si="92"/>
        <v>0</v>
      </c>
      <c r="N85" s="1119">
        <f t="shared" si="92"/>
        <v>0.26999999999998181</v>
      </c>
      <c r="O85" s="1120">
        <f t="shared" si="92"/>
        <v>0</v>
      </c>
      <c r="P85" s="1121">
        <f t="shared" si="92"/>
        <v>0.26999999999975444</v>
      </c>
      <c r="Q85" s="1122">
        <f t="shared" ca="1" si="92"/>
        <v>0.26999999999975444</v>
      </c>
      <c r="R85" s="1119">
        <f t="shared" ca="1" si="92"/>
        <v>0.26999999999998181</v>
      </c>
      <c r="S85" s="1119">
        <f t="shared" ca="1" si="92"/>
        <v>0.26999999999998181</v>
      </c>
      <c r="T85" s="1119">
        <f t="shared" ca="1" si="92"/>
        <v>0.26999999999998181</v>
      </c>
      <c r="U85" s="1119">
        <f t="shared" ca="1" si="92"/>
        <v>0.26999999999975444</v>
      </c>
      <c r="W85" s="1288"/>
    </row>
    <row r="86" spans="1:26">
      <c r="M86" s="1282"/>
      <c r="N86" s="1282"/>
      <c r="O86" s="1283"/>
      <c r="P86" s="1283"/>
      <c r="Q86" s="1284"/>
      <c r="R86" s="1282"/>
      <c r="S86" s="1282"/>
      <c r="T86" s="1282"/>
      <c r="U86" s="1282"/>
    </row>
    <row r="87" spans="1:26" s="226" customFormat="1" ht="15" thickBot="1">
      <c r="A87" s="225"/>
      <c r="B87" s="225" t="s">
        <v>699</v>
      </c>
      <c r="C87" s="225"/>
      <c r="D87" s="225"/>
      <c r="E87" s="225"/>
      <c r="F87" s="225"/>
      <c r="G87" s="225"/>
      <c r="H87" s="64">
        <f>-(H44+H61)+H11</f>
        <v>-363.15</v>
      </c>
      <c r="I87" s="64">
        <f>-(I44+I61)+I11</f>
        <v>-366.89</v>
      </c>
      <c r="J87" s="64">
        <f>-(J44+J61)+J11</f>
        <v>-346.62</v>
      </c>
      <c r="K87" s="64"/>
      <c r="L87" s="64">
        <f>-(L44+L61+L56)+L11</f>
        <v>-377.24</v>
      </c>
      <c r="M87" s="64">
        <f t="shared" ref="M87:U87" si="93">-(M44+M61+M56)+M11</f>
        <v>-396.35999999999996</v>
      </c>
      <c r="N87" s="64">
        <f t="shared" si="93"/>
        <v>-379.84369692378641</v>
      </c>
      <c r="O87" s="1276">
        <f t="shared" si="93"/>
        <v>125.43989705429826</v>
      </c>
      <c r="P87" s="1276">
        <f t="shared" si="93"/>
        <v>-254.40379986948815</v>
      </c>
      <c r="Q87" s="64">
        <f t="shared" ca="1" si="93"/>
        <v>-212.49920600099574</v>
      </c>
      <c r="R87" s="64">
        <f t="shared" ca="1" si="93"/>
        <v>-151.68032766494616</v>
      </c>
      <c r="S87" s="64">
        <f t="shared" ca="1" si="93"/>
        <v>-40.610040126783417</v>
      </c>
      <c r="T87" s="64">
        <f t="shared" ca="1" si="93"/>
        <v>106.96170401207013</v>
      </c>
      <c r="U87" s="64">
        <f t="shared" ca="1" si="93"/>
        <v>285.06916702684333</v>
      </c>
      <c r="W87" s="1289"/>
      <c r="Y87" s="227"/>
    </row>
    <row r="88" spans="1:26" s="1091" customFormat="1">
      <c r="A88" s="1238"/>
      <c r="B88" s="1238"/>
      <c r="C88" s="1238"/>
      <c r="D88" s="1238"/>
      <c r="E88" s="1238"/>
      <c r="F88" s="1238"/>
      <c r="G88" s="1238"/>
      <c r="H88" s="1239"/>
      <c r="I88" s="1239"/>
      <c r="J88" s="1239"/>
      <c r="K88" s="1239"/>
      <c r="L88" s="1239"/>
      <c r="M88" s="1239"/>
      <c r="N88" s="1239"/>
      <c r="O88" s="546"/>
      <c r="P88" s="546"/>
      <c r="Q88" s="1239"/>
      <c r="R88" s="1239"/>
      <c r="S88" s="1239"/>
      <c r="T88" s="1239"/>
      <c r="U88" s="1239"/>
      <c r="W88" s="1290"/>
      <c r="Y88" s="1090"/>
    </row>
    <row r="89" spans="1:26" s="1091" customFormat="1">
      <c r="A89" s="1238"/>
      <c r="B89" s="1241" t="s">
        <v>1118</v>
      </c>
      <c r="C89" s="1238"/>
      <c r="D89" s="1238"/>
      <c r="E89" s="1238"/>
      <c r="F89" s="1238"/>
      <c r="G89" s="1238"/>
      <c r="H89" s="1239"/>
      <c r="I89" s="1239"/>
      <c r="J89" s="1239"/>
      <c r="K89" s="1239"/>
      <c r="L89" s="1239"/>
      <c r="M89" s="1239"/>
      <c r="N89" s="1239"/>
      <c r="O89" s="546"/>
      <c r="P89" s="546"/>
      <c r="Q89" s="1239"/>
      <c r="R89" s="1239"/>
      <c r="S89" s="1239"/>
      <c r="T89" s="1239"/>
      <c r="U89" s="1239"/>
      <c r="W89" s="1290"/>
      <c r="Y89" s="1090"/>
    </row>
    <row r="90" spans="1:26" s="1091" customFormat="1">
      <c r="A90" s="1238"/>
      <c r="B90" s="1238"/>
      <c r="C90" s="1241" t="s">
        <v>1119</v>
      </c>
      <c r="D90" s="1238"/>
      <c r="E90" s="1238"/>
      <c r="F90" s="1238"/>
      <c r="G90" s="1238"/>
      <c r="H90" s="1239"/>
      <c r="I90" s="1239"/>
      <c r="J90" s="1239"/>
      <c r="K90" s="1239"/>
      <c r="L90" s="1248">
        <f>-460.79-L87</f>
        <v>-83.550000000000011</v>
      </c>
      <c r="M90" s="1248">
        <f>-459.71-M87</f>
        <v>-63.350000000000023</v>
      </c>
      <c r="N90" s="1239"/>
      <c r="O90" s="546"/>
      <c r="P90" s="546"/>
      <c r="Q90" s="1239"/>
      <c r="R90" s="1239"/>
      <c r="S90" s="1239"/>
      <c r="T90" s="1239"/>
      <c r="U90" s="1239"/>
      <c r="W90" s="1290"/>
      <c r="Y90" s="1090"/>
    </row>
    <row r="91" spans="1:26" s="1091" customFormat="1">
      <c r="A91" s="1238"/>
      <c r="B91" s="1238"/>
      <c r="C91" s="1241" t="s">
        <v>1120</v>
      </c>
      <c r="D91" s="1238"/>
      <c r="E91" s="1238"/>
      <c r="F91" s="1238"/>
      <c r="G91" s="1238"/>
      <c r="H91" s="1239"/>
      <c r="I91" s="1239"/>
      <c r="J91" s="1239"/>
      <c r="K91" s="1239"/>
      <c r="L91" s="1239">
        <f>L19-L53</f>
        <v>9.8575482722163521</v>
      </c>
      <c r="M91" s="1239">
        <f>M19-M53</f>
        <v>25.439897054298264</v>
      </c>
      <c r="N91" s="1239"/>
      <c r="O91" s="546"/>
      <c r="P91" s="546"/>
      <c r="Q91" s="1239"/>
      <c r="R91" s="1239"/>
      <c r="S91" s="1239"/>
      <c r="T91" s="1239"/>
      <c r="U91" s="1239"/>
      <c r="W91" s="1290"/>
      <c r="Y91" s="1090"/>
    </row>
    <row r="92" spans="1:26" s="1091" customFormat="1">
      <c r="A92" s="1238"/>
      <c r="B92" s="1238"/>
      <c r="C92" s="1241" t="s">
        <v>1121</v>
      </c>
      <c r="D92" s="1238"/>
      <c r="E92" s="1238"/>
      <c r="F92" s="1238"/>
      <c r="G92" s="1238"/>
      <c r="H92" s="1239"/>
      <c r="I92" s="1239"/>
      <c r="J92" s="1239"/>
      <c r="K92" s="1239"/>
      <c r="L92" s="1239">
        <f>L90+L91</f>
        <v>-73.692451727783663</v>
      </c>
      <c r="M92" s="1239">
        <f>M90+M91</f>
        <v>-37.910102945701759</v>
      </c>
      <c r="N92" s="1239"/>
      <c r="O92" s="546"/>
      <c r="P92" s="546"/>
      <c r="Q92" s="1239"/>
      <c r="R92" s="1239"/>
      <c r="S92" s="1239"/>
      <c r="T92" s="1239"/>
      <c r="U92" s="1239"/>
      <c r="W92" s="1290"/>
      <c r="Y92" s="1090"/>
    </row>
    <row r="93" spans="1:26" s="1091" customFormat="1">
      <c r="A93" s="1238"/>
      <c r="B93" s="1238"/>
      <c r="C93" s="1238"/>
      <c r="D93" s="1238"/>
      <c r="E93" s="1238"/>
      <c r="F93" s="1238"/>
      <c r="G93" s="1238"/>
      <c r="H93" s="1239"/>
      <c r="I93" s="1239"/>
      <c r="J93" s="1239"/>
      <c r="K93" s="1239"/>
      <c r="L93" s="1239"/>
      <c r="M93" s="1239"/>
      <c r="N93" s="1239"/>
      <c r="O93" s="546"/>
      <c r="P93" s="546"/>
      <c r="Q93" s="1239"/>
      <c r="R93" s="1239"/>
      <c r="S93" s="1239"/>
      <c r="T93" s="1239"/>
      <c r="U93" s="1239"/>
      <c r="W93" s="1290"/>
      <c r="Y93" s="1090"/>
    </row>
    <row r="94" spans="1:26" s="1091" customFormat="1">
      <c r="A94" s="1238"/>
      <c r="B94" s="1238" t="s">
        <v>1122</v>
      </c>
      <c r="C94" s="1238"/>
      <c r="D94" s="1238"/>
      <c r="E94" s="1238"/>
      <c r="F94" s="1238"/>
      <c r="G94" s="1238"/>
      <c r="H94" s="1239"/>
      <c r="I94" s="1239"/>
      <c r="J94" s="1239"/>
      <c r="K94" s="1239"/>
      <c r="L94" s="1239">
        <f>L90+L87</f>
        <v>-460.79</v>
      </c>
      <c r="M94" s="1239">
        <f>M90+M87</f>
        <v>-459.71</v>
      </c>
      <c r="N94" s="1239"/>
      <c r="O94" s="546"/>
      <c r="P94" s="546"/>
      <c r="Q94" s="1239"/>
      <c r="R94" s="1239"/>
      <c r="S94" s="1239"/>
      <c r="T94" s="1239"/>
      <c r="U94" s="1239"/>
      <c r="W94" s="1290"/>
      <c r="Y94" s="1090"/>
    </row>
    <row r="95" spans="1:26" s="1091" customFormat="1">
      <c r="A95" s="1238"/>
      <c r="B95" s="1238" t="s">
        <v>1123</v>
      </c>
      <c r="C95" s="1238"/>
      <c r="D95" s="1238"/>
      <c r="E95" s="1238"/>
      <c r="F95" s="1238"/>
      <c r="G95" s="1238"/>
      <c r="H95" s="1239"/>
      <c r="I95" s="1239"/>
      <c r="J95" s="1239"/>
      <c r="K95" s="1239"/>
      <c r="L95" s="1239">
        <f>L87+L92</f>
        <v>-450.9324517277837</v>
      </c>
      <c r="M95" s="1239">
        <f>M87+M92</f>
        <v>-434.27010294570169</v>
      </c>
      <c r="N95" s="1239"/>
      <c r="O95" s="546"/>
      <c r="P95" s="546"/>
      <c r="Q95" s="1239"/>
      <c r="R95" s="1239"/>
      <c r="S95" s="1239"/>
      <c r="T95" s="1239"/>
      <c r="U95" s="1239"/>
      <c r="W95" s="1290"/>
      <c r="Y95" s="1090"/>
    </row>
    <row r="96" spans="1:26" s="227" customFormat="1" ht="15" thickBot="1">
      <c r="A96" s="238"/>
      <c r="B96" s="238"/>
      <c r="C96" s="238"/>
      <c r="D96" s="238"/>
      <c r="E96" s="238"/>
      <c r="F96" s="238"/>
      <c r="G96" s="238"/>
      <c r="H96" s="39"/>
      <c r="I96" s="39"/>
      <c r="J96" s="39"/>
      <c r="K96" s="39"/>
      <c r="L96" s="39"/>
      <c r="M96" s="39"/>
      <c r="N96" s="39"/>
      <c r="O96" s="1240"/>
      <c r="P96" s="1240"/>
      <c r="Q96" s="39"/>
      <c r="R96" s="39"/>
      <c r="S96" s="39"/>
      <c r="T96" s="39"/>
      <c r="U96" s="39"/>
      <c r="W96" s="1291"/>
    </row>
    <row r="97" spans="1:25" s="230" customFormat="1" ht="15" thickBot="1">
      <c r="A97" s="229"/>
      <c r="B97" s="229" t="s">
        <v>700</v>
      </c>
      <c r="C97" s="229"/>
      <c r="D97" s="229"/>
      <c r="E97" s="229"/>
      <c r="F97" s="229"/>
      <c r="G97" s="229"/>
      <c r="H97" s="77">
        <f>SUM(H13,H14,H15,H16,H21)-SUM(H45,H46,H47,H48)</f>
        <v>424.92999999999995</v>
      </c>
      <c r="I97" s="77">
        <f>SUM(I13,I14,I15,I16,I21)-SUM(I45,I46,I47,I48)</f>
        <v>434.46999999999997</v>
      </c>
      <c r="J97" s="77">
        <f>SUM(J13,J14,J15,J16,J21)-SUM(J45,J46,J47,J48)</f>
        <v>382.09999999999991</v>
      </c>
      <c r="K97" s="77"/>
      <c r="L97" s="77">
        <f t="shared" ref="L97:U97" si="94">SUM(L13,L14,L15,L16,L21)-SUM(L45,L46,L47,L48)</f>
        <v>412.68999999999994</v>
      </c>
      <c r="M97" s="77">
        <f t="shared" si="94"/>
        <v>400.13</v>
      </c>
      <c r="N97" s="77">
        <f t="shared" si="94"/>
        <v>416.50946384434627</v>
      </c>
      <c r="O97" s="1277">
        <f t="shared" si="94"/>
        <v>0</v>
      </c>
      <c r="P97" s="1277">
        <f t="shared" si="94"/>
        <v>416.50946384434627</v>
      </c>
      <c r="Q97" s="77">
        <f t="shared" si="94"/>
        <v>435.13963518952903</v>
      </c>
      <c r="R97" s="77">
        <f t="shared" si="94"/>
        <v>459.52712394160937</v>
      </c>
      <c r="S97" s="77">
        <f t="shared" si="94"/>
        <v>487.87428160510012</v>
      </c>
      <c r="T97" s="77">
        <f t="shared" si="94"/>
        <v>523.12127135722562</v>
      </c>
      <c r="U97" s="77">
        <f t="shared" si="94"/>
        <v>568.19551787631508</v>
      </c>
      <c r="W97" s="1292"/>
      <c r="Y97" s="228"/>
    </row>
    <row r="98" spans="1:25">
      <c r="C98" s="216" t="s">
        <v>701</v>
      </c>
      <c r="I98" s="223">
        <f>I97-H97</f>
        <v>9.5400000000000205</v>
      </c>
      <c r="J98" s="223">
        <f>J97-I97</f>
        <v>-52.370000000000061</v>
      </c>
      <c r="K98" s="223"/>
      <c r="L98" s="223">
        <f>L97-J97</f>
        <v>30.590000000000032</v>
      </c>
      <c r="M98" s="223">
        <f>M97-L97</f>
        <v>-12.559999999999945</v>
      </c>
      <c r="N98" s="223">
        <f>N97-L97</f>
        <v>3.8194638443463305</v>
      </c>
      <c r="O98" s="548"/>
      <c r="P98" s="548">
        <f>P97-L97</f>
        <v>3.8194638443463305</v>
      </c>
      <c r="Q98" s="1085">
        <f>Q97-N97</f>
        <v>18.63017134518276</v>
      </c>
      <c r="R98" s="223">
        <f>R97-Q97</f>
        <v>24.387488752080344</v>
      </c>
      <c r="S98" s="223">
        <f>S97-R97</f>
        <v>28.347157663490748</v>
      </c>
      <c r="T98" s="223">
        <f t="shared" ref="T98:U98" si="95">T97-S97</f>
        <v>35.246989752125501</v>
      </c>
      <c r="U98" s="223">
        <f t="shared" si="95"/>
        <v>45.074246519089456</v>
      </c>
    </row>
    <row r="99" spans="1:25">
      <c r="P99" s="549"/>
    </row>
    <row r="100" spans="1:25">
      <c r="N100" s="222"/>
      <c r="P100" s="549"/>
      <c r="Q100" s="222"/>
      <c r="R100" s="222"/>
      <c r="S100" s="222"/>
      <c r="T100" s="222"/>
      <c r="U100" s="222"/>
    </row>
    <row r="101" spans="1:25">
      <c r="N101" s="222"/>
      <c r="P101" s="549"/>
      <c r="Q101" s="222"/>
      <c r="R101" s="222"/>
      <c r="S101" s="222"/>
      <c r="T101" s="222"/>
      <c r="U101" s="222"/>
    </row>
    <row r="102" spans="1:25">
      <c r="P102" s="549"/>
    </row>
    <row r="103" spans="1:25">
      <c r="P103" s="549"/>
      <c r="Q103" s="1257"/>
      <c r="R103" s="222"/>
      <c r="S103" s="222"/>
      <c r="T103" s="222"/>
      <c r="U103" s="222"/>
    </row>
    <row r="104" spans="1:25">
      <c r="Q104" s="1257"/>
      <c r="R104" s="222"/>
      <c r="S104" s="222"/>
      <c r="T104" s="222"/>
      <c r="U104" s="222"/>
    </row>
  </sheetData>
  <mergeCells count="2">
    <mergeCell ref="A1:U1"/>
    <mergeCell ref="A2:U2"/>
  </mergeCells>
  <phoneticPr fontId="5" type="noConversion"/>
  <conditionalFormatting sqref="H4:H5 R5:U5">
    <cfRule type="containsText" dxfId="62" priority="4" operator="containsText" text="Error">
      <formula>NOT(ISERROR(SEARCH("Error",H4)))</formula>
    </cfRule>
  </conditionalFormatting>
  <conditionalFormatting sqref="J5:P5">
    <cfRule type="containsText" dxfId="61" priority="1" operator="containsText" text="Error">
      <formula>NOT(ISERROR(SEARCH("Error",J5)))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U35"/>
  <sheetViews>
    <sheetView showGridLines="0" zoomScale="70" zoomScaleNormal="7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L37" sqref="L37"/>
    </sheetView>
  </sheetViews>
  <sheetFormatPr defaultColWidth="8.6640625" defaultRowHeight="14.5"/>
  <cols>
    <col min="1" max="4" width="2.4140625" style="216" customWidth="1"/>
    <col min="5" max="7" width="11.1640625" style="216" customWidth="1"/>
    <col min="8" max="14" width="10.33203125" style="216" customWidth="1"/>
    <col min="15" max="15" width="10.33203125" style="549" customWidth="1"/>
    <col min="16" max="20" width="10.33203125" style="216" customWidth="1"/>
    <col min="21" max="16384" width="8.6640625" style="216"/>
  </cols>
  <sheetData>
    <row r="1" spans="1:21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T1" s="1579"/>
    </row>
    <row r="2" spans="1:21" s="1" customFormat="1" ht="20.25" customHeight="1">
      <c r="A2" s="1579" t="s">
        <v>353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T2" s="1579"/>
    </row>
    <row r="3" spans="1:21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542"/>
      <c r="P3" s="4">
        <v>2026</v>
      </c>
      <c r="Q3" s="4">
        <v>2027</v>
      </c>
      <c r="R3" s="4">
        <v>2028</v>
      </c>
      <c r="S3" s="4">
        <v>2029</v>
      </c>
      <c r="T3" s="4">
        <v>2030</v>
      </c>
    </row>
    <row r="4" spans="1:21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550" t="s">
        <v>727</v>
      </c>
      <c r="P4" s="6" t="s">
        <v>4</v>
      </c>
      <c r="Q4" s="6" t="s">
        <v>4</v>
      </c>
      <c r="R4" s="6" t="s">
        <v>4</v>
      </c>
      <c r="S4" s="6" t="s">
        <v>4</v>
      </c>
      <c r="T4" s="6" t="s">
        <v>4</v>
      </c>
    </row>
    <row r="5" spans="1:21" s="1" customFormat="1" ht="14.25" customHeight="1">
      <c r="A5" s="5" t="s">
        <v>354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552" t="s">
        <v>728</v>
      </c>
      <c r="P5" s="9">
        <v>46387</v>
      </c>
      <c r="Q5" s="9">
        <v>46752</v>
      </c>
      <c r="R5" s="9">
        <v>46753</v>
      </c>
      <c r="S5" s="9">
        <v>47483</v>
      </c>
      <c r="T5" s="9">
        <v>47848</v>
      </c>
    </row>
    <row r="6" spans="1:21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554"/>
      <c r="P6" s="7"/>
      <c r="Q6" s="7"/>
      <c r="R6" s="7"/>
      <c r="S6" s="7"/>
      <c r="T6" s="7"/>
    </row>
    <row r="7" spans="1:21" s="108" customFormat="1" ht="14.25" customHeight="1">
      <c r="A7" s="106"/>
      <c r="B7" s="106"/>
      <c r="C7" s="106"/>
      <c r="D7" s="107"/>
      <c r="E7" s="107"/>
      <c r="F7" s="107"/>
      <c r="G7" s="107" t="s">
        <v>156</v>
      </c>
      <c r="H7" s="107">
        <f>集团!H9</f>
        <v>6.4503000000000004</v>
      </c>
      <c r="I7" s="107">
        <f>集团!I9</f>
        <v>6.73</v>
      </c>
      <c r="J7" s="107">
        <f>集团!J9</f>
        <v>7.02</v>
      </c>
      <c r="K7" s="107">
        <f>集团!K9</f>
        <v>7.1</v>
      </c>
      <c r="L7" s="107">
        <f>集团!L9</f>
        <v>7.1356000000000002</v>
      </c>
      <c r="M7" s="107">
        <f>集团!M9</f>
        <v>7.1688999999999998</v>
      </c>
      <c r="N7" s="107">
        <f>集团!N9</f>
        <v>7.1688999999999998</v>
      </c>
      <c r="O7" s="543">
        <f>N7</f>
        <v>7.1688999999999998</v>
      </c>
      <c r="P7" s="107">
        <f>集团!O9</f>
        <v>7.1688999999999998</v>
      </c>
      <c r="Q7" s="107">
        <f>集团!P9</f>
        <v>7.1688999999999998</v>
      </c>
      <c r="R7" s="107">
        <f>集团!Q9</f>
        <v>7.1688999999999998</v>
      </c>
      <c r="S7" s="107">
        <f>集团!R9</f>
        <v>7.1688999999999998</v>
      </c>
      <c r="T7" s="107">
        <f>集团!S9</f>
        <v>7.1688999999999998</v>
      </c>
    </row>
    <row r="8" spans="1:21" s="184" customFormat="1">
      <c r="O8" s="560"/>
    </row>
    <row r="9" spans="1:21">
      <c r="C9" s="242" t="s">
        <v>678</v>
      </c>
      <c r="D9" s="239"/>
      <c r="H9" s="20"/>
      <c r="I9" s="21">
        <f>利润表!I40</f>
        <v>23.775956797723399</v>
      </c>
      <c r="J9" s="21">
        <f>利润表!J40</f>
        <v>-25.812145431560182</v>
      </c>
      <c r="K9" s="21">
        <f>利润表!K40</f>
        <v>33</v>
      </c>
      <c r="L9" s="21">
        <f>利润表!L40</f>
        <v>37.933252510246042</v>
      </c>
      <c r="M9" s="21">
        <f>利润表!M40</f>
        <v>34.361929788287526</v>
      </c>
      <c r="N9" s="21">
        <f>利润表!N40</f>
        <v>55.900016863540209</v>
      </c>
      <c r="O9" s="545">
        <f>N9</f>
        <v>55.900016863540209</v>
      </c>
      <c r="P9" s="21">
        <f ca="1">利润表!O40</f>
        <v>81.940584695694227</v>
      </c>
      <c r="Q9" s="21">
        <f ca="1">利润表!P40</f>
        <v>106.5416449167092</v>
      </c>
      <c r="R9" s="21">
        <f ca="1">利润表!Q40</f>
        <v>133.73211620539985</v>
      </c>
      <c r="S9" s="21">
        <f ca="1">利润表!R40</f>
        <v>163.18351457294673</v>
      </c>
      <c r="T9" s="21">
        <f ca="1">利润表!S40</f>
        <v>196.51548100913936</v>
      </c>
      <c r="U9" s="20"/>
    </row>
    <row r="10" spans="1:21">
      <c r="B10" s="242"/>
      <c r="C10" s="239" t="s">
        <v>687</v>
      </c>
      <c r="D10" s="239"/>
      <c r="H10" s="20"/>
      <c r="I10" s="21">
        <f>利润表!I48</f>
        <v>34.17</v>
      </c>
      <c r="J10" s="21">
        <f>利润表!J48</f>
        <v>34.64</v>
      </c>
      <c r="K10" s="21">
        <f>利润表!K48</f>
        <v>27.43312957746479</v>
      </c>
      <c r="L10" s="21">
        <f>利润表!L48</f>
        <v>33.15</v>
      </c>
      <c r="M10" s="21">
        <f>利润表!M48</f>
        <v>17.940000000000001</v>
      </c>
      <c r="N10" s="21">
        <f>利润表!N48</f>
        <v>26.707545939433984</v>
      </c>
      <c r="O10" s="545">
        <f t="shared" ref="O10:O12" si="0">N10</f>
        <v>26.707545939433984</v>
      </c>
      <c r="P10" s="21">
        <f>'固定资产&amp;无形资产'!O8</f>
        <v>31.967564079022022</v>
      </c>
      <c r="Q10" s="21">
        <f>'固定资产&amp;无形资产'!P8</f>
        <v>37.772333893951597</v>
      </c>
      <c r="R10" s="21">
        <f>'固定资产&amp;无形资产'!Q8</f>
        <v>41.350026895686881</v>
      </c>
      <c r="S10" s="21">
        <f>'固定资产&amp;无形资产'!R8</f>
        <v>43.838925703605454</v>
      </c>
      <c r="T10" s="21">
        <f>'固定资产&amp;无形资产'!S8</f>
        <v>45.851028392315882</v>
      </c>
      <c r="U10" s="20"/>
    </row>
    <row r="11" spans="1:21">
      <c r="B11" s="242"/>
      <c r="C11" s="239" t="s">
        <v>688</v>
      </c>
      <c r="D11" s="239"/>
      <c r="H11" s="20"/>
      <c r="I11" s="1080">
        <f>-资产负债表!I98</f>
        <v>-9.5400000000000205</v>
      </c>
      <c r="J11" s="1080">
        <f>-资产负债表!J98</f>
        <v>52.370000000000061</v>
      </c>
      <c r="K11" s="1079"/>
      <c r="L11" s="1080">
        <f>-资产负债表!L98</f>
        <v>-30.590000000000032</v>
      </c>
      <c r="M11" s="1080">
        <f>-资产负债表!M98</f>
        <v>12.559999999999945</v>
      </c>
      <c r="N11" s="1080">
        <f>-资产负债表!N98</f>
        <v>-3.8194638443463305</v>
      </c>
      <c r="O11" s="545">
        <f t="shared" si="0"/>
        <v>-3.8194638443463305</v>
      </c>
      <c r="P11" s="21">
        <f>-资产负债表!Q98</f>
        <v>-18.63017134518276</v>
      </c>
      <c r="Q11" s="21">
        <f>-资产负债表!R98</f>
        <v>-24.387488752080344</v>
      </c>
      <c r="R11" s="21">
        <f>-资产负债表!S98</f>
        <v>-28.347157663490748</v>
      </c>
      <c r="S11" s="21">
        <f>-资产负债表!T98</f>
        <v>-35.246989752125501</v>
      </c>
      <c r="T11" s="21">
        <f>-资产负债表!U98</f>
        <v>-45.074246519089456</v>
      </c>
      <c r="U11" s="20"/>
    </row>
    <row r="12" spans="1:21">
      <c r="B12" s="242"/>
      <c r="C12" s="239" t="s">
        <v>665</v>
      </c>
      <c r="D12" s="239"/>
      <c r="H12" s="20"/>
      <c r="I12" s="20">
        <f>I13-SUM(I9:I11)</f>
        <v>-3.6180020699223121</v>
      </c>
      <c r="J12" s="20">
        <f t="shared" ref="J12:L12" si="1">J13-SUM(J9:J11)</f>
        <v>-32.430097562705036</v>
      </c>
      <c r="K12" s="20">
        <f>K13-SUM(K9:K11)</f>
        <v>21.56687042253521</v>
      </c>
      <c r="L12" s="20">
        <f t="shared" si="1"/>
        <v>35.875404506429291</v>
      </c>
      <c r="M12" s="20">
        <f>M13-SUM(M9:M11)</f>
        <v>-12.649203681782474</v>
      </c>
      <c r="N12" s="20">
        <f>-(SUM(资产负债表!N12,资产负债表!N17:N18,资产负债表!N22,资产负债表!N26:N30,资产负债表!N34:N38)-SUM(资产负债表!N49:N52,资产负债表!N57,资产负债表!N62:N68))+(SUM(资产负债表!L12,资产负债表!L17:L18,资产负债表!L22,资产负债表!L26:L30,资产负债表!L34:L38)-SUM(资产负债表!L49:L52,资产负债表!L57,资产负债表!L62:L68))</f>
        <v>-44.470000000000056</v>
      </c>
      <c r="O12" s="545">
        <f t="shared" si="0"/>
        <v>-44.470000000000056</v>
      </c>
      <c r="P12" s="20">
        <f>-(SUM(资产负债表!Q12,资产负债表!Q17:Q18,资产负债表!Q22,资产负债表!Q26:Q30,资产负债表!Q34:Q38)-SUM(资产负债表!Q49:Q52,资产负债表!Q57,资产负债表!Q62:Q68))+(SUM(资产负债表!P12,资产负债表!P17:P18,资产负债表!P22,资产负债表!P26:P30,资产负债表!P34:P38)-SUM(资产负债表!P49:P52,资产负债表!P57,资产负债表!P62:P68))</f>
        <v>0</v>
      </c>
      <c r="Q12" s="20">
        <f>-(SUM(资产负债表!R12,资产负债表!R17:R18,资产负债表!R22,资产负债表!R26:R30,资产负债表!R34:R38)-SUM(资产负债表!R49:R52,资产负债表!R57,资产负债表!R62:R68))+(SUM(资产负债表!Q12,资产负债表!Q17:Q18,资产负债表!Q22,资产负债表!Q26:Q30,资产负债表!Q34:Q38)-SUM(资产负债表!Q49:Q52,资产负债表!Q57,资产负债表!Q62:Q68))</f>
        <v>0</v>
      </c>
      <c r="R12" s="20">
        <f>-(SUM(资产负债表!S12,资产负债表!S17:S18,资产负债表!S22,资产负债表!S26:S30,资产负债表!S34:S38)-SUM(资产负债表!S49:S52,资产负债表!S57,资产负债表!S62:S68))+(SUM(资产负债表!R12,资产负债表!R17:R18,资产负债表!R22,资产负债表!R26:R30,资产负债表!R34:R38)-SUM(资产负债表!R49:R52,资产负债表!R57,资产负债表!R62:R68))</f>
        <v>0</v>
      </c>
      <c r="S12" s="20">
        <f>-(SUM(资产负债表!T12,资产负债表!T17:T18,资产负债表!T22,资产负债表!T26:T30,资产负债表!T34:T38)-SUM(资产负债表!T49:T52,资产负债表!T57,资产负债表!T62:T68))+(SUM(资产负债表!S12,资产负债表!S17:S18,资产负债表!S22,资产负债表!S26:S30,资产负债表!S34:S38)-SUM(资产负债表!S49:S52,资产负债表!S57,资产负债表!S62:S68))</f>
        <v>0</v>
      </c>
      <c r="T12" s="20">
        <f>-(SUM(资产负债表!U12,资产负债表!U17:U18,资产负债表!U22,资产负债表!U26:U30,资产负债表!U34:U38)-SUM(资产负债表!U49:U52,资产负债表!U57,资产负债表!U62:U68))+(SUM(资产负债表!T12,资产负债表!T17:T18,资产负债表!T22,资产负债表!T26:T30,资产负债表!T34:T38)-SUM(资产负债表!T49:T52,资产负债表!T57,资产负债表!T62:T68))</f>
        <v>0</v>
      </c>
      <c r="U12" s="20"/>
    </row>
    <row r="13" spans="1:21" s="224" customFormat="1">
      <c r="B13" s="345" t="s">
        <v>689</v>
      </c>
      <c r="C13" s="243"/>
      <c r="D13" s="243"/>
      <c r="H13" s="23"/>
      <c r="I13" s="405">
        <v>44.787954727801065</v>
      </c>
      <c r="J13" s="405">
        <v>28.767757005734843</v>
      </c>
      <c r="K13" s="405">
        <v>82</v>
      </c>
      <c r="L13" s="405">
        <v>76.3686570166753</v>
      </c>
      <c r="M13" s="405">
        <v>52.212726106504995</v>
      </c>
      <c r="N13" s="23">
        <f>SUM(N9:N12)</f>
        <v>34.318098958627814</v>
      </c>
      <c r="O13" s="546">
        <f>SUM(O9:O12)</f>
        <v>34.318098958627814</v>
      </c>
      <c r="P13" s="23">
        <f ca="1">SUM(P9:P12)</f>
        <v>95.277977429533493</v>
      </c>
      <c r="Q13" s="23">
        <f t="shared" ref="Q13:T13" ca="1" si="2">SUM(Q9:Q12)</f>
        <v>119.92649005858044</v>
      </c>
      <c r="R13" s="23">
        <f t="shared" ca="1" si="2"/>
        <v>146.73498543759598</v>
      </c>
      <c r="S13" s="23">
        <f t="shared" ca="1" si="2"/>
        <v>171.77545052442667</v>
      </c>
      <c r="T13" s="23">
        <f t="shared" ca="1" si="2"/>
        <v>197.29226288236578</v>
      </c>
      <c r="U13" s="23"/>
    </row>
    <row r="14" spans="1:21">
      <c r="B14" s="242"/>
      <c r="C14" s="239"/>
      <c r="D14" s="239"/>
      <c r="H14" s="20"/>
      <c r="I14" s="20"/>
      <c r="J14" s="20"/>
      <c r="K14" s="20"/>
      <c r="L14" s="20"/>
      <c r="M14" s="20"/>
      <c r="N14" s="20"/>
      <c r="O14" s="545"/>
      <c r="P14" s="20"/>
      <c r="Q14" s="20"/>
      <c r="R14" s="20"/>
      <c r="S14" s="20"/>
      <c r="T14" s="20"/>
      <c r="U14" s="20"/>
    </row>
    <row r="15" spans="1:21">
      <c r="C15" s="242" t="s">
        <v>690</v>
      </c>
      <c r="D15" s="239"/>
      <c r="H15" s="20"/>
      <c r="I15" s="21">
        <v>0</v>
      </c>
      <c r="J15" s="21">
        <v>13</v>
      </c>
      <c r="K15" s="21">
        <f>'固定资产&amp;无形资产'!K76+'固定资产&amp;无形资产'!K101+'固定资产&amp;无形资产'!K126+'固定资产&amp;无形资产'!K151</f>
        <v>0</v>
      </c>
      <c r="L15" s="21">
        <v>18</v>
      </c>
      <c r="M15" s="21">
        <v>0.02</v>
      </c>
      <c r="N15" s="21">
        <f>'固定资产&amp;无形资产'!N22</f>
        <v>3.9952284346225184</v>
      </c>
      <c r="O15" s="545">
        <f t="shared" ref="O15" si="3">N15</f>
        <v>3.9952284346225184</v>
      </c>
      <c r="P15" s="21">
        <f>'固定资产&amp;无形资产'!O22</f>
        <v>1.9952284346224509</v>
      </c>
      <c r="Q15" s="21">
        <f>'固定资产&amp;无形资产'!P22</f>
        <v>1.9952284346224829</v>
      </c>
      <c r="R15" s="21">
        <f>'固定资产&amp;无形资产'!Q22</f>
        <v>1.9952284346224403</v>
      </c>
      <c r="S15" s="21">
        <f>'固定资产&amp;无形资产'!R22</f>
        <v>1.9952284346223905</v>
      </c>
      <c r="T15" s="21">
        <f>'固定资产&amp;无形资产'!S22</f>
        <v>1.9952284346224971</v>
      </c>
      <c r="U15" s="20"/>
    </row>
    <row r="16" spans="1:21">
      <c r="B16" s="242"/>
      <c r="C16" s="239" t="s">
        <v>691</v>
      </c>
      <c r="D16" s="239"/>
      <c r="H16" s="20"/>
      <c r="I16" s="21">
        <f>-'固定资产&amp;无形资产'!I37</f>
        <v>-36.262148383568707</v>
      </c>
      <c r="J16" s="21">
        <f>-'固定资产&amp;无形资产'!J37</f>
        <v>-19.89203529999531</v>
      </c>
      <c r="K16" s="394">
        <v>-13</v>
      </c>
      <c r="L16" s="21">
        <f>-'固定资产&amp;无形资产'!L37</f>
        <v>-28.046422549765786</v>
      </c>
      <c r="M16" s="394">
        <v>-29.83</v>
      </c>
      <c r="N16" s="21">
        <f>-'固定资产&amp;无形资产'!N37</f>
        <v>-40.917024317036777</v>
      </c>
      <c r="O16" s="545">
        <f t="shared" ref="O16" si="4">N16</f>
        <v>-40.917024317036777</v>
      </c>
      <c r="P16" s="20">
        <f>-'固定资产&amp;无形资产'!O37</f>
        <v>-55.368611995663514</v>
      </c>
      <c r="Q16" s="20">
        <f>-'固定资产&amp;无形资产'!P37</f>
        <v>-61.102840157153359</v>
      </c>
      <c r="R16" s="20">
        <f>-'固定资产&amp;无形资产'!Q37</f>
        <v>-37.659926334055676</v>
      </c>
      <c r="S16" s="20">
        <f>-'固定资产&amp;无形资产'!R37</f>
        <v>-26.198934820195504</v>
      </c>
      <c r="T16" s="20">
        <f>-'固定资产&amp;无形资产'!S37</f>
        <v>-21.180028302215057</v>
      </c>
      <c r="U16" s="20"/>
    </row>
    <row r="17" spans="2:21">
      <c r="B17" s="242"/>
      <c r="C17" s="239" t="s">
        <v>665</v>
      </c>
      <c r="D17" s="239"/>
      <c r="H17" s="20"/>
      <c r="I17" s="20">
        <f>I18-SUM(I15:I16)</f>
        <v>-2.7100669617939701</v>
      </c>
      <c r="J17" s="20">
        <f t="shared" ref="J17" si="5">J18-SUM(J15:J16)</f>
        <v>-1.1912281126138193</v>
      </c>
      <c r="K17" s="20">
        <f>K18-SUM(K15:K16)</f>
        <v>-2</v>
      </c>
      <c r="L17" s="20">
        <f>L18-SUM(L15:L16)</f>
        <v>-7.2549435061156409</v>
      </c>
      <c r="M17" s="20">
        <f>M18-SUM(M15:M16)</f>
        <v>0.77924189879391292</v>
      </c>
      <c r="N17" s="20">
        <f>-资产负债表!N32+资产负债表!L32</f>
        <v>0</v>
      </c>
      <c r="O17" s="545">
        <f>资产负债表!O53-资产负债表!O19</f>
        <v>25.439897054298264</v>
      </c>
      <c r="P17" s="20">
        <f>-资产负债表!Q32+资产负债表!P32</f>
        <v>0</v>
      </c>
      <c r="Q17" s="20">
        <f>-资产负债表!R32+资产负债表!Q32</f>
        <v>0</v>
      </c>
      <c r="R17" s="20">
        <f>-资产负债表!S32+资产负债表!R32</f>
        <v>0</v>
      </c>
      <c r="S17" s="20">
        <f>-资产负债表!T32+资产负债表!S32</f>
        <v>0</v>
      </c>
      <c r="T17" s="20">
        <f>-资产负债表!U32+资产负债表!T32</f>
        <v>0</v>
      </c>
      <c r="U17" s="20"/>
    </row>
    <row r="18" spans="2:21" s="224" customFormat="1">
      <c r="B18" s="345" t="s">
        <v>692</v>
      </c>
      <c r="C18" s="243"/>
      <c r="D18" s="243"/>
      <c r="H18" s="23"/>
      <c r="I18" s="405">
        <v>-38.972215345362677</v>
      </c>
      <c r="J18" s="405">
        <v>-8.0832634126091296</v>
      </c>
      <c r="K18" s="405">
        <v>-15</v>
      </c>
      <c r="L18" s="405">
        <v>-17.301366055881427</v>
      </c>
      <c r="M18" s="405">
        <v>-29.030758101206086</v>
      </c>
      <c r="N18" s="23">
        <f t="shared" ref="N18" si="6">SUM(N15:N17)</f>
        <v>-36.921795882414258</v>
      </c>
      <c r="O18" s="546">
        <f>SUM(O15:O17)</f>
        <v>-11.481898828115995</v>
      </c>
      <c r="P18" s="23">
        <f>SUM(P15:P17)</f>
        <v>-53.373383561041067</v>
      </c>
      <c r="Q18" s="23">
        <f t="shared" ref="Q18" si="7">SUM(Q15:Q17)</f>
        <v>-59.107611722530876</v>
      </c>
      <c r="R18" s="23">
        <f t="shared" ref="R18" si="8">SUM(R15:R17)</f>
        <v>-35.664697899433236</v>
      </c>
      <c r="S18" s="23">
        <f t="shared" ref="S18" si="9">SUM(S15:S17)</f>
        <v>-24.203706385573113</v>
      </c>
      <c r="T18" s="23">
        <f t="shared" ref="T18" si="10">SUM(T15:T17)</f>
        <v>-19.18479986759256</v>
      </c>
      <c r="U18" s="23"/>
    </row>
    <row r="19" spans="2:21">
      <c r="B19" s="242"/>
      <c r="C19" s="239"/>
      <c r="D19" s="239"/>
      <c r="H19" s="20"/>
      <c r="I19" s="20"/>
      <c r="J19" s="20"/>
      <c r="K19" s="20"/>
      <c r="L19" s="20"/>
      <c r="M19" s="20"/>
      <c r="N19" s="20"/>
      <c r="O19" s="545"/>
      <c r="P19" s="20"/>
      <c r="Q19" s="20"/>
      <c r="R19" s="20"/>
      <c r="S19" s="20"/>
      <c r="T19" s="20"/>
      <c r="U19" s="20"/>
    </row>
    <row r="20" spans="2:21">
      <c r="B20" s="242"/>
      <c r="C20" s="237" t="s">
        <v>1044</v>
      </c>
      <c r="D20" s="239"/>
      <c r="G20" s="1064"/>
      <c r="H20" s="394"/>
      <c r="I20" s="394">
        <v>23.838824124364891</v>
      </c>
      <c r="J20" s="394">
        <v>-69.99699869038065</v>
      </c>
      <c r="K20" s="394"/>
      <c r="L20" s="394">
        <v>-21.269051702017897</v>
      </c>
      <c r="M20" s="394">
        <v>-12.696260894258138</v>
      </c>
      <c r="N20" s="20">
        <f>'债务&amp;权益'!N18+'债务&amp;权益'!N19</f>
        <v>7.990000000000002</v>
      </c>
      <c r="O20" s="544">
        <f>'债务&amp;权益'!P18+'债务&amp;权益'!P19</f>
        <v>-42.01</v>
      </c>
      <c r="P20" s="20">
        <f ca="1">'债务&amp;权益'!Q18+'债务&amp;权益'!Q19</f>
        <v>-31.878329339229168</v>
      </c>
      <c r="Q20" s="20">
        <f ca="1">'债务&amp;权益'!R18+'债务&amp;权益'!R19</f>
        <v>-32</v>
      </c>
      <c r="R20" s="20">
        <f ca="1">'债务&amp;权益'!S18+'债务&amp;权益'!S19</f>
        <v>-32</v>
      </c>
      <c r="S20" s="20">
        <f ca="1">'债务&amp;权益'!T18+'债务&amp;权益'!T19</f>
        <v>-32</v>
      </c>
      <c r="T20" s="20">
        <f ca="1">'债务&amp;权益'!U18+'债务&amp;权益'!U19</f>
        <v>-32</v>
      </c>
      <c r="U20" s="20"/>
    </row>
    <row r="21" spans="2:21">
      <c r="B21" s="242"/>
      <c r="C21" s="237" t="s">
        <v>704</v>
      </c>
      <c r="D21" s="239"/>
      <c r="H21" s="20"/>
      <c r="I21" s="119"/>
      <c r="J21" s="119"/>
      <c r="K21" s="119"/>
      <c r="L21" s="394">
        <v>0</v>
      </c>
      <c r="M21" s="394">
        <v>0</v>
      </c>
      <c r="N21" s="20">
        <v>0</v>
      </c>
      <c r="O21" s="545">
        <f>'回报测算-EVEBITDA（核心假设）'!G42</f>
        <v>100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/>
    </row>
    <row r="22" spans="2:21">
      <c r="B22" s="242"/>
      <c r="C22" s="237" t="s">
        <v>1099</v>
      </c>
      <c r="D22" s="239"/>
      <c r="H22" s="20"/>
      <c r="I22" s="119"/>
      <c r="J22" s="119"/>
      <c r="K22" s="119"/>
      <c r="L22" s="412"/>
      <c r="M22" s="412"/>
      <c r="N22" s="20">
        <f>'债务&amp;权益'!N84</f>
        <v>0</v>
      </c>
      <c r="O22" s="545">
        <f>N22</f>
        <v>0</v>
      </c>
      <c r="P22" s="20">
        <f>'债务&amp;权益'!Q84</f>
        <v>0</v>
      </c>
      <c r="Q22" s="20">
        <f ca="1">'债务&amp;权益'!R84</f>
        <v>0</v>
      </c>
      <c r="R22" s="20">
        <f ca="1">'债务&amp;权益'!S84</f>
        <v>0</v>
      </c>
      <c r="S22" s="20">
        <f ca="1">'债务&amp;权益'!T84</f>
        <v>0</v>
      </c>
      <c r="T22" s="20">
        <f ca="1">'债务&amp;权益'!U84</f>
        <v>0</v>
      </c>
      <c r="U22" s="20"/>
    </row>
    <row r="23" spans="2:21">
      <c r="B23" s="242"/>
      <c r="C23" s="237" t="s">
        <v>665</v>
      </c>
      <c r="D23" s="239"/>
      <c r="H23" s="20"/>
      <c r="I23" s="20">
        <f>I24-I20</f>
        <v>-7.3623641356783978</v>
      </c>
      <c r="J23" s="20">
        <f t="shared" ref="J23:M23" si="11">J24-J20</f>
        <v>0.22194039626576512</v>
      </c>
      <c r="K23" s="20">
        <f>K24-K20</f>
        <v>-47</v>
      </c>
      <c r="L23" s="20">
        <f t="shared" si="11"/>
        <v>-18.555924530016732</v>
      </c>
      <c r="M23" s="20">
        <f t="shared" si="11"/>
        <v>-18.19090370649165</v>
      </c>
      <c r="N23" s="20">
        <f>资产负债表!N75-资产负债表!M75</f>
        <v>0</v>
      </c>
      <c r="O23" s="545">
        <f>N23</f>
        <v>0</v>
      </c>
      <c r="P23" s="20">
        <f>资产负债表!Q75-资产负债表!P75</f>
        <v>0</v>
      </c>
      <c r="Q23" s="20">
        <f>资产负债表!R75-资产负债表!Q75</f>
        <v>0</v>
      </c>
      <c r="R23" s="20">
        <f>资产负债表!S75-资产负债表!R75</f>
        <v>0</v>
      </c>
      <c r="S23" s="20">
        <f>资产负债表!T75-资产负债表!S75</f>
        <v>0</v>
      </c>
      <c r="T23" s="20">
        <f>资产负债表!U75-资产负债表!T75</f>
        <v>0</v>
      </c>
      <c r="U23" s="20"/>
    </row>
    <row r="24" spans="2:21" s="224" customFormat="1">
      <c r="B24" s="345" t="s">
        <v>693</v>
      </c>
      <c r="C24" s="243"/>
      <c r="D24" s="243"/>
      <c r="H24" s="23"/>
      <c r="I24" s="405">
        <v>16.476459988686493</v>
      </c>
      <c r="J24" s="405">
        <v>-69.775058294114885</v>
      </c>
      <c r="K24" s="405">
        <v>-47</v>
      </c>
      <c r="L24" s="405">
        <v>-39.824976232034629</v>
      </c>
      <c r="M24" s="405">
        <v>-30.887164600749788</v>
      </c>
      <c r="N24" s="23">
        <f t="shared" ref="N24" si="12">SUM(N20:N23)</f>
        <v>7.990000000000002</v>
      </c>
      <c r="O24" s="546">
        <f>SUM(O20:O23)</f>
        <v>57.99</v>
      </c>
      <c r="P24" s="23">
        <f ca="1">SUM(P20:P23)</f>
        <v>-31.878329339229168</v>
      </c>
      <c r="Q24" s="23">
        <f t="shared" ref="Q24" ca="1" si="13">SUM(Q20:Q23)</f>
        <v>-32</v>
      </c>
      <c r="R24" s="23">
        <f t="shared" ref="R24" ca="1" si="14">SUM(R20:R23)</f>
        <v>-32</v>
      </c>
      <c r="S24" s="23">
        <f t="shared" ref="S24" ca="1" si="15">SUM(S20:S23)</f>
        <v>-32</v>
      </c>
      <c r="T24" s="23">
        <f ca="1">SUM(T20:T23)</f>
        <v>-32</v>
      </c>
      <c r="U24" s="23"/>
    </row>
    <row r="25" spans="2:21">
      <c r="B25" s="242"/>
      <c r="C25" s="239"/>
      <c r="D25" s="239"/>
      <c r="H25" s="20"/>
      <c r="I25" s="21"/>
      <c r="J25" s="21"/>
      <c r="K25" s="21"/>
      <c r="L25" s="21"/>
      <c r="M25" s="21"/>
      <c r="N25" s="21"/>
      <c r="O25" s="544"/>
      <c r="P25" s="21"/>
      <c r="Q25" s="21"/>
      <c r="R25" s="21"/>
      <c r="S25" s="21"/>
      <c r="T25" s="21"/>
      <c r="U25" s="20"/>
    </row>
    <row r="26" spans="2:21">
      <c r="B26" s="345" t="s">
        <v>694</v>
      </c>
      <c r="C26" s="239"/>
      <c r="D26" s="239"/>
      <c r="H26" s="20"/>
      <c r="I26" s="23">
        <f t="shared" ref="I26:Q26" si="16">I13+I18+I24</f>
        <v>22.29219937112488</v>
      </c>
      <c r="J26" s="23">
        <f t="shared" si="16"/>
        <v>-49.090564700989169</v>
      </c>
      <c r="K26" s="23">
        <f t="shared" si="16"/>
        <v>20</v>
      </c>
      <c r="L26" s="23">
        <f t="shared" si="16"/>
        <v>19.24231472875924</v>
      </c>
      <c r="M26" s="23">
        <f t="shared" ref="M26" si="17">M13+M18+M24</f>
        <v>-7.7051965954508788</v>
      </c>
      <c r="N26" s="23">
        <f>N13+N18+N24</f>
        <v>5.386303076213558</v>
      </c>
      <c r="O26" s="546">
        <f>O13+O18+O24</f>
        <v>80.826200130511822</v>
      </c>
      <c r="P26" s="23">
        <f t="shared" ca="1" si="16"/>
        <v>10.026264529263258</v>
      </c>
      <c r="Q26" s="23">
        <f t="shared" ca="1" si="16"/>
        <v>28.818878336049565</v>
      </c>
      <c r="R26" s="23">
        <f t="shared" ref="R26:T26" ca="1" si="18">R13+R18+R24</f>
        <v>79.070287538162745</v>
      </c>
      <c r="S26" s="23">
        <f t="shared" ca="1" si="18"/>
        <v>115.57174413885355</v>
      </c>
      <c r="T26" s="23">
        <f t="shared" ca="1" si="18"/>
        <v>146.1074630147732</v>
      </c>
      <c r="U26" s="20"/>
    </row>
    <row r="27" spans="2:21">
      <c r="B27" s="242"/>
      <c r="C27" s="239"/>
      <c r="D27" s="239"/>
      <c r="H27" s="20"/>
      <c r="I27" s="20"/>
      <c r="J27" s="20"/>
      <c r="K27" s="20"/>
      <c r="L27" s="20"/>
      <c r="M27" s="20"/>
      <c r="N27" s="20"/>
      <c r="O27" s="545"/>
      <c r="P27" s="20"/>
      <c r="Q27" s="20"/>
      <c r="R27" s="20"/>
      <c r="S27" s="20"/>
      <c r="T27" s="20"/>
      <c r="U27" s="20"/>
    </row>
    <row r="28" spans="2:21">
      <c r="B28" s="242"/>
      <c r="C28" s="239" t="s">
        <v>695</v>
      </c>
      <c r="D28" s="239"/>
      <c r="H28" s="20"/>
      <c r="I28" s="20">
        <f>I30-I26</f>
        <v>-0.96219937112488196</v>
      </c>
      <c r="J28" s="20">
        <f t="shared" ref="J28:L28" si="19">J30-J26</f>
        <v>-0.36943529901083139</v>
      </c>
      <c r="K28" s="20">
        <f>K30-K26</f>
        <v>-7.1499999999999986</v>
      </c>
      <c r="L28" s="20">
        <f t="shared" si="19"/>
        <v>-1.8923147287592386</v>
      </c>
      <c r="M28" s="20">
        <f>M30-M26</f>
        <v>-3.4248034045491202</v>
      </c>
      <c r="N28" s="429">
        <v>0</v>
      </c>
      <c r="O28" s="563">
        <f>N28</f>
        <v>0</v>
      </c>
      <c r="P28" s="429">
        <v>0</v>
      </c>
      <c r="Q28" s="429">
        <v>0</v>
      </c>
      <c r="R28" s="429">
        <v>0</v>
      </c>
      <c r="S28" s="429">
        <v>0</v>
      </c>
      <c r="T28" s="429">
        <v>0</v>
      </c>
      <c r="U28" s="20"/>
    </row>
    <row r="29" spans="2:21">
      <c r="B29" s="242"/>
      <c r="C29" s="239"/>
      <c r="D29" s="239"/>
      <c r="H29" s="20"/>
      <c r="N29" s="20"/>
      <c r="O29" s="545"/>
      <c r="P29" s="20"/>
      <c r="Q29" s="20"/>
      <c r="R29" s="20"/>
      <c r="S29" s="20"/>
      <c r="T29" s="20"/>
      <c r="U29" s="20"/>
    </row>
    <row r="30" spans="2:21">
      <c r="B30" s="345" t="s">
        <v>696</v>
      </c>
      <c r="C30" s="239"/>
      <c r="D30" s="239"/>
      <c r="H30" s="20"/>
      <c r="I30" s="23">
        <f t="shared" ref="I30:L30" si="20">I33-I32</f>
        <v>21.33</v>
      </c>
      <c r="J30" s="23">
        <f t="shared" si="20"/>
        <v>-49.46</v>
      </c>
      <c r="K30" s="23">
        <f t="shared" si="20"/>
        <v>12.850000000000001</v>
      </c>
      <c r="L30" s="23">
        <f t="shared" si="20"/>
        <v>17.350000000000001</v>
      </c>
      <c r="M30" s="23">
        <f>M33-M32</f>
        <v>-11.129999999999999</v>
      </c>
      <c r="N30" s="23">
        <f t="shared" ref="N30" si="21">N26+N28</f>
        <v>5.386303076213558</v>
      </c>
      <c r="O30" s="546">
        <f>O26+O28</f>
        <v>80.826200130511822</v>
      </c>
      <c r="P30" s="23">
        <f ca="1">P26+P28</f>
        <v>10.026264529263258</v>
      </c>
      <c r="Q30" s="23">
        <f ca="1">Q26+Q28</f>
        <v>28.818878336049565</v>
      </c>
      <c r="R30" s="23">
        <f t="shared" ref="R30:T30" ca="1" si="22">R26+R28</f>
        <v>79.070287538162745</v>
      </c>
      <c r="S30" s="23">
        <f t="shared" ca="1" si="22"/>
        <v>115.57174413885355</v>
      </c>
      <c r="T30" s="23">
        <f t="shared" ca="1" si="22"/>
        <v>146.1074630147732</v>
      </c>
      <c r="U30" s="20"/>
    </row>
    <row r="32" spans="2:21" s="183" customFormat="1">
      <c r="B32" s="183" t="s">
        <v>697</v>
      </c>
      <c r="I32" s="217">
        <f>H33</f>
        <v>47.28</v>
      </c>
      <c r="J32" s="217">
        <f t="shared" ref="J32:T32" si="23">I33</f>
        <v>68.61</v>
      </c>
      <c r="K32" s="217">
        <f t="shared" si="23"/>
        <v>19.149999999999999</v>
      </c>
      <c r="L32" s="217">
        <f>J33</f>
        <v>19.149999999999999</v>
      </c>
      <c r="M32" s="217">
        <f>L33</f>
        <v>36.5</v>
      </c>
      <c r="N32" s="217">
        <f>L33</f>
        <v>36.5</v>
      </c>
      <c r="O32" s="547">
        <f>N32</f>
        <v>36.5</v>
      </c>
      <c r="P32" s="217">
        <f>O33</f>
        <v>117.32620013051182</v>
      </c>
      <c r="Q32" s="217">
        <f t="shared" ca="1" si="23"/>
        <v>127.35246465977508</v>
      </c>
      <c r="R32" s="217">
        <f t="shared" ca="1" si="23"/>
        <v>156.17134299582466</v>
      </c>
      <c r="S32" s="217">
        <f t="shared" ca="1" si="23"/>
        <v>235.2416305339874</v>
      </c>
      <c r="T32" s="217">
        <f t="shared" ca="1" si="23"/>
        <v>350.81337467284095</v>
      </c>
    </row>
    <row r="33" spans="2:20" s="183" customFormat="1">
      <c r="B33" s="183" t="s">
        <v>698</v>
      </c>
      <c r="H33" s="98">
        <f>资产负债表!H11</f>
        <v>47.28</v>
      </c>
      <c r="I33" s="98">
        <f>资产负债表!I11</f>
        <v>68.61</v>
      </c>
      <c r="J33" s="98">
        <f>资产负债表!J11</f>
        <v>19.149999999999999</v>
      </c>
      <c r="K33" s="98">
        <f>资产负债表!K11</f>
        <v>32</v>
      </c>
      <c r="L33" s="98">
        <f>资产负债表!L11</f>
        <v>36.5</v>
      </c>
      <c r="M33" s="98">
        <f>资产负债表!M11</f>
        <v>25.37</v>
      </c>
      <c r="N33" s="23">
        <f t="shared" ref="N33" si="24">N30+N32</f>
        <v>41.886303076213558</v>
      </c>
      <c r="O33" s="546">
        <f>O30+O32</f>
        <v>117.32620013051182</v>
      </c>
      <c r="P33" s="23">
        <f t="shared" ref="P33" ca="1" si="25">P30+P32</f>
        <v>127.35246465977508</v>
      </c>
      <c r="Q33" s="23">
        <f t="shared" ref="Q33" ca="1" si="26">Q30+Q32</f>
        <v>156.17134299582466</v>
      </c>
      <c r="R33" s="23">
        <f t="shared" ref="R33" ca="1" si="27">R30+R32</f>
        <v>235.2416305339874</v>
      </c>
      <c r="S33" s="23">
        <f t="shared" ref="S33" ca="1" si="28">S30+S32</f>
        <v>350.81337467284095</v>
      </c>
      <c r="T33" s="23">
        <f t="shared" ref="T33" ca="1" si="29">T30+T32</f>
        <v>496.92083768761415</v>
      </c>
    </row>
    <row r="35" spans="2:20">
      <c r="I35" s="222"/>
      <c r="J35" s="222"/>
      <c r="K35" s="346"/>
    </row>
  </sheetData>
  <mergeCells count="2">
    <mergeCell ref="A1:T1"/>
    <mergeCell ref="A2:T2"/>
  </mergeCells>
  <phoneticPr fontId="5" type="noConversion"/>
  <conditionalFormatting sqref="H4:H5 Q5:T5">
    <cfRule type="containsText" dxfId="60" priority="3" operator="containsText" text="Error">
      <formula>NOT(ISERROR(SEARCH("Error",H4)))</formula>
    </cfRule>
  </conditionalFormatting>
  <conditionalFormatting sqref="J5:O5">
    <cfRule type="containsText" dxfId="59" priority="1" operator="containsText" text="Error">
      <formula>NOT(ISERROR(SEARCH("Error",J5)))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4:F12"/>
  <sheetViews>
    <sheetView workbookViewId="0">
      <selection activeCell="E9" sqref="E9"/>
    </sheetView>
  </sheetViews>
  <sheetFormatPr defaultRowHeight="14"/>
  <cols>
    <col min="2" max="2" width="17.33203125" customWidth="1"/>
  </cols>
  <sheetData>
    <row r="4" spans="2:6">
      <c r="C4">
        <v>2021</v>
      </c>
      <c r="D4">
        <v>2022</v>
      </c>
      <c r="E4">
        <v>2023</v>
      </c>
      <c r="F4" t="s">
        <v>709</v>
      </c>
    </row>
    <row r="5" spans="2:6">
      <c r="B5" t="s">
        <v>708</v>
      </c>
      <c r="C5" s="521" t="e">
        <f>利润表!H40/资产负债表!#REF!</f>
        <v>#REF!</v>
      </c>
      <c r="D5" s="521" t="e">
        <f>利润表!I40/资产负债表!#REF!</f>
        <v>#REF!</v>
      </c>
      <c r="E5" s="521" t="e">
        <f>利润表!J40/资产负债表!#REF!</f>
        <v>#REF!</v>
      </c>
      <c r="F5" s="521" t="e">
        <f>利润表!L40/资产负债表!#REF!</f>
        <v>#REF!</v>
      </c>
    </row>
    <row r="6" spans="2:6">
      <c r="B6" t="s">
        <v>710</v>
      </c>
      <c r="C6" s="522" t="e">
        <f>SUM(利润表!H10,利润表!H13,利润表!H15,利润表!H17)*(1-利润表!H38)/(资产负债表!#REF!-资产负债表!#REF!)</f>
        <v>#REF!</v>
      </c>
      <c r="D6" s="522" t="e">
        <f>SUM(利润表!I10,利润表!I13,利润表!I15,利润表!I17)*(1-利润表!I38)/(资产负债表!#REF!-资产负债表!#REF!)</f>
        <v>#REF!</v>
      </c>
      <c r="E6" s="522" t="e">
        <f>SUM(利润表!J10,利润表!J13,利润表!J15,利润表!J17)*(1-利润表!J38)/(资产负债表!#REF!-资产负债表!#REF!)</f>
        <v>#REF!</v>
      </c>
      <c r="F6" s="522" t="e">
        <f>SUM(利润表!L10,利润表!L13,利润表!L15,利润表!L17)*(1-利润表!L38)/(资产负债表!#REF!-资产负债表!#REF!)</f>
        <v>#REF!</v>
      </c>
    </row>
    <row r="10" spans="2:6">
      <c r="B10" t="s">
        <v>724</v>
      </c>
      <c r="C10" s="537" t="e">
        <f>360/(利润表!H8/资产负债表!#REF!)</f>
        <v>#REF!</v>
      </c>
      <c r="D10" s="537" t="e">
        <f>360/(利润表!I8/AVERAGE(资产负债表!#REF!))</f>
        <v>#REF!</v>
      </c>
      <c r="E10" s="537" t="e">
        <f>360/(利润表!J8/AVERAGE(资产负债表!#REF!))</f>
        <v>#REF!</v>
      </c>
      <c r="F10" s="537" t="e">
        <f>360/(利润表!L8/AVERAGE(资产负债表!#REF!,资产负债表!#REF!))</f>
        <v>#REF!</v>
      </c>
    </row>
    <row r="11" spans="2:6">
      <c r="B11" t="s">
        <v>725</v>
      </c>
      <c r="C11" t="e">
        <f>360/(利润表!H9/AVERAGE(资产负债表!#REF!))</f>
        <v>#REF!</v>
      </c>
      <c r="D11" t="e">
        <f>360/(利润表!I9/AVERAGE(资产负债表!#REF!))</f>
        <v>#REF!</v>
      </c>
      <c r="E11" t="e">
        <f>360/(利润表!J9/AVERAGE(资产负债表!#REF!))</f>
        <v>#REF!</v>
      </c>
      <c r="F11" t="e">
        <f>360/(利润表!L9/AVERAGE(资产负债表!#REF!,资产负债表!#REF!))</f>
        <v>#REF!</v>
      </c>
    </row>
    <row r="12" spans="2:6">
      <c r="B12" t="s">
        <v>686</v>
      </c>
      <c r="C12" t="e">
        <f>-360/(利润表!H9/AVERAGE(资产负债表!#REF!))</f>
        <v>#REF!</v>
      </c>
      <c r="D12" t="e">
        <f>-360/(利润表!I9/AVERAGE(资产负债表!#REF!))</f>
        <v>#REF!</v>
      </c>
      <c r="E12" t="e">
        <f>-360/(利润表!J9/AVERAGE(资产负债表!#REF!))</f>
        <v>#REF!</v>
      </c>
      <c r="F12" t="e">
        <f>-360/(利润表!L9/AVERAGE(资产负债表!#REF!,资产负债表!#REF!))</f>
        <v>#REF!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"/>
  <sheetViews>
    <sheetView showGridLines="0" workbookViewId="0">
      <selection activeCell="K21" sqref="K21"/>
    </sheetView>
  </sheetViews>
  <sheetFormatPr defaultRowHeight="14"/>
  <sheetData/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X351"/>
  <sheetViews>
    <sheetView showGridLines="0" zoomScale="85" zoomScaleNormal="85" workbookViewId="0">
      <pane xSplit="7" ySplit="11" topLeftCell="H107" activePane="bottomRight" state="frozen"/>
      <selection activeCell="E29" sqref="E29"/>
      <selection pane="topRight" activeCell="E29" sqref="E29"/>
      <selection pane="bottomLeft" activeCell="E29" sqref="E29"/>
      <selection pane="bottomRight" activeCell="N22" sqref="N22"/>
    </sheetView>
  </sheetViews>
  <sheetFormatPr defaultColWidth="8.6640625" defaultRowHeight="14.5"/>
  <cols>
    <col min="1" max="4" width="2.83203125" style="96" customWidth="1"/>
    <col min="5" max="7" width="8.6640625" style="96"/>
    <col min="8" max="8" width="12.5" style="96" bestFit="1" customWidth="1"/>
    <col min="9" max="10" width="9" style="96" bestFit="1" customWidth="1"/>
    <col min="11" max="11" width="8.75" style="96" bestFit="1" customWidth="1"/>
    <col min="12" max="12" width="9" style="96" bestFit="1" customWidth="1"/>
    <col min="13" max="13" width="8.6640625" style="96"/>
    <col min="14" max="14" width="9.9140625" style="96" customWidth="1"/>
    <col min="15" max="20" width="8.6640625" style="96"/>
    <col min="21" max="22" width="11.08203125" style="96" customWidth="1"/>
    <col min="23" max="16384" width="8.6640625" style="96"/>
  </cols>
  <sheetData>
    <row r="1" spans="1:22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</row>
    <row r="2" spans="1:22" s="1" customFormat="1" ht="20.25" customHeight="1">
      <c r="A2" s="1579" t="s">
        <v>306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</row>
    <row r="3" spans="1:22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</row>
    <row r="4" spans="1:22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U4" s="468"/>
      <c r="V4" s="468"/>
    </row>
    <row r="5" spans="1:22" s="1" customFormat="1" ht="14.25" customHeight="1">
      <c r="A5" s="5" t="s">
        <v>307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  <c r="U5" s="468"/>
      <c r="V5" s="468"/>
    </row>
    <row r="6" spans="1:22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8" spans="1:22" s="140" customFormat="1">
      <c r="A8" s="139" t="s">
        <v>8</v>
      </c>
      <c r="B8" s="139" t="s">
        <v>308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</row>
    <row r="9" spans="1:22" s="1" customFormat="1">
      <c r="C9" s="1" t="s">
        <v>309</v>
      </c>
      <c r="H9" s="141">
        <v>6.4503000000000004</v>
      </c>
      <c r="I9" s="141">
        <v>6.73</v>
      </c>
      <c r="J9" s="141">
        <v>7.02</v>
      </c>
      <c r="K9" s="141">
        <v>7.1</v>
      </c>
      <c r="L9" s="69">
        <v>7.1356000000000002</v>
      </c>
      <c r="M9" s="69">
        <v>7.1688999999999998</v>
      </c>
      <c r="N9" s="69">
        <f>M9</f>
        <v>7.1688999999999998</v>
      </c>
      <c r="O9" s="69">
        <f t="shared" ref="O9:S9" si="0">N9</f>
        <v>7.1688999999999998</v>
      </c>
      <c r="P9" s="69">
        <f t="shared" si="0"/>
        <v>7.1688999999999998</v>
      </c>
      <c r="Q9" s="69">
        <f t="shared" si="0"/>
        <v>7.1688999999999998</v>
      </c>
      <c r="R9" s="69">
        <f t="shared" si="0"/>
        <v>7.1688999999999998</v>
      </c>
      <c r="S9" s="69">
        <f t="shared" si="0"/>
        <v>7.1688999999999998</v>
      </c>
    </row>
    <row r="10" spans="1:22" s="1" customFormat="1">
      <c r="C10" s="1" t="s">
        <v>310</v>
      </c>
      <c r="H10" s="141">
        <v>8.7484000000000002</v>
      </c>
      <c r="I10" s="141">
        <v>8.2980999999999998</v>
      </c>
      <c r="J10" s="141">
        <v>8.7155000000000005</v>
      </c>
      <c r="K10" s="141">
        <v>9.14</v>
      </c>
      <c r="L10" s="141">
        <v>9.0634999999999994</v>
      </c>
      <c r="M10" s="141">
        <v>9.2965999999999998</v>
      </c>
      <c r="N10" s="69">
        <f>M10</f>
        <v>9.2965999999999998</v>
      </c>
      <c r="O10" s="69">
        <f t="shared" ref="O10" si="1">N10</f>
        <v>9.2965999999999998</v>
      </c>
      <c r="P10" s="69">
        <f t="shared" ref="P10" si="2">O10</f>
        <v>9.2965999999999998</v>
      </c>
      <c r="Q10" s="69">
        <f t="shared" ref="Q10" si="3">P10</f>
        <v>9.2965999999999998</v>
      </c>
      <c r="R10" s="69">
        <f t="shared" ref="R10" si="4">Q10</f>
        <v>9.2965999999999998</v>
      </c>
      <c r="S10" s="69">
        <f t="shared" ref="S10" si="5">R10</f>
        <v>9.2965999999999998</v>
      </c>
    </row>
    <row r="11" spans="1:22" s="1" customFormat="1">
      <c r="C11" s="1" t="s">
        <v>311</v>
      </c>
      <c r="H11" s="141">
        <v>5.0449000000000002</v>
      </c>
      <c r="I11" s="141">
        <v>5.1692999999999998</v>
      </c>
      <c r="J11" s="141">
        <v>5.2529000000000003</v>
      </c>
      <c r="K11" s="141">
        <v>5.25</v>
      </c>
      <c r="L11" s="69">
        <v>5.2085999999999997</v>
      </c>
      <c r="M11" s="69">
        <v>5.1181000000000001</v>
      </c>
      <c r="N11" s="69">
        <f>M11</f>
        <v>5.1181000000000001</v>
      </c>
      <c r="O11" s="69">
        <f t="shared" ref="O11:S11" si="6">N11</f>
        <v>5.1181000000000001</v>
      </c>
      <c r="P11" s="69">
        <f t="shared" si="6"/>
        <v>5.1181000000000001</v>
      </c>
      <c r="Q11" s="69">
        <f t="shared" si="6"/>
        <v>5.1181000000000001</v>
      </c>
      <c r="R11" s="69">
        <f t="shared" si="6"/>
        <v>5.1181000000000001</v>
      </c>
      <c r="S11" s="69">
        <f t="shared" si="6"/>
        <v>5.1181000000000001</v>
      </c>
    </row>
    <row r="12" spans="1:22" s="1" customFormat="1">
      <c r="H12" s="141"/>
      <c r="I12" s="141"/>
      <c r="J12" s="141"/>
      <c r="K12" s="141"/>
      <c r="L12" s="69"/>
      <c r="M12" s="69"/>
      <c r="N12" s="69"/>
      <c r="O12" s="69"/>
      <c r="P12" s="69"/>
      <c r="Q12" s="69"/>
      <c r="R12" s="69"/>
      <c r="S12" s="69"/>
    </row>
    <row r="13" spans="1:22" s="231" customFormat="1">
      <c r="A13" s="58" t="s">
        <v>8</v>
      </c>
      <c r="B13" s="58" t="s">
        <v>489</v>
      </c>
      <c r="H13" s="232"/>
      <c r="I13" s="232"/>
      <c r="J13" s="232"/>
      <c r="K13" s="232"/>
      <c r="L13" s="233"/>
      <c r="M13" s="233"/>
      <c r="N13" s="233"/>
      <c r="O13" s="233"/>
      <c r="P13" s="233"/>
      <c r="Q13" s="233"/>
      <c r="R13" s="233"/>
      <c r="S13" s="233"/>
    </row>
    <row r="14" spans="1:22" s="1" customFormat="1"/>
    <row r="15" spans="1:22" s="62" customFormat="1">
      <c r="A15" s="10" t="s">
        <v>8</v>
      </c>
      <c r="B15" s="10" t="s">
        <v>312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22" s="1" customFormat="1"/>
    <row r="17" spans="2:22" s="1" customFormat="1">
      <c r="C17" s="1" t="s">
        <v>313</v>
      </c>
      <c r="H17" s="1062">
        <f>美国!H34/1000</f>
        <v>659.601</v>
      </c>
      <c r="I17" s="1062">
        <f>美国!I34/1000</f>
        <v>700.55499999999995</v>
      </c>
      <c r="J17" s="1062">
        <f>美国!J34/1000</f>
        <v>554.27099999999996</v>
      </c>
      <c r="K17" s="1062">
        <f>美国!K34/1000</f>
        <v>485.036</v>
      </c>
      <c r="L17" s="1062">
        <f>美国!L34/1000</f>
        <v>585.55999999999995</v>
      </c>
      <c r="M17" s="1062">
        <f>美国!M34/1000</f>
        <v>320.78877980000004</v>
      </c>
      <c r="N17" s="1062">
        <f>美国!N34/1000</f>
        <v>592.40611530021397</v>
      </c>
      <c r="O17" s="1062">
        <f>美国!O34/1000</f>
        <v>643.7493879335151</v>
      </c>
      <c r="P17" s="1062">
        <f>美国!P34/1000</f>
        <v>691.72177595893629</v>
      </c>
      <c r="Q17" s="1062">
        <f>美国!Q34/1000</f>
        <v>737.51745804302163</v>
      </c>
      <c r="R17" s="1062">
        <f>美国!R34/1000</f>
        <v>795.60499515535685</v>
      </c>
      <c r="S17" s="1062">
        <f>美国!S34/1000</f>
        <v>876.00838070087991</v>
      </c>
      <c r="U17" s="56"/>
      <c r="V17" s="56"/>
    </row>
    <row r="18" spans="2:22" s="1" customFormat="1">
      <c r="C18" s="1" t="s">
        <v>314</v>
      </c>
      <c r="H18" s="1062">
        <f>中国!H14/1000/H9</f>
        <v>224.35545154488941</v>
      </c>
      <c r="I18" s="1062">
        <f>中国!I14/1000/I9</f>
        <v>246.82576581362119</v>
      </c>
      <c r="J18" s="1062">
        <f>中国!J14/1000/J9</f>
        <v>256.76242471370909</v>
      </c>
      <c r="K18" s="1062">
        <f>中国!K14/1000/K9</f>
        <v>281.01007042253519</v>
      </c>
      <c r="L18" s="1062">
        <f>中国!L14/1000/L9</f>
        <v>340.42411777294024</v>
      </c>
      <c r="M18" s="1062">
        <f>中国!M14/1000/M9</f>
        <v>200.35543606431332</v>
      </c>
      <c r="N18" s="1062">
        <f>中国!N14/1000/N9</f>
        <v>351.14744413618268</v>
      </c>
      <c r="O18" s="1062">
        <f>中国!O14/1000/O9</f>
        <v>401.70700658586446</v>
      </c>
      <c r="P18" s="1062">
        <f>中国!P14/1000/P9</f>
        <v>459.6502620613573</v>
      </c>
      <c r="Q18" s="1062">
        <f>中国!Q14/1000/Q9</f>
        <v>523.2372703941187</v>
      </c>
      <c r="R18" s="1062">
        <f>中国!R14/1000/R9</f>
        <v>593.19144900048411</v>
      </c>
      <c r="S18" s="1062">
        <f>中国!S14/1000/S9</f>
        <v>665.79561578428547</v>
      </c>
      <c r="U18" s="56"/>
      <c r="V18" s="56"/>
    </row>
    <row r="19" spans="2:22" s="1" customFormat="1">
      <c r="C19" s="1" t="s">
        <v>315</v>
      </c>
      <c r="H19" s="1062">
        <f>加拿大!H31/1000*H11/H9</f>
        <v>23.480766444971547</v>
      </c>
      <c r="I19" s="1062">
        <f>加拿大!I31/1000*I11/I9</f>
        <v>113.13854117384842</v>
      </c>
      <c r="J19" s="1062">
        <f>加拿大!J31/1000*J11/J9</f>
        <v>116.32105566951569</v>
      </c>
      <c r="K19" s="1062">
        <f>加拿大!K31/1000*K11/K9</f>
        <v>100.3555985915493</v>
      </c>
      <c r="L19" s="1062">
        <f>加拿大!L31/1000*L11/L9</f>
        <v>119.28918761164863</v>
      </c>
      <c r="M19" s="1062">
        <f>加拿大!M31/1000*M11/M9</f>
        <v>66.875744205008971</v>
      </c>
      <c r="N19" s="1062">
        <f>加拿大!N31/1000*N11/N9</f>
        <v>129.62264370278999</v>
      </c>
      <c r="O19" s="1062">
        <f>加拿大!O31/1000*O11/O9</f>
        <v>144.01075715379972</v>
      </c>
      <c r="P19" s="1062">
        <f>加拿大!P31/1000*P11/P9</f>
        <v>159.99595119787151</v>
      </c>
      <c r="Q19" s="1062">
        <f>加拿大!Q31/1000*Q11/Q9</f>
        <v>177.75550178083529</v>
      </c>
      <c r="R19" s="1062">
        <f>加拿大!R31/1000*R11/R9</f>
        <v>197.48636247850803</v>
      </c>
      <c r="S19" s="1062">
        <f>加拿大!S31/1000*S11/S9</f>
        <v>219.40734871362241</v>
      </c>
      <c r="U19" s="56"/>
      <c r="V19" s="56"/>
    </row>
    <row r="20" spans="2:22" s="1" customFormat="1">
      <c r="C20" s="1" t="s">
        <v>316</v>
      </c>
      <c r="H20" s="1062">
        <f>欧洲!H15/1000*H10/H9</f>
        <v>140.80064455916778</v>
      </c>
      <c r="I20" s="1062">
        <f>欧洲!I15/1000*I10/I9</f>
        <v>126.37895329866269</v>
      </c>
      <c r="J20" s="1062">
        <f>欧洲!J15/1000*J10/J9</f>
        <v>142.13465840455842</v>
      </c>
      <c r="K20" s="1062">
        <f>欧洲!K15/1000*K10/K9</f>
        <v>136.12935774647889</v>
      </c>
      <c r="L20" s="1062">
        <f>欧洲!L15/1000*L10/L9</f>
        <v>162.55387657218878</v>
      </c>
      <c r="M20" s="1062">
        <f>欧洲!M15/1000*M10/M9</f>
        <v>92.670843274092306</v>
      </c>
      <c r="N20" s="1062">
        <f>欧洲!N15/1000*N10/N9</f>
        <v>176.95040859237221</v>
      </c>
      <c r="O20" s="1062">
        <f>欧洲!O15/1000*O10/O9</f>
        <v>189.96788623334785</v>
      </c>
      <c r="P20" s="1062">
        <f>欧洲!P15/1000*P10/P9</f>
        <v>203.7644798782145</v>
      </c>
      <c r="Q20" s="1062">
        <f>欧洲!Q15/1000*Q10/Q9</f>
        <v>219.68907946765214</v>
      </c>
      <c r="R20" s="1062">
        <f>欧洲!R15/1000*R10/R9</f>
        <v>239.094081364581</v>
      </c>
      <c r="S20" s="1062">
        <f>欧洲!S15/1000*S10/S9</f>
        <v>264.63242202971486</v>
      </c>
      <c r="U20" s="56"/>
      <c r="V20" s="56"/>
    </row>
    <row r="21" spans="2:22" s="1" customFormat="1">
      <c r="C21" s="1" t="s">
        <v>317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146">
        <v>0</v>
      </c>
      <c r="O21" s="146">
        <v>0</v>
      </c>
      <c r="P21" s="146">
        <v>0</v>
      </c>
      <c r="Q21" s="146">
        <v>0</v>
      </c>
      <c r="R21" s="146">
        <v>0</v>
      </c>
      <c r="S21" s="146">
        <v>0</v>
      </c>
      <c r="U21" s="56"/>
      <c r="V21" s="56"/>
    </row>
    <row r="22" spans="2:22" s="1" customFormat="1" ht="15" thickBot="1">
      <c r="B22" s="37"/>
      <c r="C22" s="37" t="s">
        <v>1097</v>
      </c>
      <c r="D22" s="37"/>
      <c r="E22" s="37"/>
      <c r="F22" s="37"/>
      <c r="G22" s="37"/>
      <c r="H22" s="109">
        <f>H23-SUM(H17:H21)</f>
        <v>-22.435961862239083</v>
      </c>
      <c r="I22" s="109">
        <f t="shared" ref="I22:L22" si="7">I23-SUM(I17:I21)</f>
        <v>-121.41980560559728</v>
      </c>
      <c r="J22" s="109">
        <f t="shared" si="7"/>
        <v>-105.23842653707095</v>
      </c>
      <c r="K22" s="109">
        <f t="shared" si="7"/>
        <v>-120.53102676056346</v>
      </c>
      <c r="L22" s="109">
        <f t="shared" si="7"/>
        <v>-149.55737983782478</v>
      </c>
      <c r="M22" s="109">
        <f>M23-SUM(M17:M21)</f>
        <v>-63.845820152129818</v>
      </c>
      <c r="N22" s="145">
        <f>N33*N57</f>
        <v>-98.637920977281752</v>
      </c>
      <c r="O22" s="145">
        <f t="shared" ref="O22:S22" si="8">O33*O57</f>
        <v>-89.428171648742165</v>
      </c>
      <c r="P22" s="145">
        <f t="shared" si="8"/>
        <v>-85.930801231694801</v>
      </c>
      <c r="Q22" s="145">
        <f t="shared" si="8"/>
        <v>-84.780630495694979</v>
      </c>
      <c r="R22" s="145">
        <f t="shared" si="8"/>
        <v>-84.548075914006247</v>
      </c>
      <c r="S22" s="145">
        <f t="shared" si="8"/>
        <v>-84.642785253618598</v>
      </c>
      <c r="U22" s="56"/>
      <c r="V22" s="56"/>
    </row>
    <row r="23" spans="2:22" s="1" customFormat="1">
      <c r="B23" s="18" t="s">
        <v>319</v>
      </c>
      <c r="H23" s="1061">
        <f>6616.73/H9</f>
        <v>1025.8019006867896</v>
      </c>
      <c r="I23" s="1061">
        <f>7170.67/I9</f>
        <v>1065.4784546805349</v>
      </c>
      <c r="J23" s="1061">
        <f>6769.04/J9</f>
        <v>964.25071225071235</v>
      </c>
      <c r="K23" s="1061">
        <v>882</v>
      </c>
      <c r="L23" s="1061">
        <f>7551.39/L9</f>
        <v>1058.2698021189528</v>
      </c>
      <c r="M23" s="1061">
        <f>4422.1/M9</f>
        <v>616.84498319128465</v>
      </c>
      <c r="N23" s="70">
        <f t="shared" ref="N23:S23" si="9">SUM(N17:N22)</f>
        <v>1151.4886907542771</v>
      </c>
      <c r="O23" s="70">
        <f t="shared" si="9"/>
        <v>1290.0068662577848</v>
      </c>
      <c r="P23" s="70">
        <f t="shared" si="9"/>
        <v>1429.2016678646849</v>
      </c>
      <c r="Q23" s="70">
        <f t="shared" si="9"/>
        <v>1573.4186791899328</v>
      </c>
      <c r="R23" s="70">
        <f t="shared" si="9"/>
        <v>1740.8288120849238</v>
      </c>
      <c r="S23" s="70">
        <f t="shared" si="9"/>
        <v>1941.2009819748844</v>
      </c>
      <c r="U23" s="56"/>
      <c r="V23" s="56"/>
    </row>
    <row r="24" spans="2:22" s="1" customFormat="1">
      <c r="H24" s="69"/>
      <c r="I24" s="69"/>
      <c r="J24" s="69"/>
      <c r="K24" s="69"/>
      <c r="L24" s="69"/>
      <c r="M24" s="69"/>
    </row>
    <row r="25" spans="2:22" s="1" customFormat="1">
      <c r="C25" s="26" t="s">
        <v>320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</row>
    <row r="26" spans="2:22" s="1" customFormat="1">
      <c r="D26" s="1" t="s">
        <v>321</v>
      </c>
      <c r="H26" s="1062">
        <f>美国!H76/1000</f>
        <v>362.428</v>
      </c>
      <c r="I26" s="1062">
        <f>美国!I76/1000</f>
        <v>402.137</v>
      </c>
      <c r="J26" s="1062">
        <f>美国!J76/1000</f>
        <v>406.39303611505005</v>
      </c>
      <c r="K26" s="1062">
        <f>美国!K76/1000</f>
        <v>349.96800000000002</v>
      </c>
      <c r="L26" s="1062">
        <f>美国!L76/1000</f>
        <v>431.68112995000024</v>
      </c>
      <c r="M26" s="1062">
        <f>美国!M76/1000</f>
        <v>246.74758161842212</v>
      </c>
      <c r="N26" s="1062">
        <f>美国!N76/1000</f>
        <v>462.41034752295411</v>
      </c>
      <c r="O26" s="1062">
        <f>美国!O76/1000</f>
        <v>507.23622248883214</v>
      </c>
      <c r="P26" s="1062">
        <f>美国!P76/1000</f>
        <v>549.2718812729122</v>
      </c>
      <c r="Q26" s="1062">
        <f>美国!Q76/1000</f>
        <v>584.8991417773492</v>
      </c>
      <c r="R26" s="1062">
        <f>美国!R76/1000</f>
        <v>622.90565673366871</v>
      </c>
      <c r="S26" s="1062">
        <f>美国!S76/1000</f>
        <v>663.42590337917545</v>
      </c>
      <c r="U26" s="56"/>
      <c r="V26" s="56"/>
    </row>
    <row r="27" spans="2:22" s="1" customFormat="1">
      <c r="D27" s="1" t="s">
        <v>322</v>
      </c>
      <c r="H27" s="1062">
        <f>美国!H351/1000</f>
        <v>295.685</v>
      </c>
      <c r="I27" s="1062">
        <f>美国!I351/1000</f>
        <v>298.12799999999999</v>
      </c>
      <c r="J27" s="1062">
        <f>美国!J351/1000</f>
        <v>163.066</v>
      </c>
      <c r="K27" s="1062">
        <f>美国!K351/1000</f>
        <v>135.119</v>
      </c>
      <c r="L27" s="1062">
        <f>美国!L351/1000</f>
        <v>153.57854464999997</v>
      </c>
      <c r="M27" s="1062">
        <f>美国!M351/1000</f>
        <v>74.041198199999997</v>
      </c>
      <c r="N27" s="1062">
        <f>美国!N351/1000</f>
        <v>129.9957677772598</v>
      </c>
      <c r="O27" s="1062">
        <f>美国!O351/1000</f>
        <v>131.56316544468297</v>
      </c>
      <c r="P27" s="1062">
        <f>美国!P351/1000</f>
        <v>132.54989468602415</v>
      </c>
      <c r="Q27" s="1062">
        <f>美国!Q351/1000</f>
        <v>132.81831626567245</v>
      </c>
      <c r="R27" s="1062">
        <f>美国!R351/1000</f>
        <v>133.09933842168803</v>
      </c>
      <c r="S27" s="1062">
        <f>美国!S351/1000</f>
        <v>133.38247732170453</v>
      </c>
      <c r="U27" s="56"/>
      <c r="V27" s="56"/>
    </row>
    <row r="28" spans="2:22" s="1" customFormat="1">
      <c r="D28" s="1" t="s">
        <v>323</v>
      </c>
      <c r="H28" s="1062">
        <f>美国!H626/1000</f>
        <v>0</v>
      </c>
      <c r="I28" s="1062">
        <f>美国!I626/1000</f>
        <v>0</v>
      </c>
      <c r="J28" s="1062">
        <f>美国!J626/1000</f>
        <v>0</v>
      </c>
      <c r="K28" s="1062">
        <f>美国!K626/1000</f>
        <v>0</v>
      </c>
      <c r="L28" s="1062">
        <f>美国!L626/1000</f>
        <v>0</v>
      </c>
      <c r="M28" s="1062">
        <f>美国!M626/1000</f>
        <v>0</v>
      </c>
      <c r="N28" s="1062">
        <f>美国!N626/1000</f>
        <v>0</v>
      </c>
      <c r="O28" s="1062">
        <f>美国!O626/1000</f>
        <v>4.95</v>
      </c>
      <c r="P28" s="1062">
        <f>美国!P626/1000</f>
        <v>9.9</v>
      </c>
      <c r="Q28" s="1062">
        <f>美国!Q626/1000</f>
        <v>19.8</v>
      </c>
      <c r="R28" s="1062">
        <f>美国!R626/1000</f>
        <v>39.6</v>
      </c>
      <c r="S28" s="1062">
        <f>美国!S626/1000</f>
        <v>79.2</v>
      </c>
      <c r="U28" s="56"/>
      <c r="V28" s="56"/>
    </row>
    <row r="29" spans="2:22" ht="15" thickBot="1">
      <c r="C29" s="63"/>
      <c r="D29" s="37" t="s">
        <v>324</v>
      </c>
      <c r="E29" s="142"/>
      <c r="F29" s="142"/>
      <c r="G29" s="142"/>
      <c r="H29" s="143">
        <f>H30-SUM(H26:H28)</f>
        <v>1.4879999999999427</v>
      </c>
      <c r="I29" s="143">
        <f t="shared" ref="I29:S29" si="10">I30-SUM(I26:I28)</f>
        <v>0.28999999999996362</v>
      </c>
      <c r="J29" s="143">
        <f t="shared" si="10"/>
        <v>-15.188036115050068</v>
      </c>
      <c r="K29" s="143">
        <f t="shared" si="10"/>
        <v>-5.0999999999987722E-2</v>
      </c>
      <c r="L29" s="143">
        <f t="shared" si="10"/>
        <v>0.30032539999979235</v>
      </c>
      <c r="M29" s="143">
        <f t="shared" ref="M29" si="11">M30-SUM(M26:M28)</f>
        <v>-1.8422042558086105E-8</v>
      </c>
      <c r="N29" s="143">
        <f t="shared" si="10"/>
        <v>0</v>
      </c>
      <c r="O29" s="143">
        <f t="shared" si="10"/>
        <v>0</v>
      </c>
      <c r="P29" s="143">
        <f t="shared" si="10"/>
        <v>0</v>
      </c>
      <c r="Q29" s="143">
        <f t="shared" si="10"/>
        <v>0</v>
      </c>
      <c r="R29" s="143">
        <f t="shared" si="10"/>
        <v>0</v>
      </c>
      <c r="S29" s="143">
        <f t="shared" si="10"/>
        <v>0</v>
      </c>
      <c r="U29" s="56"/>
      <c r="V29" s="56"/>
    </row>
    <row r="30" spans="2:22">
      <c r="C30" s="18" t="s">
        <v>325</v>
      </c>
      <c r="D30" s="18"/>
      <c r="E30" s="18"/>
      <c r="F30" s="18"/>
      <c r="G30" s="18"/>
      <c r="H30" s="70">
        <f t="shared" ref="H30:S30" si="12">H17</f>
        <v>659.601</v>
      </c>
      <c r="I30" s="70">
        <f t="shared" si="12"/>
        <v>700.55499999999995</v>
      </c>
      <c r="J30" s="70">
        <f t="shared" si="12"/>
        <v>554.27099999999996</v>
      </c>
      <c r="K30" s="70">
        <f t="shared" si="12"/>
        <v>485.036</v>
      </c>
      <c r="L30" s="70">
        <f t="shared" si="12"/>
        <v>585.55999999999995</v>
      </c>
      <c r="M30" s="70">
        <f t="shared" ref="M30" si="13">M17</f>
        <v>320.78877980000004</v>
      </c>
      <c r="N30" s="70">
        <f t="shared" si="12"/>
        <v>592.40611530021397</v>
      </c>
      <c r="O30" s="70">
        <f t="shared" si="12"/>
        <v>643.7493879335151</v>
      </c>
      <c r="P30" s="70">
        <f t="shared" si="12"/>
        <v>691.72177595893629</v>
      </c>
      <c r="Q30" s="70">
        <f t="shared" si="12"/>
        <v>737.51745804302163</v>
      </c>
      <c r="R30" s="70">
        <f t="shared" si="12"/>
        <v>795.60499515535685</v>
      </c>
      <c r="S30" s="70">
        <f t="shared" si="12"/>
        <v>876.00838070087991</v>
      </c>
      <c r="U30" s="56"/>
      <c r="V30" s="56"/>
    </row>
    <row r="32" spans="2:22">
      <c r="C32" s="26" t="s">
        <v>326</v>
      </c>
      <c r="D32" s="591"/>
      <c r="E32" s="591"/>
      <c r="F32" s="591"/>
      <c r="G32" s="591"/>
      <c r="H32" s="591"/>
      <c r="I32" s="591"/>
      <c r="J32" s="591"/>
      <c r="K32" s="591"/>
      <c r="L32" s="591"/>
      <c r="M32" s="591"/>
      <c r="N32" s="591"/>
      <c r="O32" s="591"/>
      <c r="P32" s="591"/>
      <c r="Q32" s="591"/>
      <c r="R32" s="591"/>
      <c r="S32" s="591"/>
    </row>
    <row r="33" spans="3:22">
      <c r="D33" s="1" t="s">
        <v>327</v>
      </c>
      <c r="H33" s="1062">
        <f>中国!H69/1000/H9</f>
        <v>101.54520388043969</v>
      </c>
      <c r="I33" s="1062">
        <f>中国!I69/1000/I9</f>
        <v>104.87117384843982</v>
      </c>
      <c r="J33" s="1062">
        <f>中国!J69/1000/J9</f>
        <v>101.49863791452991</v>
      </c>
      <c r="K33" s="1062">
        <f>中国!K69/1000/K9</f>
        <v>119.29838028169014</v>
      </c>
      <c r="L33" s="1062">
        <f>中国!L69/1000/L9</f>
        <v>145.12678107937671</v>
      </c>
      <c r="M33" s="1062">
        <f>中国!M69/1000/M9</f>
        <v>60.699922282358514</v>
      </c>
      <c r="N33" s="1062">
        <f>中国!N69/1000/N9</f>
        <v>98.637920977281752</v>
      </c>
      <c r="O33" s="1062">
        <f>中国!O69/1000/O9</f>
        <v>89.428171648742165</v>
      </c>
      <c r="P33" s="1062">
        <f>中国!P69/1000/P9</f>
        <v>85.930801231694801</v>
      </c>
      <c r="Q33" s="1062">
        <f>中国!Q69/1000/Q9</f>
        <v>84.780630495694979</v>
      </c>
      <c r="R33" s="1062">
        <f>中国!R69/1000/R9</f>
        <v>84.548075914006247</v>
      </c>
      <c r="S33" s="1062">
        <f>中国!S69/1000/S9</f>
        <v>84.642785253618598</v>
      </c>
      <c r="U33" s="56"/>
      <c r="V33" s="56"/>
    </row>
    <row r="34" spans="3:22">
      <c r="D34" s="1" t="s">
        <v>328</v>
      </c>
      <c r="H34" s="1062">
        <f>中国!H301/1000/H9</f>
        <v>9.9666682169821552</v>
      </c>
      <c r="I34" s="1062">
        <f>中国!I301/1000/I9</f>
        <v>10.355126300148587</v>
      </c>
      <c r="J34" s="1062">
        <f>中国!J301/1000/J9</f>
        <v>9.5740740740740744</v>
      </c>
      <c r="K34" s="1062">
        <f>中国!K301/1000/K9</f>
        <v>4.7573239436619721</v>
      </c>
      <c r="L34" s="1062">
        <f>中国!L301/1000/L9</f>
        <v>5.4257525646056397</v>
      </c>
      <c r="M34" s="1062">
        <f>中国!M301/1000/M9</f>
        <v>3.1352090278843336</v>
      </c>
      <c r="N34" s="1062">
        <f>中国!N301/1000/N9</f>
        <v>5.4005495961723557</v>
      </c>
      <c r="O34" s="1062">
        <f>中国!O301/1000/O9</f>
        <v>5.4005495961723557</v>
      </c>
      <c r="P34" s="1062">
        <f>中国!P301/1000/P9</f>
        <v>5.4005495961723557</v>
      </c>
      <c r="Q34" s="1062">
        <f>中国!Q301/1000/Q9</f>
        <v>5.4005495961723557</v>
      </c>
      <c r="R34" s="1062">
        <f>中国!R301/1000/R9</f>
        <v>5.4005495961723557</v>
      </c>
      <c r="S34" s="1062">
        <f>中国!S301/1000/S9</f>
        <v>5.4005495961723557</v>
      </c>
      <c r="U34" s="56"/>
      <c r="V34" s="56"/>
    </row>
    <row r="35" spans="3:22">
      <c r="D35" s="1" t="s">
        <v>329</v>
      </c>
      <c r="H35" s="1062">
        <f>中国!H330/1000/H9</f>
        <v>27.261827862269968</v>
      </c>
      <c r="I35" s="1062">
        <f>中国!I330/1000/I9</f>
        <v>40.663594859683649</v>
      </c>
      <c r="J35" s="1062">
        <f>中国!J330/1000/J9</f>
        <v>64.243216998609412</v>
      </c>
      <c r="K35" s="1062">
        <f>中国!K330/1000/K9</f>
        <v>73.839295774647894</v>
      </c>
      <c r="L35" s="1062">
        <f>中国!L330/1000/L9</f>
        <v>88.265892612126748</v>
      </c>
      <c r="M35" s="1062">
        <f>中国!M330/1000/M9</f>
        <v>57.238345277721258</v>
      </c>
      <c r="N35" s="1062">
        <f>中国!N330/1000/N9</f>
        <v>110.77104652561361</v>
      </c>
      <c r="O35" s="1062">
        <f>中国!O330/1000/O9</f>
        <v>143.34841504116056</v>
      </c>
      <c r="P35" s="1062">
        <f>中国!P330/1000/P9</f>
        <v>176.12853860594251</v>
      </c>
      <c r="Q35" s="1062">
        <f>中国!Q330/1000/Q9</f>
        <v>211.32802499130636</v>
      </c>
      <c r="R35" s="1062">
        <f>中国!R330/1000/R9</f>
        <v>250.11312257814203</v>
      </c>
      <c r="S35" s="1062">
        <f>中国!S330/1000/S9</f>
        <v>288.92717408368657</v>
      </c>
      <c r="U35" s="56"/>
      <c r="V35" s="56"/>
    </row>
    <row r="36" spans="3:22">
      <c r="D36" s="1" t="s">
        <v>330</v>
      </c>
      <c r="H36" s="1062">
        <f>中国!H630/1000/H9</f>
        <v>49.40963555958637</v>
      </c>
      <c r="I36" s="1062">
        <f>中国!I630/1000/I9</f>
        <v>50.153850002971758</v>
      </c>
      <c r="J36" s="1062">
        <f>中国!J630/1000/J9</f>
        <v>50.040883190883193</v>
      </c>
      <c r="K36" s="1062">
        <f>中国!K630/1000/K9</f>
        <v>55.441690140845076</v>
      </c>
      <c r="L36" s="1062">
        <f>中国!L630/1000/L9</f>
        <v>67.013606737919744</v>
      </c>
      <c r="M36" s="1062">
        <f>中国!M630/1000/M9</f>
        <v>44.284659914352254</v>
      </c>
      <c r="N36" s="1062">
        <f>中国!N630/1000/N9</f>
        <v>78.222313186911251</v>
      </c>
      <c r="O36" s="1062">
        <f>中国!O630/1000/O9</f>
        <v>97.579005625982433</v>
      </c>
      <c r="P36" s="1062">
        <f>中国!P630/1000/P9</f>
        <v>117.4612819696293</v>
      </c>
      <c r="Q36" s="1062">
        <f>中国!Q630/1000/Q9</f>
        <v>137.01134745382001</v>
      </c>
      <c r="R36" s="1062">
        <f>中国!R630/1000/R9</f>
        <v>156.9829305647165</v>
      </c>
      <c r="S36" s="1062">
        <f>中国!S630/1000/S9</f>
        <v>177.56966060814855</v>
      </c>
      <c r="U36" s="56"/>
      <c r="V36" s="56"/>
    </row>
    <row r="37" spans="3:22" ht="15" thickBot="1">
      <c r="D37" s="37" t="s">
        <v>167</v>
      </c>
      <c r="E37" s="142"/>
      <c r="F37" s="142"/>
      <c r="G37" s="142"/>
      <c r="H37" s="1063">
        <f>中国!H902/1000/H9</f>
        <v>7.0669581259786369</v>
      </c>
      <c r="I37" s="1063">
        <f>中国!I902/1000/I9</f>
        <v>5.4362555720653782</v>
      </c>
      <c r="J37" s="1063">
        <f>中国!J902/1000/J9</f>
        <v>4.0618233618233619</v>
      </c>
      <c r="K37" s="1063">
        <f>中国!K902/1000/K9</f>
        <v>1.5783098591549296</v>
      </c>
      <c r="L37" s="1063">
        <f>中国!L902/1000/L9</f>
        <v>2.34195865076518</v>
      </c>
      <c r="M37" s="1063">
        <f>中国!M902/1000/M9</f>
        <v>2.0190183752040074</v>
      </c>
      <c r="N37" s="1063">
        <f>中国!N902/1000/N9</f>
        <v>2.3310801027214803</v>
      </c>
      <c r="O37" s="1063">
        <f>中国!O902/1000/O9</f>
        <v>2.3310801027214803</v>
      </c>
      <c r="P37" s="1063">
        <f>中国!P902/1000/P9</f>
        <v>2.3310801027214803</v>
      </c>
      <c r="Q37" s="1063">
        <f>中国!Q902/1000/Q9</f>
        <v>2.3310801027214803</v>
      </c>
      <c r="R37" s="1063">
        <f>中国!R902/1000/R9</f>
        <v>2.3310801027214803</v>
      </c>
      <c r="S37" s="1063">
        <f>中国!S902/1000/S9</f>
        <v>2.3310801027214803</v>
      </c>
      <c r="U37" s="56"/>
      <c r="V37" s="56"/>
    </row>
    <row r="38" spans="3:22">
      <c r="D38" s="18" t="s">
        <v>23</v>
      </c>
      <c r="H38" s="70">
        <f>SUM(H33:H37)</f>
        <v>195.25029364525682</v>
      </c>
      <c r="I38" s="70">
        <f t="shared" ref="I38:S38" si="14">SUM(I33:I37)</f>
        <v>211.48000058330919</v>
      </c>
      <c r="J38" s="70">
        <f t="shared" si="14"/>
        <v>229.41863553991996</v>
      </c>
      <c r="K38" s="70">
        <f t="shared" si="14"/>
        <v>254.91500000000002</v>
      </c>
      <c r="L38" s="70">
        <f t="shared" si="14"/>
        <v>308.17399164479406</v>
      </c>
      <c r="M38" s="70">
        <f t="shared" si="14"/>
        <v>167.37715487752038</v>
      </c>
      <c r="N38" s="70">
        <f t="shared" si="14"/>
        <v>295.36291038870047</v>
      </c>
      <c r="O38" s="70">
        <f t="shared" si="14"/>
        <v>338.087222014779</v>
      </c>
      <c r="P38" s="70">
        <f t="shared" si="14"/>
        <v>387.25225150616046</v>
      </c>
      <c r="Q38" s="70">
        <f t="shared" si="14"/>
        <v>440.85163263971521</v>
      </c>
      <c r="R38" s="70">
        <f t="shared" si="14"/>
        <v>499.37575875575868</v>
      </c>
      <c r="S38" s="70">
        <f t="shared" si="14"/>
        <v>558.87124964434747</v>
      </c>
      <c r="U38" s="56"/>
      <c r="V38" s="56"/>
    </row>
    <row r="39" spans="3:22">
      <c r="D39" s="1" t="s">
        <v>322</v>
      </c>
      <c r="H39" s="1062">
        <f>中国!H936/1000/H9</f>
        <v>24.857293459218948</v>
      </c>
      <c r="I39" s="1062">
        <f>中国!I936/1000/I9</f>
        <v>18.672808320950967</v>
      </c>
      <c r="J39" s="1062">
        <f>中国!J936/1000/J9</f>
        <v>14.007549857549858</v>
      </c>
      <c r="K39" s="1062">
        <f>中国!K936/1000/K9</f>
        <v>5.8129577464788733</v>
      </c>
      <c r="L39" s="1062">
        <f>中国!L936/1000/L9</f>
        <v>7.6727955602892539</v>
      </c>
      <c r="M39" s="1062">
        <f>中国!M936/1000/M9</f>
        <v>3.7129824659292221</v>
      </c>
      <c r="N39" s="1062">
        <f>中国!N936/1000/N9</f>
        <v>7.7665898161707103</v>
      </c>
      <c r="O39" s="1062">
        <f>中国!O936/1000/O9</f>
        <v>7.8202739895429811</v>
      </c>
      <c r="P39" s="1062">
        <f>中国!P936/1000/P9</f>
        <v>7.8766423715838636</v>
      </c>
      <c r="Q39" s="1062">
        <f>中国!Q936/1000/Q9</f>
        <v>7.935829172726792</v>
      </c>
      <c r="R39" s="1062">
        <f>中国!R936/1000/R9</f>
        <v>7.9979753139268661</v>
      </c>
      <c r="S39" s="1062">
        <f>中国!S936/1000/S9</f>
        <v>8.0632287621869434</v>
      </c>
      <c r="U39" s="56"/>
      <c r="V39" s="56"/>
    </row>
    <row r="40" spans="3:22">
      <c r="D40" s="1" t="s">
        <v>331</v>
      </c>
      <c r="H40" s="1062">
        <f>中国!H961/1000/H9</f>
        <v>8.7394384757298109</v>
      </c>
      <c r="I40" s="1062">
        <f>中国!I961/1000/I9</f>
        <v>16.224219910846951</v>
      </c>
      <c r="J40" s="1062">
        <f>中国!J961/1000/J9</f>
        <v>17.780911680911682</v>
      </c>
      <c r="K40" s="1062">
        <f>中国!K961/1000/K9</f>
        <v>21.201408450704225</v>
      </c>
      <c r="L40" s="1062">
        <f>中国!L961/1000/L9</f>
        <v>27.50995010931106</v>
      </c>
      <c r="M40" s="1062">
        <f>中国!M961/1000/M9</f>
        <v>28.088270166971224</v>
      </c>
      <c r="N40" s="1062">
        <f>中国!N961/1000/N9</f>
        <v>48.151320286236384</v>
      </c>
      <c r="O40" s="1062">
        <f>中国!O961/1000/O9</f>
        <v>55.37401832917184</v>
      </c>
      <c r="P40" s="1062">
        <f>中国!P961/1000/P9</f>
        <v>63.680121078547607</v>
      </c>
      <c r="Q40" s="1062">
        <f>中国!Q961/1000/Q9</f>
        <v>73.232139240329744</v>
      </c>
      <c r="R40" s="1062">
        <f>中国!R961/1000/R9</f>
        <v>84.21696012637922</v>
      </c>
      <c r="S40" s="1062">
        <f>中国!S961/1000/S9</f>
        <v>96.84950414533607</v>
      </c>
      <c r="U40" s="56"/>
      <c r="V40" s="56"/>
    </row>
    <row r="41" spans="3:22">
      <c r="D41" s="1" t="s">
        <v>334</v>
      </c>
      <c r="H41" s="1062">
        <f>中国!H975/1000/H9</f>
        <v>4.9231818675100376</v>
      </c>
      <c r="I41" s="1062">
        <f>中国!I975/1000/I9</f>
        <v>2.8304606240713222</v>
      </c>
      <c r="J41" s="1062">
        <f>中国!J975/1000/J9</f>
        <v>1.9655840455840456</v>
      </c>
      <c r="K41" s="1062">
        <f>中国!K975/1000/K9</f>
        <v>2.0814084507042256</v>
      </c>
      <c r="L41" s="1062">
        <f>中国!L975/1000/L9</f>
        <v>2.5808621559504457</v>
      </c>
      <c r="M41" s="1062">
        <f>中国!M975/1000/M9</f>
        <v>4.2369122180529786</v>
      </c>
      <c r="N41" s="1062">
        <f>中国!N975/1000/N9</f>
        <v>2.8257612743935616</v>
      </c>
      <c r="O41" s="1062">
        <f>中国!O975/1000/O9</f>
        <v>3.1083374018329182</v>
      </c>
      <c r="P41" s="1062">
        <f>中国!P975/1000/P9</f>
        <v>3.4191711420162099</v>
      </c>
      <c r="Q41" s="1062">
        <f>中国!Q975/1000/Q9</f>
        <v>3.7610882562178309</v>
      </c>
      <c r="R41" s="1062">
        <f>中国!R975/1000/R9</f>
        <v>4.1371970818396147</v>
      </c>
      <c r="S41" s="1062">
        <f>中国!S975/1000/S9</f>
        <v>4.5509167900235763</v>
      </c>
      <c r="U41" s="56"/>
      <c r="V41" s="56"/>
    </row>
    <row r="42" spans="3:22" ht="15" thickBot="1">
      <c r="C42" s="142"/>
      <c r="D42" s="37" t="s">
        <v>332</v>
      </c>
      <c r="E42" s="142"/>
      <c r="F42" s="142"/>
      <c r="G42" s="142"/>
      <c r="H42" s="1063">
        <f>中国!H984/1000/H9</f>
        <v>-9.414755902826224</v>
      </c>
      <c r="I42" s="1063">
        <f>中国!I984/1000/I9</f>
        <v>-2.3817236255572065</v>
      </c>
      <c r="J42" s="1063">
        <f>中国!J984/1000/J9</f>
        <v>-6.4102564102564106</v>
      </c>
      <c r="K42" s="1063">
        <f>中国!K984/1000/K9</f>
        <v>-3.0007042253521128</v>
      </c>
      <c r="L42" s="1063">
        <f>中国!L984/1000/L9</f>
        <v>-5.5134816974045631</v>
      </c>
      <c r="M42" s="1063">
        <f>中国!M984/1000/M9</f>
        <v>-3.0598836641604712</v>
      </c>
      <c r="N42" s="1063">
        <f>中国!N984/1000/N9</f>
        <v>-2.9591376293184526</v>
      </c>
      <c r="O42" s="1063">
        <f>中国!O984/1000/O9</f>
        <v>-2.6828451494622647</v>
      </c>
      <c r="P42" s="1063">
        <f>中国!P984/1000/P9</f>
        <v>-2.577924036950844</v>
      </c>
      <c r="Q42" s="1063">
        <f>中国!Q984/1000/Q9</f>
        <v>-2.5434189148708497</v>
      </c>
      <c r="R42" s="1063">
        <f>中国!R984/1000/R9</f>
        <v>-2.5364422774201874</v>
      </c>
      <c r="S42" s="1063">
        <f>中国!S984/1000/S9</f>
        <v>-2.5392835576085577</v>
      </c>
      <c r="U42" s="56"/>
      <c r="V42" s="56"/>
    </row>
    <row r="43" spans="3:22">
      <c r="C43" s="18" t="s">
        <v>333</v>
      </c>
      <c r="H43" s="70">
        <f>SUM(H38:H42)</f>
        <v>224.35545154488938</v>
      </c>
      <c r="I43" s="70">
        <f>SUM(I38:I42)</f>
        <v>246.82576581362122</v>
      </c>
      <c r="J43" s="70">
        <f t="shared" ref="J43:S43" si="15">SUM(J38:J42)</f>
        <v>256.76242471370909</v>
      </c>
      <c r="K43" s="70">
        <f t="shared" si="15"/>
        <v>281.01007042253519</v>
      </c>
      <c r="L43" s="70">
        <f t="shared" si="15"/>
        <v>340.42411777294024</v>
      </c>
      <c r="M43" s="70">
        <f t="shared" si="15"/>
        <v>200.35543606431335</v>
      </c>
      <c r="N43" s="70">
        <f t="shared" si="15"/>
        <v>351.14744413618274</v>
      </c>
      <c r="O43" s="70">
        <f t="shared" si="15"/>
        <v>401.70700658586446</v>
      </c>
      <c r="P43" s="70">
        <f t="shared" si="15"/>
        <v>459.65026206135724</v>
      </c>
      <c r="Q43" s="70">
        <f t="shared" si="15"/>
        <v>523.23727039411881</v>
      </c>
      <c r="R43" s="70">
        <f t="shared" si="15"/>
        <v>593.19144900048423</v>
      </c>
      <c r="S43" s="70">
        <f t="shared" si="15"/>
        <v>665.79561578428547</v>
      </c>
      <c r="U43" s="56"/>
      <c r="V43" s="56"/>
    </row>
    <row r="44" spans="3:22">
      <c r="H44" s="210"/>
      <c r="I44" s="210"/>
      <c r="J44" s="210"/>
      <c r="K44" s="210"/>
    </row>
    <row r="45" spans="3:22">
      <c r="C45" s="26" t="s">
        <v>336</v>
      </c>
      <c r="D45" s="591"/>
      <c r="E45" s="591"/>
      <c r="F45" s="591"/>
      <c r="G45" s="591"/>
      <c r="H45" s="591"/>
      <c r="I45" s="591"/>
      <c r="J45" s="591"/>
      <c r="K45" s="591"/>
      <c r="L45" s="591"/>
      <c r="M45" s="591"/>
      <c r="N45" s="591"/>
      <c r="O45" s="591"/>
      <c r="P45" s="591"/>
      <c r="Q45" s="591"/>
      <c r="R45" s="591"/>
      <c r="S45" s="591"/>
    </row>
    <row r="46" spans="3:22">
      <c r="C46" s="18" t="s">
        <v>337</v>
      </c>
      <c r="D46" s="18"/>
      <c r="H46" s="73">
        <f t="shared" ref="H46:S46" si="16">H19</f>
        <v>23.480766444971547</v>
      </c>
      <c r="I46" s="73">
        <f t="shared" si="16"/>
        <v>113.13854117384842</v>
      </c>
      <c r="J46" s="73">
        <f t="shared" si="16"/>
        <v>116.32105566951569</v>
      </c>
      <c r="K46" s="73">
        <f t="shared" si="16"/>
        <v>100.3555985915493</v>
      </c>
      <c r="L46" s="73">
        <f t="shared" si="16"/>
        <v>119.28918761164863</v>
      </c>
      <c r="M46" s="73">
        <f t="shared" ref="M46" si="17">M19</f>
        <v>66.875744205008971</v>
      </c>
      <c r="N46" s="73">
        <f t="shared" si="16"/>
        <v>129.62264370278999</v>
      </c>
      <c r="O46" s="73">
        <f t="shared" si="16"/>
        <v>144.01075715379972</v>
      </c>
      <c r="P46" s="73">
        <f t="shared" si="16"/>
        <v>159.99595119787151</v>
      </c>
      <c r="Q46" s="73">
        <f t="shared" si="16"/>
        <v>177.75550178083529</v>
      </c>
      <c r="R46" s="73">
        <f t="shared" si="16"/>
        <v>197.48636247850803</v>
      </c>
      <c r="S46" s="73">
        <f t="shared" si="16"/>
        <v>219.40734871362241</v>
      </c>
      <c r="U46" s="56"/>
      <c r="V46" s="56"/>
    </row>
    <row r="47" spans="3:22">
      <c r="C47" s="18"/>
      <c r="D47" s="18"/>
      <c r="H47" s="211"/>
      <c r="I47" s="211"/>
      <c r="J47" s="211"/>
      <c r="K47" s="211"/>
    </row>
    <row r="48" spans="3:22">
      <c r="C48" s="26" t="s">
        <v>338</v>
      </c>
      <c r="D48" s="26"/>
      <c r="E48" s="591"/>
      <c r="F48" s="591"/>
      <c r="G48" s="591"/>
      <c r="H48" s="592"/>
      <c r="I48" s="592"/>
      <c r="J48" s="592"/>
      <c r="K48" s="592"/>
      <c r="L48" s="591"/>
      <c r="M48" s="591"/>
      <c r="N48" s="591"/>
      <c r="O48" s="591"/>
      <c r="P48" s="591"/>
      <c r="Q48" s="591"/>
      <c r="R48" s="591"/>
      <c r="S48" s="591"/>
    </row>
    <row r="49" spans="1:22">
      <c r="C49" s="18"/>
      <c r="D49" s="1" t="s">
        <v>339</v>
      </c>
      <c r="H49" s="1062">
        <f>欧洲!H54/1000*H10/H9</f>
        <v>111.55779456422736</v>
      </c>
      <c r="I49" s="1062">
        <f>欧洲!I54/1000*I10/I9</f>
        <v>105.08897151563907</v>
      </c>
      <c r="J49" s="1062">
        <f>欧洲!J54/1000*J10/J9</f>
        <v>119.19777165449945</v>
      </c>
      <c r="K49" s="1062">
        <f>欧洲!K54/1000*K10/K9</f>
        <v>114.04660281690143</v>
      </c>
      <c r="L49" s="1062">
        <f>欧洲!L54/1000*L10/L9</f>
        <v>136.38091674989508</v>
      </c>
      <c r="M49" s="1062">
        <f>欧洲!M54/1000*M10/M9</f>
        <v>78.198649919798143</v>
      </c>
      <c r="N49" s="1062">
        <f>欧洲!N54/1000*N10/N9</f>
        <v>148.28915613358805</v>
      </c>
      <c r="O49" s="1062">
        <f>欧洲!O54/1000*O10/O9</f>
        <v>157.92795128227127</v>
      </c>
      <c r="P49" s="1062">
        <f>欧洲!P54/1000*P10/P9</f>
        <v>168.19326811561888</v>
      </c>
      <c r="Q49" s="1062">
        <f>欧洲!Q54/1000*Q10/Q9</f>
        <v>179.1258305431341</v>
      </c>
      <c r="R49" s="1062">
        <f>欧洲!R54/1000*R10/R9</f>
        <v>190.76900952843778</v>
      </c>
      <c r="S49" s="1062">
        <f>欧洲!S54/1000*S10/S9</f>
        <v>203.16899514778629</v>
      </c>
      <c r="U49" s="56"/>
      <c r="V49" s="56"/>
    </row>
    <row r="50" spans="1:22">
      <c r="C50" s="18"/>
      <c r="D50" s="1" t="s">
        <v>340</v>
      </c>
      <c r="H50" s="1062">
        <f>欧洲!H61/1000*H10/H9</f>
        <v>16.330943428987798</v>
      </c>
      <c r="I50" s="1062">
        <f>欧洲!I61/1000*I10/I9</f>
        <v>13.477939242199106</v>
      </c>
      <c r="J50" s="1062">
        <f>欧洲!J61/1000*J10/J9</f>
        <v>13.135326210826213</v>
      </c>
      <c r="K50" s="1062">
        <f>欧洲!K61/1000*K10/K9</f>
        <v>13.180909859154932</v>
      </c>
      <c r="L50" s="1062">
        <f>欧洲!L61/1000*L10/L9</f>
        <v>15.690391515627951</v>
      </c>
      <c r="M50" s="1062">
        <f>欧洲!M61/1000*M10/M9</f>
        <v>9.1449158605308956</v>
      </c>
      <c r="N50" s="1062">
        <f>欧洲!N61/1000*N10/N9</f>
        <v>17.300701638650132</v>
      </c>
      <c r="O50" s="1062">
        <f>欧洲!O61/1000*O10/O9</f>
        <v>18.684757769742141</v>
      </c>
      <c r="P50" s="1062">
        <f>欧洲!P61/1000*P10/P9</f>
        <v>20.179538391321515</v>
      </c>
      <c r="Q50" s="1062">
        <f>欧洲!Q61/1000*Q10/Q9</f>
        <v>21.79390146262724</v>
      </c>
      <c r="R50" s="1062">
        <f>欧洲!R61/1000*R10/R9</f>
        <v>23.537413579637423</v>
      </c>
      <c r="S50" s="1062">
        <f>欧洲!S61/1000*S10/S9</f>
        <v>25.420406666008414</v>
      </c>
      <c r="U50" s="56"/>
      <c r="V50" s="56"/>
    </row>
    <row r="51" spans="1:22">
      <c r="C51" s="18"/>
      <c r="D51" s="1" t="s">
        <v>341</v>
      </c>
      <c r="H51" s="1062">
        <f>欧洲!H77/1000*H10/H9</f>
        <v>13.908630916391486</v>
      </c>
      <c r="I51" s="1062">
        <f>欧洲!I77/1000*I10/I9</f>
        <v>8.9392607726597326</v>
      </c>
      <c r="J51" s="1062">
        <f>欧洲!J77/1000*J10/J9</f>
        <v>10.417629700854702</v>
      </c>
      <c r="K51" s="1062">
        <f>欧洲!K77/1000*K10/K9</f>
        <v>9.038301408450705</v>
      </c>
      <c r="L51" s="1062">
        <f>欧洲!L77/1000*L10/L9</f>
        <v>10.746984881297164</v>
      </c>
      <c r="M51" s="1062">
        <f>欧洲!M77/1000*M10/M9</f>
        <v>5.3909333002655115</v>
      </c>
      <c r="N51" s="1062">
        <f>欧洲!N77/1000*N10/N9</f>
        <v>11.630507983116344</v>
      </c>
      <c r="O51" s="1062">
        <f>欧洲!O77/1000*O10/O9</f>
        <v>12.328338462103325</v>
      </c>
      <c r="P51" s="1062">
        <f>欧洲!P77/1000*P10/P9</f>
        <v>13.068038769829526</v>
      </c>
      <c r="Q51" s="1062">
        <f>欧洲!Q77/1000*Q10/Q9</f>
        <v>13.852121096019296</v>
      </c>
      <c r="R51" s="1062">
        <f>欧洲!R77/1000*R10/R9</f>
        <v>14.683248361780453</v>
      </c>
      <c r="S51" s="1062">
        <f>欧洲!S77/1000*S10/S9</f>
        <v>15.564243263487283</v>
      </c>
      <c r="U51" s="56"/>
      <c r="V51" s="56"/>
    </row>
    <row r="52" spans="1:22" ht="15" thickBot="1">
      <c r="C52" s="63"/>
      <c r="D52" s="37" t="s">
        <v>324</v>
      </c>
      <c r="E52" s="142"/>
      <c r="F52" s="142"/>
      <c r="G52" s="142"/>
      <c r="H52" s="143">
        <f>H53-SUM(H49:H51)</f>
        <v>-0.99672435043885343</v>
      </c>
      <c r="I52" s="143">
        <f t="shared" ref="I52:S52" si="18">I53-SUM(I49:I51)</f>
        <v>-1.1272182318352151</v>
      </c>
      <c r="J52" s="143">
        <f t="shared" si="18"/>
        <v>-0.6160691616219367</v>
      </c>
      <c r="K52" s="143">
        <f t="shared" si="18"/>
        <v>-0.13645633802818224</v>
      </c>
      <c r="L52" s="143">
        <f t="shared" si="18"/>
        <v>-0.26441657463141155</v>
      </c>
      <c r="M52" s="143">
        <f t="shared" ref="M52" si="19">M53-SUM(M49:M51)</f>
        <v>-6.3655806502254109E-2</v>
      </c>
      <c r="N52" s="143">
        <f t="shared" si="18"/>
        <v>-0.26995716298230832</v>
      </c>
      <c r="O52" s="143">
        <f t="shared" si="18"/>
        <v>1.0268387192311366</v>
      </c>
      <c r="P52" s="143">
        <f t="shared" si="18"/>
        <v>2.3236346014446099</v>
      </c>
      <c r="Q52" s="143">
        <f t="shared" si="18"/>
        <v>4.9172263658714996</v>
      </c>
      <c r="R52" s="143">
        <f t="shared" si="18"/>
        <v>10.104409894725364</v>
      </c>
      <c r="S52" s="143">
        <f t="shared" si="18"/>
        <v>20.478776952432895</v>
      </c>
      <c r="U52" s="56"/>
      <c r="V52" s="56"/>
    </row>
    <row r="53" spans="1:22">
      <c r="C53" s="18" t="s">
        <v>342</v>
      </c>
      <c r="D53" s="18"/>
      <c r="H53" s="73">
        <f t="shared" ref="H53:S53" si="20">H20</f>
        <v>140.80064455916778</v>
      </c>
      <c r="I53" s="73">
        <f t="shared" si="20"/>
        <v>126.37895329866269</v>
      </c>
      <c r="J53" s="73">
        <f t="shared" si="20"/>
        <v>142.13465840455842</v>
      </c>
      <c r="K53" s="73">
        <f t="shared" si="20"/>
        <v>136.12935774647889</v>
      </c>
      <c r="L53" s="73">
        <f t="shared" si="20"/>
        <v>162.55387657218878</v>
      </c>
      <c r="M53" s="73">
        <f t="shared" ref="M53" si="21">M20</f>
        <v>92.670843274092306</v>
      </c>
      <c r="N53" s="73">
        <f t="shared" si="20"/>
        <v>176.95040859237221</v>
      </c>
      <c r="O53" s="73">
        <f t="shared" si="20"/>
        <v>189.96788623334785</v>
      </c>
      <c r="P53" s="73">
        <f t="shared" si="20"/>
        <v>203.7644798782145</v>
      </c>
      <c r="Q53" s="73">
        <f t="shared" si="20"/>
        <v>219.68907946765214</v>
      </c>
      <c r="R53" s="73">
        <f t="shared" si="20"/>
        <v>239.094081364581</v>
      </c>
      <c r="S53" s="73">
        <f t="shared" si="20"/>
        <v>264.63242202971486</v>
      </c>
      <c r="U53" s="56"/>
      <c r="V53" s="56"/>
    </row>
    <row r="54" spans="1:22">
      <c r="C54" s="18"/>
      <c r="D54" s="18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U54" s="56"/>
      <c r="V54" s="56"/>
    </row>
    <row r="55" spans="1:22">
      <c r="C55" s="26" t="s">
        <v>1066</v>
      </c>
      <c r="D55" s="591"/>
      <c r="E55" s="591"/>
      <c r="F55" s="591"/>
      <c r="G55" s="591"/>
      <c r="H55" s="591"/>
      <c r="I55" s="591"/>
      <c r="J55" s="591"/>
      <c r="K55" s="591"/>
      <c r="L55" s="591"/>
      <c r="M55" s="591"/>
      <c r="N55" s="591"/>
      <c r="O55" s="591"/>
      <c r="P55" s="591"/>
      <c r="Q55" s="591"/>
      <c r="R55" s="591"/>
      <c r="S55" s="591"/>
      <c r="U55" s="56"/>
      <c r="V55" s="56"/>
    </row>
    <row r="56" spans="1:22" s="1125" customFormat="1">
      <c r="C56" s="1126" t="s">
        <v>1067</v>
      </c>
      <c r="H56" s="1129">
        <f>H22</f>
        <v>-22.435961862239083</v>
      </c>
      <c r="I56" s="1129">
        <f t="shared" ref="I56:S56" si="22">I22</f>
        <v>-121.41980560559728</v>
      </c>
      <c r="J56" s="1129">
        <f t="shared" si="22"/>
        <v>-105.23842653707095</v>
      </c>
      <c r="K56" s="1129">
        <f t="shared" si="22"/>
        <v>-120.53102676056346</v>
      </c>
      <c r="L56" s="1129">
        <f t="shared" si="22"/>
        <v>-149.55737983782478</v>
      </c>
      <c r="M56" s="1129">
        <f t="shared" si="22"/>
        <v>-63.845820152129818</v>
      </c>
      <c r="N56" s="1129">
        <f t="shared" si="22"/>
        <v>-98.637920977281752</v>
      </c>
      <c r="O56" s="1129">
        <f t="shared" si="22"/>
        <v>-89.428171648742165</v>
      </c>
      <c r="P56" s="1129">
        <f t="shared" si="22"/>
        <v>-85.930801231694801</v>
      </c>
      <c r="Q56" s="1129">
        <f t="shared" si="22"/>
        <v>-84.780630495694979</v>
      </c>
      <c r="R56" s="1129">
        <f t="shared" si="22"/>
        <v>-84.548075914006247</v>
      </c>
      <c r="S56" s="1129">
        <f t="shared" si="22"/>
        <v>-84.642785253618598</v>
      </c>
      <c r="U56" s="1127"/>
      <c r="V56" s="1127"/>
    </row>
    <row r="57" spans="1:22" s="885" customFormat="1">
      <c r="C57" s="89"/>
      <c r="D57" s="22" t="s">
        <v>1068</v>
      </c>
      <c r="H57" s="24">
        <f>H56/H33</f>
        <v>-0.22094555926693893</v>
      </c>
      <c r="I57" s="24">
        <f t="shared" ref="I57:M57" si="23">I56/I33</f>
        <v>-1.1577996235750503</v>
      </c>
      <c r="J57" s="24">
        <f t="shared" si="23"/>
        <v>-1.0368457025570161</v>
      </c>
      <c r="K57" s="24">
        <f t="shared" si="23"/>
        <v>-1.0103324661739981</v>
      </c>
      <c r="L57" s="24">
        <f t="shared" si="23"/>
        <v>-1.030529160265911</v>
      </c>
      <c r="M57" s="24">
        <f t="shared" si="23"/>
        <v>-1.0518270493846351</v>
      </c>
      <c r="N57" s="1130">
        <v>-1</v>
      </c>
      <c r="O57" s="1130">
        <v>-1</v>
      </c>
      <c r="P57" s="1130">
        <v>-1</v>
      </c>
      <c r="Q57" s="1130">
        <v>-1</v>
      </c>
      <c r="R57" s="1130">
        <v>-1</v>
      </c>
      <c r="S57" s="1130">
        <v>-1</v>
      </c>
      <c r="U57" s="1128"/>
      <c r="V57" s="1128"/>
    </row>
    <row r="59" spans="1:22" s="62" customFormat="1">
      <c r="A59" s="10" t="s">
        <v>8</v>
      </c>
      <c r="B59" s="10" t="s">
        <v>343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1" spans="1:22">
      <c r="B61" s="1"/>
      <c r="C61" s="1" t="s">
        <v>313</v>
      </c>
      <c r="D61" s="1"/>
      <c r="H61" s="42">
        <f>美国!H49/1000</f>
        <v>48.163893810000971</v>
      </c>
      <c r="I61" s="42">
        <f>美国!I49/1000</f>
        <v>74.705417459998046</v>
      </c>
      <c r="J61" s="42">
        <f>美国!J49/1000</f>
        <v>43.756507216861998</v>
      </c>
      <c r="K61" s="42">
        <f>美国!K49/1000</f>
        <v>49.594999999999999</v>
      </c>
      <c r="L61" s="42">
        <f>美国!L49/1000</f>
        <v>65.361999999999995</v>
      </c>
      <c r="M61" s="42">
        <f>美国!M49/1000</f>
        <v>43.14608376999886</v>
      </c>
      <c r="N61" s="42">
        <f>美国!N49/1000</f>
        <v>75.519602659695082</v>
      </c>
      <c r="O61" s="42">
        <f>美国!O49/1000</f>
        <v>92.229463920681965</v>
      </c>
      <c r="P61" s="42">
        <f>美国!P49/1000</f>
        <v>106.88298629005521</v>
      </c>
      <c r="Q61" s="42">
        <f>美国!Q49/1000</f>
        <v>120.37704907712293</v>
      </c>
      <c r="R61" s="42">
        <f>美国!R49/1000</f>
        <v>136.18078157209231</v>
      </c>
      <c r="S61" s="42">
        <f>美国!S49/1000</f>
        <v>156.52452088327379</v>
      </c>
      <c r="U61" s="56"/>
      <c r="V61" s="56"/>
    </row>
    <row r="62" spans="1:22">
      <c r="B62" s="1"/>
      <c r="C62" s="1" t="s">
        <v>344</v>
      </c>
      <c r="D62" s="1"/>
      <c r="H62" s="42">
        <f>中国!H23/1000/H9</f>
        <v>59.060038928421946</v>
      </c>
      <c r="I62" s="42">
        <f>中国!I23/1000/I9</f>
        <v>72.970877254928794</v>
      </c>
      <c r="J62" s="42">
        <f>中国!J23/1000/J9</f>
        <v>94.441484542768933</v>
      </c>
      <c r="K62" s="42">
        <f>中国!K23/1000/K9</f>
        <v>98.585985915492969</v>
      </c>
      <c r="L62" s="42">
        <f>中国!L23/1000/L9</f>
        <v>119.16075017400178</v>
      </c>
      <c r="M62" s="42">
        <f>中国!M23/1000/M9</f>
        <v>64.380834168279932</v>
      </c>
      <c r="N62" s="42">
        <f>中国!N23/1000/N9</f>
        <v>111.92035224246825</v>
      </c>
      <c r="O62" s="42">
        <f>中国!O23/1000/O9</f>
        <v>135.36216254685587</v>
      </c>
      <c r="P62" s="42">
        <f>中国!P23/1000/P9</f>
        <v>159.2394877190504</v>
      </c>
      <c r="Q62" s="42">
        <f>中国!Q23/1000/Q9</f>
        <v>184.58182908956275</v>
      </c>
      <c r="R62" s="42">
        <f>中国!R23/1000/R9</f>
        <v>211.64629044426187</v>
      </c>
      <c r="S62" s="42">
        <f>中国!S23/1000/S9</f>
        <v>239.69507310655686</v>
      </c>
      <c r="U62" s="56"/>
      <c r="V62" s="56"/>
    </row>
    <row r="63" spans="1:22">
      <c r="B63" s="1"/>
      <c r="C63" s="1" t="s">
        <v>315</v>
      </c>
      <c r="D63" s="1"/>
      <c r="H63" s="42">
        <f>加拿大!H38/1000*H11/H9</f>
        <v>3.7174099964342742</v>
      </c>
      <c r="I63" s="42">
        <f>加拿大!I38/1000*I11/I9</f>
        <v>18.433585542347693</v>
      </c>
      <c r="J63" s="42">
        <f>加拿大!J38/1000*J11/J9</f>
        <v>23.513836125356129</v>
      </c>
      <c r="K63" s="42">
        <f>加拿大!K38/1000*K11/K9</f>
        <v>24.079014084507044</v>
      </c>
      <c r="L63" s="42">
        <f>加拿大!L38/1000*L11/L9</f>
        <v>20.729665533099382</v>
      </c>
      <c r="M63" s="42">
        <f>加拿大!M38/1000*M11/M9</f>
        <v>12.209237923417513</v>
      </c>
      <c r="N63" s="42">
        <f>加拿大!N38/1000*N11/N9</f>
        <v>23.528117782831178</v>
      </c>
      <c r="O63" s="42">
        <f>加拿大!O38/1000*O11/O9</f>
        <v>26.139738856725437</v>
      </c>
      <c r="P63" s="42">
        <f>加拿大!P38/1000*P11/P9</f>
        <v>29.041249869821964</v>
      </c>
      <c r="Q63" s="42">
        <f>加拿大!Q38/1000*Q11/Q9</f>
        <v>32.264828605372202</v>
      </c>
      <c r="R63" s="42">
        <f>加拿大!R38/1000*R11/R9</f>
        <v>35.846224580568538</v>
      </c>
      <c r="S63" s="42">
        <f>加拿大!S38/1000*S11/S9</f>
        <v>39.825155509011644</v>
      </c>
      <c r="U63" s="56"/>
      <c r="V63" s="56"/>
    </row>
    <row r="64" spans="1:22">
      <c r="B64" s="1"/>
      <c r="C64" s="1" t="s">
        <v>316</v>
      </c>
      <c r="D64" s="1"/>
      <c r="H64" s="42">
        <f>欧洲!H27/1000*H10/H9</f>
        <v>25.747581600855774</v>
      </c>
      <c r="I64" s="42">
        <f>欧洲!I27/1000*I10/I9</f>
        <v>23.007807726597324</v>
      </c>
      <c r="J64" s="42">
        <f>欧洲!J27/1000*J10/J9</f>
        <v>22.745965170940174</v>
      </c>
      <c r="K64" s="42">
        <f>欧洲!K27/1000*K10/K9</f>
        <v>25.156884507042257</v>
      </c>
      <c r="L64" s="42">
        <f>欧洲!L27/1000*L10/L9</f>
        <v>29.907023234905228</v>
      </c>
      <c r="M64" s="42">
        <f>欧洲!M27/1000*M10/M9</f>
        <v>16.167031970004832</v>
      </c>
      <c r="N64" s="42">
        <f>欧洲!N27/1000*N10/N9</f>
        <v>31.013461072321924</v>
      </c>
      <c r="O64" s="42">
        <f>欧洲!O27/1000*O10/O9</f>
        <v>33.299078547918477</v>
      </c>
      <c r="P64" s="42">
        <f>欧洲!P27/1000*P10/P9</f>
        <v>35.732715266783906</v>
      </c>
      <c r="Q64" s="42">
        <f>欧洲!Q27/1000*Q10/Q9</f>
        <v>38.505922967266486</v>
      </c>
      <c r="R64" s="42">
        <f>欧洲!R27/1000*R10/R9</f>
        <v>41.810993210476191</v>
      </c>
      <c r="S64" s="42">
        <f>欧洲!S27/1000*S10/S9</f>
        <v>45.944351664037498</v>
      </c>
      <c r="U64" s="56"/>
      <c r="V64" s="56"/>
    </row>
    <row r="65" spans="1:22">
      <c r="B65" s="1"/>
      <c r="C65" s="1" t="s">
        <v>317</v>
      </c>
      <c r="D65" s="1"/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146">
        <f t="shared" ref="N65:S65" si="24">N76*N21</f>
        <v>0</v>
      </c>
      <c r="O65" s="146">
        <f t="shared" si="24"/>
        <v>0</v>
      </c>
      <c r="P65" s="146">
        <f t="shared" si="24"/>
        <v>0</v>
      </c>
      <c r="Q65" s="146">
        <f t="shared" si="24"/>
        <v>0</v>
      </c>
      <c r="R65" s="146">
        <f t="shared" si="24"/>
        <v>0</v>
      </c>
      <c r="S65" s="146">
        <f t="shared" si="24"/>
        <v>0</v>
      </c>
      <c r="U65" s="56"/>
      <c r="V65" s="56"/>
    </row>
    <row r="66" spans="1:22" ht="15" thickBot="1">
      <c r="B66" s="37"/>
      <c r="C66" s="37" t="s">
        <v>318</v>
      </c>
      <c r="D66" s="37"/>
      <c r="E66" s="142"/>
      <c r="F66" s="142"/>
      <c r="G66" s="142"/>
      <c r="H66" s="174">
        <f>H67-SUM(H61:H65)</f>
        <v>-5.961680443558123</v>
      </c>
      <c r="I66" s="174">
        <f t="shared" ref="I66:J66" si="25">I67-SUM(I61:I65)</f>
        <v>-1.3959226963429217</v>
      </c>
      <c r="J66" s="174">
        <f t="shared" si="25"/>
        <v>-22.207842993965158</v>
      </c>
      <c r="K66" s="174">
        <f>K67-SUM(K61:K65)</f>
        <v>-18.416884507042255</v>
      </c>
      <c r="L66" s="174">
        <f t="shared" ref="L66" si="26">L67-SUM(L61:L65)</f>
        <v>-16.022249958425505</v>
      </c>
      <c r="M66" s="174">
        <f>M67-SUM(M61:M65)</f>
        <v>10.067676829263149</v>
      </c>
      <c r="N66" s="205">
        <f>M66</f>
        <v>10.067676829263149</v>
      </c>
      <c r="O66" s="205">
        <f>O77*O22</f>
        <v>-4.4714085824371086</v>
      </c>
      <c r="P66" s="205">
        <f t="shared" ref="P66:R66" si="27">P77*P22</f>
        <v>-4.2965400615847402</v>
      </c>
      <c r="Q66" s="205">
        <f t="shared" si="27"/>
        <v>-4.2390315247847488</v>
      </c>
      <c r="R66" s="205">
        <f t="shared" si="27"/>
        <v>-4.2274037957003125</v>
      </c>
      <c r="S66" s="205">
        <f>S77*S22</f>
        <v>-4.2321392626809304</v>
      </c>
      <c r="U66" s="56"/>
      <c r="V66" s="56"/>
    </row>
    <row r="67" spans="1:22">
      <c r="B67" s="18" t="s">
        <v>345</v>
      </c>
      <c r="C67" s="1"/>
      <c r="D67" s="1"/>
      <c r="H67" s="1061">
        <v>130.72724389215483</v>
      </c>
      <c r="I67" s="1061">
        <v>187.72176528752891</v>
      </c>
      <c r="J67" s="1061">
        <v>162.24995006196207</v>
      </c>
      <c r="K67" s="1061">
        <v>179</v>
      </c>
      <c r="L67" s="1061">
        <v>219.1371889835809</v>
      </c>
      <c r="M67" s="1061">
        <v>145.97086466096428</v>
      </c>
      <c r="N67" s="70">
        <f t="shared" ref="N67" si="28">SUM(N61:N66)</f>
        <v>252.04921058657956</v>
      </c>
      <c r="O67" s="70">
        <f t="shared" ref="O67" si="29">SUM(O61:O66)</f>
        <v>282.55903528974466</v>
      </c>
      <c r="P67" s="70">
        <f t="shared" ref="P67" si="30">SUM(P61:P66)</f>
        <v>326.59989908412678</v>
      </c>
      <c r="Q67" s="70">
        <f t="shared" ref="Q67" si="31">SUM(Q61:Q66)</f>
        <v>371.4905982145396</v>
      </c>
      <c r="R67" s="70">
        <f t="shared" ref="R67" si="32">SUM(R61:R66)</f>
        <v>421.25688601169861</v>
      </c>
      <c r="S67" s="70">
        <f t="shared" ref="S67" si="33">SUM(S61:S66)</f>
        <v>477.75696190019892</v>
      </c>
      <c r="U67" s="56"/>
      <c r="V67" s="56"/>
    </row>
    <row r="68" spans="1:22">
      <c r="B68" s="22" t="s">
        <v>346</v>
      </c>
      <c r="C68" s="1"/>
      <c r="D68" s="1"/>
      <c r="H68" s="25">
        <f t="shared" ref="H68:S68" si="34">H67/H23</f>
        <v>0.12743907357222772</v>
      </c>
      <c r="I68" s="25">
        <f t="shared" si="34"/>
        <v>0.17618541647922295</v>
      </c>
      <c r="J68" s="25">
        <f t="shared" si="34"/>
        <v>0.16826531523450497</v>
      </c>
      <c r="K68" s="25">
        <f t="shared" si="34"/>
        <v>0.20294784580498867</v>
      </c>
      <c r="L68" s="25">
        <f t="shared" si="34"/>
        <v>0.2070711916231634</v>
      </c>
      <c r="M68" s="25">
        <f t="shared" si="34"/>
        <v>0.23664108266841244</v>
      </c>
      <c r="N68" s="25">
        <f t="shared" si="34"/>
        <v>0.21888987066080168</v>
      </c>
      <c r="O68" s="25">
        <f t="shared" si="34"/>
        <v>0.21903684598937653</v>
      </c>
      <c r="P68" s="25">
        <f t="shared" si="34"/>
        <v>0.22851911415138992</v>
      </c>
      <c r="Q68" s="25">
        <f t="shared" si="34"/>
        <v>0.23610409811951627</v>
      </c>
      <c r="R68" s="25">
        <f t="shared" si="34"/>
        <v>0.24198639354272602</v>
      </c>
      <c r="S68" s="25">
        <f t="shared" si="34"/>
        <v>0.24611411509495118</v>
      </c>
      <c r="T68" s="677"/>
      <c r="U68" s="56"/>
    </row>
    <row r="69" spans="1:22">
      <c r="B69" s="1"/>
      <c r="C69" s="1"/>
      <c r="D69" s="1"/>
    </row>
    <row r="70" spans="1:22" s="26" customFormat="1">
      <c r="A70" s="26" t="s">
        <v>8</v>
      </c>
      <c r="B70" s="26" t="s">
        <v>346</v>
      </c>
    </row>
    <row r="71" spans="1:22" s="206" customFormat="1">
      <c r="B71" s="22"/>
      <c r="C71" s="22"/>
      <c r="D71" s="22"/>
    </row>
    <row r="72" spans="1:22" s="206" customFormat="1">
      <c r="C72" s="22" t="s">
        <v>313</v>
      </c>
      <c r="H72" s="25">
        <f t="shared" ref="H72:K72" si="35">H61/H17</f>
        <v>7.3019740433991107E-2</v>
      </c>
      <c r="I72" s="25">
        <f t="shared" si="35"/>
        <v>0.10663747665778997</v>
      </c>
      <c r="J72" s="25">
        <f t="shared" si="35"/>
        <v>7.8944247880300439E-2</v>
      </c>
      <c r="K72" s="25">
        <f t="shared" si="35"/>
        <v>0.10225014225748191</v>
      </c>
      <c r="L72" s="25">
        <f t="shared" ref="L72:M72" si="36">L61/L17</f>
        <v>0.11162306168454129</v>
      </c>
      <c r="M72" s="25">
        <f t="shared" si="36"/>
        <v>0.13449997782621589</v>
      </c>
      <c r="N72" s="25">
        <f t="shared" ref="N72:S72" si="37">N61/N17</f>
        <v>0.12747944477484668</v>
      </c>
      <c r="O72" s="25">
        <f t="shared" si="37"/>
        <v>0.14326920638595964</v>
      </c>
      <c r="P72" s="25">
        <f t="shared" si="37"/>
        <v>0.1545173073984594</v>
      </c>
      <c r="Q72" s="25">
        <f t="shared" si="37"/>
        <v>0.16321925367914608</v>
      </c>
      <c r="R72" s="25">
        <f t="shared" si="37"/>
        <v>0.17116632298858361</v>
      </c>
      <c r="S72" s="25">
        <f t="shared" si="37"/>
        <v>0.17867925048621236</v>
      </c>
      <c r="T72" s="677"/>
    </row>
    <row r="73" spans="1:22" s="206" customFormat="1">
      <c r="C73" s="22" t="s">
        <v>344</v>
      </c>
      <c r="H73" s="25">
        <f t="shared" ref="H73:K73" si="38">H62/H18</f>
        <v>0.2632431640138021</v>
      </c>
      <c r="I73" s="25">
        <f t="shared" si="38"/>
        <v>0.29563719579433739</v>
      </c>
      <c r="J73" s="25">
        <f t="shared" si="38"/>
        <v>0.36781660964633545</v>
      </c>
      <c r="K73" s="25">
        <f t="shared" si="38"/>
        <v>0.35082723465125687</v>
      </c>
      <c r="L73" s="25">
        <f t="shared" ref="L73:M73" si="39">L62/L18</f>
        <v>0.35003615770102664</v>
      </c>
      <c r="M73" s="25">
        <f t="shared" si="39"/>
        <v>0.3213331039723521</v>
      </c>
      <c r="N73" s="25">
        <f t="shared" ref="N73:S73" si="40">N62/N18</f>
        <v>0.31872751492692936</v>
      </c>
      <c r="O73" s="25">
        <f t="shared" si="40"/>
        <v>0.3369673924717127</v>
      </c>
      <c r="P73" s="25">
        <f t="shared" si="40"/>
        <v>0.34643619478192317</v>
      </c>
      <c r="Q73" s="25">
        <f t="shared" si="40"/>
        <v>0.35276888618910868</v>
      </c>
      <c r="R73" s="25">
        <f t="shared" si="40"/>
        <v>0.35679255120902653</v>
      </c>
      <c r="S73" s="25">
        <f t="shared" si="40"/>
        <v>0.36001299411412302</v>
      </c>
      <c r="T73" s="677"/>
    </row>
    <row r="74" spans="1:22" s="206" customFormat="1">
      <c r="C74" s="22" t="s">
        <v>315</v>
      </c>
      <c r="H74" s="25">
        <f t="shared" ref="H74:K74" si="41">H63/H19</f>
        <v>0.15831723402837922</v>
      </c>
      <c r="I74" s="25">
        <f t="shared" si="41"/>
        <v>0.16292931967385621</v>
      </c>
      <c r="J74" s="25">
        <f t="shared" si="41"/>
        <v>0.20214600005146283</v>
      </c>
      <c r="K74" s="25">
        <f t="shared" si="41"/>
        <v>0.23993692850669399</v>
      </c>
      <c r="L74" s="25">
        <f t="shared" ref="L74:M74" si="42">L63/L19</f>
        <v>0.17377656724921081</v>
      </c>
      <c r="M74" s="25">
        <f t="shared" si="42"/>
        <v>0.18256601206544845</v>
      </c>
      <c r="N74" s="25">
        <f t="shared" ref="N74:S74" si="43">N63/N19</f>
        <v>0.18151240486020701</v>
      </c>
      <c r="O74" s="25">
        <f t="shared" si="43"/>
        <v>0.18151240486020695</v>
      </c>
      <c r="P74" s="25">
        <f t="shared" si="43"/>
        <v>0.18151240486020695</v>
      </c>
      <c r="Q74" s="25">
        <f t="shared" si="43"/>
        <v>0.18151240486020689</v>
      </c>
      <c r="R74" s="25">
        <f t="shared" si="43"/>
        <v>0.18151240486020698</v>
      </c>
      <c r="S74" s="25">
        <f t="shared" si="43"/>
        <v>0.18151240486020698</v>
      </c>
      <c r="T74" s="677"/>
    </row>
    <row r="75" spans="1:22" s="206" customFormat="1">
      <c r="C75" s="22" t="s">
        <v>316</v>
      </c>
      <c r="H75" s="25">
        <f t="shared" ref="H75:K75" si="44">H64/H20</f>
        <v>0.18286550946885777</v>
      </c>
      <c r="I75" s="25">
        <f t="shared" si="44"/>
        <v>0.18205410890074833</v>
      </c>
      <c r="J75" s="25">
        <f t="shared" si="44"/>
        <v>0.16003109604835611</v>
      </c>
      <c r="K75" s="25">
        <f t="shared" si="44"/>
        <v>0.18480131636184821</v>
      </c>
      <c r="L75" s="25">
        <f t="shared" ref="L75:M75" si="45">L64/L20</f>
        <v>0.18398222094459726</v>
      </c>
      <c r="M75" s="25">
        <f t="shared" si="45"/>
        <v>0.17445651079474528</v>
      </c>
      <c r="N75" s="25">
        <f t="shared" ref="N75:S75" si="46">N64/N20</f>
        <v>0.17526639988588769</v>
      </c>
      <c r="O75" s="25">
        <f t="shared" si="46"/>
        <v>0.17528793528299522</v>
      </c>
      <c r="P75" s="25">
        <f t="shared" si="46"/>
        <v>0.17536282716271528</v>
      </c>
      <c r="Q75" s="25">
        <f t="shared" si="46"/>
        <v>0.17527463386242759</v>
      </c>
      <c r="R75" s="25">
        <f t="shared" si="46"/>
        <v>0.17487255632531104</v>
      </c>
      <c r="S75" s="25">
        <f t="shared" si="46"/>
        <v>0.17361573200912825</v>
      </c>
      <c r="T75" s="677"/>
    </row>
    <row r="76" spans="1:22" s="206" customFormat="1">
      <c r="C76" s="22" t="s">
        <v>317</v>
      </c>
      <c r="H76" s="207"/>
      <c r="I76" s="207"/>
      <c r="J76" s="207"/>
      <c r="K76" s="207"/>
      <c r="L76" s="207"/>
      <c r="M76" s="207"/>
      <c r="N76" s="209"/>
      <c r="O76" s="209"/>
      <c r="P76" s="209"/>
      <c r="Q76" s="209"/>
      <c r="R76" s="209"/>
      <c r="S76" s="209"/>
    </row>
    <row r="77" spans="1:22" s="206" customFormat="1">
      <c r="C77" s="22" t="s">
        <v>318</v>
      </c>
      <c r="H77" s="25">
        <f>H66/H22</f>
        <v>0.26571985102149548</v>
      </c>
      <c r="I77" s="25">
        <f>I66/I22</f>
        <v>1.1496663904052335E-2</v>
      </c>
      <c r="J77" s="25">
        <f>J66/J22</f>
        <v>0.21102408810856074</v>
      </c>
      <c r="K77" s="25">
        <f>K66/K22</f>
        <v>0.15279787289647542</v>
      </c>
      <c r="L77" s="25">
        <f t="shared" ref="L77" si="47">L66/L22</f>
        <v>0.10713112235450713</v>
      </c>
      <c r="M77" s="25">
        <f>M66/M22</f>
        <v>-0.15768732871273647</v>
      </c>
      <c r="N77" s="25">
        <f>N66/N22</f>
        <v>-0.10206700150930728</v>
      </c>
      <c r="O77" s="79">
        <v>0.05</v>
      </c>
      <c r="P77" s="79">
        <f t="shared" ref="P77:S77" si="48">O77</f>
        <v>0.05</v>
      </c>
      <c r="Q77" s="79">
        <f t="shared" si="48"/>
        <v>0.05</v>
      </c>
      <c r="R77" s="79">
        <f t="shared" si="48"/>
        <v>0.05</v>
      </c>
      <c r="S77" s="79">
        <f t="shared" si="48"/>
        <v>0.05</v>
      </c>
    </row>
    <row r="78" spans="1:22">
      <c r="B78" s="22"/>
      <c r="C78" s="1"/>
      <c r="D78" s="1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1:22" s="62" customFormat="1">
      <c r="A79" s="10" t="s">
        <v>8</v>
      </c>
      <c r="B79" s="10" t="s">
        <v>479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1" spans="1:19">
      <c r="B81" s="1"/>
      <c r="C81" s="1" t="s">
        <v>313</v>
      </c>
      <c r="D81" s="1"/>
      <c r="H81" s="21">
        <f>美国!H634/1000</f>
        <v>-10.656000000000001</v>
      </c>
      <c r="I81" s="21">
        <f>美国!I634/1000</f>
        <v>-9.8819999999999997</v>
      </c>
      <c r="J81" s="21">
        <f>美国!J634/1000</f>
        <v>-9.4909999999999997</v>
      </c>
      <c r="K81" s="21">
        <f>美国!K634/1000</f>
        <v>-8.7379999999999995</v>
      </c>
      <c r="L81" s="21">
        <f>美国!L634/1000</f>
        <v>-10.395415610000001</v>
      </c>
      <c r="M81" s="21">
        <f>美国!M634/1000</f>
        <v>-7.4661712099999971</v>
      </c>
      <c r="N81" s="21">
        <f>美国!N634/1000</f>
        <v>-10.516954331667643</v>
      </c>
      <c r="O81" s="21">
        <f>美国!O634/1000</f>
        <v>-11.428448726436248</v>
      </c>
      <c r="P81" s="21">
        <f>美国!P634/1000</f>
        <v>-12.280099985621369</v>
      </c>
      <c r="Q81" s="21">
        <f>美国!Q634/1000</f>
        <v>-13.093108299726666</v>
      </c>
      <c r="R81" s="21">
        <f>美国!R634/1000</f>
        <v>-14.124333263938745</v>
      </c>
      <c r="S81" s="21">
        <f>美国!S634/1000</f>
        <v>-15.551730301299186</v>
      </c>
    </row>
    <row r="82" spans="1:19">
      <c r="B82" s="1"/>
      <c r="C82" s="1" t="s">
        <v>344</v>
      </c>
      <c r="D82" s="1"/>
      <c r="H82" s="21">
        <f>中国!H994/1000/集团!H9</f>
        <v>-28.828116521712165</v>
      </c>
      <c r="I82" s="21">
        <f>中国!I994/1000/集团!I9</f>
        <v>-19.620802377414559</v>
      </c>
      <c r="J82" s="21">
        <f>中国!J994/1000/集团!J9</f>
        <v>-18.881908831908831</v>
      </c>
      <c r="K82" s="21">
        <f>中国!K994/1000/集团!K9</f>
        <v>-13.413380281690142</v>
      </c>
      <c r="L82" s="21">
        <f>中国!L994/1000/集团!L9</f>
        <v>-19.254002501541564</v>
      </c>
      <c r="M82" s="21">
        <f>中国!M994/1000/集团!M9</f>
        <v>-10.352913278187726</v>
      </c>
      <c r="N82" s="21">
        <f>中国!N994/1000/集团!N9</f>
        <v>-17.018319058801797</v>
      </c>
      <c r="O82" s="21">
        <f>中国!O994/1000/集团!O9</f>
        <v>-19.46868223133966</v>
      </c>
      <c r="P82" s="21">
        <f>中国!P994/1000/集团!P9</f>
        <v>-22.276895206984079</v>
      </c>
      <c r="Q82" s="21">
        <f>中国!Q994/1000/集团!Q9</f>
        <v>-25.358631992691521</v>
      </c>
      <c r="R82" s="21">
        <f>中国!R994/1000/集团!R9</f>
        <v>-28.74895292738649</v>
      </c>
      <c r="S82" s="21">
        <f>中国!S994/1000/集团!S9</f>
        <v>-32.267705223490339</v>
      </c>
    </row>
    <row r="83" spans="1:19">
      <c r="B83" s="1"/>
      <c r="C83" s="1" t="s">
        <v>315</v>
      </c>
      <c r="D83" s="1"/>
      <c r="H83" s="21">
        <f>加拿大!H92/1000*集团!H11/集团!H9</f>
        <v>-0.97373773312869172</v>
      </c>
      <c r="I83" s="21">
        <f>加拿大!I92/1000*集团!I11/集团!I9</f>
        <v>-4.3643332243684991</v>
      </c>
      <c r="J83" s="21">
        <f>加拿大!J92/1000*集团!J11/集团!J9</f>
        <v>-4.5884305982905982</v>
      </c>
      <c r="K83" s="21">
        <f>加拿大!K92/1000*集团!K11/集团!K9</f>
        <v>-3.7984859154929578</v>
      </c>
      <c r="L83" s="21">
        <f>加拿大!L92/1000*集团!L11/集团!L9</f>
        <v>-4.4431350751555572</v>
      </c>
      <c r="M83" s="21">
        <f>加拿大!M92/1000*集团!M11/集团!M9</f>
        <v>-2.5797679137341851</v>
      </c>
      <c r="N83" s="21">
        <f>加拿大!N92/1000*集团!N11/集团!N9</f>
        <v>-4.1799095579109116</v>
      </c>
      <c r="O83" s="21">
        <f>加拿大!O92/1000*集团!O11/集团!O9</f>
        <v>-4.6438795188390234</v>
      </c>
      <c r="P83" s="21">
        <f>加拿大!P92/1000*集团!P11/集团!P9</f>
        <v>-5.1593501454301567</v>
      </c>
      <c r="Q83" s="21">
        <f>加拿大!Q92/1000*集团!Q11/集团!Q9</f>
        <v>-5.7320380115729046</v>
      </c>
      <c r="R83" s="21">
        <f>加拿大!R92/1000*集团!R11/集团!R9</f>
        <v>-6.3682942308574964</v>
      </c>
      <c r="S83" s="21">
        <f>加拿大!S92/1000*集团!S11/集团!S9</f>
        <v>-7.0751748904826801</v>
      </c>
    </row>
    <row r="84" spans="1:19">
      <c r="B84" s="1"/>
      <c r="C84" s="1" t="s">
        <v>316</v>
      </c>
      <c r="D84" s="1"/>
      <c r="H84" s="21">
        <f>欧洲!H94/1000*集团!H10/集团!H9</f>
        <v>-3.9996638295893212</v>
      </c>
      <c r="I84" s="21">
        <f>欧洲!I94/1000*集团!I10/集团!I9</f>
        <v>-4.2094670728083203</v>
      </c>
      <c r="J84" s="21">
        <f>欧洲!J94/1000*集团!J10/集团!J9</f>
        <v>-4.9698214387464397</v>
      </c>
      <c r="K84" s="21">
        <f>欧洲!K94/1000*集团!K10/集团!K9</f>
        <v>-5.3861633802816913</v>
      </c>
      <c r="L84" s="21">
        <f>欧洲!L94/1000*集团!L10/集团!L9</f>
        <v>-6.2549519899220094</v>
      </c>
      <c r="M84" s="21">
        <f>欧洲!M94/1000*集团!M10/集团!M9</f>
        <v>-3.5354091116028155</v>
      </c>
      <c r="N84" s="21">
        <f>欧洲!N94/1000*集团!N10/集团!N9</f>
        <v>-5.9241677667779182</v>
      </c>
      <c r="O84" s="21">
        <f>欧洲!O94/1000*集团!O10/集团!O9</f>
        <v>-6.3599832139356041</v>
      </c>
      <c r="P84" s="21">
        <f>欧洲!P94/1000*集团!P10/集团!P9</f>
        <v>-6.8218828840885859</v>
      </c>
      <c r="Q84" s="21">
        <f>欧洲!Q94/1000*集团!Q10/集团!Q9</f>
        <v>-7.3550266068810863</v>
      </c>
      <c r="R84" s="21">
        <f>欧洲!R94/1000*集团!R10/集团!R9</f>
        <v>-8.0046916043599659</v>
      </c>
      <c r="S84" s="21">
        <f>欧洲!S94/1000*集团!S10/集团!S9</f>
        <v>-8.8596962115202906</v>
      </c>
    </row>
    <row r="85" spans="1:19">
      <c r="B85" s="1"/>
      <c r="C85" s="1" t="s">
        <v>317</v>
      </c>
      <c r="D85" s="1"/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80">
        <f>L85</f>
        <v>0</v>
      </c>
      <c r="O85" s="80">
        <f t="shared" ref="O85:S85" si="49">N85</f>
        <v>0</v>
      </c>
      <c r="P85" s="80">
        <f t="shared" si="49"/>
        <v>0</v>
      </c>
      <c r="Q85" s="80">
        <f t="shared" si="49"/>
        <v>0</v>
      </c>
      <c r="R85" s="80">
        <f t="shared" si="49"/>
        <v>0</v>
      </c>
      <c r="S85" s="80">
        <f t="shared" si="49"/>
        <v>0</v>
      </c>
    </row>
    <row r="86" spans="1:19">
      <c r="B86" s="1"/>
      <c r="C86" s="1" t="s">
        <v>347</v>
      </c>
      <c r="D86" s="1"/>
      <c r="H86" s="20">
        <v>-5.0488780614855111</v>
      </c>
      <c r="I86" s="20">
        <v>4.4602368745835325E-9</v>
      </c>
      <c r="J86" s="20">
        <v>-3.9591098708657833</v>
      </c>
      <c r="K86" s="20">
        <v>0</v>
      </c>
      <c r="L86" s="20">
        <v>0</v>
      </c>
      <c r="M86" s="20">
        <v>0</v>
      </c>
      <c r="N86" s="80">
        <v>0</v>
      </c>
      <c r="O86" s="80">
        <v>0</v>
      </c>
      <c r="P86" s="80">
        <v>0</v>
      </c>
      <c r="Q86" s="80">
        <v>0</v>
      </c>
      <c r="R86" s="80">
        <v>0</v>
      </c>
      <c r="S86" s="80">
        <v>0</v>
      </c>
    </row>
    <row r="87" spans="1:19" ht="15" thickBot="1">
      <c r="B87" s="37"/>
      <c r="C87" s="37" t="s">
        <v>318</v>
      </c>
      <c r="D87" s="37"/>
      <c r="E87" s="142"/>
      <c r="F87" s="142"/>
      <c r="G87" s="142"/>
      <c r="H87" s="39">
        <f>H88-SUM(H81:H86)</f>
        <v>4.9381204045889362</v>
      </c>
      <c r="I87" s="39">
        <f t="shared" ref="I87:M87" si="50">I88-SUM(I81:I86)</f>
        <v>-1.6191613498456547E-2</v>
      </c>
      <c r="J87" s="39">
        <f t="shared" si="50"/>
        <v>3.9746748359373356</v>
      </c>
      <c r="K87" s="39">
        <f t="shared" si="50"/>
        <v>0.33602957746478879</v>
      </c>
      <c r="L87" s="39">
        <f t="shared" si="50"/>
        <v>0</v>
      </c>
      <c r="M87" s="39">
        <f t="shared" si="50"/>
        <v>3.4730325577214671E-5</v>
      </c>
      <c r="N87" s="147">
        <f t="shared" ref="N87" si="51">L87</f>
        <v>0</v>
      </c>
      <c r="O87" s="147">
        <f t="shared" ref="O87" si="52">N87</f>
        <v>0</v>
      </c>
      <c r="P87" s="147">
        <f t="shared" ref="P87" si="53">O87</f>
        <v>0</v>
      </c>
      <c r="Q87" s="147">
        <f t="shared" ref="Q87" si="54">P87</f>
        <v>0</v>
      </c>
      <c r="R87" s="147">
        <f t="shared" ref="R87" si="55">Q87</f>
        <v>0</v>
      </c>
      <c r="S87" s="147">
        <f t="shared" ref="S87" si="56">R87</f>
        <v>0</v>
      </c>
    </row>
    <row r="88" spans="1:19">
      <c r="B88" s="18" t="s">
        <v>481</v>
      </c>
      <c r="C88" s="1"/>
      <c r="D88" s="1"/>
      <c r="H88" s="405">
        <v>-44.568275741326758</v>
      </c>
      <c r="I88" s="405">
        <v>-38.092794283629601</v>
      </c>
      <c r="J88" s="405">
        <v>-37.915595903874312</v>
      </c>
      <c r="K88" s="405">
        <v>-31</v>
      </c>
      <c r="L88" s="405">
        <v>-40.34750517661913</v>
      </c>
      <c r="M88" s="405">
        <v>-23.934226783199147</v>
      </c>
      <c r="N88" s="23">
        <f t="shared" ref="N88:S88" si="57">SUM(N81:N87)</f>
        <v>-37.639350715158272</v>
      </c>
      <c r="O88" s="23">
        <f t="shared" si="57"/>
        <v>-41.900993690550536</v>
      </c>
      <c r="P88" s="23">
        <f t="shared" si="57"/>
        <v>-46.538228222124197</v>
      </c>
      <c r="Q88" s="23">
        <f t="shared" si="57"/>
        <v>-51.538804910872173</v>
      </c>
      <c r="R88" s="23">
        <f t="shared" si="57"/>
        <v>-57.246272026542698</v>
      </c>
      <c r="S88" s="23">
        <f t="shared" si="57"/>
        <v>-63.754306626792498</v>
      </c>
    </row>
    <row r="89" spans="1:19">
      <c r="B89" s="22"/>
      <c r="C89" s="1"/>
      <c r="D89" s="1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spans="1:19" s="62" customFormat="1">
      <c r="A90" s="10" t="s">
        <v>8</v>
      </c>
      <c r="B90" s="10" t="s">
        <v>480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2" spans="1:19">
      <c r="B92" s="1"/>
      <c r="C92" s="1" t="s">
        <v>313</v>
      </c>
      <c r="D92" s="1"/>
      <c r="H92" s="21">
        <f>美国!H646/1000</f>
        <v>-31.738999870000001</v>
      </c>
      <c r="I92" s="21">
        <f>美国!I646/1000</f>
        <v>-24.099926780000001</v>
      </c>
      <c r="J92" s="21">
        <f>美国!J646/1000</f>
        <v>-26.556350119999998</v>
      </c>
      <c r="K92" s="21">
        <f>美国!K646/1000</f>
        <v>-21.847000000000001</v>
      </c>
      <c r="L92" s="21">
        <f>美国!L646/1000</f>
        <v>-30.118804000000001</v>
      </c>
      <c r="M92" s="21">
        <f>美国!M646/1000</f>
        <v>-16.758806550000006</v>
      </c>
      <c r="N92" s="21">
        <f>美国!N646/1000</f>
        <v>-28.124659474220746</v>
      </c>
      <c r="O92" s="21">
        <f>美国!O646/1000</f>
        <v>-28.630948705475436</v>
      </c>
      <c r="P92" s="21">
        <f>美国!P646/1000</f>
        <v>-28.689369842424668</v>
      </c>
      <c r="Q92" s="21">
        <f>美国!Q646/1000</f>
        <v>-28.376207231867856</v>
      </c>
      <c r="R92" s="21">
        <f>美国!R646/1000</f>
        <v>-28.224327803130379</v>
      </c>
      <c r="S92" s="21">
        <f>美国!S646/1000</f>
        <v>-28.448637078152899</v>
      </c>
    </row>
    <row r="93" spans="1:19">
      <c r="B93" s="1"/>
      <c r="C93" s="1" t="s">
        <v>344</v>
      </c>
      <c r="D93" s="1"/>
      <c r="H93" s="21">
        <f>中国!H1008/1000/集团!H9</f>
        <v>-24.600716245756008</v>
      </c>
      <c r="I93" s="21">
        <f>中国!I1008/1000/集团!I9</f>
        <v>-22.88677563150074</v>
      </c>
      <c r="J93" s="21">
        <f>中国!J1008/1000/集团!J9</f>
        <v>-23.7468660968661</v>
      </c>
      <c r="K93" s="21">
        <f>中国!K1008/1000/集团!K9</f>
        <v>-21.408028169014088</v>
      </c>
      <c r="L93" s="21">
        <f>中国!L1008/1000/集团!L9</f>
        <v>-27.618066248108079</v>
      </c>
      <c r="M93" s="21">
        <f>中国!M1008/1000/集团!M9</f>
        <v>-16.590411360180781</v>
      </c>
      <c r="N93" s="21">
        <f>中国!N1008/1000/集团!N9</f>
        <v>-28.592497494373283</v>
      </c>
      <c r="O93" s="21">
        <f>中国!O1008/1000/集团!O9</f>
        <v>-32.387989883658271</v>
      </c>
      <c r="P93" s="21">
        <f>中国!P1008/1000/集团!P9</f>
        <v>-36.691996931435931</v>
      </c>
      <c r="Q93" s="21">
        <f>中国!Q1008/1000/集团!Q9</f>
        <v>-41.349297432601688</v>
      </c>
      <c r="R93" s="21">
        <f>中国!R1008/1000/集团!R9</f>
        <v>-46.402936360461879</v>
      </c>
      <c r="S93" s="21">
        <f>中国!S1008/1000/集团!S9</f>
        <v>-51.549826328389258</v>
      </c>
    </row>
    <row r="94" spans="1:19">
      <c r="B94" s="1"/>
      <c r="C94" s="1" t="s">
        <v>315</v>
      </c>
      <c r="D94" s="1"/>
      <c r="H94" s="21">
        <f>加拿大!H94/1000*集团!H11/集团!H9</f>
        <v>-1.778537835449514</v>
      </c>
      <c r="I94" s="21">
        <f>加拿大!I94/1000*集团!I11/集团!I9</f>
        <v>-8.392239494799405</v>
      </c>
      <c r="J94" s="21">
        <f>加拿大!J94/1000*集团!J11/集团!J9</f>
        <v>-9.0795852706552722</v>
      </c>
      <c r="K94" s="21">
        <f>加拿大!K94/1000*集团!K11/集团!K9</f>
        <v>-7.4853169014084511</v>
      </c>
      <c r="L94" s="21">
        <f>加拿大!L94/1000*集团!L11/集团!L9</f>
        <v>-9.1849918276803635</v>
      </c>
      <c r="M94" s="21">
        <f>加拿大!M94/1000*集团!M11/集团!M9</f>
        <v>-5.1858240807992866</v>
      </c>
      <c r="N94" s="21">
        <f>加拿大!N94/1000*集团!N11/集团!N9</f>
        <v>-9.7213987837775235</v>
      </c>
      <c r="O94" s="21">
        <f>加拿大!O94/1000*集团!O11/集团!O9</f>
        <v>-10.368441777315429</v>
      </c>
      <c r="P94" s="21">
        <f>加拿大!P94/1000*集团!P11/集团!P9</f>
        <v>-11.039350961003828</v>
      </c>
      <c r="Q94" s="21">
        <f>加拿大!Q94/1000*集团!Q11/集团!Q9</f>
        <v>-11.731452412332748</v>
      </c>
      <c r="R94" s="21">
        <f>加拿大!R94/1000*集团!R11/集团!R9</f>
        <v>-12.441184542666161</v>
      </c>
      <c r="S94" s="21">
        <f>加拿大!S94/1000*集团!S11/集团!S9</f>
        <v>-13.163933980761238</v>
      </c>
    </row>
    <row r="95" spans="1:19">
      <c r="B95" s="1"/>
      <c r="C95" s="1" t="s">
        <v>316</v>
      </c>
      <c r="D95" s="1"/>
      <c r="H95" s="21">
        <f>欧洲!H96/1000*集团!H10/集团!H9</f>
        <v>-12.904985194487079</v>
      </c>
      <c r="I95" s="21">
        <f>欧洲!I96/1000*集团!I10/集团!I9</f>
        <v>-12.72087632986627</v>
      </c>
      <c r="J95" s="21">
        <f>欧洲!J96/1000*集团!J10/集团!J9</f>
        <v>-14.296151353276356</v>
      </c>
      <c r="K95" s="21">
        <f>欧洲!K96/1000*集团!K10/集团!K9</f>
        <v>-12.816597183098592</v>
      </c>
      <c r="L95" s="21">
        <f>欧洲!L96/1000*集团!L10/集团!L9</f>
        <v>-15.561119209020603</v>
      </c>
      <c r="M95" s="21">
        <f>欧洲!M96/1000*集团!M10/集团!M9</f>
        <v>-9.5933504333592747</v>
      </c>
      <c r="N95" s="21">
        <f>欧洲!N96/1000*集团!N10/集团!N9</f>
        <v>-18.318029910787626</v>
      </c>
      <c r="O95" s="21">
        <f>欧洲!O96/1000*集团!O10/集团!O9</f>
        <v>-18.905736744945241</v>
      </c>
      <c r="P95" s="21">
        <f>欧洲!P96/1000*集团!P10/集团!P9</f>
        <v>-19.463725462938452</v>
      </c>
      <c r="Q95" s="21">
        <f>欧洲!Q96/1000*集团!Q10/集团!Q9</f>
        <v>-20.106098022393699</v>
      </c>
      <c r="R95" s="21">
        <f>欧洲!R96/1000*集团!R10/集团!R9</f>
        <v>-20.925681026410544</v>
      </c>
      <c r="S95" s="21">
        <f>欧洲!S96/1000*集团!S10/集团!S9</f>
        <v>-22.102284753775578</v>
      </c>
    </row>
    <row r="96" spans="1:19">
      <c r="B96" s="1"/>
      <c r="C96" s="1" t="s">
        <v>317</v>
      </c>
      <c r="D96" s="1"/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80">
        <f>L96</f>
        <v>0</v>
      </c>
      <c r="O96" s="80">
        <f t="shared" ref="O96:S96" si="58">N96</f>
        <v>0</v>
      </c>
      <c r="P96" s="80">
        <f t="shared" si="58"/>
        <v>0</v>
      </c>
      <c r="Q96" s="80">
        <f t="shared" si="58"/>
        <v>0</v>
      </c>
      <c r="R96" s="80">
        <f t="shared" si="58"/>
        <v>0</v>
      </c>
      <c r="S96" s="80">
        <f t="shared" si="58"/>
        <v>0</v>
      </c>
    </row>
    <row r="97" spans="1:19">
      <c r="B97" s="1"/>
      <c r="C97" s="1" t="s">
        <v>347</v>
      </c>
      <c r="D97" s="1"/>
      <c r="H97" s="20">
        <v>-0.13802917310094043</v>
      </c>
      <c r="I97" s="20">
        <v>-10.701554276278229</v>
      </c>
      <c r="J97" s="20">
        <v>-27.498431337082732</v>
      </c>
      <c r="K97" s="690"/>
      <c r="L97" s="20">
        <v>-1.6214787560279302</v>
      </c>
      <c r="M97" s="20">
        <v>-0.3373199346353547</v>
      </c>
      <c r="N97" s="80">
        <v>0</v>
      </c>
      <c r="O97" s="80">
        <v>0</v>
      </c>
      <c r="P97" s="80">
        <v>0</v>
      </c>
      <c r="Q97" s="80">
        <v>0</v>
      </c>
      <c r="R97" s="80">
        <v>0</v>
      </c>
      <c r="S97" s="80">
        <v>0</v>
      </c>
    </row>
    <row r="98" spans="1:19" ht="15" thickBot="1">
      <c r="B98" s="37"/>
      <c r="C98" s="37" t="s">
        <v>318</v>
      </c>
      <c r="D98" s="37"/>
      <c r="E98" s="142"/>
      <c r="F98" s="142"/>
      <c r="G98" s="142"/>
      <c r="H98" s="39">
        <f>H99-SUM(H92:H97)</f>
        <v>1.8570202769296884E-4</v>
      </c>
      <c r="I98" s="39">
        <f t="shared" ref="I98:M98" si="59">I99-SUM(I92:I97)</f>
        <v>5.7074707349165692</v>
      </c>
      <c r="J98" s="39">
        <f t="shared" si="59"/>
        <v>26.523066444255534</v>
      </c>
      <c r="K98" s="39">
        <f t="shared" si="59"/>
        <v>9.5569422535211359</v>
      </c>
      <c r="L98" s="39">
        <f t="shared" si="59"/>
        <v>13.877570386288468</v>
      </c>
      <c r="M98" s="39">
        <f t="shared" si="59"/>
        <v>0.49238018436539477</v>
      </c>
      <c r="N98" s="147">
        <v>0</v>
      </c>
      <c r="O98" s="147">
        <f t="shared" ref="O98" si="60">N98</f>
        <v>0</v>
      </c>
      <c r="P98" s="147">
        <f t="shared" ref="P98" si="61">O98</f>
        <v>0</v>
      </c>
      <c r="Q98" s="147">
        <f t="shared" ref="Q98" si="62">P98</f>
        <v>0</v>
      </c>
      <c r="R98" s="147">
        <f t="shared" ref="R98" si="63">Q98</f>
        <v>0</v>
      </c>
      <c r="S98" s="147">
        <f t="shared" ref="S98" si="64">R98</f>
        <v>0</v>
      </c>
    </row>
    <row r="99" spans="1:19">
      <c r="B99" s="18" t="s">
        <v>482</v>
      </c>
      <c r="C99" s="1"/>
      <c r="D99" s="1"/>
      <c r="H99" s="405">
        <v>-71.161082616765853</v>
      </c>
      <c r="I99" s="405">
        <v>-73.093901777528075</v>
      </c>
      <c r="J99" s="405">
        <v>-74.654317733624922</v>
      </c>
      <c r="K99" s="405">
        <v>-54</v>
      </c>
      <c r="L99" s="405">
        <v>-70.226889654548501</v>
      </c>
      <c r="M99" s="405">
        <v>-47.973332174609304</v>
      </c>
      <c r="N99" s="23">
        <f>SUM(N92:N98)</f>
        <v>-84.756585663159171</v>
      </c>
      <c r="O99" s="23">
        <f t="shared" ref="O99:S99" si="65">SUM(O92:O98)</f>
        <v>-90.29311711139438</v>
      </c>
      <c r="P99" s="23">
        <f t="shared" si="65"/>
        <v>-95.884443197802895</v>
      </c>
      <c r="Q99" s="23">
        <f t="shared" si="65"/>
        <v>-101.56305509919598</v>
      </c>
      <c r="R99" s="23">
        <f t="shared" si="65"/>
        <v>-107.99412973266897</v>
      </c>
      <c r="S99" s="23">
        <f t="shared" si="65"/>
        <v>-115.26468214107898</v>
      </c>
    </row>
    <row r="100" spans="1:19">
      <c r="B100" s="22"/>
      <c r="C100" s="1"/>
      <c r="D100" s="1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</row>
    <row r="101" spans="1:19" s="62" customFormat="1">
      <c r="A101" s="10" t="s">
        <v>8</v>
      </c>
      <c r="B101" s="10" t="s">
        <v>483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3" spans="1:19">
      <c r="B103" s="1"/>
      <c r="C103" s="1" t="s">
        <v>313</v>
      </c>
      <c r="D103" s="1"/>
      <c r="H103" s="21">
        <f>美国!H658/1000</f>
        <v>-2.5944530000000001</v>
      </c>
      <c r="I103" s="21">
        <f>美国!I658/1000</f>
        <v>-2.0781049999999999</v>
      </c>
      <c r="J103" s="21">
        <f>美国!J658/1000</f>
        <v>-1.82972168</v>
      </c>
      <c r="K103" s="21">
        <f>美国!K658/1000</f>
        <v>-1.5649999999999999</v>
      </c>
      <c r="L103" s="21">
        <f>美国!L658/1000</f>
        <v>-1.7695100500000001</v>
      </c>
      <c r="M103" s="21">
        <f>美国!M658/1000</f>
        <v>-0.96375827999999975</v>
      </c>
      <c r="N103" s="21">
        <f>美国!N658/1000</f>
        <v>-1.790198399318921</v>
      </c>
      <c r="O103" s="21">
        <f>美国!O658/1000</f>
        <v>-1.9453531860607003</v>
      </c>
      <c r="P103" s="21">
        <f>美国!P658/1000</f>
        <v>-2.0903214604194043</v>
      </c>
      <c r="Q103" s="21">
        <f>美国!Q658/1000</f>
        <v>-2.2287119237269968</v>
      </c>
      <c r="R103" s="21">
        <f>美国!R658/1000</f>
        <v>-2.4042472756978026</v>
      </c>
      <c r="S103" s="21">
        <f>美国!S658/1000</f>
        <v>-2.6472191296100025</v>
      </c>
    </row>
    <row r="104" spans="1:19">
      <c r="B104" s="1"/>
      <c r="C104" s="1" t="s">
        <v>344</v>
      </c>
      <c r="D104" s="1"/>
      <c r="H104" s="21">
        <f>中国!H1020/1000/集团!H9</f>
        <v>-9.1335286730849727</v>
      </c>
      <c r="I104" s="21">
        <f>中国!I1020/1000/集团!I9</f>
        <v>-11.127340267459138</v>
      </c>
      <c r="J104" s="21">
        <f>中国!J1020/1000/集团!J9</f>
        <v>-11.182763532763534</v>
      </c>
      <c r="K104" s="21">
        <f>中国!K1020/1000/集团!K9</f>
        <v>-11.651126760563381</v>
      </c>
      <c r="L104" s="21">
        <f>中国!L1020/1000/集团!L9</f>
        <v>-14.062109196143281</v>
      </c>
      <c r="M104" s="21">
        <f>中国!M1020/1000/集团!M9</f>
        <v>-7.8239339368661858</v>
      </c>
      <c r="N104" s="21">
        <f>中国!N1020/1000/集团!N9</f>
        <v>-13.83021848444856</v>
      </c>
      <c r="O104" s="21">
        <f>中国!O1020/1000/集团!O9</f>
        <v>-15.82154664825554</v>
      </c>
      <c r="P104" s="21">
        <f>中国!P1020/1000/集团!P9</f>
        <v>-18.103687373777944</v>
      </c>
      <c r="Q104" s="21">
        <f>中国!Q1020/1000/集团!Q9</f>
        <v>-20.608111747926266</v>
      </c>
      <c r="R104" s="21">
        <f>中国!R1020/1000/集团!R9</f>
        <v>-23.363312135063239</v>
      </c>
      <c r="S104" s="21">
        <f>中国!S1020/1000/集团!S9</f>
        <v>-26.22288439244209</v>
      </c>
    </row>
    <row r="105" spans="1:19">
      <c r="B105" s="1"/>
      <c r="C105" s="1" t="s">
        <v>315</v>
      </c>
      <c r="D105" s="1"/>
      <c r="H105" s="21">
        <f>加拿大!H96/1000*集团!H11/集团!H9</f>
        <v>0</v>
      </c>
      <c r="I105" s="21">
        <f>加拿大!I96/1000*集团!I11/集团!I9</f>
        <v>-4.7622080237741449E-2</v>
      </c>
      <c r="J105" s="21">
        <f>加拿大!J96/1000*集团!J11/集团!J9</f>
        <v>-1.8706908831908835E-2</v>
      </c>
      <c r="K105" s="21">
        <f>加拿大!K96/1000*集团!K11/集团!K9</f>
        <v>0</v>
      </c>
      <c r="L105" s="21">
        <f>加拿大!L96/1000*集团!L11/集团!L9</f>
        <v>0</v>
      </c>
      <c r="M105" s="21">
        <f>加拿大!M96/1000*集团!M11/集团!M9</f>
        <v>4.9975170528253994E-3</v>
      </c>
      <c r="N105" s="21">
        <f>加拿大!N96/1000*集团!N11/集团!N9</f>
        <v>0</v>
      </c>
      <c r="O105" s="21">
        <f>加拿大!O96/1000*集团!O11/集团!O9</f>
        <v>0</v>
      </c>
      <c r="P105" s="21">
        <f>加拿大!P96/1000*集团!P11/集团!P9</f>
        <v>0</v>
      </c>
      <c r="Q105" s="21">
        <f>加拿大!Q96/1000*集团!Q11/集团!Q9</f>
        <v>0</v>
      </c>
      <c r="R105" s="21">
        <f>加拿大!R96/1000*集团!R11/集团!R9</f>
        <v>0</v>
      </c>
      <c r="S105" s="21">
        <f>加拿大!S96/1000*集团!S11/集团!S9</f>
        <v>0</v>
      </c>
    </row>
    <row r="106" spans="1:19">
      <c r="B106" s="1"/>
      <c r="C106" s="1" t="s">
        <v>316</v>
      </c>
      <c r="D106" s="1"/>
      <c r="H106" s="21">
        <f>0</f>
        <v>0</v>
      </c>
      <c r="I106" s="21">
        <f>0</f>
        <v>0</v>
      </c>
      <c r="J106" s="21">
        <f>0</f>
        <v>0</v>
      </c>
      <c r="K106" s="21">
        <f>0</f>
        <v>0</v>
      </c>
      <c r="L106" s="21">
        <f>0</f>
        <v>0</v>
      </c>
      <c r="M106" s="21">
        <f>0</f>
        <v>0</v>
      </c>
      <c r="N106" s="21">
        <f>0</f>
        <v>0</v>
      </c>
      <c r="O106" s="21">
        <f>0</f>
        <v>0</v>
      </c>
      <c r="P106" s="21">
        <f>0</f>
        <v>0</v>
      </c>
      <c r="Q106" s="21">
        <f>0</f>
        <v>0</v>
      </c>
      <c r="R106" s="21">
        <f>0</f>
        <v>0</v>
      </c>
      <c r="S106" s="21">
        <f>0</f>
        <v>0</v>
      </c>
    </row>
    <row r="107" spans="1:19">
      <c r="B107" s="1"/>
      <c r="C107" s="1" t="s">
        <v>317</v>
      </c>
      <c r="D107" s="1"/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80">
        <f>L107</f>
        <v>0</v>
      </c>
      <c r="O107" s="80">
        <f t="shared" ref="O107:S107" si="66">N107</f>
        <v>0</v>
      </c>
      <c r="P107" s="80">
        <f t="shared" si="66"/>
        <v>0</v>
      </c>
      <c r="Q107" s="80">
        <f t="shared" si="66"/>
        <v>0</v>
      </c>
      <c r="R107" s="80">
        <f t="shared" si="66"/>
        <v>0</v>
      </c>
      <c r="S107" s="80">
        <f t="shared" si="66"/>
        <v>0</v>
      </c>
    </row>
    <row r="108" spans="1:19">
      <c r="B108" s="1"/>
      <c r="C108" s="1" t="s">
        <v>347</v>
      </c>
      <c r="D108" s="1"/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80">
        <v>0</v>
      </c>
      <c r="O108" s="80">
        <v>0</v>
      </c>
      <c r="P108" s="80">
        <v>0</v>
      </c>
      <c r="Q108" s="80">
        <v>0</v>
      </c>
      <c r="R108" s="80">
        <v>0</v>
      </c>
      <c r="S108" s="80">
        <v>0</v>
      </c>
    </row>
    <row r="109" spans="1:19" ht="15" thickBot="1">
      <c r="B109" s="37"/>
      <c r="C109" s="37" t="s">
        <v>318</v>
      </c>
      <c r="D109" s="37"/>
      <c r="E109" s="142"/>
      <c r="F109" s="142"/>
      <c r="G109" s="142"/>
      <c r="H109" s="39">
        <f>H110-SUM(H103:H108)</f>
        <v>4.620870346982997E-5</v>
      </c>
      <c r="I109" s="39">
        <f t="shared" ref="I109:M109" si="67">I110-SUM(I103:I108)</f>
        <v>-6.3869021209956856E-3</v>
      </c>
      <c r="J109" s="39">
        <f t="shared" si="67"/>
        <v>5.5372062334573258E-3</v>
      </c>
      <c r="K109" s="39">
        <f t="shared" si="67"/>
        <v>0.21612676056338032</v>
      </c>
      <c r="L109" s="39">
        <f t="shared" si="67"/>
        <v>0</v>
      </c>
      <c r="M109" s="39">
        <f t="shared" si="67"/>
        <v>1.6451617403490104E-5</v>
      </c>
      <c r="N109" s="147">
        <f t="shared" ref="N109" si="68">L109</f>
        <v>0</v>
      </c>
      <c r="O109" s="147">
        <f t="shared" ref="O109" si="69">N109</f>
        <v>0</v>
      </c>
      <c r="P109" s="147">
        <f t="shared" ref="P109" si="70">O109</f>
        <v>0</v>
      </c>
      <c r="Q109" s="147">
        <f t="shared" ref="Q109" si="71">P109</f>
        <v>0</v>
      </c>
      <c r="R109" s="147">
        <f t="shared" ref="R109" si="72">Q109</f>
        <v>0</v>
      </c>
      <c r="S109" s="147">
        <f t="shared" ref="S109" si="73">R109</f>
        <v>0</v>
      </c>
    </row>
    <row r="110" spans="1:19">
      <c r="B110" s="18" t="s">
        <v>484</v>
      </c>
      <c r="C110" s="1"/>
      <c r="D110" s="1"/>
      <c r="H110" s="405">
        <v>-11.727935464381503</v>
      </c>
      <c r="I110" s="405">
        <v>-13.259454249817875</v>
      </c>
      <c r="J110" s="405">
        <v>-13.025654915361986</v>
      </c>
      <c r="K110" s="405">
        <v>-13</v>
      </c>
      <c r="L110" s="405">
        <v>-15.83161924614328</v>
      </c>
      <c r="M110" s="405">
        <v>-8.7826782481959569</v>
      </c>
      <c r="N110" s="23">
        <f t="shared" ref="N110:S110" si="74">SUM(N103:N109)</f>
        <v>-15.620416883767481</v>
      </c>
      <c r="O110" s="23">
        <f t="shared" si="74"/>
        <v>-17.766899834316241</v>
      </c>
      <c r="P110" s="23">
        <f t="shared" si="74"/>
        <v>-20.194008834197348</v>
      </c>
      <c r="Q110" s="23">
        <f t="shared" si="74"/>
        <v>-22.836823671653264</v>
      </c>
      <c r="R110" s="23">
        <f t="shared" si="74"/>
        <v>-25.767559410761042</v>
      </c>
      <c r="S110" s="23">
        <f t="shared" si="74"/>
        <v>-28.870103522052091</v>
      </c>
    </row>
    <row r="111" spans="1:19" s="206" customFormat="1">
      <c r="H111" s="207"/>
      <c r="I111" s="207"/>
      <c r="J111" s="207"/>
      <c r="K111" s="207"/>
    </row>
    <row r="112" spans="1:19" s="62" customFormat="1">
      <c r="A112" s="10" t="s">
        <v>8</v>
      </c>
      <c r="B112" s="10" t="s">
        <v>1007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4" spans="1:19">
      <c r="B114" s="1"/>
      <c r="C114" s="1" t="s">
        <v>313</v>
      </c>
      <c r="D114" s="1"/>
      <c r="H114" s="21">
        <f>美国!H669/1000</f>
        <v>-12.016</v>
      </c>
      <c r="I114" s="21">
        <f>美国!I669/1000</f>
        <v>-10.731</v>
      </c>
      <c r="J114" s="21">
        <f>美国!J669/1000</f>
        <v>-25.497</v>
      </c>
      <c r="K114" s="21">
        <f>美国!K669/1000</f>
        <v>-16.754999999999999</v>
      </c>
      <c r="L114" s="21">
        <f>美国!L669/1000</f>
        <v>-19.696886719999998</v>
      </c>
      <c r="M114" s="21">
        <f>美国!M669/1000</f>
        <v>-11.163322149999996</v>
      </c>
      <c r="N114" s="21">
        <f>美国!N669/1000</f>
        <v>-19.137123685714279</v>
      </c>
      <c r="O114" s="21">
        <f>美国!O669/1000</f>
        <v>-9.8124671409002779</v>
      </c>
      <c r="P114" s="21">
        <f>美国!P669/1000</f>
        <v>-8.5043606020449438</v>
      </c>
      <c r="Q114" s="21">
        <f>美国!Q669/1000</f>
        <v>-6.6599574300101834</v>
      </c>
      <c r="R114" s="21">
        <f>美国!R669/1000</f>
        <v>-5.4799574300101836</v>
      </c>
      <c r="S114" s="21">
        <f>美国!S669/1000</f>
        <v>-4.299957430010183</v>
      </c>
    </row>
    <row r="115" spans="1:19">
      <c r="B115" s="1"/>
      <c r="C115" s="1" t="s">
        <v>344</v>
      </c>
      <c r="D115" s="1"/>
      <c r="H115" s="21">
        <f>中国!H1033/1000/集团!H9</f>
        <v>-9.7214083065903907</v>
      </c>
      <c r="I115" s="21">
        <f>中国!I1033/1000/集团!I9</f>
        <v>-2.8459732540861813</v>
      </c>
      <c r="J115" s="21">
        <f>中国!J1033/1000/集团!J9</f>
        <v>-5.2995726495726503</v>
      </c>
      <c r="K115" s="21">
        <f>中国!K1033/1000/集团!K9</f>
        <v>-5.1728169014084502</v>
      </c>
      <c r="L115" s="21">
        <f>中国!L1033/1000/集团!L9</f>
        <v>-5.080101378015164</v>
      </c>
      <c r="M115" s="21">
        <f>中国!M1033/1000/集团!M9</f>
        <v>-4.9878240003870884</v>
      </c>
      <c r="N115" s="21">
        <f>中国!N1033/1000/集团!N9</f>
        <v>-9.9756480007741768</v>
      </c>
      <c r="O115" s="21">
        <f ca="1">中国!O1033/1000/集团!O9</f>
        <v>-7.4938854019166126</v>
      </c>
      <c r="P115" s="21">
        <f ca="1">中国!P1033/1000/集团!P9</f>
        <v>-7.0603854019166121</v>
      </c>
      <c r="Q115" s="21">
        <f ca="1">中国!Q1033/1000/集团!Q9</f>
        <v>-5.7125302206475181</v>
      </c>
      <c r="R115" s="21">
        <f ca="1">中国!R1033/1000/集团!R9</f>
        <v>-5.3195302206475192</v>
      </c>
      <c r="S115" s="21">
        <f ca="1">中国!S1033/1000/集团!S9</f>
        <v>-4.9265302206475194</v>
      </c>
    </row>
    <row r="116" spans="1:19">
      <c r="B116" s="1"/>
      <c r="C116" s="1" t="s">
        <v>315</v>
      </c>
      <c r="D116" s="1"/>
      <c r="H116" s="21">
        <f>加拿大!H99/1000*集团!H11/集团!H9</f>
        <v>3.4413221090491913E-2</v>
      </c>
      <c r="I116" s="21">
        <f>加拿大!I99/1000*集团!I11/集团!I9</f>
        <v>-0.12289569093610697</v>
      </c>
      <c r="J116" s="21">
        <f>加拿大!J99/1000*集团!J11/集团!J9</f>
        <v>-0.35767609686609686</v>
      </c>
      <c r="K116" s="21">
        <f>加拿大!K99/1000*集团!K11/集团!K9</f>
        <v>-0.35049295774647887</v>
      </c>
      <c r="L116" s="21">
        <f>加拿大!L99/1000*集团!L11/集团!L9</f>
        <v>-0.6407330719928247</v>
      </c>
      <c r="M116" s="21">
        <f>加拿大!M99/1000*集团!M11/集团!M9</f>
        <v>0.26940338637071254</v>
      </c>
      <c r="N116" s="21">
        <f>加拿大!N99/1000*集团!N11/集团!N9</f>
        <v>0.53880677274142508</v>
      </c>
      <c r="O116" s="21">
        <f>加拿大!O99/1000*集团!O11/集团!O9</f>
        <v>0</v>
      </c>
      <c r="P116" s="21">
        <f>加拿大!P99/1000*集团!P11/集团!P9</f>
        <v>0</v>
      </c>
      <c r="Q116" s="21">
        <f>加拿大!Q99/1000*集团!Q11/集团!Q9</f>
        <v>0</v>
      </c>
      <c r="R116" s="21">
        <f>加拿大!R99/1000*集团!R11/集团!R9</f>
        <v>0</v>
      </c>
      <c r="S116" s="21">
        <f>加拿大!S99/1000*集团!S11/集团!S9</f>
        <v>0</v>
      </c>
    </row>
    <row r="117" spans="1:19">
      <c r="B117" s="1"/>
      <c r="C117" s="1" t="s">
        <v>316</v>
      </c>
      <c r="D117" s="1"/>
      <c r="H117" s="21">
        <f>欧洲!H99/1000*H10/H9</f>
        <v>-0.51945447498565955</v>
      </c>
      <c r="I117" s="21">
        <f>欧洲!I99/1000*I10/I9</f>
        <v>-2.0455494650817232</v>
      </c>
      <c r="J117" s="21">
        <f>欧洲!J99/1000*J10/J9</f>
        <v>-2.5625059829059831</v>
      </c>
      <c r="K117" s="21">
        <f>欧洲!K99/1000*K10/K9</f>
        <v>-2.5321661971830989</v>
      </c>
      <c r="L117" s="21">
        <f>欧洲!L99/1000*L10/L9</f>
        <v>-2.4404201389460076</v>
      </c>
      <c r="M117" s="21">
        <f>欧洲!M99/1000*M10/M9</f>
        <v>-1.8908495631970261</v>
      </c>
      <c r="N117" s="21">
        <f>欧洲!N99/1000*N10/N9</f>
        <v>-3.7816991263940523</v>
      </c>
      <c r="O117" s="21">
        <f>欧洲!O99/1000*O10/O9</f>
        <v>0</v>
      </c>
      <c r="P117" s="21">
        <f>欧洲!P99/1000*P10/P9</f>
        <v>0</v>
      </c>
      <c r="Q117" s="21">
        <f>欧洲!Q99/1000*Q10/Q9</f>
        <v>0</v>
      </c>
      <c r="R117" s="21">
        <f>欧洲!R99/1000*R10/R9</f>
        <v>0</v>
      </c>
      <c r="S117" s="21">
        <f>欧洲!S99/1000*S10/S9</f>
        <v>0</v>
      </c>
    </row>
    <row r="118" spans="1:19">
      <c r="B118" s="1"/>
      <c r="C118" s="1" t="s">
        <v>317</v>
      </c>
      <c r="D118" s="1"/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80">
        <f>L118</f>
        <v>0</v>
      </c>
      <c r="O118" s="80">
        <f t="shared" ref="O118" si="75">N118</f>
        <v>0</v>
      </c>
      <c r="P118" s="80">
        <f t="shared" ref="P118" si="76">O118</f>
        <v>0</v>
      </c>
      <c r="Q118" s="80">
        <f t="shared" ref="Q118" si="77">P118</f>
        <v>0</v>
      </c>
      <c r="R118" s="80">
        <f t="shared" ref="R118" si="78">Q118</f>
        <v>0</v>
      </c>
      <c r="S118" s="80">
        <f t="shared" ref="S118" si="79">R118</f>
        <v>0</v>
      </c>
    </row>
    <row r="119" spans="1:19">
      <c r="B119" s="1"/>
      <c r="C119" s="1" t="s">
        <v>347</v>
      </c>
      <c r="D119" s="1"/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80">
        <v>0</v>
      </c>
      <c r="O119" s="80">
        <v>0</v>
      </c>
      <c r="P119" s="80">
        <v>0</v>
      </c>
      <c r="Q119" s="80">
        <v>0</v>
      </c>
      <c r="R119" s="80">
        <v>0</v>
      </c>
      <c r="S119" s="80">
        <v>0</v>
      </c>
    </row>
    <row r="120" spans="1:19" ht="15" thickBot="1">
      <c r="B120" s="37"/>
      <c r="C120" s="37" t="s">
        <v>318</v>
      </c>
      <c r="D120" s="37"/>
      <c r="E120" s="142"/>
      <c r="F120" s="142"/>
      <c r="G120" s="142"/>
      <c r="H120" s="39">
        <f>H121-SUM(H114:H119)</f>
        <v>-0.39899458046716774</v>
      </c>
      <c r="I120" s="39">
        <f t="shared" ref="I120" si="80">I121-SUM(I114:I119)</f>
        <v>-1.8460422439265844</v>
      </c>
      <c r="J120" s="39">
        <f t="shared" ref="J120" si="81">J121-SUM(J114:J119)</f>
        <v>-4.0119590963620908</v>
      </c>
      <c r="K120" s="39">
        <f t="shared" ref="K120" si="82">K121-SUM(K114:K119)</f>
        <v>-3.1895239436619747</v>
      </c>
      <c r="L120" s="39">
        <f t="shared" ref="L120" si="83">L121-SUM(L114:L119)</f>
        <v>-3.9254206184343339</v>
      </c>
      <c r="M120" s="39">
        <f t="shared" ref="M120:S120" si="84">M121-SUM(M114:M119)</f>
        <v>-3.0466446656030932</v>
      </c>
      <c r="N120" s="147">
        <v>-3</v>
      </c>
      <c r="O120" s="39">
        <f t="shared" ca="1" si="84"/>
        <v>4.8935732958057372</v>
      </c>
      <c r="P120" s="39">
        <f t="shared" ca="1" si="84"/>
        <v>5.6704761531119949</v>
      </c>
      <c r="Q120" s="39">
        <f t="shared" ca="1" si="84"/>
        <v>7.8282594705962394</v>
      </c>
      <c r="R120" s="39">
        <f t="shared" ca="1" si="84"/>
        <v>11.721100104136568</v>
      </c>
      <c r="S120" s="39">
        <f t="shared" ca="1" si="84"/>
        <v>16.954684247209101</v>
      </c>
    </row>
    <row r="121" spans="1:19">
      <c r="B121" s="18" t="s">
        <v>1010</v>
      </c>
      <c r="C121" s="1"/>
      <c r="D121" s="1"/>
      <c r="H121" s="405">
        <v>-22.621444140952725</v>
      </c>
      <c r="I121" s="405">
        <v>-17.591460654030595</v>
      </c>
      <c r="J121" s="405">
        <v>-37.728713825706819</v>
      </c>
      <c r="K121" s="405">
        <v>-28</v>
      </c>
      <c r="L121" s="405">
        <v>-31.783561927388327</v>
      </c>
      <c r="M121" s="405">
        <v>-20.819236992816492</v>
      </c>
      <c r="N121" s="23">
        <f>SUM(N114:N120)</f>
        <v>-35.355664040141086</v>
      </c>
      <c r="O121" s="23">
        <f ca="1">'债务&amp;权益'!Q71</f>
        <v>-12.412779247011152</v>
      </c>
      <c r="P121" s="23">
        <f ca="1">'债务&amp;权益'!R71</f>
        <v>-9.894269850849561</v>
      </c>
      <c r="Q121" s="23">
        <f ca="1">'债务&amp;权益'!S71</f>
        <v>-4.5442281800614621</v>
      </c>
      <c r="R121" s="23">
        <f ca="1">'债务&amp;权益'!T71</f>
        <v>0.92161245347886478</v>
      </c>
      <c r="S121" s="23">
        <f ca="1">'债务&amp;权益'!U71</f>
        <v>7.728196596551399</v>
      </c>
    </row>
    <row r="122" spans="1:19" s="206" customFormat="1">
      <c r="H122" s="207"/>
      <c r="I122" s="207"/>
      <c r="J122" s="207"/>
      <c r="K122" s="207"/>
    </row>
    <row r="123" spans="1:19" s="62" customFormat="1">
      <c r="A123" s="10" t="s">
        <v>8</v>
      </c>
      <c r="B123" s="10" t="s">
        <v>1002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5" spans="1:19">
      <c r="B125" s="1"/>
      <c r="C125" s="1" t="s">
        <v>313</v>
      </c>
      <c r="D125" s="1"/>
      <c r="H125" s="21">
        <f>美国!H673/1000</f>
        <v>-1.6719999999999999</v>
      </c>
      <c r="I125" s="21">
        <f>美国!I673/1000</f>
        <v>-1.4319999999999999</v>
      </c>
      <c r="J125" s="21">
        <f>美国!J673/1000</f>
        <v>-1.48</v>
      </c>
      <c r="K125" s="21">
        <f>美国!K673/1000</f>
        <v>-1.274</v>
      </c>
      <c r="L125" s="21">
        <f>美国!L673/1000</f>
        <v>-1.3586424500000001</v>
      </c>
      <c r="M125" s="21">
        <f>美国!M673/1000</f>
        <v>-0.65476955000000014</v>
      </c>
      <c r="N125" s="21">
        <f>美国!N673/1000</f>
        <v>-1.209174104450299</v>
      </c>
      <c r="O125" s="21">
        <f>美国!O673/1000</f>
        <v>-1.3139720700730169</v>
      </c>
      <c r="P125" s="21">
        <f>美国!P673/1000</f>
        <v>-1.4118896435598887</v>
      </c>
      <c r="Q125" s="21">
        <f>美国!Q673/1000</f>
        <v>-1.5053642911732947</v>
      </c>
      <c r="R125" s="21">
        <f>美国!R673/1000</f>
        <v>-1.6239281342084682</v>
      </c>
      <c r="S125" s="21">
        <f>美国!S673/1000</f>
        <v>-1.7880413821996897</v>
      </c>
    </row>
    <row r="126" spans="1:19">
      <c r="B126" s="1"/>
      <c r="C126" s="1" t="s">
        <v>344</v>
      </c>
      <c r="D126" s="1"/>
      <c r="H126" s="21">
        <f>中国!H1038/1000/H9</f>
        <v>-1.537757933739516</v>
      </c>
      <c r="I126" s="21">
        <f>中国!I1038/1000/I9</f>
        <v>-1.5853491827637443</v>
      </c>
      <c r="J126" s="21">
        <f>中国!J1038/1000/J9</f>
        <v>-1.7514245014245016</v>
      </c>
      <c r="K126" s="21">
        <f>中国!K1038/1000/K9</f>
        <v>-1.6238028169014085</v>
      </c>
      <c r="L126" s="21">
        <f>中国!L1038/1000/L9</f>
        <v>-2.5984611511295475</v>
      </c>
      <c r="M126" s="21">
        <f>中国!M1038/1000/M9</f>
        <v>-1.2438820948820599</v>
      </c>
      <c r="N126" s="21">
        <f>中国!N1038/1000/N9</f>
        <v>-2.106884664817096</v>
      </c>
      <c r="O126" s="21">
        <f>中国!O1038/1000/O9</f>
        <v>-2.4102420395151865</v>
      </c>
      <c r="P126" s="21">
        <f>中国!P1038/1000/P9</f>
        <v>-2.7579015723681439</v>
      </c>
      <c r="Q126" s="21">
        <f>中国!Q1038/1000/Q9</f>
        <v>-3.1394236223647121</v>
      </c>
      <c r="R126" s="21">
        <f>中国!R1038/1000/R9</f>
        <v>-3.5591486940029045</v>
      </c>
      <c r="S126" s="21">
        <f>中国!S1038/1000/S9</f>
        <v>-3.9947736947057129</v>
      </c>
    </row>
    <row r="127" spans="1:19">
      <c r="B127" s="1"/>
      <c r="C127" s="1" t="s">
        <v>315</v>
      </c>
      <c r="D127" s="1"/>
      <c r="H127" s="21">
        <f>加拿大!H103/1000*H11/H9</f>
        <v>-7.8211866114754353E-3</v>
      </c>
      <c r="I127" s="21">
        <f>加拿大!I103/1000*I11/I9</f>
        <v>-3.0723922734026743E-2</v>
      </c>
      <c r="J127" s="21">
        <f>加拿大!J103/1000*J11/J9</f>
        <v>-2.9931054131054135E-2</v>
      </c>
      <c r="K127" s="21">
        <f>加拿大!K103/1000*K11/K9</f>
        <v>0</v>
      </c>
      <c r="L127" s="21">
        <f>加拿大!L103/1000*L11/L9</f>
        <v>-2.9197824990190031E-2</v>
      </c>
      <c r="M127" s="21">
        <f>加拿大!M103/1000*M11/M9</f>
        <v>-2.0710238975854035E-2</v>
      </c>
      <c r="N127" s="21">
        <f>加拿大!N103/1000*N11/N9</f>
        <v>-4.0141847536489812E-2</v>
      </c>
      <c r="O127" s="21">
        <f>加拿大!O103/1000*O11/O9</f>
        <v>-4.459759261304018E-2</v>
      </c>
      <c r="P127" s="21">
        <f>加拿大!P103/1000*P11/P9</f>
        <v>-4.9547925393087652E-2</v>
      </c>
      <c r="Q127" s="21">
        <f>加拿大!Q103/1000*Q11/Q9</f>
        <v>-5.5047745111720392E-2</v>
      </c>
      <c r="R127" s="21">
        <f>加拿大!R103/1000*R11/R9</f>
        <v>-6.1158044819121356E-2</v>
      </c>
      <c r="S127" s="21">
        <f>加拿大!S103/1000*S11/S9</f>
        <v>-6.7946587794043833E-2</v>
      </c>
    </row>
    <row r="128" spans="1:19">
      <c r="B128" s="1"/>
      <c r="C128" s="1" t="s">
        <v>316</v>
      </c>
      <c r="D128" s="1"/>
      <c r="H128" s="21">
        <f>0</f>
        <v>0</v>
      </c>
      <c r="I128" s="21">
        <f>0</f>
        <v>0</v>
      </c>
      <c r="J128" s="21">
        <f>0</f>
        <v>0</v>
      </c>
      <c r="K128" s="21">
        <f>0</f>
        <v>0</v>
      </c>
      <c r="L128" s="21">
        <f>0</f>
        <v>0</v>
      </c>
      <c r="M128" s="21">
        <f>0</f>
        <v>0</v>
      </c>
      <c r="N128" s="21">
        <f>0</f>
        <v>0</v>
      </c>
      <c r="O128" s="21">
        <f>0</f>
        <v>0</v>
      </c>
      <c r="P128" s="21">
        <f>0</f>
        <v>0</v>
      </c>
      <c r="Q128" s="21">
        <f>0</f>
        <v>0</v>
      </c>
      <c r="R128" s="21">
        <f>0</f>
        <v>0</v>
      </c>
      <c r="S128" s="21">
        <f>0</f>
        <v>0</v>
      </c>
    </row>
    <row r="129" spans="1:19">
      <c r="B129" s="1"/>
      <c r="C129" s="1" t="s">
        <v>317</v>
      </c>
      <c r="D129" s="1"/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80">
        <f>L129</f>
        <v>0</v>
      </c>
      <c r="O129" s="80">
        <f t="shared" ref="O129" si="85">N129</f>
        <v>0</v>
      </c>
      <c r="P129" s="80">
        <f t="shared" ref="P129" si="86">O129</f>
        <v>0</v>
      </c>
      <c r="Q129" s="80">
        <f t="shared" ref="Q129" si="87">P129</f>
        <v>0</v>
      </c>
      <c r="R129" s="80">
        <f t="shared" ref="R129" si="88">Q129</f>
        <v>0</v>
      </c>
      <c r="S129" s="80">
        <f t="shared" ref="S129" si="89">R129</f>
        <v>0</v>
      </c>
    </row>
    <row r="130" spans="1:19">
      <c r="B130" s="1"/>
      <c r="C130" s="1" t="s">
        <v>347</v>
      </c>
      <c r="D130" s="1"/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80">
        <v>0</v>
      </c>
      <c r="O130" s="80">
        <v>0</v>
      </c>
      <c r="P130" s="80">
        <v>0</v>
      </c>
      <c r="Q130" s="80">
        <v>0</v>
      </c>
      <c r="R130" s="80">
        <v>0</v>
      </c>
      <c r="S130" s="80">
        <v>0</v>
      </c>
    </row>
    <row r="131" spans="1:19" ht="15" thickBot="1">
      <c r="B131" s="37"/>
      <c r="C131" s="37" t="s">
        <v>318</v>
      </c>
      <c r="D131" s="37"/>
      <c r="E131" s="142"/>
      <c r="F131" s="142"/>
      <c r="G131" s="142"/>
      <c r="H131" s="39">
        <f>H132-SUM(H125:H130)</f>
        <v>4.9012091716660322E-4</v>
      </c>
      <c r="I131" s="39">
        <f t="shared" ref="I131:M131" si="90">I132-SUM(I125:I130)</f>
        <v>-6.5655828956545648E-4</v>
      </c>
      <c r="J131" s="39">
        <f t="shared" si="90"/>
        <v>1.0249490081521984E-3</v>
      </c>
      <c r="K131" s="39">
        <f t="shared" si="90"/>
        <v>-0.10219718309859172</v>
      </c>
      <c r="L131" s="39">
        <f t="shared" si="90"/>
        <v>0</v>
      </c>
      <c r="M131" s="39">
        <f t="shared" si="90"/>
        <v>0</v>
      </c>
      <c r="N131" s="147">
        <f t="shared" ref="N131" si="91">L131</f>
        <v>0</v>
      </c>
      <c r="O131" s="147">
        <f t="shared" ref="O131" si="92">N131</f>
        <v>0</v>
      </c>
      <c r="P131" s="147">
        <f t="shared" ref="P131" si="93">O131</f>
        <v>0</v>
      </c>
      <c r="Q131" s="147">
        <f t="shared" ref="Q131" si="94">P131</f>
        <v>0</v>
      </c>
      <c r="R131" s="147">
        <f t="shared" ref="R131" si="95">Q131</f>
        <v>0</v>
      </c>
      <c r="S131" s="147">
        <f t="shared" ref="S131" si="96">R131</f>
        <v>0</v>
      </c>
    </row>
    <row r="132" spans="1:19">
      <c r="B132" s="18" t="s">
        <v>1005</v>
      </c>
      <c r="C132" s="1"/>
      <c r="D132" s="1"/>
      <c r="H132" s="405">
        <v>-3.2170889994338245</v>
      </c>
      <c r="I132" s="405">
        <v>-3.048729663787336</v>
      </c>
      <c r="J132" s="405">
        <v>-3.2603306065474036</v>
      </c>
      <c r="K132" s="405">
        <v>-3</v>
      </c>
      <c r="L132" s="405">
        <v>-3.9863014261197383</v>
      </c>
      <c r="M132" s="405">
        <v>-1.9193618838579136</v>
      </c>
      <c r="N132" s="23">
        <f t="shared" ref="N132:S132" si="97">SUM(N125:N131)</f>
        <v>-3.3562006168038847</v>
      </c>
      <c r="O132" s="23">
        <f t="shared" si="97"/>
        <v>-3.7688117022012433</v>
      </c>
      <c r="P132" s="23">
        <f t="shared" si="97"/>
        <v>-4.2193391413211208</v>
      </c>
      <c r="Q132" s="23">
        <f t="shared" si="97"/>
        <v>-4.699835658649727</v>
      </c>
      <c r="R132" s="23">
        <f t="shared" si="97"/>
        <v>-5.2442348730304946</v>
      </c>
      <c r="S132" s="23">
        <f t="shared" si="97"/>
        <v>-5.850761664699446</v>
      </c>
    </row>
    <row r="133" spans="1:19" s="206" customFormat="1">
      <c r="H133" s="207"/>
      <c r="I133" s="207"/>
      <c r="J133" s="207"/>
      <c r="K133" s="207"/>
    </row>
    <row r="134" spans="1:19" s="62" customFormat="1">
      <c r="A134" s="10" t="s">
        <v>8</v>
      </c>
      <c r="B134" s="10" t="s">
        <v>1008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6" spans="1:19">
      <c r="B136" s="1"/>
      <c r="C136" s="1" t="s">
        <v>313</v>
      </c>
      <c r="D136" s="1"/>
      <c r="H136" s="21">
        <f>美国!H675/1000</f>
        <v>-1.492</v>
      </c>
      <c r="I136" s="21">
        <f>美国!I675/1000</f>
        <v>-0.20200000000000001</v>
      </c>
      <c r="J136" s="21">
        <f>美国!J675/1000</f>
        <v>0.14499999999999999</v>
      </c>
      <c r="K136" s="21">
        <f>美国!K675/1000</f>
        <v>0</v>
      </c>
      <c r="L136" s="21">
        <f>美国!L675/1000</f>
        <v>-7.8758999999999996E-2</v>
      </c>
      <c r="M136" s="21">
        <f>美国!M675/1000</f>
        <v>0</v>
      </c>
      <c r="N136" s="21">
        <f>美国!N675/1000</f>
        <v>0</v>
      </c>
      <c r="O136" s="21">
        <f>美国!O675/1000</f>
        <v>0</v>
      </c>
      <c r="P136" s="21">
        <f>美国!P675/1000</f>
        <v>0</v>
      </c>
      <c r="Q136" s="21">
        <f>美国!Q675/1000</f>
        <v>0</v>
      </c>
      <c r="R136" s="21">
        <f>美国!R675/1000</f>
        <v>0</v>
      </c>
      <c r="S136" s="21">
        <f>美国!S675/1000</f>
        <v>0</v>
      </c>
    </row>
    <row r="137" spans="1:19">
      <c r="B137" s="1"/>
      <c r="C137" s="1" t="s">
        <v>344</v>
      </c>
      <c r="D137" s="1"/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</row>
    <row r="138" spans="1:19">
      <c r="B138" s="1"/>
      <c r="C138" s="1" t="s">
        <v>315</v>
      </c>
      <c r="D138" s="1"/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</row>
    <row r="139" spans="1:19">
      <c r="B139" s="1"/>
      <c r="C139" s="1" t="s">
        <v>316</v>
      </c>
      <c r="D139" s="1"/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</row>
    <row r="140" spans="1:19">
      <c r="B140" s="1"/>
      <c r="C140" s="1" t="s">
        <v>317</v>
      </c>
      <c r="D140" s="1"/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80">
        <f>M140</f>
        <v>0</v>
      </c>
      <c r="O140" s="80">
        <f t="shared" ref="O140:S140" si="98">N140</f>
        <v>0</v>
      </c>
      <c r="P140" s="80">
        <f t="shared" si="98"/>
        <v>0</v>
      </c>
      <c r="Q140" s="80">
        <f t="shared" si="98"/>
        <v>0</v>
      </c>
      <c r="R140" s="80">
        <f t="shared" si="98"/>
        <v>0</v>
      </c>
      <c r="S140" s="80">
        <f t="shared" si="98"/>
        <v>0</v>
      </c>
    </row>
    <row r="141" spans="1:19">
      <c r="B141" s="1"/>
      <c r="C141" s="1" t="s">
        <v>347</v>
      </c>
      <c r="D141" s="1"/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80">
        <f t="shared" ref="N141:S142" si="99">M141</f>
        <v>0</v>
      </c>
      <c r="O141" s="80">
        <f t="shared" si="99"/>
        <v>0</v>
      </c>
      <c r="P141" s="80">
        <f t="shared" si="99"/>
        <v>0</v>
      </c>
      <c r="Q141" s="80">
        <f t="shared" si="99"/>
        <v>0</v>
      </c>
      <c r="R141" s="80">
        <f t="shared" si="99"/>
        <v>0</v>
      </c>
      <c r="S141" s="80">
        <f t="shared" si="99"/>
        <v>0</v>
      </c>
    </row>
    <row r="142" spans="1:19" ht="15" thickBot="1">
      <c r="B142" s="37"/>
      <c r="C142" s="37" t="s">
        <v>318</v>
      </c>
      <c r="D142" s="37"/>
      <c r="E142" s="142"/>
      <c r="F142" s="142"/>
      <c r="G142" s="142"/>
      <c r="H142" s="39">
        <f>H143-SUM(H136:H141)</f>
        <v>4.9414000000003178E-4</v>
      </c>
      <c r="I142" s="39">
        <f t="shared" ref="I142" si="100">I143-SUM(I136:I141)</f>
        <v>9.3930000000019831E-5</v>
      </c>
      <c r="J142" s="39">
        <f t="shared" ref="J142" si="101">J143-SUM(J136:J141)</f>
        <v>-3.3410000000000384E-4</v>
      </c>
      <c r="K142" s="39">
        <f t="shared" ref="K142" si="102">K143-SUM(K136:K141)</f>
        <v>0</v>
      </c>
      <c r="L142" s="39">
        <f t="shared" ref="L142" si="103">L143-SUM(L136:L141)</f>
        <v>0</v>
      </c>
      <c r="M142" s="39">
        <f t="shared" ref="M142" si="104">M143-SUM(M136:M141)</f>
        <v>0</v>
      </c>
      <c r="N142" s="80">
        <f t="shared" si="99"/>
        <v>0</v>
      </c>
      <c r="O142" s="80">
        <f t="shared" si="99"/>
        <v>0</v>
      </c>
      <c r="P142" s="80">
        <f t="shared" si="99"/>
        <v>0</v>
      </c>
      <c r="Q142" s="80">
        <f t="shared" si="99"/>
        <v>0</v>
      </c>
      <c r="R142" s="80">
        <f t="shared" si="99"/>
        <v>0</v>
      </c>
      <c r="S142" s="80">
        <f t="shared" si="99"/>
        <v>0</v>
      </c>
    </row>
    <row r="143" spans="1:19">
      <c r="B143" s="18" t="s">
        <v>1009</v>
      </c>
      <c r="C143" s="1"/>
      <c r="D143" s="1"/>
      <c r="H143" s="405">
        <v>-1.49150586</v>
      </c>
      <c r="I143" s="405">
        <v>-0.20190606999999999</v>
      </c>
      <c r="J143" s="405">
        <v>0.14466589999999999</v>
      </c>
      <c r="K143" s="405">
        <v>0</v>
      </c>
      <c r="L143" s="405">
        <v>-7.8758999999999996E-2</v>
      </c>
      <c r="M143" s="405">
        <v>0</v>
      </c>
      <c r="N143" s="23">
        <f t="shared" ref="N143:S143" si="105">SUM(N136:N142)</f>
        <v>0</v>
      </c>
      <c r="O143" s="23">
        <f t="shared" si="105"/>
        <v>0</v>
      </c>
      <c r="P143" s="23">
        <f t="shared" si="105"/>
        <v>0</v>
      </c>
      <c r="Q143" s="23">
        <f t="shared" si="105"/>
        <v>0</v>
      </c>
      <c r="R143" s="23">
        <f t="shared" si="105"/>
        <v>0</v>
      </c>
      <c r="S143" s="23">
        <f t="shared" si="105"/>
        <v>0</v>
      </c>
    </row>
    <row r="144" spans="1:19" s="206" customFormat="1">
      <c r="H144" s="207"/>
      <c r="I144" s="207"/>
      <c r="J144" s="207"/>
      <c r="K144" s="207"/>
    </row>
    <row r="145" spans="1:19" s="62" customFormat="1">
      <c r="A145" s="10" t="s">
        <v>8</v>
      </c>
      <c r="B145" s="10" t="s">
        <v>1004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7" spans="1:19">
      <c r="B147" s="1"/>
      <c r="C147" s="1" t="s">
        <v>313</v>
      </c>
      <c r="D147" s="1"/>
      <c r="H147" s="21">
        <f>美国!H677/1000</f>
        <v>-20.056999999999999</v>
      </c>
      <c r="I147" s="21">
        <f>美国!I677/1000</f>
        <v>-15.542999999999999</v>
      </c>
      <c r="J147" s="21">
        <f>美国!J677/1000</f>
        <v>-14.417</v>
      </c>
      <c r="K147" s="21">
        <f>美国!K677/1000</f>
        <v>-10.129</v>
      </c>
      <c r="L147" s="21">
        <f>美国!L677/1000</f>
        <v>-11.758737610000001</v>
      </c>
      <c r="M147" s="21">
        <f>美国!M677/1000</f>
        <v>-5.5972371700000005</v>
      </c>
      <c r="N147" s="21">
        <f>美国!N677/1000</f>
        <v>-10.336513422822847</v>
      </c>
      <c r="O147" s="21">
        <f>美国!O677/1000</f>
        <v>-11.232369176230833</v>
      </c>
      <c r="P147" s="21">
        <f>美国!P677/1000</f>
        <v>-12.069408531400793</v>
      </c>
      <c r="Q147" s="21">
        <f>美国!Q677/1000</f>
        <v>-12.868467944097075</v>
      </c>
      <c r="R147" s="21">
        <f>美国!R677/1000</f>
        <v>-13.882000032225667</v>
      </c>
      <c r="S147" s="21">
        <f>美国!S677/1000</f>
        <v>-15.284907011858261</v>
      </c>
    </row>
    <row r="148" spans="1:19">
      <c r="B148" s="1"/>
      <c r="C148" s="1" t="s">
        <v>344</v>
      </c>
      <c r="D148" s="1"/>
      <c r="H148" s="21">
        <f>中国!H1040/1000/H9</f>
        <v>-0.41362417251910766</v>
      </c>
      <c r="I148" s="21">
        <f>中国!I1040/1000/I9</f>
        <v>-0.41589895988112924</v>
      </c>
      <c r="J148" s="21">
        <f>中国!J1040/1000/J9</f>
        <v>-0.92578347578347575</v>
      </c>
      <c r="K148" s="21">
        <f>中国!K1040/1000/K9</f>
        <v>-0.21281690140845069</v>
      </c>
      <c r="L148" s="21">
        <f>中国!L1040/1000/L9</f>
        <v>-1.4708033269802119</v>
      </c>
      <c r="M148" s="21">
        <f>中国!M1040/1000/M9</f>
        <v>0.48024837562248046</v>
      </c>
      <c r="N148" s="21">
        <f>中国!N1040/1000/N9</f>
        <v>0</v>
      </c>
      <c r="O148" s="21">
        <f>中国!O1040/1000/O9</f>
        <v>0</v>
      </c>
      <c r="P148" s="21">
        <f>中国!P1040/1000/P9</f>
        <v>0</v>
      </c>
      <c r="Q148" s="21">
        <f>中国!Q1040/1000/Q9</f>
        <v>0</v>
      </c>
      <c r="R148" s="21">
        <f>中国!R1040/1000/R9</f>
        <v>0</v>
      </c>
      <c r="S148" s="21">
        <f>中国!S1040/1000/S9</f>
        <v>0</v>
      </c>
    </row>
    <row r="149" spans="1:19">
      <c r="B149" s="1"/>
      <c r="C149" s="1" t="s">
        <v>315</v>
      </c>
      <c r="D149" s="1"/>
      <c r="H149" s="21">
        <f>0</f>
        <v>0</v>
      </c>
      <c r="I149" s="21">
        <f>0</f>
        <v>0</v>
      </c>
      <c r="J149" s="21">
        <f>0</f>
        <v>0</v>
      </c>
      <c r="K149" s="21">
        <f>0</f>
        <v>0</v>
      </c>
      <c r="L149" s="21">
        <f>0</f>
        <v>0</v>
      </c>
      <c r="M149" s="21">
        <f>0</f>
        <v>0</v>
      </c>
      <c r="N149" s="21">
        <f>0</f>
        <v>0</v>
      </c>
      <c r="O149" s="21">
        <f>0</f>
        <v>0</v>
      </c>
      <c r="P149" s="21">
        <f>0</f>
        <v>0</v>
      </c>
      <c r="Q149" s="21">
        <f>0</f>
        <v>0</v>
      </c>
      <c r="R149" s="21">
        <f>0</f>
        <v>0</v>
      </c>
      <c r="S149" s="21">
        <f>0</f>
        <v>0</v>
      </c>
    </row>
    <row r="150" spans="1:19">
      <c r="B150" s="1"/>
      <c r="C150" s="1" t="s">
        <v>316</v>
      </c>
      <c r="D150" s="1"/>
      <c r="H150" s="21">
        <f>0</f>
        <v>0</v>
      </c>
      <c r="I150" s="21">
        <f>0</f>
        <v>0</v>
      </c>
      <c r="J150" s="21">
        <f>0</f>
        <v>0</v>
      </c>
      <c r="K150" s="21">
        <f>0</f>
        <v>0</v>
      </c>
      <c r="L150" s="21">
        <f>0</f>
        <v>0</v>
      </c>
      <c r="M150" s="21">
        <f>0</f>
        <v>0</v>
      </c>
      <c r="N150" s="21">
        <f>0</f>
        <v>0</v>
      </c>
      <c r="O150" s="21">
        <f>0</f>
        <v>0</v>
      </c>
      <c r="P150" s="21">
        <f>0</f>
        <v>0</v>
      </c>
      <c r="Q150" s="21">
        <f>0</f>
        <v>0</v>
      </c>
      <c r="R150" s="21">
        <f>0</f>
        <v>0</v>
      </c>
      <c r="S150" s="21">
        <f>0</f>
        <v>0</v>
      </c>
    </row>
    <row r="151" spans="1:19">
      <c r="B151" s="1"/>
      <c r="C151" s="1" t="s">
        <v>317</v>
      </c>
      <c r="D151" s="1"/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80">
        <f>L151</f>
        <v>0</v>
      </c>
      <c r="O151" s="80">
        <f t="shared" ref="O151" si="106">N151</f>
        <v>0</v>
      </c>
      <c r="P151" s="80">
        <f t="shared" ref="P151" si="107">O151</f>
        <v>0</v>
      </c>
      <c r="Q151" s="80">
        <f t="shared" ref="Q151" si="108">P151</f>
        <v>0</v>
      </c>
      <c r="R151" s="80">
        <f t="shared" ref="R151" si="109">Q151</f>
        <v>0</v>
      </c>
      <c r="S151" s="80">
        <f t="shared" ref="S151" si="110">R151</f>
        <v>0</v>
      </c>
    </row>
    <row r="152" spans="1:19">
      <c r="B152" s="1"/>
      <c r="C152" s="1" t="s">
        <v>347</v>
      </c>
      <c r="D152" s="1"/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80">
        <v>0</v>
      </c>
      <c r="O152" s="80">
        <v>0</v>
      </c>
      <c r="P152" s="80">
        <v>0</v>
      </c>
      <c r="Q152" s="80">
        <v>0</v>
      </c>
      <c r="R152" s="80">
        <v>0</v>
      </c>
      <c r="S152" s="80">
        <v>0</v>
      </c>
    </row>
    <row r="153" spans="1:19" ht="15" thickBot="1">
      <c r="B153" s="37"/>
      <c r="C153" s="37" t="s">
        <v>318</v>
      </c>
      <c r="D153" s="37"/>
      <c r="E153" s="142"/>
      <c r="F153" s="142"/>
      <c r="G153" s="142"/>
      <c r="H153" s="39">
        <f>H154-SUM(H147:H152)</f>
        <v>-2.4593027441000004E-4</v>
      </c>
      <c r="I153" s="39">
        <f t="shared" ref="I153" si="111">I154-SUM(I147:I152)</f>
        <v>-2.5971019620666169E-2</v>
      </c>
      <c r="J153" s="39">
        <f t="shared" ref="J153" si="112">J154-SUM(J147:J152)</f>
        <v>1.4260042348190893E-4</v>
      </c>
      <c r="K153" s="39">
        <f t="shared" ref="K153" si="113">K154-SUM(K147:K152)</f>
        <v>0.34181690140844978</v>
      </c>
      <c r="L153" s="39">
        <f t="shared" ref="L153" si="114">L154-SUM(L147:L152)</f>
        <v>-0.23507358736476291</v>
      </c>
      <c r="M153" s="39">
        <f t="shared" ref="M153" si="115">M154-SUM(M147:M152)</f>
        <v>0</v>
      </c>
      <c r="N153" s="147">
        <f t="shared" ref="N153" si="116">L153</f>
        <v>-0.23507358736476291</v>
      </c>
      <c r="O153" s="147">
        <f t="shared" ref="O153" si="117">N153</f>
        <v>-0.23507358736476291</v>
      </c>
      <c r="P153" s="147">
        <f t="shared" ref="P153" si="118">O153</f>
        <v>-0.23507358736476291</v>
      </c>
      <c r="Q153" s="147">
        <f t="shared" ref="Q153" si="119">P153</f>
        <v>-0.23507358736476291</v>
      </c>
      <c r="R153" s="147">
        <f t="shared" ref="R153" si="120">Q153</f>
        <v>-0.23507358736476291</v>
      </c>
      <c r="S153" s="147">
        <f t="shared" ref="S153" si="121">R153</f>
        <v>-0.23507358736476291</v>
      </c>
    </row>
    <row r="154" spans="1:19">
      <c r="B154" s="18" t="s">
        <v>1006</v>
      </c>
      <c r="C154" s="1"/>
      <c r="D154" s="1"/>
      <c r="H154" s="405">
        <v>-20.470870102793516</v>
      </c>
      <c r="I154" s="405">
        <v>-15.984869979501795</v>
      </c>
      <c r="J154" s="405">
        <v>-15.342640875359994</v>
      </c>
      <c r="K154" s="405">
        <v>-10</v>
      </c>
      <c r="L154" s="405">
        <v>-13.464614524344976</v>
      </c>
      <c r="M154" s="405">
        <v>-5.1169887943775203</v>
      </c>
      <c r="N154" s="23">
        <f t="shared" ref="N154:S154" si="122">SUM(N147:N153)</f>
        <v>-10.57158701018761</v>
      </c>
      <c r="O154" s="23">
        <f t="shared" si="122"/>
        <v>-11.467442763595596</v>
      </c>
      <c r="P154" s="23">
        <f t="shared" si="122"/>
        <v>-12.304482118765556</v>
      </c>
      <c r="Q154" s="23">
        <f t="shared" si="122"/>
        <v>-13.103541531461838</v>
      </c>
      <c r="R154" s="23">
        <f t="shared" si="122"/>
        <v>-14.11707361959043</v>
      </c>
      <c r="S154" s="23">
        <f t="shared" si="122"/>
        <v>-15.519980599223024</v>
      </c>
    </row>
    <row r="155" spans="1:19" s="206" customFormat="1">
      <c r="H155" s="207"/>
      <c r="I155" s="207"/>
      <c r="J155" s="207"/>
      <c r="K155" s="207"/>
    </row>
    <row r="156" spans="1:19" s="62" customFormat="1">
      <c r="A156" s="10" t="s">
        <v>8</v>
      </c>
      <c r="B156" s="10" t="s">
        <v>1012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8" spans="1:19">
      <c r="B158" s="1"/>
      <c r="C158" s="1" t="s">
        <v>313</v>
      </c>
      <c r="D158" s="1"/>
      <c r="H158" s="21">
        <f>美国!H679/1000</f>
        <v>-2E-3</v>
      </c>
      <c r="I158" s="21">
        <f>美国!I679/1000</f>
        <v>-0.151</v>
      </c>
      <c r="J158" s="21">
        <f>美国!J679/1000</f>
        <v>-5.2999999999999999E-2</v>
      </c>
      <c r="K158" s="21">
        <f>美国!K679/1000</f>
        <v>-4.9000000000000002E-2</v>
      </c>
      <c r="L158" s="21">
        <f>美国!L679/1000</f>
        <v>-5.8522039999999997E-2</v>
      </c>
      <c r="M158" s="21">
        <f>美国!M679/1000</f>
        <v>-4.1509620000000004E-2</v>
      </c>
      <c r="N158" s="21">
        <f>美国!N679/1000</f>
        <v>-7.6656523794627021E-2</v>
      </c>
      <c r="O158" s="21">
        <f>美国!O679/1000</f>
        <v>-8.3300271552555094E-2</v>
      </c>
      <c r="P158" s="21">
        <f>美国!P679/1000</f>
        <v>-8.9507831550973041E-2</v>
      </c>
      <c r="Q158" s="21">
        <f>美国!Q679/1000</f>
        <v>-9.5433728841197371E-2</v>
      </c>
      <c r="R158" s="21">
        <f>美国!R679/1000</f>
        <v>-0.10295017500172775</v>
      </c>
      <c r="S158" s="21">
        <f>美国!S679/1000</f>
        <v>-0.11335426077676318</v>
      </c>
    </row>
    <row r="159" spans="1:19">
      <c r="B159" s="1"/>
      <c r="C159" s="1" t="s">
        <v>344</v>
      </c>
      <c r="D159" s="1"/>
      <c r="H159" s="21">
        <f>中国!H1051/1000/H20</f>
        <v>0.1040336146603687</v>
      </c>
      <c r="I159" s="21">
        <f>中国!I1051/1000/I20</f>
        <v>-0.14843769085242542</v>
      </c>
      <c r="J159" s="21">
        <f>中国!J1051/1000/J20</f>
        <v>-0.17927365700963191</v>
      </c>
      <c r="K159" s="21">
        <f>中国!K1051/1000/K20</f>
        <v>-0.35362687958648775</v>
      </c>
      <c r="L159" s="21">
        <f>中国!L1051/1000/L20</f>
        <v>-0.32656869069760636</v>
      </c>
      <c r="M159" s="21">
        <f>中国!M1051/1000/M20</f>
        <v>-0.21956193815804353</v>
      </c>
      <c r="N159" s="21">
        <f>中国!N1051/1000/N20</f>
        <v>-0.2719159054248208</v>
      </c>
      <c r="O159" s="21">
        <f ca="1">中国!O1051/1000/O20</f>
        <v>-0.35522539484846499</v>
      </c>
      <c r="P159" s="21">
        <f ca="1">中国!P1051/1000/P20</f>
        <v>-0.41184450792091137</v>
      </c>
      <c r="Q159" s="21">
        <f ca="1">中国!Q1051/1000/Q20</f>
        <v>-0.46448113660056667</v>
      </c>
      <c r="R159" s="21">
        <f ca="1">中国!R1051/1000/R20</f>
        <v>-0.50191394484058027</v>
      </c>
      <c r="S159" s="21">
        <f ca="1">中国!S1051/1000/S20</f>
        <v>-0.52410024954528711</v>
      </c>
    </row>
    <row r="160" spans="1:19">
      <c r="B160" s="1"/>
      <c r="C160" s="1" t="s">
        <v>315</v>
      </c>
      <c r="D160" s="1"/>
      <c r="H160" s="21">
        <f>加拿大!H105/1000*H11/H9</f>
        <v>0</v>
      </c>
      <c r="I160" s="21">
        <f>加拿大!I105/1000*I11/I9</f>
        <v>6.9896924219910839E-2</v>
      </c>
      <c r="J160" s="21">
        <f>加拿大!J105/1000*J11/J9</f>
        <v>-0.40481750712250719</v>
      </c>
      <c r="K160" s="21">
        <f>加拿大!K105/1000*K11/K9</f>
        <v>0</v>
      </c>
      <c r="L160" s="21">
        <f>加拿大!L105/1000*L11/L9</f>
        <v>0.70013495931638547</v>
      </c>
      <c r="M160" s="21">
        <f>加拿大!M105/1000*M11/M9</f>
        <v>0</v>
      </c>
      <c r="N160" s="21">
        <f>加拿大!N105/1000*N11/N9</f>
        <v>0.12991859111925053</v>
      </c>
      <c r="O160" s="21">
        <f>加拿大!O105/1000*O11/O9</f>
        <v>0.14433955473348734</v>
      </c>
      <c r="P160" s="21">
        <f>加拿大!P105/1000*P11/P9</f>
        <v>0.16036124530890447</v>
      </c>
      <c r="Q160" s="21">
        <f>加拿大!Q105/1000*Q11/Q9</f>
        <v>0.17816134353819291</v>
      </c>
      <c r="R160" s="21">
        <f>加拿大!R105/1000*R11/R9</f>
        <v>0.19793725267093235</v>
      </c>
      <c r="S160" s="21">
        <f>加拿大!S105/1000*S11/S9</f>
        <v>0.21990828771740586</v>
      </c>
    </row>
    <row r="161" spans="1:19">
      <c r="B161" s="1"/>
      <c r="C161" s="1" t="s">
        <v>316</v>
      </c>
      <c r="D161" s="1"/>
      <c r="H161" s="21">
        <f>0</f>
        <v>0</v>
      </c>
      <c r="I161" s="21">
        <f>0</f>
        <v>0</v>
      </c>
      <c r="J161" s="21">
        <f>0</f>
        <v>0</v>
      </c>
      <c r="K161" s="21">
        <f>0</f>
        <v>0</v>
      </c>
      <c r="L161" s="21">
        <f>0</f>
        <v>0</v>
      </c>
      <c r="M161" s="21">
        <f>0</f>
        <v>0</v>
      </c>
      <c r="N161" s="21">
        <f>0</f>
        <v>0</v>
      </c>
      <c r="O161" s="21">
        <f>0</f>
        <v>0</v>
      </c>
      <c r="P161" s="21">
        <f>0</f>
        <v>0</v>
      </c>
      <c r="Q161" s="21">
        <f>0</f>
        <v>0</v>
      </c>
      <c r="R161" s="21">
        <f>0</f>
        <v>0</v>
      </c>
      <c r="S161" s="21">
        <f>0</f>
        <v>0</v>
      </c>
    </row>
    <row r="162" spans="1:19">
      <c r="B162" s="1"/>
      <c r="C162" s="1" t="s">
        <v>317</v>
      </c>
      <c r="D162" s="1"/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80">
        <f>L162</f>
        <v>0</v>
      </c>
      <c r="O162" s="80">
        <f t="shared" ref="O162" si="123">N162</f>
        <v>0</v>
      </c>
      <c r="P162" s="80">
        <f t="shared" ref="P162" si="124">O162</f>
        <v>0</v>
      </c>
      <c r="Q162" s="80">
        <f t="shared" ref="Q162" si="125">P162</f>
        <v>0</v>
      </c>
      <c r="R162" s="80">
        <f t="shared" ref="R162" si="126">Q162</f>
        <v>0</v>
      </c>
      <c r="S162" s="80">
        <f t="shared" ref="S162" si="127">R162</f>
        <v>0</v>
      </c>
    </row>
    <row r="163" spans="1:19">
      <c r="B163" s="1"/>
      <c r="C163" s="1" t="s">
        <v>347</v>
      </c>
      <c r="D163" s="1"/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</row>
    <row r="164" spans="1:19" ht="15" thickBot="1">
      <c r="B164" s="37"/>
      <c r="C164" s="37" t="s">
        <v>318</v>
      </c>
      <c r="D164" s="37"/>
      <c r="E164" s="142"/>
      <c r="F164" s="142"/>
      <c r="G164" s="142"/>
      <c r="H164" s="39">
        <f>H165-SUM(H158:H163)</f>
        <v>-0.10440272321346099</v>
      </c>
      <c r="I164" s="39">
        <f t="shared" ref="I164" si="128">I165-SUM(I158:I163)</f>
        <v>0.14866656147648105</v>
      </c>
      <c r="J164" s="39">
        <f t="shared" ref="J164" si="129">J165-SUM(J158:J163)</f>
        <v>0.18011423622861233</v>
      </c>
      <c r="K164" s="39">
        <f t="shared" ref="K164" si="130">K165-SUM(K158:K163)</f>
        <v>0.40262687958648774</v>
      </c>
      <c r="L164" s="39">
        <f t="shared" ref="L164" si="131">L165-SUM(L158:L163)</f>
        <v>0.32656869069760641</v>
      </c>
      <c r="M164" s="39">
        <f t="shared" ref="M164" si="132">M165-SUM(M158:M163)</f>
        <v>0.21956193815804356</v>
      </c>
      <c r="N164" s="147">
        <f t="shared" ref="N164" si="133">L164</f>
        <v>0.32656869069760641</v>
      </c>
      <c r="O164" s="147">
        <f t="shared" ref="O164" si="134">N164</f>
        <v>0.32656869069760641</v>
      </c>
      <c r="P164" s="147">
        <f t="shared" ref="P164" si="135">O164</f>
        <v>0.32656869069760641</v>
      </c>
      <c r="Q164" s="147">
        <f t="shared" ref="Q164" si="136">P164</f>
        <v>0.32656869069760641</v>
      </c>
      <c r="R164" s="147">
        <f t="shared" ref="R164" si="137">Q164</f>
        <v>0.32656869069760641</v>
      </c>
      <c r="S164" s="147">
        <f t="shared" ref="S164" si="138">R164</f>
        <v>0.32656869069760641</v>
      </c>
    </row>
    <row r="165" spans="1:19">
      <c r="B165" s="18" t="s">
        <v>1013</v>
      </c>
      <c r="C165" s="1"/>
      <c r="D165" s="1"/>
      <c r="H165" s="405">
        <v>-2.3691085530922916E-3</v>
      </c>
      <c r="I165" s="405">
        <v>-8.0874205156033552E-2</v>
      </c>
      <c r="J165" s="405">
        <v>-0.45697692790352673</v>
      </c>
      <c r="K165" s="405">
        <v>0</v>
      </c>
      <c r="L165" s="405">
        <v>0.64161291931638553</v>
      </c>
      <c r="M165" s="405">
        <v>-4.1509620000000004E-2</v>
      </c>
      <c r="N165" s="23">
        <f t="shared" ref="N165:S165" si="139">SUM(N158:N164)</f>
        <v>0.10791485259740913</v>
      </c>
      <c r="O165" s="23">
        <f t="shared" ca="1" si="139"/>
        <v>3.2382579030073688E-2</v>
      </c>
      <c r="P165" s="23">
        <f t="shared" ca="1" si="139"/>
        <v>-1.442240346537349E-2</v>
      </c>
      <c r="Q165" s="23">
        <f t="shared" ca="1" si="139"/>
        <v>-5.5184831205964735E-2</v>
      </c>
      <c r="R165" s="23">
        <f t="shared" ca="1" si="139"/>
        <v>-8.0358176473769305E-2</v>
      </c>
      <c r="S165" s="23">
        <f t="shared" ca="1" si="139"/>
        <v>-9.0977531907037945E-2</v>
      </c>
    </row>
    <row r="166" spans="1:19" s="206" customFormat="1">
      <c r="H166" s="207"/>
      <c r="I166" s="207"/>
      <c r="J166" s="207"/>
      <c r="K166" s="207"/>
    </row>
    <row r="167" spans="1:19" s="62" customFormat="1">
      <c r="A167" s="10" t="s">
        <v>8</v>
      </c>
      <c r="B167" s="10" t="s">
        <v>1015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9" spans="1:19">
      <c r="B169" s="1"/>
      <c r="C169" s="1" t="s">
        <v>313</v>
      </c>
      <c r="D169" s="1"/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</row>
    <row r="170" spans="1:19">
      <c r="B170" s="1"/>
      <c r="C170" s="1" t="s">
        <v>344</v>
      </c>
      <c r="D170" s="1"/>
      <c r="H170" s="21">
        <f>中国!H1042/1000/H9</f>
        <v>3.6133203106832235</v>
      </c>
      <c r="I170" s="21">
        <f>中国!I1042/1000/I9</f>
        <v>0.34487369985141159</v>
      </c>
      <c r="J170" s="21">
        <f>中国!J1042/1000/J9</f>
        <v>0.45470085470085475</v>
      </c>
      <c r="K170" s="21">
        <f>中国!K1042/1000/K9</f>
        <v>1.8832394366197185</v>
      </c>
      <c r="L170" s="21">
        <f>中国!L1042/1000/L9</f>
        <v>2.2191572467627108</v>
      </c>
      <c r="M170" s="21">
        <f>中国!M1042/1000/M9</f>
        <v>1.641852490061237</v>
      </c>
      <c r="N170" s="21">
        <f>中国!N1042/1000/N9</f>
        <v>2.2890604826558367</v>
      </c>
      <c r="O170" s="21">
        <f>中国!O1042/1000/O9</f>
        <v>2.6186482337745725</v>
      </c>
      <c r="P170" s="21">
        <f>中国!P1042/1000/P9</f>
        <v>2.9963688140045202</v>
      </c>
      <c r="Q170" s="21">
        <f>中国!Q1042/1000/Q9</f>
        <v>3.410879898779446</v>
      </c>
      <c r="R170" s="21">
        <f>中国!R1042/1000/R9</f>
        <v>3.8668973026321067</v>
      </c>
      <c r="S170" s="21">
        <f>中国!S1042/1000/S9</f>
        <v>4.3401894533689322</v>
      </c>
    </row>
    <row r="171" spans="1:19">
      <c r="B171" s="1"/>
      <c r="C171" s="1" t="s">
        <v>315</v>
      </c>
      <c r="D171" s="1"/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</row>
    <row r="172" spans="1:19">
      <c r="B172" s="1"/>
      <c r="C172" s="1" t="s">
        <v>316</v>
      </c>
      <c r="D172" s="1"/>
      <c r="H172" s="21">
        <f>0</f>
        <v>0</v>
      </c>
      <c r="I172" s="21">
        <f>0</f>
        <v>0</v>
      </c>
      <c r="J172" s="21">
        <f>0</f>
        <v>0</v>
      </c>
      <c r="K172" s="21">
        <f>0</f>
        <v>0</v>
      </c>
      <c r="L172" s="21">
        <f>0</f>
        <v>0</v>
      </c>
      <c r="M172" s="21">
        <f>0</f>
        <v>0</v>
      </c>
      <c r="N172" s="21">
        <f>0</f>
        <v>0</v>
      </c>
      <c r="O172" s="21">
        <f>0</f>
        <v>0</v>
      </c>
      <c r="P172" s="21">
        <f>0</f>
        <v>0</v>
      </c>
      <c r="Q172" s="21">
        <f>0</f>
        <v>0</v>
      </c>
      <c r="R172" s="21">
        <f>0</f>
        <v>0</v>
      </c>
      <c r="S172" s="21">
        <f>0</f>
        <v>0</v>
      </c>
    </row>
    <row r="173" spans="1:19">
      <c r="B173" s="1"/>
      <c r="C173" s="1" t="s">
        <v>317</v>
      </c>
      <c r="D173" s="1"/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80">
        <f>L173</f>
        <v>0</v>
      </c>
      <c r="O173" s="80">
        <f t="shared" ref="O173" si="140">N173</f>
        <v>0</v>
      </c>
      <c r="P173" s="80">
        <f t="shared" ref="P173" si="141">O173</f>
        <v>0</v>
      </c>
      <c r="Q173" s="80">
        <f t="shared" ref="Q173" si="142">P173</f>
        <v>0</v>
      </c>
      <c r="R173" s="80">
        <f t="shared" ref="R173" si="143">Q173</f>
        <v>0</v>
      </c>
      <c r="S173" s="80">
        <f t="shared" ref="S173" si="144">R173</f>
        <v>0</v>
      </c>
    </row>
    <row r="174" spans="1:19">
      <c r="B174" s="1"/>
      <c r="C174" s="1" t="s">
        <v>347</v>
      </c>
      <c r="D174" s="1"/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80">
        <v>0</v>
      </c>
      <c r="O174" s="80">
        <v>0</v>
      </c>
      <c r="P174" s="80">
        <v>0</v>
      </c>
      <c r="Q174" s="80">
        <v>0</v>
      </c>
      <c r="R174" s="80">
        <v>0</v>
      </c>
      <c r="S174" s="80">
        <v>0</v>
      </c>
    </row>
    <row r="175" spans="1:19" ht="15" thickBot="1">
      <c r="B175" s="37"/>
      <c r="C175" s="37" t="s">
        <v>318</v>
      </c>
      <c r="D175" s="37"/>
      <c r="E175" s="142"/>
      <c r="F175" s="142"/>
      <c r="G175" s="142"/>
      <c r="H175" s="39">
        <f>H176-SUM(H169:H174)</f>
        <v>6.5734927057636838E-5</v>
      </c>
      <c r="I175" s="39">
        <f t="shared" ref="I175" si="145">I176-SUM(I169:I174)</f>
        <v>1.9766542713028912E-4</v>
      </c>
      <c r="J175" s="39">
        <f t="shared" ref="J175" si="146">J176-SUM(J169:J174)</f>
        <v>-2.8459404051905945E-4</v>
      </c>
      <c r="K175" s="39">
        <f t="shared" ref="K175" si="147">K176-SUM(K169:K174)</f>
        <v>0.11676056338028151</v>
      </c>
      <c r="L175" s="39">
        <f t="shared" ref="L175" si="148">L176-SUM(L169:L174)</f>
        <v>0</v>
      </c>
      <c r="M175" s="39">
        <f t="shared" ref="M175" si="149">M176-SUM(M169:M174)</f>
        <v>-6.1461946643248666E-13</v>
      </c>
      <c r="N175" s="147">
        <f t="shared" ref="N175" si="150">L175</f>
        <v>0</v>
      </c>
      <c r="O175" s="147">
        <f t="shared" ref="O175" si="151">N175</f>
        <v>0</v>
      </c>
      <c r="P175" s="147">
        <f t="shared" ref="P175" si="152">O175</f>
        <v>0</v>
      </c>
      <c r="Q175" s="147">
        <f t="shared" ref="Q175" si="153">P175</f>
        <v>0</v>
      </c>
      <c r="R175" s="147">
        <f t="shared" ref="R175" si="154">Q175</f>
        <v>0</v>
      </c>
      <c r="S175" s="147">
        <f t="shared" ref="S175" si="155">R175</f>
        <v>0</v>
      </c>
    </row>
    <row r="176" spans="1:19">
      <c r="B176" s="18" t="s">
        <v>1016</v>
      </c>
      <c r="C176" s="1"/>
      <c r="D176" s="1"/>
      <c r="H176" s="405">
        <v>3.6133860456102811</v>
      </c>
      <c r="I176" s="405">
        <v>0.34507136527854188</v>
      </c>
      <c r="J176" s="405">
        <v>0.45441626066033569</v>
      </c>
      <c r="K176" s="405">
        <v>2</v>
      </c>
      <c r="L176" s="405">
        <v>2.2191572467627108</v>
      </c>
      <c r="M176" s="405">
        <v>1.6418524900606224</v>
      </c>
      <c r="N176" s="23">
        <f t="shared" ref="N176:S176" si="156">SUM(N169:N175)</f>
        <v>2.2890604826558367</v>
      </c>
      <c r="O176" s="23">
        <f t="shared" si="156"/>
        <v>2.6186482337745725</v>
      </c>
      <c r="P176" s="23">
        <f t="shared" si="156"/>
        <v>2.9963688140045202</v>
      </c>
      <c r="Q176" s="23">
        <f t="shared" si="156"/>
        <v>3.410879898779446</v>
      </c>
      <c r="R176" s="23">
        <f t="shared" si="156"/>
        <v>3.8668973026321067</v>
      </c>
      <c r="S176" s="23">
        <f t="shared" si="156"/>
        <v>4.3401894533689322</v>
      </c>
    </row>
    <row r="177" spans="1:19" s="206" customFormat="1">
      <c r="H177" s="207"/>
      <c r="I177" s="207"/>
      <c r="J177" s="207"/>
      <c r="K177" s="207"/>
    </row>
    <row r="178" spans="1:19" s="62" customFormat="1">
      <c r="A178" s="10" t="s">
        <v>8</v>
      </c>
      <c r="B178" s="10" t="s">
        <v>1017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80" spans="1:19">
      <c r="B180" s="1"/>
      <c r="C180" s="1" t="s">
        <v>313</v>
      </c>
      <c r="D180" s="1"/>
      <c r="H180" s="21">
        <f>美国!H683/1000</f>
        <v>0</v>
      </c>
      <c r="I180" s="21">
        <f>美国!I683/1000</f>
        <v>0</v>
      </c>
      <c r="J180" s="21">
        <f>美国!J683/1000</f>
        <v>15</v>
      </c>
      <c r="K180" s="21">
        <f>美国!K683/1000</f>
        <v>0</v>
      </c>
      <c r="L180" s="21">
        <f>美国!L683/1000</f>
        <v>0</v>
      </c>
      <c r="M180" s="21">
        <f>美国!M683/1000</f>
        <v>0</v>
      </c>
      <c r="N180" s="21">
        <f>美国!N683/1000</f>
        <v>0</v>
      </c>
      <c r="O180" s="21">
        <f>美国!O683/1000</f>
        <v>0</v>
      </c>
      <c r="P180" s="21">
        <f>美国!P683/1000</f>
        <v>0</v>
      </c>
      <c r="Q180" s="21">
        <f>美国!Q683/1000</f>
        <v>0</v>
      </c>
      <c r="R180" s="21">
        <f>美国!R683/1000</f>
        <v>0</v>
      </c>
      <c r="S180" s="21">
        <f>美国!S683/1000</f>
        <v>0</v>
      </c>
    </row>
    <row r="181" spans="1:19">
      <c r="B181" s="1"/>
      <c r="C181" s="1" t="s">
        <v>344</v>
      </c>
      <c r="D181" s="1"/>
      <c r="H181" s="21">
        <f>中国!H1044/1000/集团!H9</f>
        <v>2.1949366696122659</v>
      </c>
      <c r="I181" s="21">
        <f>中国!I1044/1000/集团!I9</f>
        <v>3.1667161961367012</v>
      </c>
      <c r="J181" s="21">
        <f>中国!J1044/1000/集团!J9</f>
        <v>1.2997150997150999</v>
      </c>
      <c r="K181" s="21">
        <f>中国!K1044/1000/集团!K9</f>
        <v>1.3925352112676057</v>
      </c>
      <c r="L181" s="21">
        <f>中国!L1044/1000/集团!L9</f>
        <v>1.9960616192051124</v>
      </c>
      <c r="M181" s="21">
        <f>中国!M1044/1000/集团!M9</f>
        <v>1.2067702102135613</v>
      </c>
      <c r="N181" s="21">
        <f>中国!N1044/1000/集团!N9</f>
        <v>2.0589373646837426</v>
      </c>
      <c r="O181" s="21">
        <f>中国!O1044/1000/集团!O9</f>
        <v>2.3553911023032561</v>
      </c>
      <c r="P181" s="21">
        <f>中国!P1044/1000/集团!P9</f>
        <v>2.6951387943970664</v>
      </c>
      <c r="Q181" s="21">
        <f>中国!Q1044/1000/集团!Q9</f>
        <v>3.0679783794518407</v>
      </c>
      <c r="R181" s="21">
        <f>中国!R1044/1000/集团!R9</f>
        <v>3.4781515831974077</v>
      </c>
      <c r="S181" s="21">
        <f>中国!S1044/1000/集团!S9</f>
        <v>3.9038628743350547</v>
      </c>
    </row>
    <row r="182" spans="1:19">
      <c r="B182" s="1"/>
      <c r="C182" s="1" t="s">
        <v>315</v>
      </c>
      <c r="D182" s="1"/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</row>
    <row r="183" spans="1:19">
      <c r="B183" s="1"/>
      <c r="C183" s="1" t="s">
        <v>316</v>
      </c>
      <c r="D183" s="1"/>
      <c r="H183" s="21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</row>
    <row r="184" spans="1:19">
      <c r="B184" s="1"/>
      <c r="C184" s="1" t="s">
        <v>317</v>
      </c>
      <c r="D184" s="1"/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80">
        <f>L184</f>
        <v>0</v>
      </c>
      <c r="O184" s="80">
        <f t="shared" ref="O184:S184" si="157">N184</f>
        <v>0</v>
      </c>
      <c r="P184" s="80">
        <f t="shared" si="157"/>
        <v>0</v>
      </c>
      <c r="Q184" s="80">
        <f t="shared" si="157"/>
        <v>0</v>
      </c>
      <c r="R184" s="80">
        <f t="shared" si="157"/>
        <v>0</v>
      </c>
      <c r="S184" s="80">
        <f t="shared" si="157"/>
        <v>0</v>
      </c>
    </row>
    <row r="185" spans="1:19">
      <c r="B185" s="1"/>
      <c r="C185" s="1" t="s">
        <v>347</v>
      </c>
      <c r="D185" s="1"/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80">
        <v>0</v>
      </c>
      <c r="O185" s="80">
        <v>0</v>
      </c>
      <c r="P185" s="80">
        <v>0</v>
      </c>
      <c r="Q185" s="80">
        <v>0</v>
      </c>
      <c r="R185" s="80">
        <v>0</v>
      </c>
      <c r="S185" s="80">
        <v>0</v>
      </c>
    </row>
    <row r="186" spans="1:19" ht="15" thickBot="1">
      <c r="B186" s="37"/>
      <c r="C186" s="37" t="s">
        <v>318</v>
      </c>
      <c r="D186" s="37"/>
      <c r="E186" s="142"/>
      <c r="F186" s="142"/>
      <c r="G186" s="142"/>
      <c r="H186" s="39">
        <f>H187-SUM(H180:H184)</f>
        <v>-5.0214718695151817E-5</v>
      </c>
      <c r="I186" s="39">
        <f t="shared" ref="I186" si="158">I187-SUM(I180:I184)</f>
        <v>1.7765262432813955E-3</v>
      </c>
      <c r="J186" s="39">
        <f t="shared" ref="J186" si="159">J187-SUM(J180:J184)</f>
        <v>-15.000575340044271</v>
      </c>
      <c r="K186" s="39">
        <f t="shared" ref="K186:M186" si="160">K187-SUM(K180:K184)</f>
        <v>-0.39253521126760571</v>
      </c>
      <c r="L186" s="39">
        <f t="shared" si="160"/>
        <v>0</v>
      </c>
      <c r="M186" s="39">
        <f t="shared" si="160"/>
        <v>0</v>
      </c>
      <c r="N186" s="147">
        <f t="shared" ref="N186" si="161">L186</f>
        <v>0</v>
      </c>
      <c r="O186" s="147">
        <f t="shared" ref="O186" si="162">N186</f>
        <v>0</v>
      </c>
      <c r="P186" s="147">
        <f t="shared" ref="P186" si="163">O186</f>
        <v>0</v>
      </c>
      <c r="Q186" s="147">
        <f t="shared" ref="Q186" si="164">P186</f>
        <v>0</v>
      </c>
      <c r="R186" s="147">
        <f t="shared" ref="R186" si="165">Q186</f>
        <v>0</v>
      </c>
      <c r="S186" s="147">
        <f t="shared" ref="S186" si="166">R186</f>
        <v>0</v>
      </c>
    </row>
    <row r="187" spans="1:19">
      <c r="B187" s="18" t="s">
        <v>1018</v>
      </c>
      <c r="C187" s="1"/>
      <c r="D187" s="1"/>
      <c r="H187" s="405">
        <v>2.1948864548935707</v>
      </c>
      <c r="I187" s="405">
        <v>3.1684927223799826</v>
      </c>
      <c r="J187" s="405">
        <v>1.2991397596708292</v>
      </c>
      <c r="K187" s="405">
        <v>1</v>
      </c>
      <c r="L187" s="405">
        <v>1.9960616192051122</v>
      </c>
      <c r="M187" s="405">
        <v>1.2067702102135613</v>
      </c>
      <c r="N187" s="23">
        <f t="shared" ref="N187:S187" si="167">SUM(N180:N186)</f>
        <v>2.0589373646837426</v>
      </c>
      <c r="O187" s="23">
        <f t="shared" si="167"/>
        <v>2.3553911023032561</v>
      </c>
      <c r="P187" s="23">
        <f t="shared" si="167"/>
        <v>2.6951387943970664</v>
      </c>
      <c r="Q187" s="23">
        <f t="shared" si="167"/>
        <v>3.0679783794518407</v>
      </c>
      <c r="R187" s="23">
        <f t="shared" si="167"/>
        <v>3.4781515831974077</v>
      </c>
      <c r="S187" s="23">
        <f t="shared" si="167"/>
        <v>3.9038628743350547</v>
      </c>
    </row>
    <row r="188" spans="1:19">
      <c r="B188" s="22"/>
      <c r="C188" s="1"/>
      <c r="D188" s="1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</row>
    <row r="189" spans="1:19" s="62" customFormat="1">
      <c r="A189" s="10" t="s">
        <v>8</v>
      </c>
      <c r="B189" s="10" t="s">
        <v>485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1" spans="1:19">
      <c r="B191" s="1"/>
      <c r="C191" s="1" t="s">
        <v>313</v>
      </c>
      <c r="D191" s="1"/>
      <c r="H191" s="21">
        <f>美国!H687/1000</f>
        <v>0</v>
      </c>
      <c r="I191" s="21">
        <f>美国!I687/1000</f>
        <v>0</v>
      </c>
      <c r="J191" s="21">
        <f>美国!J687/1000</f>
        <v>1.0860000000000001</v>
      </c>
      <c r="K191" s="21">
        <f>美国!K687/1000</f>
        <v>0</v>
      </c>
      <c r="L191" s="21">
        <f>美国!L687/1000</f>
        <v>0</v>
      </c>
      <c r="M191" s="21">
        <f>美国!M687/1000</f>
        <v>0</v>
      </c>
      <c r="N191" s="21">
        <f>美国!N687/1000</f>
        <v>0</v>
      </c>
      <c r="O191" s="21">
        <f>美国!O687/1000</f>
        <v>0</v>
      </c>
      <c r="P191" s="21">
        <f>美国!P687/1000</f>
        <v>0</v>
      </c>
      <c r="Q191" s="21">
        <f>美国!Q687/1000</f>
        <v>0</v>
      </c>
      <c r="R191" s="21">
        <f>美国!R687/1000</f>
        <v>0</v>
      </c>
      <c r="S191" s="21">
        <f>美国!S687/1000</f>
        <v>0</v>
      </c>
    </row>
    <row r="192" spans="1:19">
      <c r="B192" s="1"/>
      <c r="C192" s="1" t="s">
        <v>344</v>
      </c>
      <c r="D192" s="1"/>
      <c r="H192" s="21">
        <f>中国!H1048/1000/集团!H9</f>
        <v>0</v>
      </c>
      <c r="I192" s="21">
        <f>中国!I1048/1000/集团!I9</f>
        <v>0</v>
      </c>
      <c r="J192" s="21">
        <f>中国!J1048/1000/集团!J9</f>
        <v>0</v>
      </c>
      <c r="K192" s="21">
        <f>中国!K1048/1000/集团!K9</f>
        <v>0</v>
      </c>
      <c r="L192" s="21">
        <f>中国!L1048/1000/集团!L9</f>
        <v>0</v>
      </c>
      <c r="M192" s="21">
        <f>中国!M1048/1000/集团!M9</f>
        <v>0</v>
      </c>
      <c r="N192" s="21">
        <f>中国!N1048/1000/集团!N9</f>
        <v>0</v>
      </c>
      <c r="O192" s="21">
        <f>中国!O1048/1000/集团!O9</f>
        <v>0</v>
      </c>
      <c r="P192" s="21">
        <f>中国!P1048/1000/集团!P9</f>
        <v>0</v>
      </c>
      <c r="Q192" s="21">
        <f>中国!Q1048/1000/集团!Q9</f>
        <v>0</v>
      </c>
      <c r="R192" s="21">
        <f>中国!R1048/1000/集团!R9</f>
        <v>0</v>
      </c>
      <c r="S192" s="21">
        <f>中国!S1048/1000/集团!S9</f>
        <v>0</v>
      </c>
    </row>
    <row r="193" spans="1:24">
      <c r="B193" s="1"/>
      <c r="C193" s="1" t="s">
        <v>315</v>
      </c>
      <c r="D193" s="1"/>
      <c r="H193" s="21">
        <f>加拿大!H111/1000*集团!H11/集团!H9</f>
        <v>0</v>
      </c>
      <c r="I193" s="21">
        <f>加拿大!I111/1000*集团!I11/集团!I9</f>
        <v>0</v>
      </c>
      <c r="J193" s="21">
        <f>加拿大!J111/1000*集团!J11/集团!J9</f>
        <v>0</v>
      </c>
      <c r="K193" s="21">
        <f>加拿大!K111/1000*集团!K11/集团!K9</f>
        <v>0</v>
      </c>
      <c r="L193" s="21">
        <f>加拿大!L111/1000*集团!L11/集团!L9</f>
        <v>0</v>
      </c>
      <c r="M193" s="21">
        <f>加拿大!M111/1000*集团!M11/集团!M9</f>
        <v>0</v>
      </c>
      <c r="N193" s="21">
        <f>加拿大!N111/1000*集团!N11/集团!N9</f>
        <v>0</v>
      </c>
      <c r="O193" s="21">
        <f>加拿大!O111/1000*集团!O11/集团!O9</f>
        <v>0</v>
      </c>
      <c r="P193" s="21">
        <f>加拿大!P111/1000*集团!P11/集团!P9</f>
        <v>0</v>
      </c>
      <c r="Q193" s="21">
        <f>加拿大!Q111/1000*集团!Q11/集团!Q9</f>
        <v>0</v>
      </c>
      <c r="R193" s="21">
        <f>加拿大!R111/1000*集团!R11/集团!R9</f>
        <v>0</v>
      </c>
      <c r="S193" s="21">
        <f>加拿大!S111/1000*集团!S11/集团!S9</f>
        <v>0</v>
      </c>
    </row>
    <row r="194" spans="1:24">
      <c r="B194" s="1"/>
      <c r="C194" s="1" t="s">
        <v>316</v>
      </c>
      <c r="D194" s="1"/>
      <c r="H194" s="21">
        <f>欧洲!H106/1000*集团!H10/集团!H9</f>
        <v>0</v>
      </c>
      <c r="I194" s="21">
        <f>欧洲!I106/1000*集团!I10/集团!I9</f>
        <v>0</v>
      </c>
      <c r="J194" s="21">
        <f>欧洲!J106/1000*集团!J10/集团!J9</f>
        <v>0</v>
      </c>
      <c r="K194" s="21">
        <f>欧洲!K106/1000*集团!K10/集团!K9</f>
        <v>0</v>
      </c>
      <c r="L194" s="21">
        <f>欧洲!L106/1000*集团!L10/集团!L9</f>
        <v>0</v>
      </c>
      <c r="M194" s="21">
        <f>欧洲!M106/1000*集团!M10/集团!M9</f>
        <v>0</v>
      </c>
      <c r="N194" s="21">
        <f>欧洲!N106/1000*集团!N10/集团!N9</f>
        <v>0</v>
      </c>
      <c r="O194" s="21">
        <f>欧洲!O106/1000*集团!O10/集团!O9</f>
        <v>0</v>
      </c>
      <c r="P194" s="21">
        <f>欧洲!P106/1000*集团!P10/集团!P9</f>
        <v>0</v>
      </c>
      <c r="Q194" s="21">
        <f>欧洲!Q106/1000*集团!Q10/集团!Q9</f>
        <v>0</v>
      </c>
      <c r="R194" s="21">
        <f>欧洲!R106/1000*集团!R10/集团!R9</f>
        <v>0</v>
      </c>
      <c r="S194" s="21">
        <f>欧洲!S106/1000*集团!S10/集团!S9</f>
        <v>0</v>
      </c>
    </row>
    <row r="195" spans="1:24">
      <c r="B195" s="1"/>
      <c r="C195" s="1" t="s">
        <v>317</v>
      </c>
      <c r="D195" s="1"/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80">
        <f>L195</f>
        <v>0</v>
      </c>
      <c r="O195" s="80">
        <f t="shared" ref="O195:S195" si="168">N195</f>
        <v>0</v>
      </c>
      <c r="P195" s="80">
        <f t="shared" si="168"/>
        <v>0</v>
      </c>
      <c r="Q195" s="80">
        <f t="shared" si="168"/>
        <v>0</v>
      </c>
      <c r="R195" s="80">
        <f t="shared" si="168"/>
        <v>0</v>
      </c>
      <c r="S195" s="80">
        <f t="shared" si="168"/>
        <v>0</v>
      </c>
    </row>
    <row r="196" spans="1:24" ht="15" thickBot="1">
      <c r="B196" s="37"/>
      <c r="C196" s="37" t="s">
        <v>318</v>
      </c>
      <c r="D196" s="37"/>
      <c r="E196" s="142"/>
      <c r="F196" s="142"/>
      <c r="G196" s="142"/>
      <c r="H196" s="39">
        <f>H197-SUM(H191:H195)</f>
        <v>0</v>
      </c>
      <c r="I196" s="39">
        <f t="shared" ref="I196:M196" si="169">I197-SUM(I191:I195)</f>
        <v>0</v>
      </c>
      <c r="J196" s="39">
        <f t="shared" si="169"/>
        <v>-8.6000000000000076E-2</v>
      </c>
      <c r="K196" s="39">
        <f t="shared" si="169"/>
        <v>0</v>
      </c>
      <c r="L196" s="39">
        <f>L197-SUM(L191:L195)</f>
        <v>0</v>
      </c>
      <c r="M196" s="39">
        <f t="shared" si="169"/>
        <v>0</v>
      </c>
      <c r="N196" s="147">
        <f t="shared" ref="N196" si="170">L196</f>
        <v>0</v>
      </c>
      <c r="O196" s="147">
        <f t="shared" ref="O196" si="171">N196</f>
        <v>0</v>
      </c>
      <c r="P196" s="147">
        <f t="shared" ref="P196" si="172">O196</f>
        <v>0</v>
      </c>
      <c r="Q196" s="147">
        <f t="shared" ref="Q196" si="173">P196</f>
        <v>0</v>
      </c>
      <c r="R196" s="147">
        <f t="shared" ref="R196" si="174">Q196</f>
        <v>0</v>
      </c>
      <c r="S196" s="147">
        <f t="shared" ref="S196" si="175">R196</f>
        <v>0</v>
      </c>
    </row>
    <row r="197" spans="1:24">
      <c r="B197" s="18" t="s">
        <v>486</v>
      </c>
      <c r="C197" s="1"/>
      <c r="D197" s="1"/>
      <c r="H197" s="405">
        <v>0</v>
      </c>
      <c r="I197" s="405">
        <v>0</v>
      </c>
      <c r="J197" s="405">
        <v>1</v>
      </c>
      <c r="K197" s="405">
        <v>0</v>
      </c>
      <c r="L197" s="405">
        <v>0</v>
      </c>
      <c r="M197" s="405">
        <v>0</v>
      </c>
      <c r="N197" s="23">
        <f t="shared" ref="N197:S197" si="176">SUM(N191:N196)</f>
        <v>0</v>
      </c>
      <c r="O197" s="23">
        <f t="shared" si="176"/>
        <v>0</v>
      </c>
      <c r="P197" s="23">
        <f t="shared" si="176"/>
        <v>0</v>
      </c>
      <c r="Q197" s="23">
        <f t="shared" si="176"/>
        <v>0</v>
      </c>
      <c r="R197" s="23">
        <f t="shared" si="176"/>
        <v>0</v>
      </c>
      <c r="S197" s="23">
        <f t="shared" si="176"/>
        <v>0</v>
      </c>
    </row>
    <row r="198" spans="1:24">
      <c r="B198" s="1"/>
      <c r="C198" s="1"/>
      <c r="D198" s="1"/>
      <c r="P198" s="1317"/>
      <c r="Q198" s="1317"/>
      <c r="R198" s="1317"/>
      <c r="S198" s="1317"/>
      <c r="U198" s="1318"/>
      <c r="V198" s="1318"/>
      <c r="W198" s="1318"/>
      <c r="X198" s="1318"/>
    </row>
    <row r="199" spans="1:24" s="62" customFormat="1">
      <c r="A199" s="10" t="s">
        <v>8</v>
      </c>
      <c r="B199" s="10" t="s">
        <v>487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24">
      <c r="O200" s="1316"/>
      <c r="P200" s="1316"/>
      <c r="Q200" s="1316"/>
      <c r="R200" s="1316"/>
      <c r="S200" s="1316"/>
    </row>
    <row r="201" spans="1:24">
      <c r="B201" s="1"/>
      <c r="C201" s="1" t="s">
        <v>313</v>
      </c>
      <c r="D201" s="1"/>
      <c r="H201" s="21">
        <f>美国!H690/1000</f>
        <v>2.1</v>
      </c>
      <c r="I201" s="21">
        <f>美国!I690/1000</f>
        <v>-1.105</v>
      </c>
      <c r="J201" s="21">
        <f>美国!J690/1000</f>
        <v>-0.63200000000000001</v>
      </c>
      <c r="K201" s="21">
        <f>美国!K690/1000</f>
        <v>0</v>
      </c>
      <c r="L201" s="21">
        <f>美国!L690/1000</f>
        <v>0.69799999999999995</v>
      </c>
      <c r="M201" s="21">
        <f>美国!M690/1000</f>
        <v>0</v>
      </c>
      <c r="N201" s="21">
        <f>美国!N690/1000</f>
        <v>-1.2119303609576015</v>
      </c>
      <c r="O201" s="21">
        <f>美国!O690/1000</f>
        <v>-7.7791293003068134</v>
      </c>
      <c r="P201" s="21">
        <f>美国!P690/1000</f>
        <v>-11.689447950049288</v>
      </c>
      <c r="Q201" s="21">
        <f>美国!Q690/1000</f>
        <v>-15.553943503750309</v>
      </c>
      <c r="R201" s="21">
        <f>美国!R690/1000</f>
        <v>-19.694930488206221</v>
      </c>
      <c r="S201" s="21">
        <f>美国!S690/1000</f>
        <v>-24.749388801022711</v>
      </c>
    </row>
    <row r="202" spans="1:24">
      <c r="B202" s="1"/>
      <c r="C202" s="1" t="s">
        <v>344</v>
      </c>
      <c r="D202" s="1"/>
      <c r="H202" s="21">
        <f>中国!H1051/1000/集团!H9</f>
        <v>2.2709021285831663</v>
      </c>
      <c r="I202" s="21">
        <f>中国!I1051/1000/集团!I9</f>
        <v>-2.7874294205052008</v>
      </c>
      <c r="J202" s="21">
        <f>中国!J1051/1000/集团!J9</f>
        <v>-3.6297720797720801</v>
      </c>
      <c r="K202" s="21">
        <f>中国!K1051/1000/集团!K9</f>
        <v>-6.7801408450704237</v>
      </c>
      <c r="L202" s="21">
        <f>中国!L1051/1000/集团!L9</f>
        <v>-7.4394594203710973</v>
      </c>
      <c r="M202" s="21">
        <f>中国!M1051/1000/集团!M9</f>
        <v>-2.8382304063384898</v>
      </c>
      <c r="N202" s="21">
        <f>中国!N1051/1000/集团!N9</f>
        <v>-6.7117173579889364</v>
      </c>
      <c r="O202" s="21">
        <f ca="1">中国!O1051/1000/集团!O9</f>
        <v>-9.4130783517372638</v>
      </c>
      <c r="P202" s="21">
        <f ca="1">中国!P1051/1000/集团!P9</f>
        <v>-11.706019326145393</v>
      </c>
      <c r="Q202" s="21">
        <f ca="1">中国!Q1051/1000/集团!Q9</f>
        <v>-14.233903852734349</v>
      </c>
      <c r="R202" s="21">
        <f ca="1">中国!R1051/1000/集团!R9</f>
        <v>-16.739618848879399</v>
      </c>
      <c r="S202" s="21">
        <f ca="1">中国!S1051/1000/集团!S9</f>
        <v>-19.346610836187882</v>
      </c>
    </row>
    <row r="203" spans="1:24">
      <c r="B203" s="1"/>
      <c r="C203" s="1" t="s">
        <v>315</v>
      </c>
      <c r="D203" s="1"/>
      <c r="H203" s="21">
        <f>加拿大!H114/1000*集团!H11/集团!H9</f>
        <v>0</v>
      </c>
      <c r="I203" s="21">
        <f>加拿大!I114/1000*集团!I11/集团!I9</f>
        <v>-0.46085884101040114</v>
      </c>
      <c r="J203" s="21">
        <f>加拿大!J114/1000*集团!J11/集团!J9</f>
        <v>-3.2924159544159552</v>
      </c>
      <c r="K203" s="21">
        <f>加拿大!K114/1000*集团!K11/集团!K9</f>
        <v>-1.5306338028169015</v>
      </c>
      <c r="L203" s="21">
        <f>加拿大!L114/1000*集团!L11/集团!L9</f>
        <v>-1.8391438421548292</v>
      </c>
      <c r="M203" s="21">
        <f>加拿大!M114/1000*集团!M11/集团!M9</f>
        <v>-0.82729170014116538</v>
      </c>
      <c r="N203" s="21">
        <f>加拿大!N114/1000*集团!N11/集团!N9</f>
        <v>-2.898220592232025</v>
      </c>
      <c r="O203" s="21">
        <f>加拿大!O114/1000*集团!O11/集团!O9</f>
        <v>-3.173280103114569</v>
      </c>
      <c r="P203" s="21">
        <f>加拿大!P114/1000*集团!P11/集团!P9</f>
        <v>-3.6599107935664983</v>
      </c>
      <c r="Q203" s="21">
        <f>加拿大!Q114/1000*集团!Q11/集团!Q9</f>
        <v>-4.2154755131482817</v>
      </c>
      <c r="R203" s="21">
        <f>加拿大!R114/1000*集团!R11/集团!R9</f>
        <v>-4.8492818395896924</v>
      </c>
      <c r="S203" s="21">
        <f>加拿大!S114/1000*集团!S11/集团!S9</f>
        <v>-5.5718542967035898</v>
      </c>
    </row>
    <row r="204" spans="1:24">
      <c r="B204" s="1"/>
      <c r="C204" s="1" t="s">
        <v>316</v>
      </c>
      <c r="D204" s="1"/>
      <c r="H204" s="21">
        <f>欧洲!H109/1000*集团!H10/集团!H9</f>
        <v>-1.5610759809621257</v>
      </c>
      <c r="I204" s="21">
        <f>欧洲!I109/1000*集团!I10/集团!I9</f>
        <v>-1.0788763001485884</v>
      </c>
      <c r="J204" s="21">
        <f>欧洲!J109/1000*集团!J10/集团!J9</f>
        <v>-1.2092445868945869</v>
      </c>
      <c r="K204" s="21">
        <f>欧洲!K109/1000*集团!K10/集团!K9</f>
        <v>-1.7829436619718313</v>
      </c>
      <c r="L204" s="21">
        <f>欧洲!L109/1000*集团!L10/集团!L9</f>
        <v>-2.1314295189304535</v>
      </c>
      <c r="M204" s="21">
        <f>欧洲!M109/1000*集团!M10/集团!M9</f>
        <v>-0.55834578197610574</v>
      </c>
      <c r="N204" s="21">
        <f>欧洲!N109/1000*集团!N10/集团!N9</f>
        <v>-0.83707799514145131</v>
      </c>
      <c r="O204" s="21">
        <f>欧洲!O109/1000*集团!O10/集团!O9</f>
        <v>-2.2493404049305354</v>
      </c>
      <c r="P204" s="21">
        <f>欧洲!P109/1000*集团!P10/集团!P9</f>
        <v>-2.6451899375319234</v>
      </c>
      <c r="Q204" s="21">
        <f>欧洲!Q109/1000*集团!Q10/集团!Q9</f>
        <v>-3.0925435346376746</v>
      </c>
      <c r="R204" s="21">
        <f>欧洲!R109/1000*集团!R10/集团!R9</f>
        <v>-3.6065737623175917</v>
      </c>
      <c r="S204" s="21">
        <f>欧洲!S109/1000*集团!S10/集团!S9</f>
        <v>-4.1950637956476582</v>
      </c>
    </row>
    <row r="205" spans="1:24">
      <c r="B205" s="1"/>
      <c r="C205" s="1" t="s">
        <v>317</v>
      </c>
      <c r="D205" s="1"/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80">
        <f>L205</f>
        <v>0</v>
      </c>
      <c r="O205" s="80">
        <f t="shared" ref="O205:S205" si="177">N205</f>
        <v>0</v>
      </c>
      <c r="P205" s="80">
        <f t="shared" si="177"/>
        <v>0</v>
      </c>
      <c r="Q205" s="80">
        <f t="shared" si="177"/>
        <v>0</v>
      </c>
      <c r="R205" s="80">
        <f t="shared" si="177"/>
        <v>0</v>
      </c>
      <c r="S205" s="80">
        <f t="shared" si="177"/>
        <v>0</v>
      </c>
    </row>
    <row r="206" spans="1:24" ht="15" thickBot="1">
      <c r="B206" s="37"/>
      <c r="C206" s="37" t="s">
        <v>318</v>
      </c>
      <c r="D206" s="37"/>
      <c r="E206" s="142"/>
      <c r="F206" s="142"/>
      <c r="G206" s="142"/>
      <c r="H206" s="39">
        <f>H207-SUM(H201:H205)</f>
        <v>0.10630461108279121</v>
      </c>
      <c r="I206" s="39">
        <f t="shared" ref="I206:M206" si="178">I207-SUM(I201:I205)</f>
        <v>-0.67321713234854474</v>
      </c>
      <c r="J206" s="39">
        <f t="shared" si="178"/>
        <v>0.18734599560815823</v>
      </c>
      <c r="K206" s="39">
        <f t="shared" si="178"/>
        <v>9.3718309859156079E-2</v>
      </c>
      <c r="L206" s="39">
        <f t="shared" si="178"/>
        <v>0.37051547800125917</v>
      </c>
      <c r="M206" s="39">
        <f t="shared" si="178"/>
        <v>-1.6463551874388402</v>
      </c>
      <c r="N206" s="1076">
        <f>M206</f>
        <v>-1.6463551874388402</v>
      </c>
      <c r="O206" s="1076">
        <v>-5.4</v>
      </c>
      <c r="P206" s="1076">
        <v>-7</v>
      </c>
      <c r="Q206" s="1076">
        <v>-8.8000000000000007</v>
      </c>
      <c r="R206" s="1076">
        <v>-11</v>
      </c>
      <c r="S206" s="1076">
        <v>-14</v>
      </c>
    </row>
    <row r="207" spans="1:24">
      <c r="B207" s="18" t="s">
        <v>488</v>
      </c>
      <c r="C207" s="1"/>
      <c r="D207" s="1"/>
      <c r="H207" s="405">
        <v>2.9161307587038321</v>
      </c>
      <c r="I207" s="405">
        <v>-6.1053816940127357</v>
      </c>
      <c r="J207" s="405">
        <v>-8.5760866254744634</v>
      </c>
      <c r="K207" s="405">
        <v>-10</v>
      </c>
      <c r="L207" s="405">
        <v>-10.34151730345512</v>
      </c>
      <c r="M207" s="405">
        <v>-5.870223075894601</v>
      </c>
      <c r="N207" s="23">
        <f t="shared" ref="N207:S207" si="179">SUM(N201:N206)</f>
        <v>-13.305301493758854</v>
      </c>
      <c r="O207" s="23">
        <f t="shared" ca="1" si="179"/>
        <v>-28.014828160089181</v>
      </c>
      <c r="P207" s="23">
        <f t="shared" ca="1" si="179"/>
        <v>-36.7005680072931</v>
      </c>
      <c r="Q207" s="23">
        <f t="shared" ca="1" si="179"/>
        <v>-45.89586640427062</v>
      </c>
      <c r="R207" s="23">
        <f t="shared" ca="1" si="179"/>
        <v>-55.890404938992909</v>
      </c>
      <c r="S207" s="23">
        <f t="shared" ca="1" si="179"/>
        <v>-67.862917729561843</v>
      </c>
    </row>
    <row r="208" spans="1:24">
      <c r="B208" s="1"/>
      <c r="C208" s="1"/>
      <c r="D208" s="1"/>
    </row>
    <row r="209" spans="1:21" s="62" customFormat="1">
      <c r="A209" s="10" t="s">
        <v>8</v>
      </c>
      <c r="B209" s="10" t="s">
        <v>493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21">
      <c r="B210" s="96" t="s">
        <v>292</v>
      </c>
    </row>
    <row r="211" spans="1:21">
      <c r="B211" s="1"/>
      <c r="C211" s="1" t="s">
        <v>313</v>
      </c>
      <c r="D211" s="1"/>
      <c r="H211" s="21">
        <f>美国!H693/1000</f>
        <v>-29.964559059999033</v>
      </c>
      <c r="I211" s="21">
        <f>美国!I693/1000</f>
        <v>9.4813856799980414</v>
      </c>
      <c r="J211" s="21">
        <f>美国!J693/1000</f>
        <v>-19.968564583138011</v>
      </c>
      <c r="K211" s="21">
        <f>美国!K693/1000</f>
        <v>-10.762</v>
      </c>
      <c r="L211" s="21">
        <f>美国!L693/1000</f>
        <v>-9.1752774799999948</v>
      </c>
      <c r="M211" s="21">
        <f>美国!M693/1000</f>
        <v>0.50050923999886621</v>
      </c>
      <c r="N211" s="21">
        <f>美国!N693/1000</f>
        <v>3.116392356748118</v>
      </c>
      <c r="O211" s="21">
        <f>美国!O693/1000</f>
        <v>20.003475343646087</v>
      </c>
      <c r="P211" s="21">
        <f>美国!P693/1000</f>
        <v>30.058580442983882</v>
      </c>
      <c r="Q211" s="21">
        <f>美国!Q693/1000</f>
        <v>39.995854723929369</v>
      </c>
      <c r="R211" s="21">
        <f>美国!R693/1000</f>
        <v>50.644106969673139</v>
      </c>
      <c r="S211" s="21">
        <f>美国!S693/1000</f>
        <v>63.641285488344103</v>
      </c>
      <c r="U211" s="56"/>
    </row>
    <row r="212" spans="1:21">
      <c r="B212" s="1"/>
      <c r="C212" s="1" t="s">
        <v>344</v>
      </c>
      <c r="D212" s="1"/>
      <c r="H212" s="21">
        <f>中国!H1054/1000/集团!H9</f>
        <v>-7.0959538161015594</v>
      </c>
      <c r="I212" s="21">
        <f>中国!I1054/1000/集团!I9</f>
        <v>15.212898057306223</v>
      </c>
      <c r="J212" s="21">
        <f>中国!J1054/1000/集团!J9</f>
        <v>30.777809329093714</v>
      </c>
      <c r="K212" s="21">
        <f>中国!K1054/1000/集团!K9</f>
        <v>41.599647887323947</v>
      </c>
      <c r="L212" s="21">
        <f>中国!L1054/1000/集团!L9</f>
        <v>45.852965817680648</v>
      </c>
      <c r="M212" s="21">
        <f>中国!M1054/1000/集团!M9</f>
        <v>23.87251016733488</v>
      </c>
      <c r="N212" s="21">
        <f>中国!N1054/1000/集团!N9</f>
        <v>38.033065028603978</v>
      </c>
      <c r="O212" s="21">
        <f ca="1">中国!O1054/1000/集团!O9</f>
        <v>53.340777326511173</v>
      </c>
      <c r="P212" s="21">
        <f ca="1">中国!P1054/1000/集团!P9</f>
        <v>66.334109514823894</v>
      </c>
      <c r="Q212" s="21">
        <f ca="1">中国!Q1054/1000/集团!Q9</f>
        <v>80.658788498827974</v>
      </c>
      <c r="R212" s="21">
        <f ca="1">中国!R1054/1000/集团!R9</f>
        <v>94.857840143649938</v>
      </c>
      <c r="S212" s="21">
        <f ca="1">中国!S1054/1000/集团!S9</f>
        <v>109.63079473839801</v>
      </c>
      <c r="U212" s="56"/>
    </row>
    <row r="213" spans="1:21">
      <c r="B213" s="1"/>
      <c r="C213" s="1" t="s">
        <v>315</v>
      </c>
      <c r="D213" s="1"/>
      <c r="H213" s="21">
        <f>加拿大!H117/1000*集团!H11/集团!H9</f>
        <v>0.99172646233508521</v>
      </c>
      <c r="I213" s="21">
        <f>加拿大!I117/1000*集团!I11/集团!I9</f>
        <v>5.1132288410104003</v>
      </c>
      <c r="J213" s="21">
        <f>加拿大!J117/1000*集团!J11/集团!J9</f>
        <v>5.6958796011396027</v>
      </c>
      <c r="K213" s="21">
        <f>加拿大!K117/1000*集团!K11/集团!K9</f>
        <v>10.914084507042253</v>
      </c>
      <c r="L213" s="21">
        <f>加拿大!L117/1000*集团!L11/集团!L9</f>
        <v>5.2933287960667581</v>
      </c>
      <c r="M213" s="21">
        <f>加拿大!M117/1000*集团!M11/集团!M9</f>
        <v>3.9192616262522573</v>
      </c>
      <c r="N213" s="21">
        <f>加拿大!N117/1000*集团!N11/集团!N9</f>
        <v>7.4525672371680622</v>
      </c>
      <c r="O213" s="21">
        <f>加拿大!O117/1000*集团!O11/集团!O9</f>
        <v>8.1598631222946043</v>
      </c>
      <c r="P213" s="21">
        <f>加拿大!P117/1000*集团!P11/集团!P9</f>
        <v>9.4111991834567075</v>
      </c>
      <c r="Q213" s="21">
        <f>加拿大!Q117/1000*集团!Q11/集团!Q9</f>
        <v>10.839794176667009</v>
      </c>
      <c r="R213" s="21">
        <f>加拿大!R117/1000*集团!R11/集团!R9</f>
        <v>12.469581873230632</v>
      </c>
      <c r="S213" s="21">
        <f>加拿大!S117/1000*集团!S11/集团!S9</f>
        <v>14.327625334380658</v>
      </c>
      <c r="U213" s="56"/>
    </row>
    <row r="214" spans="1:21">
      <c r="B214" s="1"/>
      <c r="C214" s="1" t="s">
        <v>316</v>
      </c>
      <c r="D214" s="1"/>
      <c r="H214" s="21">
        <f>欧洲!H112/1000*集团!H10/集团!H9</f>
        <v>6.762402120831589</v>
      </c>
      <c r="I214" s="21">
        <f>欧洲!I112/1000*集团!I10/集团!I9</f>
        <v>2.9530385586924215</v>
      </c>
      <c r="J214" s="21">
        <f>欧洲!J112/1000*集团!J10/集团!J9</f>
        <v>-0.29175819088319088</v>
      </c>
      <c r="K214" s="21">
        <f>欧洲!K112/1000*集团!K10/集团!K9</f>
        <v>2.6390140845070422</v>
      </c>
      <c r="L214" s="21">
        <f>欧洲!L112/1000*集团!L10/集团!L9</f>
        <v>3.5191023780861559</v>
      </c>
      <c r="M214" s="21">
        <f>欧洲!M112/1000*集团!M10/集团!M9</f>
        <v>0.58907707986961033</v>
      </c>
      <c r="N214" s="21">
        <f>欧洲!N112/1000*集团!N10/集团!N9</f>
        <v>2.1524862732208745</v>
      </c>
      <c r="O214" s="21">
        <f>欧洲!O112/1000*集团!O10/集团!O9</f>
        <v>5.784018184107091</v>
      </c>
      <c r="P214" s="21">
        <f>欧洲!P112/1000*集团!P10/集团!P9</f>
        <v>6.8019169822249461</v>
      </c>
      <c r="Q214" s="21">
        <f>欧洲!Q112/1000*集团!Q10/集团!Q9</f>
        <v>7.9522548033540188</v>
      </c>
      <c r="R214" s="21">
        <f>欧洲!R112/1000*集团!R10/集团!R9</f>
        <v>9.2740468173880899</v>
      </c>
      <c r="S214" s="21">
        <f>欧洲!S112/1000*集团!S10/集团!S9</f>
        <v>10.787306903093977</v>
      </c>
      <c r="U214" s="56"/>
    </row>
    <row r="215" spans="1:21">
      <c r="B215" s="1"/>
      <c r="C215" s="1" t="s">
        <v>317</v>
      </c>
      <c r="D215" s="1"/>
      <c r="H215" s="20">
        <v>0</v>
      </c>
      <c r="I215" s="20">
        <v>0</v>
      </c>
      <c r="J215" s="20">
        <v>0</v>
      </c>
      <c r="K215" s="20">
        <v>0</v>
      </c>
      <c r="L215" s="20">
        <f>L65+L85+L96+L107+L184+L195+L205</f>
        <v>0</v>
      </c>
      <c r="M215" s="20">
        <f t="shared" ref="M215:S215" si="180">M65+M85+M96+M107+M184+M195+M205</f>
        <v>0</v>
      </c>
      <c r="N215" s="20">
        <f t="shared" si="180"/>
        <v>0</v>
      </c>
      <c r="O215" s="20">
        <f t="shared" si="180"/>
        <v>0</v>
      </c>
      <c r="P215" s="20">
        <f t="shared" si="180"/>
        <v>0</v>
      </c>
      <c r="Q215" s="20">
        <f t="shared" si="180"/>
        <v>0</v>
      </c>
      <c r="R215" s="20">
        <f t="shared" si="180"/>
        <v>0</v>
      </c>
      <c r="S215" s="20">
        <f t="shared" si="180"/>
        <v>0</v>
      </c>
      <c r="U215" s="56"/>
    </row>
    <row r="216" spans="1:21" ht="15" thickBot="1">
      <c r="B216" s="37"/>
      <c r="C216" s="37" t="s">
        <v>318</v>
      </c>
      <c r="D216" s="37"/>
      <c r="E216" s="142"/>
      <c r="F216" s="142"/>
      <c r="G216" s="142"/>
      <c r="H216" s="39">
        <f t="shared" ref="H216:K216" si="181">H217-SUM(H211:H215)</f>
        <v>-6.5025405899108506</v>
      </c>
      <c r="I216" s="39">
        <f t="shared" si="181"/>
        <v>-8.9845943392836851</v>
      </c>
      <c r="J216" s="39">
        <f t="shared" si="181"/>
        <v>-42.0255115877723</v>
      </c>
      <c r="K216" s="39">
        <f t="shared" si="181"/>
        <v>-11.39074647887324</v>
      </c>
      <c r="L216" s="39">
        <f>L217-SUM(L211:L215)</f>
        <v>-7.5568670015875199</v>
      </c>
      <c r="M216" s="39">
        <f t="shared" ref="M216:S216" si="182">M217-SUM(M211:M215)</f>
        <v>27.018658750084594</v>
      </c>
      <c r="N216" s="39">
        <f t="shared" ca="1" si="182"/>
        <v>31.186073799953199</v>
      </c>
      <c r="O216" s="39">
        <f t="shared" ca="1" si="182"/>
        <v>19.253510940150235</v>
      </c>
      <c r="P216" s="39">
        <f t="shared" ca="1" si="182"/>
        <v>21.126310081910418</v>
      </c>
      <c r="Q216" s="39">
        <f t="shared" ca="1" si="182"/>
        <v>23.736822370168369</v>
      </c>
      <c r="R216" s="39">
        <f t="shared" ca="1" si="182"/>
        <v>29.269905205197574</v>
      </c>
      <c r="S216" s="39">
        <f t="shared" ca="1" si="182"/>
        <v>-198.38701246421675</v>
      </c>
      <c r="U216" s="56"/>
    </row>
    <row r="217" spans="1:21">
      <c r="B217" s="18" t="s">
        <v>494</v>
      </c>
      <c r="C217" s="1"/>
      <c r="D217" s="1"/>
      <c r="H217" s="98">
        <f>利润表!H40</f>
        <v>-35.808924882844764</v>
      </c>
      <c r="I217" s="98">
        <f>利润表!I40</f>
        <v>23.775956797723399</v>
      </c>
      <c r="J217" s="98">
        <f>利润表!J40</f>
        <v>-25.812145431560182</v>
      </c>
      <c r="K217" s="98">
        <f>利润表!K40</f>
        <v>33</v>
      </c>
      <c r="L217" s="98">
        <f>利润表!L40</f>
        <v>37.933252510246042</v>
      </c>
      <c r="M217" s="98">
        <f>利润表!N40</f>
        <v>55.900016863540209</v>
      </c>
      <c r="N217" s="98">
        <f ca="1">利润表!O40</f>
        <v>81.940584695694227</v>
      </c>
      <c r="O217" s="98">
        <f ca="1">利润表!P40</f>
        <v>106.5416449167092</v>
      </c>
      <c r="P217" s="98">
        <f ca="1">利润表!Q40</f>
        <v>133.73211620539985</v>
      </c>
      <c r="Q217" s="98">
        <f ca="1">利润表!R40</f>
        <v>163.18351457294673</v>
      </c>
      <c r="R217" s="98">
        <f ca="1">利润表!S40</f>
        <v>196.51548100913936</v>
      </c>
      <c r="S217" s="98">
        <f>利润表!T40</f>
        <v>0</v>
      </c>
      <c r="U217" s="56"/>
    </row>
    <row r="218" spans="1:21">
      <c r="B218" s="1"/>
      <c r="C218" s="1"/>
      <c r="D218" s="1"/>
    </row>
    <row r="219" spans="1:21" s="62" customFormat="1">
      <c r="A219" s="10" t="s">
        <v>8</v>
      </c>
      <c r="B219" s="10" t="s">
        <v>79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1" spans="1:21">
      <c r="B221" s="1"/>
      <c r="C221" s="1" t="s">
        <v>313</v>
      </c>
      <c r="D221" s="1"/>
      <c r="H221" s="1062">
        <f>美国!H721/1000</f>
        <v>0.34799999999999998</v>
      </c>
      <c r="I221" s="1062">
        <f>美国!I721/1000</f>
        <v>38.448</v>
      </c>
      <c r="J221" s="1062">
        <f>美国!J721/1000</f>
        <v>20.92</v>
      </c>
      <c r="K221" s="1062">
        <f>美国!K721/1000</f>
        <v>18.276</v>
      </c>
      <c r="L221" s="1062">
        <f>美国!L721/1000</f>
        <v>25.961811120000007</v>
      </c>
      <c r="M221" s="1062">
        <f>美国!M721/1000</f>
        <v>19.618388989998863</v>
      </c>
      <c r="N221" s="21">
        <f>美国!N721/1000</f>
        <v>31.145451508419999</v>
      </c>
      <c r="O221" s="21">
        <f>美国!O721/1000</f>
        <v>47.384761000990643</v>
      </c>
      <c r="P221" s="21">
        <f>美国!P721/1000</f>
        <v>60.783762322353041</v>
      </c>
      <c r="Q221" s="21">
        <f>美国!Q721/1000</f>
        <v>73.482813096102234</v>
      </c>
      <c r="R221" s="21">
        <f>美国!R721/1000</f>
        <v>87.434242326301913</v>
      </c>
      <c r="S221" s="21">
        <f>美国!S721/1000</f>
        <v>104.64806915778938</v>
      </c>
      <c r="U221" s="56"/>
    </row>
    <row r="222" spans="1:21">
      <c r="B222" s="1"/>
      <c r="C222" s="1" t="s">
        <v>344</v>
      </c>
      <c r="D222" s="1"/>
      <c r="H222" s="1062">
        <f>中国!H1084/1000/H9</f>
        <v>8.862063640450847</v>
      </c>
      <c r="I222" s="1062">
        <f>中国!I1084/1000/I9</f>
        <v>35.207280832095094</v>
      </c>
      <c r="J222" s="1062">
        <f>中国!J1084/1000/J9</f>
        <v>49.533618233618235</v>
      </c>
      <c r="K222" s="1062">
        <f>中国!K1084/1000/K9</f>
        <v>69.623661971830984</v>
      </c>
      <c r="L222" s="1062">
        <f>中国!L1084/1000/L9</f>
        <v>69.276628978867492</v>
      </c>
      <c r="M222" s="1062">
        <f>中国!M1084/1000/M9</f>
        <v>36.359417347228586</v>
      </c>
      <c r="N222" s="1062">
        <f>中国!N1084/1000/N9</f>
        <v>58.628380099840811</v>
      </c>
      <c r="O222" s="1062">
        <f ca="1">中国!O1084/1000/O9</f>
        <v>79.143117419946904</v>
      </c>
      <c r="P222" s="1062">
        <f ca="1">中国!P1084/1000/P9</f>
        <v>98.847806286459857</v>
      </c>
      <c r="Q222" s="1062">
        <f ca="1">中国!Q1084/1000/Q9</f>
        <v>117.32170868765074</v>
      </c>
      <c r="R222" s="1062">
        <f ca="1">中国!R1084/1000/R9</f>
        <v>134.95851413653631</v>
      </c>
      <c r="S222" s="1062">
        <f ca="1">中国!S1084/1000/S9</f>
        <v>153.36370340730329</v>
      </c>
      <c r="U222" s="56"/>
    </row>
    <row r="223" spans="1:21">
      <c r="B223" s="1"/>
      <c r="C223" s="1" t="s">
        <v>315</v>
      </c>
      <c r="D223" s="1"/>
      <c r="H223" s="1062">
        <f>加拿大!H138/1000*H11/H9</f>
        <v>1.3045739267941026</v>
      </c>
      <c r="I223" s="1062">
        <f>加拿大!I138/1000*I11/I9</f>
        <v>8.5842640118870719</v>
      </c>
      <c r="J223" s="1062">
        <f>加拿大!J138/1000*J11/J9</f>
        <v>11.554883447293449</v>
      </c>
      <c r="K223" s="1062">
        <f>加拿大!K138/1000*K11/K9</f>
        <v>8.6351408450704241</v>
      </c>
      <c r="L223" s="1062">
        <f>加拿大!L138/1000*L11/L9</f>
        <v>9.8313046624244578</v>
      </c>
      <c r="M223" s="1062">
        <f>加拿大!M138/1000*M11/M9</f>
        <v>5.6784477632555612</v>
      </c>
      <c r="N223" s="21">
        <f>加拿大!N138/1000*N11/N9</f>
        <v>13.225004750102167</v>
      </c>
      <c r="O223" s="21">
        <f>加拿大!O138/1000*O11/O9</f>
        <v>15.066506918852678</v>
      </c>
      <c r="P223" s="21">
        <f>加拿大!P138/1000*P11/P9</f>
        <v>17.124813670466711</v>
      </c>
      <c r="Q223" s="21">
        <f>加拿大!Q138/1000*Q11/Q9</f>
        <v>19.714313383258794</v>
      </c>
      <c r="R223" s="21">
        <f>加拿大!R138/1000*R11/R9</f>
        <v>22.583247406263826</v>
      </c>
      <c r="S223" s="21">
        <f>加拿大!S138/1000*S11/S9</f>
        <v>25.484203324527751</v>
      </c>
      <c r="U223" s="56"/>
    </row>
    <row r="224" spans="1:21">
      <c r="B224" s="1"/>
      <c r="C224" s="1" t="s">
        <v>316</v>
      </c>
      <c r="D224" s="1"/>
      <c r="H224" s="1062">
        <f>欧洲!H131/1000*H10/H9</f>
        <v>12.076299334914655</v>
      </c>
      <c r="I224" s="1062">
        <f>欧洲!I131/1000*I10/I9</f>
        <v>9.2080550965824663</v>
      </c>
      <c r="J224" s="1062">
        <f>欧洲!J131/1000*J10/J9</f>
        <v>7.3051284900284914</v>
      </c>
      <c r="K224" s="1062">
        <f>欧洲!K131/1000*K10/K9</f>
        <v>9.8390169014084528</v>
      </c>
      <c r="L224" s="1062">
        <f>欧洲!L131/1000*L10/L9</f>
        <v>11.593288672778467</v>
      </c>
      <c r="M224" s="1062">
        <f>欧洲!M131/1000*M10/M9</f>
        <v>4.484278259477831</v>
      </c>
      <c r="N224" s="21">
        <f>欧洲!N131/1000*N10/N9</f>
        <v>8.4974112571214278</v>
      </c>
      <c r="O224" s="21">
        <f>欧洲!O131/1000*O10/O9</f>
        <v>10.083836451402675</v>
      </c>
      <c r="P224" s="21">
        <f>欧洲!P131/1000*P10/P9</f>
        <v>11.821914782121921</v>
      </c>
      <c r="Q224" s="21">
        <f>欧洲!Q131/1000*Q10/Q9</f>
        <v>14.028936200356743</v>
      </c>
      <c r="R224" s="21">
        <f>欧洲!R131/1000*R10/R9</f>
        <v>16.474088442070734</v>
      </c>
      <c r="S224" s="21">
        <f>欧洲!S131/1000*S10/S9</f>
        <v>18.900168561106685</v>
      </c>
      <c r="U224" s="56"/>
    </row>
    <row r="225" spans="1:21">
      <c r="B225" s="1"/>
      <c r="C225" s="1" t="s">
        <v>317</v>
      </c>
      <c r="D225" s="1"/>
      <c r="H225" s="141">
        <v>0</v>
      </c>
      <c r="I225" s="141">
        <v>0</v>
      </c>
      <c r="J225" s="141">
        <v>0</v>
      </c>
      <c r="K225" s="141">
        <v>0</v>
      </c>
      <c r="L225" s="141">
        <v>0</v>
      </c>
      <c r="M225" s="141">
        <v>0</v>
      </c>
      <c r="N225" s="146">
        <v>0</v>
      </c>
      <c r="O225" s="146">
        <v>0</v>
      </c>
      <c r="P225" s="146">
        <v>0</v>
      </c>
      <c r="Q225" s="146">
        <v>0</v>
      </c>
      <c r="R225" s="146">
        <v>0</v>
      </c>
      <c r="S225" s="146">
        <v>0</v>
      </c>
      <c r="U225" s="56"/>
    </row>
    <row r="226" spans="1:21">
      <c r="B226" s="1"/>
      <c r="C226" s="1" t="s">
        <v>347</v>
      </c>
      <c r="D226" s="1"/>
      <c r="H226" s="1066">
        <f>-30.772/H9</f>
        <v>-4.7706308233725556</v>
      </c>
      <c r="I226" s="1066">
        <f>-68.322/I9</f>
        <v>-10.1518573551263</v>
      </c>
      <c r="J226" s="1066">
        <f>-221.027/J9</f>
        <v>-31.485327635327636</v>
      </c>
      <c r="K226" s="1066">
        <f>-4.952/K9</f>
        <v>-0.69746478873239437</v>
      </c>
      <c r="L226" s="1066">
        <v>-1.8567958275650813</v>
      </c>
      <c r="M226" s="1066">
        <v>-0.34386216087048155</v>
      </c>
      <c r="N226" s="80">
        <f>M226</f>
        <v>-0.34386216087048155</v>
      </c>
      <c r="O226" s="80">
        <f t="shared" ref="O226:S226" si="183">N226</f>
        <v>-0.34386216087048155</v>
      </c>
      <c r="P226" s="80">
        <f t="shared" si="183"/>
        <v>-0.34386216087048155</v>
      </c>
      <c r="Q226" s="80">
        <f t="shared" si="183"/>
        <v>-0.34386216087048155</v>
      </c>
      <c r="R226" s="80">
        <f t="shared" si="183"/>
        <v>-0.34386216087048155</v>
      </c>
      <c r="S226" s="80">
        <f t="shared" si="183"/>
        <v>-0.34386216087048155</v>
      </c>
      <c r="U226" s="56"/>
    </row>
    <row r="227" spans="1:21" ht="15" thickBot="1">
      <c r="B227" s="37"/>
      <c r="C227" s="37" t="s">
        <v>1097</v>
      </c>
      <c r="D227" s="37"/>
      <c r="E227" s="142"/>
      <c r="F227" s="142"/>
      <c r="G227" s="142"/>
      <c r="H227" s="44">
        <f>H228-SUM(H221:H226)</f>
        <v>4.3833123575647477</v>
      </c>
      <c r="I227" s="44">
        <f t="shared" ref="I227:M227" si="184">I228-SUM(I221:I226)</f>
        <v>1.4041088261515711</v>
      </c>
      <c r="J227" s="44">
        <f t="shared" si="184"/>
        <v>-7.7656244729344834</v>
      </c>
      <c r="K227" s="44">
        <f t="shared" si="184"/>
        <v>-9.6763549295774709</v>
      </c>
      <c r="L227" s="44">
        <f t="shared" si="184"/>
        <v>-9.3154589754161634</v>
      </c>
      <c r="M227" s="44">
        <f t="shared" si="184"/>
        <v>9.3515394286070688</v>
      </c>
      <c r="N227" s="39">
        <f>N228-SUM(N221:N226)</f>
        <v>20.11614288226022</v>
      </c>
      <c r="O227" s="39">
        <f t="shared" ref="O227:S227" ca="1" si="185">O228-SUM(O221:O226)</f>
        <v>3.0013965514941674</v>
      </c>
      <c r="P227" s="39">
        <f t="shared" ca="1" si="185"/>
        <v>2.6743817682723829</v>
      </c>
      <c r="Q227" s="39">
        <f t="shared" ca="1" si="185"/>
        <v>1.3183284789207619</v>
      </c>
      <c r="R227" s="39">
        <f t="shared" ca="1" si="185"/>
        <v>0.8850026117638663</v>
      </c>
      <c r="S227" s="39">
        <f t="shared" ca="1" si="185"/>
        <v>0.44894824460902782</v>
      </c>
      <c r="U227" s="56"/>
    </row>
    <row r="228" spans="1:21">
      <c r="B228" s="18" t="s">
        <v>348</v>
      </c>
      <c r="C228" s="1"/>
      <c r="D228" s="1"/>
      <c r="H228" s="1061">
        <f>143.22/H9</f>
        <v>22.203618436351796</v>
      </c>
      <c r="I228" s="1061">
        <f>556.57/I9</f>
        <v>82.699851411589904</v>
      </c>
      <c r="J228" s="1061">
        <f>351.44/J9</f>
        <v>50.062678062678067</v>
      </c>
      <c r="K228" s="1061">
        <v>96</v>
      </c>
      <c r="L228" s="1061">
        <f>752.74/L9</f>
        <v>105.49077863108919</v>
      </c>
      <c r="M228" s="1061">
        <f>538.73/M9</f>
        <v>75.148209627697426</v>
      </c>
      <c r="N228" s="208">
        <f>利润表!N44</f>
        <v>131.26852833687414</v>
      </c>
      <c r="O228" s="208">
        <f ca="1">利润表!O44</f>
        <v>154.33575618181658</v>
      </c>
      <c r="P228" s="208">
        <f ca="1">利润表!P44</f>
        <v>190.90881666880344</v>
      </c>
      <c r="Q228" s="208">
        <f ca="1">利润表!Q44</f>
        <v>225.52223768541882</v>
      </c>
      <c r="R228" s="208">
        <f ca="1">利润表!R44</f>
        <v>261.9912327620662</v>
      </c>
      <c r="S228" s="208">
        <f ca="1">利润表!S44</f>
        <v>302.50123053446566</v>
      </c>
      <c r="U228" s="56"/>
    </row>
    <row r="229" spans="1:21">
      <c r="B229" s="22" t="s">
        <v>206</v>
      </c>
      <c r="C229" s="1"/>
      <c r="D229" s="1"/>
      <c r="H229" s="25">
        <f>H228/H23</f>
        <v>2.1645132867745852E-2</v>
      </c>
      <c r="I229" s="25">
        <f>I228/I23</f>
        <v>7.7617572695438508E-2</v>
      </c>
      <c r="J229" s="25">
        <f>J228/J23</f>
        <v>5.1918735891647853E-2</v>
      </c>
      <c r="K229" s="25">
        <f t="shared" ref="K229:M229" si="186">K228/K23</f>
        <v>0.10884353741496598</v>
      </c>
      <c r="L229" s="25">
        <f t="shared" si="186"/>
        <v>9.96823101442251E-2</v>
      </c>
      <c r="M229" s="25">
        <f t="shared" si="186"/>
        <v>0.12182673390470591</v>
      </c>
      <c r="N229" s="25">
        <f t="shared" ref="N229:S229" si="187">N228/N23</f>
        <v>0.11399897314743693</v>
      </c>
      <c r="O229" s="25">
        <f t="shared" ca="1" si="187"/>
        <v>0.11963948426843128</v>
      </c>
      <c r="P229" s="25">
        <f t="shared" ca="1" si="187"/>
        <v>0.13357724172966642</v>
      </c>
      <c r="Q229" s="25">
        <f t="shared" ca="1" si="187"/>
        <v>0.14333263019448064</v>
      </c>
      <c r="R229" s="25">
        <f t="shared" ca="1" si="187"/>
        <v>0.15049798747775167</v>
      </c>
      <c r="S229" s="25">
        <f t="shared" ca="1" si="187"/>
        <v>0.15583199954221921</v>
      </c>
      <c r="U229" s="56"/>
    </row>
    <row r="230" spans="1:21">
      <c r="B230" s="1"/>
      <c r="C230" s="1"/>
      <c r="D230" s="1"/>
    </row>
    <row r="231" spans="1:21" s="26" customFormat="1">
      <c r="A231" s="26" t="s">
        <v>8</v>
      </c>
      <c r="B231" s="26" t="s">
        <v>206</v>
      </c>
    </row>
    <row r="232" spans="1:21" s="206" customFormat="1">
      <c r="B232" s="22"/>
      <c r="C232" s="22"/>
      <c r="D232" s="22"/>
    </row>
    <row r="233" spans="1:21" s="206" customFormat="1">
      <c r="C233" s="22" t="s">
        <v>313</v>
      </c>
      <c r="H233" s="25">
        <f>H221/H17</f>
        <v>5.2759168042498415E-4</v>
      </c>
      <c r="I233" s="25">
        <f t="shared" ref="I233:M233" si="188">I221/I17</f>
        <v>5.488220054099964E-2</v>
      </c>
      <c r="J233" s="25">
        <f t="shared" si="188"/>
        <v>3.7743269988868268E-2</v>
      </c>
      <c r="K233" s="25">
        <f t="shared" si="188"/>
        <v>3.7679677384771439E-2</v>
      </c>
      <c r="L233" s="25">
        <f t="shared" si="188"/>
        <v>4.4336722317098176E-2</v>
      </c>
      <c r="M233" s="25">
        <f t="shared" si="188"/>
        <v>6.1156718144039217E-2</v>
      </c>
      <c r="N233" s="25">
        <f t="shared" ref="N233:S236" si="189">N221/N17</f>
        <v>5.2574493584753766E-2</v>
      </c>
      <c r="O233" s="25">
        <f t="shared" si="189"/>
        <v>7.3607465714413123E-2</v>
      </c>
      <c r="P233" s="25">
        <f t="shared" si="189"/>
        <v>8.7873136909833879E-2</v>
      </c>
      <c r="Q233" s="25">
        <f t="shared" si="189"/>
        <v>9.9635354112276156E-2</v>
      </c>
      <c r="R233" s="25">
        <f t="shared" si="189"/>
        <v>0.10989654773249473</v>
      </c>
      <c r="S233" s="25">
        <f t="shared" si="189"/>
        <v>0.11946012328564959</v>
      </c>
    </row>
    <row r="234" spans="1:21" s="206" customFormat="1">
      <c r="C234" s="22" t="s">
        <v>344</v>
      </c>
      <c r="H234" s="25">
        <f>H222/H18</f>
        <v>3.9500103872794512E-2</v>
      </c>
      <c r="I234" s="25">
        <f t="shared" ref="I234:M234" si="190">I222/I18</f>
        <v>0.14264021714280919</v>
      </c>
      <c r="J234" s="25">
        <f t="shared" si="190"/>
        <v>0.19291614919452632</v>
      </c>
      <c r="K234" s="25">
        <f t="shared" si="190"/>
        <v>0.24776215979428337</v>
      </c>
      <c r="L234" s="25">
        <f t="shared" si="190"/>
        <v>0.20350094297688501</v>
      </c>
      <c r="M234" s="25">
        <f t="shared" si="190"/>
        <v>0.18147457369490766</v>
      </c>
      <c r="N234" s="25">
        <f t="shared" si="189"/>
        <v>0.16696228629562071</v>
      </c>
      <c r="O234" s="25">
        <f t="shared" ca="1" si="189"/>
        <v>0.19701702017246281</v>
      </c>
      <c r="P234" s="25">
        <f t="shared" ca="1" si="189"/>
        <v>0.21505003792049393</v>
      </c>
      <c r="Q234" s="25">
        <f t="shared" ca="1" si="189"/>
        <v>0.22422276723384088</v>
      </c>
      <c r="R234" s="25">
        <f t="shared" ca="1" si="189"/>
        <v>0.22751257517946144</v>
      </c>
      <c r="S234" s="25">
        <f t="shared" ca="1" si="189"/>
        <v>0.23034652042075385</v>
      </c>
    </row>
    <row r="235" spans="1:21" s="206" customFormat="1">
      <c r="C235" s="22" t="s">
        <v>315</v>
      </c>
      <c r="H235" s="25">
        <f>H223/H19</f>
        <v>5.5559256545200199E-2</v>
      </c>
      <c r="I235" s="25">
        <f t="shared" ref="I235:M235" si="191">I223/I19</f>
        <v>7.587391460790105E-2</v>
      </c>
      <c r="J235" s="25">
        <f t="shared" si="191"/>
        <v>9.9336129480482718E-2</v>
      </c>
      <c r="K235" s="25">
        <f t="shared" si="191"/>
        <v>8.6045432106042652E-2</v>
      </c>
      <c r="L235" s="25">
        <f t="shared" si="191"/>
        <v>8.2415723162024682E-2</v>
      </c>
      <c r="M235" s="25">
        <f t="shared" si="191"/>
        <v>8.4910423513915034E-2</v>
      </c>
      <c r="N235" s="25">
        <f t="shared" si="189"/>
        <v>0.10202696359461394</v>
      </c>
      <c r="O235" s="25">
        <f t="shared" si="189"/>
        <v>0.1046207048461112</v>
      </c>
      <c r="P235" s="25">
        <f t="shared" si="189"/>
        <v>0.10703279390669063</v>
      </c>
      <c r="Q235" s="25">
        <f t="shared" si="189"/>
        <v>0.11090690969197496</v>
      </c>
      <c r="R235" s="25">
        <f t="shared" si="189"/>
        <v>0.11435345267813876</v>
      </c>
      <c r="S235" s="25">
        <f t="shared" si="189"/>
        <v>0.11615018126758625</v>
      </c>
    </row>
    <row r="236" spans="1:21" s="206" customFormat="1">
      <c r="C236" s="22" t="s">
        <v>316</v>
      </c>
      <c r="H236" s="25">
        <f>H224/H20</f>
        <v>8.5768778777428861E-2</v>
      </c>
      <c r="I236" s="25">
        <f t="shared" ref="I236:M236" si="192">I224/I20</f>
        <v>7.2860669092753932E-2</v>
      </c>
      <c r="J236" s="25">
        <f t="shared" si="192"/>
        <v>5.1395828238007063E-2</v>
      </c>
      <c r="K236" s="25">
        <f t="shared" si="192"/>
        <v>7.2276965558980957E-2</v>
      </c>
      <c r="L236" s="25">
        <f t="shared" si="192"/>
        <v>7.1319669006047887E-2</v>
      </c>
      <c r="M236" s="25">
        <f t="shared" si="192"/>
        <v>4.8389311039446284E-2</v>
      </c>
      <c r="N236" s="25">
        <f t="shared" si="189"/>
        <v>4.8021427724963865E-2</v>
      </c>
      <c r="O236" s="25">
        <f t="shared" si="189"/>
        <v>5.3081795304160788E-2</v>
      </c>
      <c r="P236" s="25">
        <f t="shared" si="189"/>
        <v>5.8017544516039382E-2</v>
      </c>
      <c r="Q236" s="25">
        <f t="shared" si="189"/>
        <v>6.3858140943334502E-2</v>
      </c>
      <c r="R236" s="25">
        <f t="shared" si="189"/>
        <v>6.890211730900328E-2</v>
      </c>
      <c r="S236" s="25">
        <f t="shared" si="189"/>
        <v>7.1420457161460116E-2</v>
      </c>
    </row>
    <row r="237" spans="1:21" s="206" customFormat="1">
      <c r="C237" s="22" t="s">
        <v>317</v>
      </c>
      <c r="H237" s="1069"/>
      <c r="I237" s="1069"/>
      <c r="J237" s="1069"/>
      <c r="K237" s="1069"/>
      <c r="L237" s="1069"/>
      <c r="M237" s="1069"/>
      <c r="N237" s="1069"/>
      <c r="O237" s="1069"/>
      <c r="P237" s="1069"/>
      <c r="Q237" s="1069"/>
      <c r="R237" s="1069"/>
      <c r="S237" s="1069"/>
    </row>
    <row r="238" spans="1:21" s="206" customFormat="1">
      <c r="C238" s="22" t="s">
        <v>347</v>
      </c>
      <c r="H238" s="1069"/>
      <c r="I238" s="1069"/>
      <c r="J238" s="1069"/>
      <c r="K238" s="1069"/>
      <c r="L238" s="1069"/>
      <c r="M238" s="1069"/>
      <c r="N238" s="1069"/>
      <c r="O238" s="1069"/>
      <c r="P238" s="1069"/>
      <c r="Q238" s="1069"/>
      <c r="R238" s="1069"/>
      <c r="S238" s="1069"/>
    </row>
    <row r="239" spans="1:21" s="206" customFormat="1">
      <c r="C239" s="22" t="s">
        <v>318</v>
      </c>
      <c r="H239" s="25">
        <f t="shared" ref="H239:L239" si="193">H227/H22</f>
        <v>-0.19536993263222183</v>
      </c>
      <c r="I239" s="25">
        <f t="shared" si="193"/>
        <v>-1.1564083957706845E-2</v>
      </c>
      <c r="J239" s="25">
        <f t="shared" si="193"/>
        <v>7.3790769479045656E-2</v>
      </c>
      <c r="K239" s="25">
        <f t="shared" si="193"/>
        <v>8.0281029620694125E-2</v>
      </c>
      <c r="L239" s="25">
        <f t="shared" si="193"/>
        <v>6.2286855958011221E-2</v>
      </c>
      <c r="M239" s="25">
        <f>M227/M22</f>
        <v>-0.14647066019865534</v>
      </c>
      <c r="N239" s="25">
        <f>N227/N22</f>
        <v>-0.20393924246328513</v>
      </c>
      <c r="O239" s="25">
        <f t="shared" ref="O239:S239" ca="1" si="194">O227/O22</f>
        <v>-3.356209230445989E-2</v>
      </c>
      <c r="P239" s="25">
        <f t="shared" ca="1" si="194"/>
        <v>-3.1122504735658876E-2</v>
      </c>
      <c r="Q239" s="25">
        <f t="shared" ca="1" si="194"/>
        <v>-1.554987821171847E-2</v>
      </c>
      <c r="R239" s="25">
        <f t="shared" ca="1" si="194"/>
        <v>-1.0467448279532717E-2</v>
      </c>
      <c r="S239" s="25">
        <f t="shared" ca="1" si="194"/>
        <v>-5.3040343989605972E-3</v>
      </c>
    </row>
    <row r="240" spans="1:21" s="206" customFormat="1"/>
    <row r="241" spans="1:19" s="231" customFormat="1">
      <c r="A241" s="58" t="s">
        <v>8</v>
      </c>
      <c r="B241" s="58" t="s">
        <v>490</v>
      </c>
      <c r="H241" s="232"/>
      <c r="I241" s="232"/>
      <c r="J241" s="232"/>
      <c r="K241" s="232"/>
      <c r="L241" s="233"/>
      <c r="M241" s="233"/>
      <c r="N241" s="233"/>
      <c r="O241" s="233"/>
      <c r="P241" s="233"/>
      <c r="Q241" s="233"/>
      <c r="R241" s="233"/>
      <c r="S241" s="233"/>
    </row>
    <row r="242" spans="1:19" s="1" customFormat="1"/>
    <row r="243" spans="1:19" s="62" customFormat="1">
      <c r="A243" s="10" t="s">
        <v>8</v>
      </c>
      <c r="B243" s="10" t="s">
        <v>1045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5" spans="1:19">
      <c r="C245" s="1" t="s">
        <v>313</v>
      </c>
      <c r="D245" s="1"/>
      <c r="H245" s="21">
        <v>0</v>
      </c>
      <c r="I245" s="21">
        <v>0</v>
      </c>
      <c r="J245" s="21">
        <v>0</v>
      </c>
      <c r="K245" s="21"/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</row>
    <row r="246" spans="1:19">
      <c r="C246" s="1" t="s">
        <v>344</v>
      </c>
      <c r="D246" s="1"/>
      <c r="H246" s="21">
        <f>中国!H1115/1000/H9</f>
        <v>9.3038854704432339</v>
      </c>
      <c r="I246" s="21">
        <f>中国!I1115/1000/I9</f>
        <v>2.9389725809806828</v>
      </c>
      <c r="J246" s="21">
        <f>中国!J1115/1000/J9</f>
        <v>0.3775713176638178</v>
      </c>
      <c r="K246" s="21"/>
      <c r="L246" s="21">
        <f>中国!L1115/1000/L9</f>
        <v>0.15527171506250353</v>
      </c>
      <c r="M246" s="21">
        <f>中国!M1115/1000/M9</f>
        <v>0.64564284897264557</v>
      </c>
      <c r="N246" s="21">
        <f>中国!N1115/1000/N9</f>
        <v>0.63462828406001071</v>
      </c>
      <c r="O246" s="21">
        <f>中国!O1115/1000/O9</f>
        <v>0.62397462422954986</v>
      </c>
      <c r="P246" s="21">
        <f>中国!P1115/1000/P9</f>
        <v>0.64235298166517074</v>
      </c>
      <c r="Q246" s="21">
        <f>中国!Q1115/1000/Q9</f>
        <v>0.67624560396183941</v>
      </c>
      <c r="R246" s="21">
        <f>中国!R1115/1000/R9</f>
        <v>0.71788641655049112</v>
      </c>
      <c r="S246" s="21">
        <f>中国!S1115/1000/S9</f>
        <v>0.76252160333252017</v>
      </c>
    </row>
    <row r="247" spans="1:19">
      <c r="C247" s="1" t="s">
        <v>315</v>
      </c>
      <c r="D247" s="1"/>
      <c r="H247" s="21">
        <v>0</v>
      </c>
      <c r="I247" s="21">
        <v>0</v>
      </c>
      <c r="J247" s="21">
        <v>0</v>
      </c>
      <c r="K247" s="21"/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</row>
    <row r="248" spans="1:19">
      <c r="C248" s="1" t="s">
        <v>316</v>
      </c>
      <c r="D248" s="1"/>
      <c r="H248" s="21">
        <v>0</v>
      </c>
      <c r="I248" s="21">
        <v>0</v>
      </c>
      <c r="J248" s="21">
        <v>0</v>
      </c>
      <c r="K248" s="21"/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</row>
    <row r="249" spans="1:19">
      <c r="C249" s="1" t="s">
        <v>317</v>
      </c>
      <c r="D249" s="1"/>
      <c r="H249" s="20">
        <v>0</v>
      </c>
      <c r="I249" s="20">
        <v>0</v>
      </c>
      <c r="J249" s="20">
        <v>0</v>
      </c>
      <c r="K249" s="20"/>
      <c r="L249" s="20">
        <v>0</v>
      </c>
      <c r="M249" s="20">
        <v>0</v>
      </c>
      <c r="N249" s="1074">
        <v>0</v>
      </c>
      <c r="O249" s="1074">
        <v>0</v>
      </c>
      <c r="P249" s="1074">
        <v>0</v>
      </c>
      <c r="Q249" s="1074">
        <v>0</v>
      </c>
      <c r="R249" s="1074">
        <v>0</v>
      </c>
      <c r="S249" s="1074">
        <v>0</v>
      </c>
    </row>
    <row r="250" spans="1:19">
      <c r="C250" s="1" t="s">
        <v>347</v>
      </c>
      <c r="D250" s="1"/>
      <c r="H250" s="20">
        <v>0</v>
      </c>
      <c r="I250" s="20">
        <v>0</v>
      </c>
      <c r="J250" s="20">
        <v>0</v>
      </c>
      <c r="K250" s="20"/>
      <c r="L250" s="20">
        <v>0</v>
      </c>
      <c r="M250" s="20">
        <v>0</v>
      </c>
      <c r="N250" s="1074">
        <v>0</v>
      </c>
      <c r="O250" s="1074">
        <v>0</v>
      </c>
      <c r="P250" s="1074">
        <v>0</v>
      </c>
      <c r="Q250" s="1074">
        <v>0</v>
      </c>
      <c r="R250" s="1074">
        <v>0</v>
      </c>
      <c r="S250" s="1074">
        <v>0</v>
      </c>
    </row>
    <row r="251" spans="1:19" ht="15" thickBot="1">
      <c r="B251" s="142"/>
      <c r="C251" s="37" t="s">
        <v>318</v>
      </c>
      <c r="D251" s="37"/>
      <c r="E251" s="142"/>
      <c r="F251" s="142"/>
      <c r="G251" s="142"/>
      <c r="H251" s="39">
        <f>H252-SUM(H245:H250)</f>
        <v>-7.9938854704432334</v>
      </c>
      <c r="I251" s="39">
        <f t="shared" ref="I251:M251" si="195">I252-SUM(I245:I250)</f>
        <v>-0.92897258098068303</v>
      </c>
      <c r="J251" s="39">
        <f t="shared" si="195"/>
        <v>-7.5713176638178004E-3</v>
      </c>
      <c r="K251" s="39"/>
      <c r="L251" s="39">
        <f t="shared" si="195"/>
        <v>-5.2717150625035403E-3</v>
      </c>
      <c r="M251" s="39">
        <f t="shared" si="195"/>
        <v>4.3571510273544556E-3</v>
      </c>
      <c r="N251" s="1075">
        <v>0</v>
      </c>
      <c r="O251" s="1075">
        <v>0</v>
      </c>
      <c r="P251" s="1075">
        <v>0</v>
      </c>
      <c r="Q251" s="1075">
        <v>0</v>
      </c>
      <c r="R251" s="1075">
        <v>0</v>
      </c>
      <c r="S251" s="1075">
        <v>0</v>
      </c>
    </row>
    <row r="252" spans="1:19" s="236" customFormat="1">
      <c r="B252" s="18" t="s">
        <v>1046</v>
      </c>
      <c r="H252" s="98">
        <f>资产负债表!H13</f>
        <v>1.31</v>
      </c>
      <c r="I252" s="98">
        <f>资产负债表!I13</f>
        <v>2.0099999999999998</v>
      </c>
      <c r="J252" s="98">
        <f>资产负债表!J13</f>
        <v>0.37</v>
      </c>
      <c r="K252" s="98"/>
      <c r="L252" s="98">
        <f>资产负债表!L13</f>
        <v>0.15</v>
      </c>
      <c r="M252" s="98">
        <f>资产负债表!M13</f>
        <v>0.65</v>
      </c>
      <c r="N252" s="23">
        <f t="shared" ref="N252:S252" si="196">SUM(N245:N251)</f>
        <v>0.63462828406001071</v>
      </c>
      <c r="O252" s="23">
        <f t="shared" si="196"/>
        <v>0.62397462422954986</v>
      </c>
      <c r="P252" s="23">
        <f t="shared" si="196"/>
        <v>0.64235298166517074</v>
      </c>
      <c r="Q252" s="23">
        <f t="shared" si="196"/>
        <v>0.67624560396183941</v>
      </c>
      <c r="R252" s="23">
        <f t="shared" si="196"/>
        <v>0.71788641655049112</v>
      </c>
      <c r="S252" s="23">
        <f t="shared" si="196"/>
        <v>0.76252160333252017</v>
      </c>
    </row>
    <row r="254" spans="1:19" s="62" customFormat="1">
      <c r="A254" s="10" t="s">
        <v>8</v>
      </c>
      <c r="B254" s="10" t="s">
        <v>1047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6" spans="1:19">
      <c r="C256" s="1" t="s">
        <v>313</v>
      </c>
      <c r="D256" s="1"/>
      <c r="H256" s="21">
        <f>美国!H749/1000</f>
        <v>90.244619999999998</v>
      </c>
      <c r="I256" s="21">
        <f>美国!I749/1000</f>
        <v>78.990057000000007</v>
      </c>
      <c r="J256" s="21">
        <f>美国!J749/1000</f>
        <v>88.253292999999999</v>
      </c>
      <c r="K256" s="21"/>
      <c r="L256" s="21">
        <f>美国!L749/1000</f>
        <v>89.175770469999989</v>
      </c>
      <c r="M256" s="21">
        <f>美国!M749/1000</f>
        <v>82.11158377000001</v>
      </c>
      <c r="N256" s="21">
        <f>美国!N749/1000</f>
        <v>81.823977503143482</v>
      </c>
      <c r="O256" s="21">
        <f>美国!O749/1000</f>
        <v>87.023762615849506</v>
      </c>
      <c r="P256" s="21">
        <f>美国!P749/1000</f>
        <v>91.475998268939094</v>
      </c>
      <c r="Q256" s="21">
        <f>美国!Q749/1000</f>
        <v>95.364816531137819</v>
      </c>
      <c r="R256" s="21">
        <f>美国!R749/1000</f>
        <v>100.53774793498222</v>
      </c>
      <c r="S256" s="21">
        <f>美国!S749/1000</f>
        <v>108.12366229921676</v>
      </c>
    </row>
    <row r="257" spans="1:19">
      <c r="C257" s="1" t="s">
        <v>344</v>
      </c>
      <c r="D257" s="1"/>
      <c r="H257" s="21">
        <f>中国!H1116/1000/H9</f>
        <v>82.029512845693944</v>
      </c>
      <c r="I257" s="21">
        <f>中国!I1116/1000/I9</f>
        <v>136.49471246484396</v>
      </c>
      <c r="J257" s="21">
        <f>中国!J1116/1000/J9</f>
        <v>142.78550080319093</v>
      </c>
      <c r="K257" s="21"/>
      <c r="L257" s="21">
        <f>中国!L1116/1000/L9</f>
        <v>151.74623831049951</v>
      </c>
      <c r="M257" s="21">
        <f>中国!M1116/1000/M9</f>
        <v>153.62589900479659</v>
      </c>
      <c r="N257" s="21">
        <f>中国!N1116/1000/N9</f>
        <v>151.00506545952814</v>
      </c>
      <c r="O257" s="21">
        <f>中国!O1116/1000/O9</f>
        <v>148.47010658598043</v>
      </c>
      <c r="P257" s="21">
        <f>中国!P1116/1000/P9</f>
        <v>152.84309962349545</v>
      </c>
      <c r="Q257" s="21">
        <f>中国!Q1116/1000/Q9</f>
        <v>160.90759623836672</v>
      </c>
      <c r="R257" s="21">
        <f>中国!R1116/1000/R9</f>
        <v>170.81571692676437</v>
      </c>
      <c r="S257" s="21">
        <f>中国!S1116/1000/S9</f>
        <v>181.43632661453117</v>
      </c>
    </row>
    <row r="258" spans="1:19">
      <c r="C258" s="1" t="s">
        <v>315</v>
      </c>
      <c r="D258" s="1"/>
      <c r="H258" s="21">
        <f>加拿大!H155/1000/H9*H11</f>
        <v>8.4062113700137981</v>
      </c>
      <c r="I258" s="21">
        <f>加拿大!I155/1000/I9*I11</f>
        <v>13.667537028231797</v>
      </c>
      <c r="J258" s="21">
        <f>加拿大!J155/1000/J9*J11</f>
        <v>17.00906978632479</v>
      </c>
      <c r="K258" s="21"/>
      <c r="L258" s="21">
        <f>加拿大!L155/1000/L9*L11</f>
        <v>20.834419310311606</v>
      </c>
      <c r="M258" s="21">
        <f>加拿大!M155/1000/M9*M11</f>
        <v>17.505095514161869</v>
      </c>
      <c r="N258" s="21">
        <f>加拿大!N155/1000/N9*N11</f>
        <v>21.243711051290585</v>
      </c>
      <c r="O258" s="21">
        <f>加拿大!O155/1000/O9*O11</f>
        <v>23.201733097001068</v>
      </c>
      <c r="P258" s="21">
        <f>加拿大!P155/1000/P9*P11</f>
        <v>25.332692272996322</v>
      </c>
      <c r="Q258" s="21">
        <f>加拿大!Q155/1000/Q9*Q11</f>
        <v>28.144621115298918</v>
      </c>
      <c r="R258" s="21">
        <f>加拿大!R155/1000/R9*R11</f>
        <v>31.268674059097101</v>
      </c>
      <c r="S258" s="21">
        <f>加拿大!S155/1000/S9*S11</f>
        <v>34.739496879656883</v>
      </c>
    </row>
    <row r="259" spans="1:19">
      <c r="C259" s="1" t="s">
        <v>316</v>
      </c>
      <c r="D259" s="1"/>
      <c r="H259" s="21">
        <f>欧洲!H149/1000/H9*H10</f>
        <v>23.478528502550269</v>
      </c>
      <c r="I259" s="21">
        <f>欧洲!I149/1000/I9*I10</f>
        <v>26.413357830609211</v>
      </c>
      <c r="J259" s="21">
        <f>欧洲!J149/1000/J9*J10</f>
        <v>28.033616809116811</v>
      </c>
      <c r="K259" s="21"/>
      <c r="L259" s="21">
        <f>欧洲!L149/1000/L9*L10</f>
        <v>30.044753391341864</v>
      </c>
      <c r="M259" s="21">
        <f>欧洲!M149/1000/M9*M10</f>
        <v>28.544263399716613</v>
      </c>
      <c r="N259" s="21">
        <f>欧洲!N149/1000/N9*N10</f>
        <v>33.205953973441893</v>
      </c>
      <c r="O259" s="21">
        <f>欧洲!O149/1000/O9*O10</f>
        <v>35.648772652613793</v>
      </c>
      <c r="P259" s="21">
        <f>欧洲!P149/1000/P9*P10</f>
        <v>38.237797776692936</v>
      </c>
      <c r="Q259" s="21">
        <f>欧洲!Q149/1000/Q9*Q10</f>
        <v>41.226157765340922</v>
      </c>
      <c r="R259" s="21">
        <f>欧洲!R149/1000/R9*R10</f>
        <v>44.867639042325948</v>
      </c>
      <c r="S259" s="21">
        <f>欧洲!S149/1000/S9*S10</f>
        <v>49.660083272494695</v>
      </c>
    </row>
    <row r="260" spans="1:19">
      <c r="C260" s="1" t="s">
        <v>317</v>
      </c>
      <c r="D260" s="1"/>
      <c r="H260" s="20">
        <v>0</v>
      </c>
      <c r="I260" s="20">
        <v>0</v>
      </c>
      <c r="J260" s="20">
        <v>0</v>
      </c>
      <c r="K260" s="20"/>
      <c r="L260" s="20">
        <v>0</v>
      </c>
      <c r="M260" s="20">
        <v>0</v>
      </c>
      <c r="N260" s="1074">
        <v>0</v>
      </c>
      <c r="O260" s="1074">
        <v>0</v>
      </c>
      <c r="P260" s="1074">
        <v>0</v>
      </c>
      <c r="Q260" s="1074">
        <v>0</v>
      </c>
      <c r="R260" s="1074">
        <v>0</v>
      </c>
      <c r="S260" s="1074">
        <v>0</v>
      </c>
    </row>
    <row r="261" spans="1:19">
      <c r="C261" s="1" t="s">
        <v>318</v>
      </c>
      <c r="D261" s="1"/>
      <c r="H261" s="20">
        <v>-5.8711623014185523</v>
      </c>
      <c r="I261" s="20">
        <v>-10.497193875459152</v>
      </c>
      <c r="J261" s="20">
        <v>-11.442351424763533</v>
      </c>
      <c r="K261" s="20"/>
      <c r="L261" s="20">
        <v>-11.199367292426706</v>
      </c>
      <c r="M261" s="20">
        <v>-11.80266521528268</v>
      </c>
      <c r="N261" s="21">
        <f>N265/1000*中国!N1152/N9</f>
        <v>-10.981546911675785</v>
      </c>
      <c r="O261" s="21">
        <f>O265/1000*中国!O1152/O9</f>
        <v>-9.9064270028580879</v>
      </c>
      <c r="P261" s="21">
        <f>P265/1000*中国!P1152/P9</f>
        <v>-9.4711707665662868</v>
      </c>
      <c r="Q261" s="21">
        <f>Q265/1000*中国!Q1152/Q9</f>
        <v>-9.3444005829392349</v>
      </c>
      <c r="R261" s="21">
        <f>R265/1000*中国!R1152/R9</f>
        <v>-9.3187687475071108</v>
      </c>
      <c r="S261" s="21">
        <f>S265/1000*中国!S1152/S9</f>
        <v>-9.3292074762958563</v>
      </c>
    </row>
    <row r="262" spans="1:19" ht="15" thickBot="1">
      <c r="B262" s="142"/>
      <c r="C262" s="37" t="s">
        <v>1052</v>
      </c>
      <c r="D262" s="37"/>
      <c r="E262" s="142"/>
      <c r="F262" s="142"/>
      <c r="G262" s="142"/>
      <c r="H262" s="39">
        <f t="shared" ref="H262:J262" si="197">H263-SUM(H256:H261)</f>
        <v>-52.647710416839459</v>
      </c>
      <c r="I262" s="39">
        <f t="shared" si="197"/>
        <v>-96.668470448225833</v>
      </c>
      <c r="J262" s="39">
        <f t="shared" si="197"/>
        <v>-102.229128973869</v>
      </c>
      <c r="K262" s="39"/>
      <c r="L262" s="39">
        <f>L263-SUM(L256:L261)</f>
        <v>-102.05181418972626</v>
      </c>
      <c r="M262" s="39">
        <f t="shared" ref="M262" si="198">M263-SUM(M256:M261)</f>
        <v>-105.13417647339239</v>
      </c>
      <c r="N262" s="1076">
        <f>M262</f>
        <v>-105.13417647339239</v>
      </c>
      <c r="O262" s="1076">
        <f t="shared" ref="O262:S262" si="199">N262</f>
        <v>-105.13417647339239</v>
      </c>
      <c r="P262" s="1076">
        <f t="shared" si="199"/>
        <v>-105.13417647339239</v>
      </c>
      <c r="Q262" s="1076">
        <f t="shared" si="199"/>
        <v>-105.13417647339239</v>
      </c>
      <c r="R262" s="1076">
        <f t="shared" si="199"/>
        <v>-105.13417647339239</v>
      </c>
      <c r="S262" s="1076">
        <f t="shared" si="199"/>
        <v>-105.13417647339239</v>
      </c>
    </row>
    <row r="263" spans="1:19" s="236" customFormat="1">
      <c r="B263" s="18" t="s">
        <v>1047</v>
      </c>
      <c r="H263" s="98">
        <f>资产负债表!H14</f>
        <v>145.63999999999999</v>
      </c>
      <c r="I263" s="98">
        <f>资产负债表!I14</f>
        <v>148.4</v>
      </c>
      <c r="J263" s="98">
        <f>资产负债表!J14</f>
        <v>162.41</v>
      </c>
      <c r="K263" s="98"/>
      <c r="L263" s="98">
        <f>资产负债表!L14</f>
        <v>178.55</v>
      </c>
      <c r="M263" s="98">
        <f>资产负债表!M14</f>
        <v>164.85</v>
      </c>
      <c r="N263" s="23">
        <f t="shared" ref="N263:S263" si="200">SUM(N256:N262)</f>
        <v>171.16298460233597</v>
      </c>
      <c r="O263" s="23">
        <f t="shared" si="200"/>
        <v>179.30377147519428</v>
      </c>
      <c r="P263" s="23">
        <f t="shared" si="200"/>
        <v>193.28424070216514</v>
      </c>
      <c r="Q263" s="23">
        <f t="shared" si="200"/>
        <v>211.16461459381279</v>
      </c>
      <c r="R263" s="23">
        <f t="shared" si="200"/>
        <v>233.03683274227015</v>
      </c>
      <c r="S263" s="23">
        <f t="shared" si="200"/>
        <v>259.49618511621134</v>
      </c>
    </row>
    <row r="264" spans="1:19" s="236" customFormat="1">
      <c r="B264" s="18"/>
      <c r="H264" s="98"/>
      <c r="I264" s="98"/>
      <c r="J264" s="98"/>
      <c r="K264" s="98"/>
      <c r="L264" s="98"/>
      <c r="M264" s="98"/>
      <c r="N264" s="23"/>
      <c r="O264" s="23"/>
      <c r="P264" s="23"/>
      <c r="Q264" s="23"/>
      <c r="R264" s="23"/>
      <c r="S264" s="23"/>
    </row>
    <row r="265" spans="1:19">
      <c r="H265" s="1259">
        <f>H261/中国!H1152*1000*H9</f>
        <v>-9.3708650847221298E-2</v>
      </c>
      <c r="I265" s="1259">
        <f>I261/中国!I1152*1000*I9</f>
        <v>-9.6621038397301975E-2</v>
      </c>
      <c r="J265" s="1259">
        <f>J261/中国!J1152*1000*J9</f>
        <v>-9.6909181395728169E-2</v>
      </c>
      <c r="K265" s="1259"/>
      <c r="L265" s="1259">
        <f>L261/中国!L1152*1000*L9</f>
        <v>-0.10046464180723223</v>
      </c>
      <c r="M265" s="1259">
        <f>M261/中国!M1152*1000*M9</f>
        <v>-0.10019870778485432</v>
      </c>
      <c r="N265" s="1258">
        <f>M265</f>
        <v>-0.10019870778485432</v>
      </c>
      <c r="O265" s="1258">
        <f t="shared" ref="O265:S265" si="201">N265</f>
        <v>-0.10019870778485432</v>
      </c>
      <c r="P265" s="1258">
        <f t="shared" si="201"/>
        <v>-0.10019870778485432</v>
      </c>
      <c r="Q265" s="1258">
        <f t="shared" si="201"/>
        <v>-0.10019870778485432</v>
      </c>
      <c r="R265" s="1258">
        <f t="shared" si="201"/>
        <v>-0.10019870778485432</v>
      </c>
      <c r="S265" s="1258">
        <f t="shared" si="201"/>
        <v>-0.10019870778485432</v>
      </c>
    </row>
    <row r="266" spans="1:19" s="62" customFormat="1">
      <c r="A266" s="10" t="s">
        <v>8</v>
      </c>
      <c r="B266" s="10" t="s">
        <v>1049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8" spans="1:19">
      <c r="C268" s="1" t="s">
        <v>313</v>
      </c>
      <c r="D268" s="1"/>
      <c r="H268" s="21">
        <v>0</v>
      </c>
      <c r="I268" s="21">
        <v>0</v>
      </c>
      <c r="J268" s="21">
        <v>0</v>
      </c>
      <c r="K268" s="21"/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</row>
    <row r="269" spans="1:19">
      <c r="C269" s="1" t="s">
        <v>344</v>
      </c>
      <c r="D269" s="1"/>
      <c r="H269" s="21">
        <f>中国!H1117/1000/H9</f>
        <v>-1.420507050834845</v>
      </c>
      <c r="I269" s="21">
        <f>中国!I1117/1000/I9</f>
        <v>-1.1238409717682021</v>
      </c>
      <c r="J269" s="21">
        <f>中国!J1117/1000/J9</f>
        <v>-2.958526106837593</v>
      </c>
      <c r="K269" s="21"/>
      <c r="L269" s="21">
        <f>中国!L1117/1000/L9</f>
        <v>-5.3722701468692051</v>
      </c>
      <c r="M269" s="21">
        <f>中国!M1117/1000/M9</f>
        <v>-7.092228968182023</v>
      </c>
      <c r="N269" s="21">
        <f>中国!N1117/1000/N9</f>
        <v>-6.9712366634277574</v>
      </c>
      <c r="O269" s="21">
        <f>中国!O1117/1000/O9</f>
        <v>-6.8542088128336083</v>
      </c>
      <c r="P269" s="21">
        <f>中国!P1117/1000/P9</f>
        <v>-7.0560905795099034</v>
      </c>
      <c r="Q269" s="21">
        <f>中国!Q1117/1000/Q9</f>
        <v>-7.4283927556163576</v>
      </c>
      <c r="R269" s="21">
        <f>中国!R1117/1000/R9</f>
        <v>-7.8858069092305421</v>
      </c>
      <c r="S269" s="21">
        <f>中国!S1117/1000/S9</f>
        <v>-8.3761135318461903</v>
      </c>
    </row>
    <row r="270" spans="1:19">
      <c r="C270" s="1" t="s">
        <v>315</v>
      </c>
      <c r="D270" s="1"/>
      <c r="H270" s="21">
        <v>0</v>
      </c>
      <c r="I270" s="21">
        <v>0</v>
      </c>
      <c r="J270" s="21">
        <v>0</v>
      </c>
      <c r="K270" s="21"/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</row>
    <row r="271" spans="1:19">
      <c r="C271" s="1" t="s">
        <v>316</v>
      </c>
      <c r="D271" s="1"/>
      <c r="H271" s="21">
        <f>欧洲!H151/1000/H9*H10</f>
        <v>-0.37297645070771906</v>
      </c>
      <c r="I271" s="21">
        <f>欧洲!I151/1000/I9*I10</f>
        <v>-2.4660029717682016E-3</v>
      </c>
      <c r="J271" s="21">
        <f>欧洲!J151/1000/J9*J10</f>
        <v>-0.49660968660968668</v>
      </c>
      <c r="K271" s="21"/>
      <c r="L271" s="21">
        <f>欧洲!L151/1000/L9*L10</f>
        <v>-0.47168970380097458</v>
      </c>
      <c r="M271" s="21">
        <f>欧洲!M151/1000/M9*M10</f>
        <v>-0.3566993351491799</v>
      </c>
      <c r="N271" s="21">
        <f>欧洲!N151/1000/N9*N10</f>
        <v>-0.41495348958413075</v>
      </c>
      <c r="O271" s="21">
        <f>欧洲!O151/1000/O9*O10</f>
        <v>-0.44547982640175082</v>
      </c>
      <c r="P271" s="21">
        <f>欧洲!P151/1000/P9*P10</f>
        <v>-0.47783321130124423</v>
      </c>
      <c r="Q271" s="21">
        <f>欧洲!Q151/1000/Q9*Q10</f>
        <v>-0.5151768276423031</v>
      </c>
      <c r="R271" s="21">
        <f>欧洲!R151/1000/R9*R10</f>
        <v>-0.56068208143952114</v>
      </c>
      <c r="S271" s="21">
        <f>欧洲!S151/1000/S9*S10</f>
        <v>-0.62057018037913803</v>
      </c>
    </row>
    <row r="272" spans="1:19">
      <c r="C272" s="1" t="s">
        <v>317</v>
      </c>
      <c r="D272" s="1"/>
      <c r="H272" s="20">
        <v>0</v>
      </c>
      <c r="I272" s="20">
        <v>0</v>
      </c>
      <c r="J272" s="20">
        <v>0</v>
      </c>
      <c r="K272" s="20"/>
      <c r="L272" s="20">
        <v>0</v>
      </c>
      <c r="M272" s="20">
        <v>0</v>
      </c>
      <c r="N272" s="1074">
        <v>0</v>
      </c>
      <c r="O272" s="1074">
        <v>0</v>
      </c>
      <c r="P272" s="1074">
        <v>0</v>
      </c>
      <c r="Q272" s="1074">
        <v>0</v>
      </c>
      <c r="R272" s="1074">
        <v>0</v>
      </c>
      <c r="S272" s="1074">
        <v>0</v>
      </c>
    </row>
    <row r="273" spans="1:19">
      <c r="C273" s="1" t="s">
        <v>318</v>
      </c>
      <c r="D273" s="1"/>
      <c r="H273" s="20">
        <v>-1.87650186812922E-3</v>
      </c>
      <c r="I273" s="20">
        <v>1.6453065527488299E-2</v>
      </c>
      <c r="J273" s="20">
        <v>2.7617598290598298E-3</v>
      </c>
      <c r="K273" s="20"/>
      <c r="L273" s="20">
        <v>1.18973877459499E-3</v>
      </c>
      <c r="M273" s="20">
        <v>1.13490493660115E-4</v>
      </c>
      <c r="N273" s="1074">
        <v>0</v>
      </c>
      <c r="O273" s="1074">
        <v>0</v>
      </c>
      <c r="P273" s="1074">
        <v>0</v>
      </c>
      <c r="Q273" s="1074">
        <v>0</v>
      </c>
      <c r="R273" s="1074">
        <v>0</v>
      </c>
      <c r="S273" s="1074">
        <v>0</v>
      </c>
    </row>
    <row r="274" spans="1:19" ht="15" thickBot="1">
      <c r="B274" s="142"/>
      <c r="C274" s="37" t="s">
        <v>1052</v>
      </c>
      <c r="D274" s="37"/>
      <c r="E274" s="142"/>
      <c r="F274" s="142"/>
      <c r="G274" s="142"/>
      <c r="H274" s="39">
        <f>H275-SUM(H268:H273)</f>
        <v>-3.4639996589306721E-2</v>
      </c>
      <c r="I274" s="39">
        <f t="shared" ref="I274:J274" si="202">I275-SUM(I268:I273)</f>
        <v>0.1798539092124819</v>
      </c>
      <c r="J274" s="39">
        <f t="shared" si="202"/>
        <v>3.237403361822011E-2</v>
      </c>
      <c r="K274" s="39"/>
      <c r="L274" s="39">
        <f t="shared" ref="L274:M274" si="203">L275-SUM(L268:L273)</f>
        <v>5.2770111895584115E-2</v>
      </c>
      <c r="M274" s="39">
        <f t="shared" si="203"/>
        <v>-3.1185187162456884E-2</v>
      </c>
      <c r="N274" s="1076">
        <f>M274</f>
        <v>-3.1185187162456884E-2</v>
      </c>
      <c r="O274" s="1076">
        <f t="shared" ref="O274:S274" si="204">N274</f>
        <v>-3.1185187162456884E-2</v>
      </c>
      <c r="P274" s="1076">
        <f t="shared" si="204"/>
        <v>-3.1185187162456884E-2</v>
      </c>
      <c r="Q274" s="1076">
        <f t="shared" si="204"/>
        <v>-3.1185187162456884E-2</v>
      </c>
      <c r="R274" s="1076">
        <f t="shared" si="204"/>
        <v>-3.1185187162456884E-2</v>
      </c>
      <c r="S274" s="1076">
        <f t="shared" si="204"/>
        <v>-3.1185187162456884E-2</v>
      </c>
    </row>
    <row r="275" spans="1:19" s="236" customFormat="1">
      <c r="B275" s="18" t="s">
        <v>1049</v>
      </c>
      <c r="H275" s="98">
        <f>-资产负债表!H47</f>
        <v>-1.83</v>
      </c>
      <c r="I275" s="98">
        <f>-资产负债表!I47</f>
        <v>-0.93</v>
      </c>
      <c r="J275" s="98">
        <f>-资产负债表!J47</f>
        <v>-3.42</v>
      </c>
      <c r="K275" s="98"/>
      <c r="L275" s="98">
        <f>-资产负债表!L47</f>
        <v>-5.79</v>
      </c>
      <c r="M275" s="98">
        <f>-资产负债表!M47</f>
        <v>-7.48</v>
      </c>
      <c r="N275" s="23">
        <f t="shared" ref="N275:S275" si="205">SUM(N268:N274)</f>
        <v>-7.4173753401743454</v>
      </c>
      <c r="O275" s="23">
        <f t="shared" si="205"/>
        <v>-7.3308738263978164</v>
      </c>
      <c r="P275" s="23">
        <f t="shared" si="205"/>
        <v>-7.5651089779736047</v>
      </c>
      <c r="Q275" s="23">
        <f t="shared" si="205"/>
        <v>-7.9747547704211179</v>
      </c>
      <c r="R275" s="23">
        <f t="shared" si="205"/>
        <v>-8.4776741778325206</v>
      </c>
      <c r="S275" s="23">
        <f t="shared" si="205"/>
        <v>-9.0278688993877854</v>
      </c>
    </row>
    <row r="277" spans="1:19" s="62" customFormat="1" hidden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 hidden="1"/>
    <row r="279" spans="1:19" hidden="1">
      <c r="C279" s="1"/>
      <c r="D279" s="1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</row>
    <row r="280" spans="1:19" hidden="1">
      <c r="C280" s="1"/>
      <c r="D280" s="1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</row>
    <row r="281" spans="1:19" hidden="1">
      <c r="C281" s="1"/>
      <c r="D281" s="1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</row>
    <row r="282" spans="1:19" hidden="1">
      <c r="C282" s="1"/>
      <c r="D282" s="1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</row>
    <row r="283" spans="1:19" hidden="1">
      <c r="C283" s="1"/>
      <c r="D283" s="1"/>
      <c r="L283" s="235"/>
      <c r="M283" s="235"/>
      <c r="N283" s="235"/>
      <c r="O283" s="235"/>
      <c r="P283" s="235"/>
      <c r="Q283" s="235"/>
      <c r="R283" s="235"/>
      <c r="S283" s="235"/>
    </row>
    <row r="284" spans="1:19" hidden="1">
      <c r="C284" s="1"/>
      <c r="D284" s="1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</row>
    <row r="285" spans="1:19" ht="15" hidden="1" thickBot="1">
      <c r="B285" s="142"/>
      <c r="C285" s="37"/>
      <c r="D285" s="37"/>
      <c r="E285" s="142"/>
      <c r="F285" s="142"/>
      <c r="G285" s="142"/>
      <c r="H285" s="39"/>
      <c r="I285" s="39"/>
      <c r="J285" s="39"/>
      <c r="K285" s="39"/>
      <c r="L285" s="147"/>
      <c r="M285" s="147"/>
      <c r="N285" s="147"/>
      <c r="O285" s="147"/>
      <c r="P285" s="147"/>
      <c r="Q285" s="147"/>
      <c r="R285" s="147"/>
      <c r="S285" s="147"/>
    </row>
    <row r="286" spans="1:19" s="236" customFormat="1" hidden="1">
      <c r="B286" s="18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8" spans="1:19" s="62" customFormat="1">
      <c r="A288" s="10" t="s">
        <v>8</v>
      </c>
      <c r="B288" s="10" t="s">
        <v>491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90" spans="1:19">
      <c r="C290" s="1" t="s">
        <v>313</v>
      </c>
      <c r="D290" s="1"/>
      <c r="H290" s="21">
        <f>美国!H753/1000</f>
        <v>261.483</v>
      </c>
      <c r="I290" s="21">
        <f>美国!I753/1000</f>
        <v>253.96700000000001</v>
      </c>
      <c r="J290" s="21">
        <f>美国!J753/1000</f>
        <v>177.25299999999999</v>
      </c>
      <c r="K290" s="21">
        <f>美国!K753/1000</f>
        <v>189.45</v>
      </c>
      <c r="L290" s="21">
        <f>美国!L753/1000</f>
        <v>193.49610860999999</v>
      </c>
      <c r="M290" s="21">
        <f>美国!M753/1000</f>
        <v>196.76268278000006</v>
      </c>
      <c r="N290" s="21">
        <f>美国!N753/1000</f>
        <v>211.90853090332843</v>
      </c>
      <c r="O290" s="21">
        <f>美国!O753/1000</f>
        <v>223.04322899817706</v>
      </c>
      <c r="P290" s="21">
        <f>美国!P753/1000</f>
        <v>233.26879172452917</v>
      </c>
      <c r="Q290" s="21">
        <f>美国!Q753/1000</f>
        <v>242.72405733215982</v>
      </c>
      <c r="R290" s="21">
        <f>美国!R753/1000</f>
        <v>255.69099719013198</v>
      </c>
      <c r="S290" s="21">
        <f>美国!S753/1000</f>
        <v>274.98192491638849</v>
      </c>
    </row>
    <row r="291" spans="1:19">
      <c r="C291" s="1" t="s">
        <v>344</v>
      </c>
      <c r="D291" s="1"/>
      <c r="H291" s="21">
        <f>中国!H1120/1000/集团!H9</f>
        <v>42.188314987466782</v>
      </c>
      <c r="I291" s="21">
        <f>中国!I1120/1000/集团!I9</f>
        <v>44.747004405542313</v>
      </c>
      <c r="J291" s="21">
        <f>中国!J1120/1000/集团!J9</f>
        <v>47.66266986563349</v>
      </c>
      <c r="K291" s="21">
        <f>中国!K1120/1000/集团!K9</f>
        <v>58.071549295774652</v>
      </c>
      <c r="L291" s="21">
        <f>中国!L1120/1000/集团!L9</f>
        <v>59.238305063382896</v>
      </c>
      <c r="M291" s="21">
        <f>中国!M1120/1000/集团!M9</f>
        <v>66.139498761427149</v>
      </c>
      <c r="N291" s="21">
        <f>中国!N1120/1000/集团!N9</f>
        <v>62.464851772247656</v>
      </c>
      <c r="O291" s="21">
        <f>中国!O1120/1000/集团!O9</f>
        <v>68.805751376743871</v>
      </c>
      <c r="P291" s="21">
        <f>中国!P1120/1000/集团!P9</f>
        <v>76.771642331922877</v>
      </c>
      <c r="Q291" s="21">
        <f>中国!Q1120/1000/集团!Q9</f>
        <v>85.604569885318313</v>
      </c>
      <c r="R291" s="21">
        <f>中国!R1120/1000/集团!R9</f>
        <v>95.386289639055548</v>
      </c>
      <c r="S291" s="21">
        <f>中国!S1120/1000/集团!S9</f>
        <v>105.34152305088291</v>
      </c>
    </row>
    <row r="292" spans="1:19">
      <c r="C292" s="1" t="s">
        <v>315</v>
      </c>
      <c r="D292" s="1"/>
      <c r="H292" s="21">
        <f>加拿大!H158/1000*集团!H11/集团!H9</f>
        <v>32.830212920329288</v>
      </c>
      <c r="I292" s="21">
        <f>加拿大!I158/1000*集团!I11/集团!I9</f>
        <v>36.021495111441304</v>
      </c>
      <c r="J292" s="21">
        <f>加拿大!J158/1000*集团!J11/集团!J9</f>
        <v>39.452870726495732</v>
      </c>
      <c r="K292" s="21">
        <f>加拿大!K158/1000*集团!K11/集团!K9</f>
        <v>38.34940140845071</v>
      </c>
      <c r="L292" s="21">
        <f>加拿大!L158/1000*集团!L11/集团!L9</f>
        <v>35.331033247102702</v>
      </c>
      <c r="M292" s="21">
        <f>加拿大!M158/1000*集团!M11/集团!M9</f>
        <v>41.083764890860316</v>
      </c>
      <c r="N292" s="21">
        <f>加拿大!N158/1000*集团!N11/集团!N9</f>
        <v>41.258982302206213</v>
      </c>
      <c r="O292" s="21">
        <f>加拿大!O158/1000*集团!O11/集团!O9</f>
        <v>45.838729337751104</v>
      </c>
      <c r="P292" s="21">
        <f>加拿大!P158/1000*集团!P11/集团!P9</f>
        <v>50.926828294241488</v>
      </c>
      <c r="Q292" s="21">
        <f>加拿大!Q158/1000*集团!Q11/集团!Q9</f>
        <v>56.579706234902304</v>
      </c>
      <c r="R292" s="21">
        <f>加拿大!R158/1000*集团!R11/集团!R9</f>
        <v>62.860053626976452</v>
      </c>
      <c r="S292" s="21">
        <f>加拿大!S158/1000*集团!S11/集团!S9</f>
        <v>69.837519579570852</v>
      </c>
    </row>
    <row r="293" spans="1:19">
      <c r="C293" s="1" t="s">
        <v>316</v>
      </c>
      <c r="D293" s="1"/>
      <c r="H293" s="21">
        <f>欧洲!H154/1000*集团!H10/集团!H9</f>
        <v>38.233476892547635</v>
      </c>
      <c r="I293" s="21">
        <f>欧洲!I154/1000*集团!I10/集团!I9</f>
        <v>42.405387102525999</v>
      </c>
      <c r="J293" s="21">
        <f>欧洲!J154/1000*集团!J10/集团!J9</f>
        <v>51.041543589743597</v>
      </c>
      <c r="K293" s="21">
        <f>欧洲!K154/1000*集团!K10/集团!K9</f>
        <v>48.526963380281693</v>
      </c>
      <c r="L293" s="21">
        <f>欧洲!L154/1000*集团!L10/集团!L9</f>
        <v>48.596134156760066</v>
      </c>
      <c r="M293" s="21">
        <f>欧洲!M154/1000*集团!M10/集团!M9</f>
        <v>45.607559059847155</v>
      </c>
      <c r="N293" s="21">
        <f>欧洲!N154/1000*集团!N10/集团!N9</f>
        <v>52.979295635533383</v>
      </c>
      <c r="O293" s="21">
        <f>欧洲!O154/1000*集团!O10/集团!O9</f>
        <v>56.875268533984652</v>
      </c>
      <c r="P293" s="21">
        <f>欧洲!P154/1000*集团!P10/集团!P9</f>
        <v>61.000347648673831</v>
      </c>
      <c r="Q293" s="21">
        <f>欧洲!Q154/1000*集团!Q10/集团!Q9</f>
        <v>65.77467992534406</v>
      </c>
      <c r="R293" s="21">
        <f>欧洲!R154/1000*集团!R10/集团!R9</f>
        <v>71.619416664661429</v>
      </c>
      <c r="S293" s="21">
        <f>欧洲!S154/1000*集团!S10/集团!S9</f>
        <v>79.390038840409176</v>
      </c>
    </row>
    <row r="294" spans="1:19">
      <c r="C294" s="1" t="s">
        <v>317</v>
      </c>
      <c r="D294" s="1"/>
      <c r="H294" s="96">
        <v>0</v>
      </c>
      <c r="I294" s="96">
        <v>0</v>
      </c>
      <c r="J294" s="96">
        <v>0</v>
      </c>
      <c r="K294" s="96">
        <v>0</v>
      </c>
      <c r="L294" s="96">
        <v>0</v>
      </c>
      <c r="M294" s="96">
        <v>0</v>
      </c>
      <c r="N294" s="235"/>
      <c r="O294" s="235"/>
      <c r="P294" s="235"/>
      <c r="Q294" s="235"/>
      <c r="R294" s="235"/>
      <c r="S294" s="235"/>
    </row>
    <row r="295" spans="1:19" ht="15" thickBot="1">
      <c r="B295" s="142"/>
      <c r="C295" s="37" t="s">
        <v>324</v>
      </c>
      <c r="D295" s="37"/>
      <c r="E295" s="142"/>
      <c r="F295" s="142"/>
      <c r="G295" s="142"/>
      <c r="H295" s="39">
        <f>H296-SUM(H290:H294)</f>
        <v>-5.9750048003436973</v>
      </c>
      <c r="I295" s="39">
        <f t="shared" ref="I295:M295" si="206">I296-SUM(I290:I294)</f>
        <v>-5.580886619509613</v>
      </c>
      <c r="J295" s="39">
        <f t="shared" si="206"/>
        <v>-0.76008418187279858</v>
      </c>
      <c r="K295" s="39">
        <f t="shared" si="206"/>
        <v>-7.0739704225351829</v>
      </c>
      <c r="L295" s="39">
        <f t="shared" si="206"/>
        <v>-11.601581077245669</v>
      </c>
      <c r="M295" s="39">
        <f t="shared" si="206"/>
        <v>2.2264945078652545</v>
      </c>
      <c r="N295" s="147">
        <f>L295</f>
        <v>-11.601581077245669</v>
      </c>
      <c r="O295" s="147">
        <f t="shared" ref="O295:S295" si="207">N295</f>
        <v>-11.601581077245669</v>
      </c>
      <c r="P295" s="147">
        <f t="shared" si="207"/>
        <v>-11.601581077245669</v>
      </c>
      <c r="Q295" s="147">
        <f t="shared" si="207"/>
        <v>-11.601581077245669</v>
      </c>
      <c r="R295" s="147">
        <f t="shared" si="207"/>
        <v>-11.601581077245669</v>
      </c>
      <c r="S295" s="147">
        <f t="shared" si="207"/>
        <v>-11.601581077245669</v>
      </c>
    </row>
    <row r="296" spans="1:19" s="236" customFormat="1">
      <c r="B296" s="18" t="s">
        <v>491</v>
      </c>
      <c r="H296" s="98">
        <f>资产负债表!H21</f>
        <v>368.76</v>
      </c>
      <c r="I296" s="98">
        <f>资产负债表!I21</f>
        <v>371.56</v>
      </c>
      <c r="J296" s="98">
        <f>资产负债表!J21</f>
        <v>314.64999999999998</v>
      </c>
      <c r="K296" s="405">
        <v>327.32394366197184</v>
      </c>
      <c r="L296" s="98">
        <f>资产负债表!L21</f>
        <v>325.06</v>
      </c>
      <c r="M296" s="98">
        <f>资产负债表!M21</f>
        <v>351.82</v>
      </c>
      <c r="N296" s="23">
        <f>SUM(N290:N295)</f>
        <v>357.01007953607001</v>
      </c>
      <c r="O296" s="23">
        <f t="shared" ref="O296" si="208">SUM(O290:O295)</f>
        <v>382.96139716941099</v>
      </c>
      <c r="P296" s="23">
        <f t="shared" ref="P296" si="209">SUM(P290:P295)</f>
        <v>410.3660289221217</v>
      </c>
      <c r="Q296" s="23">
        <f t="shared" ref="Q296" si="210">SUM(Q290:Q295)</f>
        <v>439.08143230047881</v>
      </c>
      <c r="R296" s="23">
        <f t="shared" ref="R296" si="211">SUM(R290:R295)</f>
        <v>473.95517604357974</v>
      </c>
      <c r="S296" s="23">
        <f t="shared" ref="S296" si="212">SUM(S290:S295)</f>
        <v>517.94942531000572</v>
      </c>
    </row>
    <row r="298" spans="1:19" s="62" customFormat="1">
      <c r="A298" s="10" t="s">
        <v>8</v>
      </c>
      <c r="B298" s="10" t="s">
        <v>1050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300" spans="1:19">
      <c r="C300" s="1" t="s">
        <v>313</v>
      </c>
      <c r="D300" s="1"/>
      <c r="H300" s="21">
        <v>0</v>
      </c>
      <c r="I300" s="21">
        <v>0</v>
      </c>
      <c r="J300" s="21">
        <v>0</v>
      </c>
      <c r="K300" s="21"/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</row>
    <row r="301" spans="1:19">
      <c r="C301" s="1" t="s">
        <v>344</v>
      </c>
      <c r="D301" s="1"/>
      <c r="H301" s="21">
        <f>中国!H1124/1000/H9</f>
        <v>-11.062872249352742</v>
      </c>
      <c r="I301" s="21">
        <f>中国!I1124/1000/I9</f>
        <v>-3.4397878677563147</v>
      </c>
      <c r="J301" s="21">
        <f>中国!J1124/1000/J9</f>
        <v>-5.5519656880341861</v>
      </c>
      <c r="K301" s="21"/>
      <c r="L301" s="21">
        <f>中国!L1124/1000/L9</f>
        <v>-10.143014133359491</v>
      </c>
      <c r="M301" s="21">
        <f>中国!M1124/1000/M9</f>
        <v>-18.848632601933353</v>
      </c>
      <c r="N301" s="21">
        <f>中国!N1124/1000/N9</f>
        <v>-14.710108089108315</v>
      </c>
      <c r="O301" s="21">
        <f>中国!O1124/1000/O9</f>
        <v>-16.377582546257816</v>
      </c>
      <c r="P301" s="21">
        <f>中国!P1124/1000/P9</f>
        <v>-18.472301471906036</v>
      </c>
      <c r="Q301" s="21">
        <f>中国!Q1124/1000/Q9</f>
        <v>-20.823971512256577</v>
      </c>
      <c r="R301" s="21">
        <f>中国!R1124/1000/R9</f>
        <v>-23.461266359127894</v>
      </c>
      <c r="S301" s="21">
        <f>中国!S1124/1000/S9</f>
        <v>-26.200983300009707</v>
      </c>
    </row>
    <row r="302" spans="1:19">
      <c r="C302" s="1" t="s">
        <v>315</v>
      </c>
      <c r="D302" s="1"/>
      <c r="H302" s="21">
        <v>0</v>
      </c>
      <c r="I302" s="21">
        <v>0</v>
      </c>
      <c r="J302" s="21">
        <v>0</v>
      </c>
      <c r="K302" s="21"/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</row>
    <row r="303" spans="1:19">
      <c r="C303" s="1" t="s">
        <v>316</v>
      </c>
      <c r="D303" s="1"/>
      <c r="H303" s="21">
        <f>欧洲!H183/1000/H41*H42</f>
        <v>0</v>
      </c>
      <c r="I303" s="21">
        <f>欧洲!I183/1000/I41*I42</f>
        <v>0</v>
      </c>
      <c r="J303" s="21">
        <f>欧洲!J183/1000/J41*J42</f>
        <v>0</v>
      </c>
      <c r="K303" s="21"/>
      <c r="L303" s="21">
        <f>欧洲!L183/1000/L41*L42</f>
        <v>0</v>
      </c>
      <c r="M303" s="21">
        <f>欧洲!M183/1000/M41*M42</f>
        <v>0</v>
      </c>
      <c r="N303" s="21">
        <f>欧洲!N183/1000/N41*N42</f>
        <v>0</v>
      </c>
      <c r="O303" s="21">
        <f>欧洲!O183/1000/O41*O42</f>
        <v>0</v>
      </c>
      <c r="P303" s="21">
        <f>欧洲!P183/1000/P41*P42</f>
        <v>0</v>
      </c>
      <c r="Q303" s="21">
        <f>欧洲!Q183/1000/Q41*Q42</f>
        <v>0</v>
      </c>
      <c r="R303" s="21">
        <f>欧洲!R183/1000/R41*R42</f>
        <v>0</v>
      </c>
      <c r="S303" s="21">
        <f>欧洲!S183/1000/S41*S42</f>
        <v>0</v>
      </c>
    </row>
    <row r="304" spans="1:19">
      <c r="C304" s="1" t="s">
        <v>317</v>
      </c>
      <c r="D304" s="1"/>
      <c r="H304" s="20">
        <v>0</v>
      </c>
      <c r="I304" s="20">
        <v>0</v>
      </c>
      <c r="J304" s="20">
        <v>0</v>
      </c>
      <c r="K304" s="20"/>
      <c r="L304" s="20">
        <v>0</v>
      </c>
      <c r="M304" s="20">
        <v>0</v>
      </c>
      <c r="N304" s="1074">
        <v>0</v>
      </c>
      <c r="O304" s="1074">
        <v>0</v>
      </c>
      <c r="P304" s="1074">
        <v>0</v>
      </c>
      <c r="Q304" s="1074">
        <v>0</v>
      </c>
      <c r="R304" s="1074">
        <v>0</v>
      </c>
      <c r="S304" s="1074">
        <v>0</v>
      </c>
    </row>
    <row r="305" spans="1:19">
      <c r="C305" s="1" t="s">
        <v>318</v>
      </c>
      <c r="D305" s="1"/>
      <c r="H305" s="20">
        <v>0</v>
      </c>
      <c r="I305" s="20">
        <v>0</v>
      </c>
      <c r="J305" s="20">
        <v>0</v>
      </c>
      <c r="K305" s="20"/>
      <c r="L305" s="20">
        <v>0</v>
      </c>
      <c r="M305" s="20">
        <v>0</v>
      </c>
      <c r="N305" s="1074">
        <v>0</v>
      </c>
      <c r="O305" s="1074">
        <v>0</v>
      </c>
      <c r="P305" s="1074">
        <v>0</v>
      </c>
      <c r="Q305" s="1074">
        <v>0</v>
      </c>
      <c r="R305" s="1074">
        <v>0</v>
      </c>
      <c r="S305" s="1074">
        <v>0</v>
      </c>
    </row>
    <row r="306" spans="1:19" ht="15" thickBot="1">
      <c r="B306" s="142"/>
      <c r="C306" s="37" t="s">
        <v>1052</v>
      </c>
      <c r="D306" s="37"/>
      <c r="E306" s="142"/>
      <c r="F306" s="142"/>
      <c r="G306" s="142"/>
      <c r="H306" s="39">
        <f>H307-SUM(H300:H305)</f>
        <v>-0.1271277506472579</v>
      </c>
      <c r="I306" s="39">
        <f t="shared" ref="I306:J306" si="213">I307-SUM(I300:I305)</f>
        <v>0.11978786775631489</v>
      </c>
      <c r="J306" s="39">
        <f t="shared" si="213"/>
        <v>5.1965688034186108E-2</v>
      </c>
      <c r="K306" s="39"/>
      <c r="L306" s="39">
        <f t="shared" ref="L306:M306" si="214">L307-SUM(L300:L305)</f>
        <v>7.301413335949114E-2</v>
      </c>
      <c r="M306" s="39">
        <f t="shared" si="214"/>
        <v>-5.1367398066645364E-2</v>
      </c>
      <c r="N306" s="1076">
        <f>M306</f>
        <v>-5.1367398066645364E-2</v>
      </c>
      <c r="O306" s="1076">
        <f t="shared" ref="O306:S306" si="215">N306</f>
        <v>-5.1367398066645364E-2</v>
      </c>
      <c r="P306" s="1076">
        <f t="shared" si="215"/>
        <v>-5.1367398066645364E-2</v>
      </c>
      <c r="Q306" s="1076">
        <f t="shared" si="215"/>
        <v>-5.1367398066645364E-2</v>
      </c>
      <c r="R306" s="1076">
        <f t="shared" si="215"/>
        <v>-5.1367398066645364E-2</v>
      </c>
      <c r="S306" s="1076">
        <f t="shared" si="215"/>
        <v>-5.1367398066645364E-2</v>
      </c>
    </row>
    <row r="307" spans="1:19" s="236" customFormat="1">
      <c r="B307" s="18" t="s">
        <v>1050</v>
      </c>
      <c r="H307" s="98">
        <f>-资产负债表!H45</f>
        <v>-11.19</v>
      </c>
      <c r="I307" s="98">
        <f>-资产负债表!I45</f>
        <v>-3.32</v>
      </c>
      <c r="J307" s="98">
        <f>-资产负债表!J45</f>
        <v>-5.5</v>
      </c>
      <c r="K307" s="98"/>
      <c r="L307" s="98">
        <f>-资产负债表!L45</f>
        <v>-10.07</v>
      </c>
      <c r="M307" s="98">
        <f>-资产负债表!M45</f>
        <v>-18.899999999999999</v>
      </c>
      <c r="N307" s="23">
        <f t="shared" ref="N307:S307" si="216">SUM(N300:N306)</f>
        <v>-14.761475487174961</v>
      </c>
      <c r="O307" s="23">
        <f t="shared" si="216"/>
        <v>-16.428949944324462</v>
      </c>
      <c r="P307" s="23">
        <f t="shared" si="216"/>
        <v>-18.523668869972681</v>
      </c>
      <c r="Q307" s="23">
        <f t="shared" si="216"/>
        <v>-20.875338910323222</v>
      </c>
      <c r="R307" s="23">
        <f t="shared" si="216"/>
        <v>-23.512633757194539</v>
      </c>
      <c r="S307" s="23">
        <f t="shared" si="216"/>
        <v>-26.252350698076352</v>
      </c>
    </row>
    <row r="308" spans="1:19" s="236" customFormat="1">
      <c r="B308" s="18"/>
      <c r="H308" s="98"/>
      <c r="I308" s="98"/>
      <c r="J308" s="98"/>
      <c r="K308" s="98"/>
      <c r="L308" s="98"/>
      <c r="M308" s="98"/>
      <c r="N308" s="23"/>
      <c r="O308" s="23"/>
      <c r="P308" s="23"/>
      <c r="Q308" s="23"/>
      <c r="R308" s="23"/>
      <c r="S308" s="23"/>
    </row>
    <row r="309" spans="1:19" s="62" customFormat="1">
      <c r="A309" s="10" t="s">
        <v>8</v>
      </c>
      <c r="B309" s="10" t="s">
        <v>1051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1" spans="1:19">
      <c r="C311" s="1" t="s">
        <v>313</v>
      </c>
      <c r="D311" s="1"/>
      <c r="H311" s="21">
        <f>美国!H757/1000</f>
        <v>-103.093</v>
      </c>
      <c r="I311" s="21">
        <f>美国!I757/1000</f>
        <v>-85.509</v>
      </c>
      <c r="J311" s="21">
        <f>美国!J757/1000</f>
        <v>-92.198999999999998</v>
      </c>
      <c r="K311" s="21"/>
      <c r="L311" s="21">
        <f>美国!L757/1000</f>
        <v>-90.293261340000001</v>
      </c>
      <c r="M311" s="21">
        <f>美国!M757/1000</f>
        <v>-95.896645509999999</v>
      </c>
      <c r="N311" s="21">
        <f>美国!N756/1000</f>
        <v>-89.019343843644904</v>
      </c>
      <c r="O311" s="21">
        <f>美国!O756/1000</f>
        <v>-94.98398691332126</v>
      </c>
      <c r="P311" s="21">
        <f>美国!P756/1000</f>
        <v>-100.72223599852951</v>
      </c>
      <c r="Q311" s="21">
        <f>美国!Q756/1000</f>
        <v>-106.28529265523809</v>
      </c>
      <c r="R311" s="21">
        <f>美国!R756/1000</f>
        <v>-113.5675034504511</v>
      </c>
      <c r="S311" s="21">
        <f>美国!S756/1000</f>
        <v>-123.91110919080995</v>
      </c>
    </row>
    <row r="312" spans="1:19">
      <c r="C312" s="1" t="s">
        <v>344</v>
      </c>
      <c r="D312" s="1"/>
      <c r="H312" s="21">
        <f>中国!H1125/1000/集团!H9</f>
        <v>-35.684989451653415</v>
      </c>
      <c r="I312" s="21">
        <f>中国!I1125/1000/集团!I9</f>
        <v>-42.37011923922735</v>
      </c>
      <c r="J312" s="21">
        <f>中国!J1125/1000/集团!J9</f>
        <v>-50.026549658119649</v>
      </c>
      <c r="K312" s="21"/>
      <c r="L312" s="21">
        <f>中国!L1125/1000/集团!L9</f>
        <v>-49.064561664050665</v>
      </c>
      <c r="M312" s="21">
        <f>中国!M1125/1000/集团!M9</f>
        <v>-67.356342525256949</v>
      </c>
      <c r="N312" s="21">
        <f>中国!N1123/1000/集团!N9</f>
        <v>-59.806772973428608</v>
      </c>
      <c r="O312" s="21">
        <f>中国!O1123/1000/集团!O9</f>
        <v>-66.586211009752134</v>
      </c>
      <c r="P312" s="21">
        <f>中国!P1123/1000/集团!P9</f>
        <v>-75.102693585576716</v>
      </c>
      <c r="Q312" s="21">
        <f>中国!Q1123/1000/集团!Q9</f>
        <v>-84.663860326138987</v>
      </c>
      <c r="R312" s="21">
        <f>中国!R1123/1000/集团!R9</f>
        <v>-95.386289639055548</v>
      </c>
      <c r="S312" s="21">
        <f>中国!S1123/1000/集团!S9</f>
        <v>-106.52513566943216</v>
      </c>
    </row>
    <row r="313" spans="1:19">
      <c r="C313" s="1" t="s">
        <v>315</v>
      </c>
      <c r="D313" s="1"/>
      <c r="H313" s="21">
        <f>加拿大!H162/1000*集团!H11/集团!H9</f>
        <v>-10.52262446707905</v>
      </c>
      <c r="I313" s="21">
        <f>加拿大!I162/1000*集团!I11/集团!I9</f>
        <v>-10.152720267459138</v>
      </c>
      <c r="J313" s="21">
        <f>加拿大!J162/1000*集团!J11/集团!J9</f>
        <v>-6.099948831908832</v>
      </c>
      <c r="K313" s="21"/>
      <c r="L313" s="21">
        <f>加拿大!L162/1000*集团!L11/集团!L9</f>
        <v>-6.5502309874839382</v>
      </c>
      <c r="M313" s="21">
        <f>加拿大!M162/1000*集团!M11/集团!M9</f>
        <v>-7.4378854421409368</v>
      </c>
      <c r="N313" s="21">
        <f>加拿大!N161/1000*集团!N11/集团!N9</f>
        <v>-5.8941403288866017</v>
      </c>
      <c r="O313" s="21">
        <f>加拿大!O161/1000*集团!O11/集团!O9</f>
        <v>-6.8758094006626651</v>
      </c>
      <c r="P313" s="21">
        <f>加拿大!P161/1000*集团!P11/集团!P9</f>
        <v>-7.6390242441362242</v>
      </c>
      <c r="Q313" s="21">
        <f>加拿大!Q161/1000*集团!Q11/集团!Q9</f>
        <v>-8.4869559352353452</v>
      </c>
      <c r="R313" s="21">
        <f>加拿大!R161/1000*集团!R11/集团!R9</f>
        <v>-9.4290080440464692</v>
      </c>
      <c r="S313" s="21">
        <f>加拿大!S161/1000*集团!S11/集团!S9</f>
        <v>-10.475627936935627</v>
      </c>
    </row>
    <row r="314" spans="1:19">
      <c r="C314" s="1" t="s">
        <v>316</v>
      </c>
      <c r="D314" s="1"/>
      <c r="H314" s="21">
        <f>欧洲!H158/1000*集团!H10/集团!H9</f>
        <v>-11.415410894876446</v>
      </c>
      <c r="I314" s="21">
        <f>欧洲!I158/1000*集团!I10/集团!I9</f>
        <v>-15.408432051581487</v>
      </c>
      <c r="J314" s="21">
        <f>欧洲!J158/1000*集团!J10/集团!J9</f>
        <v>-19.485596495618122</v>
      </c>
      <c r="K314" s="21"/>
      <c r="L314" s="21">
        <f>欧洲!L158/1000*集团!L10/集团!L9</f>
        <v>-18.421927743630388</v>
      </c>
      <c r="M314" s="21">
        <f>欧洲!M158/1000*集团!M10/集团!M9</f>
        <v>-20.033977769713758</v>
      </c>
      <c r="N314" s="21">
        <f>欧洲!N157/1000*集团!N10/集团!N9</f>
        <v>-19.408654926556103</v>
      </c>
      <c r="O314" s="21">
        <f>欧洲!O157/1000*集团!O10/集团!O9</f>
        <v>-20.835921799061285</v>
      </c>
      <c r="P314" s="21">
        <f>欧洲!P157/1000*集团!P10/集团!P9</f>
        <v>-22.347120393178638</v>
      </c>
      <c r="Q314" s="21">
        <f>欧洲!Q157/1000*集团!Q10/集团!Q9</f>
        <v>-24.096169083823408</v>
      </c>
      <c r="R314" s="21">
        <f>欧洲!R157/1000*集团!R10/集团!R9</f>
        <v>-26.237354185459452</v>
      </c>
      <c r="S314" s="21">
        <f>欧洲!S157/1000*集团!S10/集团!S9</f>
        <v>-29.084076146643451</v>
      </c>
    </row>
    <row r="315" spans="1:19">
      <c r="C315" s="1" t="s">
        <v>317</v>
      </c>
      <c r="D315" s="1"/>
      <c r="H315" s="96">
        <v>0</v>
      </c>
      <c r="I315" s="96">
        <v>0</v>
      </c>
      <c r="J315" s="96">
        <v>0</v>
      </c>
      <c r="L315" s="96">
        <v>0</v>
      </c>
      <c r="M315" s="96">
        <v>0</v>
      </c>
      <c r="N315" s="235"/>
      <c r="O315" s="235"/>
      <c r="P315" s="235"/>
      <c r="Q315" s="235"/>
      <c r="R315" s="235"/>
      <c r="S315" s="235"/>
    </row>
    <row r="316" spans="1:19">
      <c r="C316" s="1" t="s">
        <v>318</v>
      </c>
      <c r="D316" s="1"/>
      <c r="H316" s="20">
        <v>6.3741940263243597</v>
      </c>
      <c r="I316" s="20">
        <v>5.9524471096582499</v>
      </c>
      <c r="J316" s="20">
        <v>6.4803457594348002</v>
      </c>
      <c r="K316" s="20"/>
      <c r="L316" s="20">
        <v>6.6843393049494404</v>
      </c>
      <c r="M316" s="20">
        <v>7.6190633058211503</v>
      </c>
      <c r="N316" s="20">
        <f>N320/1000*中国!N1152/N9</f>
        <v>7.0890006273806359</v>
      </c>
      <c r="O316" s="20">
        <f>O320/1000*中国!O1152/O9</f>
        <v>6.3949703810576226</v>
      </c>
      <c r="P316" s="20">
        <f>P320/1000*中国!P1152/P9</f>
        <v>6.1139961470120241</v>
      </c>
      <c r="Q316" s="20">
        <f>Q320/1000*中国!Q1152/Q9</f>
        <v>6.0321612362755559</v>
      </c>
      <c r="R316" s="20">
        <f>R320/1000*中国!R1152/R9</f>
        <v>6.0156149246383448</v>
      </c>
      <c r="S316" s="20">
        <f>S320/1000*中国!S1152/S9</f>
        <v>6.0223535157974641</v>
      </c>
    </row>
    <row r="317" spans="1:19" ht="15" thickBot="1">
      <c r="B317" s="142"/>
      <c r="C317" s="37" t="s">
        <v>1052</v>
      </c>
      <c r="D317" s="37"/>
      <c r="E317" s="142"/>
      <c r="F317" s="142"/>
      <c r="G317" s="142"/>
      <c r="H317" s="39">
        <f>H318-SUM(H311:H316)</f>
        <v>57.711830787284583</v>
      </c>
      <c r="I317" s="39">
        <f t="shared" ref="I317:M317" si="217">I318-SUM(I311:I316)</f>
        <v>53.737824448609729</v>
      </c>
      <c r="J317" s="39">
        <f t="shared" si="217"/>
        <v>57.560749226211769</v>
      </c>
      <c r="K317" s="39"/>
      <c r="L317" s="39">
        <f t="shared" si="217"/>
        <v>60.385642430215526</v>
      </c>
      <c r="M317" s="39">
        <f t="shared" si="217"/>
        <v>67.975787941290491</v>
      </c>
      <c r="N317" s="147">
        <f>L317</f>
        <v>60.385642430215526</v>
      </c>
      <c r="O317" s="147">
        <f t="shared" ref="O317:S317" si="218">N317</f>
        <v>60.385642430215526</v>
      </c>
      <c r="P317" s="147">
        <f t="shared" si="218"/>
        <v>60.385642430215526</v>
      </c>
      <c r="Q317" s="147">
        <f t="shared" si="218"/>
        <v>60.385642430215526</v>
      </c>
      <c r="R317" s="147">
        <f t="shared" si="218"/>
        <v>60.385642430215526</v>
      </c>
      <c r="S317" s="147">
        <f t="shared" si="218"/>
        <v>60.385642430215526</v>
      </c>
    </row>
    <row r="318" spans="1:19" s="236" customFormat="1">
      <c r="B318" s="18" t="s">
        <v>492</v>
      </c>
      <c r="H318" s="98">
        <f>-资产负债表!H46</f>
        <v>-96.63</v>
      </c>
      <c r="I318" s="98">
        <f>-资产负债表!I46</f>
        <v>-93.75</v>
      </c>
      <c r="J318" s="98">
        <f>-资产负债表!J46</f>
        <v>-103.77</v>
      </c>
      <c r="K318" s="98"/>
      <c r="L318" s="98">
        <f>-资产负债表!L46</f>
        <v>-97.26</v>
      </c>
      <c r="M318" s="98">
        <f>-资产负债表!M46</f>
        <v>-115.13</v>
      </c>
      <c r="N318" s="23">
        <f t="shared" ref="N318" si="219">SUM(N311:N317)</f>
        <v>-106.65426901492005</v>
      </c>
      <c r="O318" s="23">
        <f t="shared" ref="O318" si="220">SUM(O311:O317)</f>
        <v>-122.50131631152421</v>
      </c>
      <c r="P318" s="23">
        <f t="shared" ref="P318" si="221">SUM(P311:P317)</f>
        <v>-139.31143564419358</v>
      </c>
      <c r="Q318" s="23">
        <f t="shared" ref="Q318" si="222">SUM(Q311:Q317)</f>
        <v>-157.11447433394477</v>
      </c>
      <c r="R318" s="23">
        <f t="shared" ref="R318" si="223">SUM(R311:R317)</f>
        <v>-178.21889796415866</v>
      </c>
      <c r="S318" s="23">
        <f t="shared" ref="S318" si="224">SUM(S311:S317)</f>
        <v>-203.5879529978082</v>
      </c>
    </row>
    <row r="319" spans="1:19" s="236" customFormat="1">
      <c r="B319" s="18"/>
      <c r="H319" s="98"/>
      <c r="I319" s="98"/>
      <c r="J319" s="98"/>
      <c r="K319" s="98"/>
      <c r="L319" s="98"/>
      <c r="M319" s="98"/>
      <c r="N319" s="23"/>
      <c r="O319" s="23"/>
      <c r="P319" s="23"/>
      <c r="Q319" s="23"/>
      <c r="R319" s="23"/>
      <c r="S319" s="23"/>
    </row>
    <row r="320" spans="1:19">
      <c r="H320" s="1155">
        <f>H316/中国!H1152*1000*H9</f>
        <v>0.10173745704508173</v>
      </c>
      <c r="I320" s="1155">
        <f>I316/中国!I1152*1000*I9</f>
        <v>5.4789082450384136E-2</v>
      </c>
      <c r="J320" s="1155">
        <f>J316/中国!J1152*1000*J9</f>
        <v>5.4884261057476048E-2</v>
      </c>
      <c r="K320" s="1155"/>
      <c r="L320" s="1155">
        <f>L316/中国!L1152*1000*L9</f>
        <v>5.9962293981005638E-2</v>
      </c>
      <c r="M320" s="1155">
        <f>M316/中国!M1152*1000*M9</f>
        <v>6.4682025953406247E-2</v>
      </c>
      <c r="N320" s="1258">
        <f>M320</f>
        <v>6.4682025953406247E-2</v>
      </c>
      <c r="O320" s="1258">
        <f t="shared" ref="O320:S320" si="225">N320</f>
        <v>6.4682025953406247E-2</v>
      </c>
      <c r="P320" s="1258">
        <f t="shared" si="225"/>
        <v>6.4682025953406247E-2</v>
      </c>
      <c r="Q320" s="1258">
        <f t="shared" si="225"/>
        <v>6.4682025953406247E-2</v>
      </c>
      <c r="R320" s="1258">
        <f t="shared" si="225"/>
        <v>6.4682025953406247E-2</v>
      </c>
      <c r="S320" s="1258">
        <f t="shared" si="225"/>
        <v>6.4682025953406247E-2</v>
      </c>
    </row>
    <row r="321" spans="1:19" s="62" customFormat="1">
      <c r="A321" s="10" t="s">
        <v>8</v>
      </c>
      <c r="B321" s="10" t="s">
        <v>1053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3" spans="1:19">
      <c r="C323" s="1" t="s">
        <v>313</v>
      </c>
      <c r="D323" s="1"/>
      <c r="H323" s="20">
        <f>美国!H758/1000</f>
        <v>4.117</v>
      </c>
      <c r="I323" s="20">
        <f>美国!I758/1000</f>
        <v>6.9610000000000003</v>
      </c>
      <c r="J323" s="20">
        <f>美国!J758/1000</f>
        <v>5.6529999999999996</v>
      </c>
      <c r="K323" s="20"/>
      <c r="L323" s="20">
        <f>美国!L758/1000</f>
        <v>5.6166409800000006</v>
      </c>
      <c r="M323" s="20">
        <f>美国!M758/1000</f>
        <v>10.301961169999998</v>
      </c>
      <c r="N323" s="20">
        <f>美国!N758/1000</f>
        <v>10.714144584181174</v>
      </c>
      <c r="O323" s="20">
        <f>美国!O758/1000</f>
        <v>11.432034039239307</v>
      </c>
      <c r="P323" s="20">
        <f>美国!P758/1000</f>
        <v>12.122675283090215</v>
      </c>
      <c r="Q323" s="20">
        <f>美国!Q758/1000</f>
        <v>12.792230806378006</v>
      </c>
      <c r="R323" s="20">
        <f>美国!R758/1000</f>
        <v>13.668699402792706</v>
      </c>
      <c r="S323" s="20">
        <f>美国!S758/1000</f>
        <v>14.913629803747158</v>
      </c>
    </row>
    <row r="324" spans="1:19">
      <c r="C324" s="1" t="s">
        <v>344</v>
      </c>
      <c r="D324" s="1"/>
      <c r="H324" s="20">
        <f>中国!H1126/1000/集团!H9</f>
        <v>7.5979134861944386</v>
      </c>
      <c r="I324" s="20">
        <f>中国!I1126/1000/集团!I9</f>
        <v>4.5867746389301649</v>
      </c>
      <c r="J324" s="20">
        <f>中国!J1126/1000/集团!J9</f>
        <v>9.9731037749287825</v>
      </c>
      <c r="K324" s="20"/>
      <c r="L324" s="20">
        <f>中国!L1126/1000/集团!L9</f>
        <v>12.691661252480381</v>
      </c>
      <c r="M324" s="20">
        <f>中国!M1126/1000/集团!M9</f>
        <v>9.5722349695532127</v>
      </c>
      <c r="N324" s="20">
        <f>中国!N1126/1000/集团!N9</f>
        <v>7.4704947584381856</v>
      </c>
      <c r="O324" s="20">
        <f>中国!O1126/1000/集团!O9</f>
        <v>8.3173178488265034</v>
      </c>
      <c r="P324" s="20">
        <f>中国!P1126/1000/集团!P9</f>
        <v>9.3811160656487758</v>
      </c>
      <c r="Q324" s="20">
        <f>中国!Q1126/1000/集团!Q9</f>
        <v>10.575406318554711</v>
      </c>
      <c r="R324" s="20">
        <f>中国!R1126/1000/集团!R9</f>
        <v>11.91475047637201</v>
      </c>
      <c r="S324" s="20">
        <f>中国!S1126/1000/集团!S9</f>
        <v>13.306109460444748</v>
      </c>
    </row>
    <row r="325" spans="1:19">
      <c r="C325" s="1" t="s">
        <v>315</v>
      </c>
      <c r="D325" s="1"/>
      <c r="H325" s="20">
        <f>加拿大!H163/1000*集团!H11/集团!H9</f>
        <v>1.0777595150613148</v>
      </c>
      <c r="I325" s="20">
        <f>加拿大!I163/1000*集团!I11/集团!I9</f>
        <v>0.87409560178306078</v>
      </c>
      <c r="J325" s="20">
        <f>加拿大!J163/1000*集团!J11/集团!J9</f>
        <v>1.2638387606837609</v>
      </c>
      <c r="K325" s="20"/>
      <c r="L325" s="20">
        <f>加拿大!L163/1000*集团!L11/集团!L9</f>
        <v>1.1953553053702561</v>
      </c>
      <c r="M325" s="20">
        <f>加拿大!M163/1000*集团!M11/集团!M9</f>
        <v>1.4628094876392475</v>
      </c>
      <c r="N325" s="20">
        <f>加拿大!N163/1000*集团!N11/集团!N9</f>
        <v>1.4429949443699572</v>
      </c>
      <c r="O325" s="20">
        <f>加拿大!O163/1000*集团!O11/集团!O9</f>
        <v>1.6833257523547742</v>
      </c>
      <c r="P325" s="20">
        <f>加拿大!P163/1000*集团!P11/集团!P9</f>
        <v>1.8701749108661543</v>
      </c>
      <c r="Q325" s="20">
        <f>加拿大!Q163/1000*集团!Q11/集团!Q9</f>
        <v>2.0777643259722978</v>
      </c>
      <c r="R325" s="20">
        <f>加拿大!R163/1000*集团!R11/集团!R9</f>
        <v>2.308396166155223</v>
      </c>
      <c r="S325" s="20">
        <f>加拿大!S163/1000*集团!S11/集团!S9</f>
        <v>2.5646281405984537</v>
      </c>
    </row>
    <row r="326" spans="1:19">
      <c r="C326" s="1" t="s">
        <v>316</v>
      </c>
      <c r="D326" s="1"/>
      <c r="H326" s="20">
        <f>欧洲!H159/1000*集团!H10/集团!H9</f>
        <v>0.72977802727933239</v>
      </c>
      <c r="I326" s="20">
        <f>欧洲!I159/1000*集团!I10/集团!I9</f>
        <v>0.88130397668514093</v>
      </c>
      <c r="J326" s="20">
        <f>欧洲!J159/1000*集团!J10/集团!J9</f>
        <v>1.1613413061431628</v>
      </c>
      <c r="K326" s="20"/>
      <c r="L326" s="20">
        <f>欧洲!L159/1000*集团!L10/集团!L9</f>
        <v>1.7695690281235865</v>
      </c>
      <c r="M326" s="20">
        <f>欧洲!M159/1000*集团!M10/集团!M9</f>
        <v>2.1512560924954602</v>
      </c>
      <c r="N326" s="20">
        <f>欧洲!N159/1000*集团!N10/集团!N9</f>
        <v>2.3348228480839737</v>
      </c>
      <c r="O326" s="20">
        <f>欧洲!O159/1000*集团!O10/集团!O9</f>
        <v>2.5065202334436805</v>
      </c>
      <c r="P326" s="20">
        <f>欧洲!P159/1000*集团!P10/集团!P9</f>
        <v>2.688314439115802</v>
      </c>
      <c r="Q326" s="20">
        <f>欧洲!Q159/1000*集团!Q10/集团!Q9</f>
        <v>2.8987215415544756</v>
      </c>
      <c r="R326" s="20">
        <f>欧洲!R159/1000*集团!R10/集团!R9</f>
        <v>3.1563018796147149</v>
      </c>
      <c r="S326" s="20">
        <f>欧洲!S159/1000*集团!S10/集团!S9</f>
        <v>3.4987569081711003</v>
      </c>
    </row>
    <row r="327" spans="1:19">
      <c r="C327" s="1" t="s">
        <v>317</v>
      </c>
      <c r="D327" s="1"/>
      <c r="H327" s="96">
        <v>0</v>
      </c>
      <c r="I327" s="96">
        <v>0</v>
      </c>
      <c r="J327" s="96">
        <v>0</v>
      </c>
      <c r="L327" s="96">
        <v>0</v>
      </c>
      <c r="M327" s="96">
        <v>0</v>
      </c>
      <c r="N327" s="235"/>
      <c r="O327" s="235"/>
      <c r="P327" s="235"/>
      <c r="Q327" s="235"/>
      <c r="R327" s="235"/>
      <c r="S327" s="235"/>
    </row>
    <row r="328" spans="1:19">
      <c r="C328" s="1" t="s">
        <v>318</v>
      </c>
      <c r="D328" s="1"/>
      <c r="H328" s="20">
        <v>0</v>
      </c>
      <c r="I328" s="20">
        <v>0</v>
      </c>
      <c r="J328" s="20">
        <v>0</v>
      </c>
      <c r="K328" s="20"/>
      <c r="L328" s="20">
        <v>6.6843393049494404</v>
      </c>
      <c r="M328" s="20">
        <v>7.6190633058211503</v>
      </c>
      <c r="N328" s="20">
        <f>中国!N1163/1000/集团!N20</f>
        <v>0</v>
      </c>
      <c r="O328" s="20">
        <f>中国!O1163/1000/集团!O20</f>
        <v>0</v>
      </c>
      <c r="P328" s="20">
        <f>中国!P1163/1000/集团!P20</f>
        <v>0</v>
      </c>
      <c r="Q328" s="20">
        <f>中国!Q1163/1000/集团!Q20</f>
        <v>0</v>
      </c>
      <c r="R328" s="20">
        <f>中国!R1163/1000/集团!R20</f>
        <v>0</v>
      </c>
      <c r="S328" s="20">
        <f>中国!S1163/1000/集团!S20</f>
        <v>0</v>
      </c>
    </row>
    <row r="329" spans="1:19" ht="15" thickBot="1">
      <c r="B329" s="142"/>
      <c r="C329" s="37" t="s">
        <v>1052</v>
      </c>
      <c r="D329" s="37"/>
      <c r="E329" s="142"/>
      <c r="F329" s="142"/>
      <c r="G329" s="142"/>
      <c r="H329" s="39">
        <f>H330-SUM(H323:H328)</f>
        <v>8.7548971464913805E-2</v>
      </c>
      <c r="I329" s="39">
        <f t="shared" ref="I329:J329" si="226">I330-SUM(I323:I328)</f>
        <v>-0.21317421739836639</v>
      </c>
      <c r="J329" s="39">
        <f t="shared" si="226"/>
        <v>-4.1283841755706874E-2</v>
      </c>
      <c r="K329" s="39"/>
      <c r="L329" s="39">
        <f t="shared" ref="L329:M329" si="227">L330-SUM(L323:L328)</f>
        <v>-5.4275658709236652</v>
      </c>
      <c r="M329" s="39">
        <f t="shared" si="227"/>
        <v>-6.7873250255090696</v>
      </c>
      <c r="N329" s="147">
        <f>L329</f>
        <v>-5.4275658709236652</v>
      </c>
      <c r="O329" s="147">
        <f t="shared" ref="O329" si="228">N329</f>
        <v>-5.4275658709236652</v>
      </c>
      <c r="P329" s="147">
        <f t="shared" ref="P329" si="229">O329</f>
        <v>-5.4275658709236652</v>
      </c>
      <c r="Q329" s="147">
        <f t="shared" ref="Q329" si="230">P329</f>
        <v>-5.4275658709236652</v>
      </c>
      <c r="R329" s="147">
        <f t="shared" ref="R329" si="231">Q329</f>
        <v>-5.4275658709236652</v>
      </c>
      <c r="S329" s="147">
        <f t="shared" ref="S329" si="232">R329</f>
        <v>-5.4275658709236652</v>
      </c>
    </row>
    <row r="330" spans="1:19" s="236" customFormat="1">
      <c r="B330" s="18" t="s">
        <v>492</v>
      </c>
      <c r="H330" s="23">
        <f>资产负债表!H16</f>
        <v>13.61</v>
      </c>
      <c r="I330" s="23">
        <f>资产负债表!I16</f>
        <v>13.09</v>
      </c>
      <c r="J330" s="23">
        <f>资产负债表!J16</f>
        <v>18.010000000000002</v>
      </c>
      <c r="K330" s="23"/>
      <c r="L330" s="23">
        <f>资产负债表!L16</f>
        <v>22.53</v>
      </c>
      <c r="M330" s="23">
        <f>资产负债表!M16</f>
        <v>24.32</v>
      </c>
      <c r="N330" s="23">
        <f t="shared" ref="N330:S330" si="233">SUM(N323:N329)</f>
        <v>16.534891264149625</v>
      </c>
      <c r="O330" s="23">
        <f t="shared" si="233"/>
        <v>18.511632002940601</v>
      </c>
      <c r="P330" s="23">
        <f t="shared" si="233"/>
        <v>20.634714827797286</v>
      </c>
      <c r="Q330" s="23">
        <f t="shared" si="233"/>
        <v>22.916557121535824</v>
      </c>
      <c r="R330" s="23">
        <f t="shared" si="233"/>
        <v>25.620582054010992</v>
      </c>
      <c r="S330" s="23">
        <f t="shared" si="233"/>
        <v>28.855558442037797</v>
      </c>
    </row>
    <row r="332" spans="1:19" s="62" customFormat="1" hidden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 hidden="1"/>
    <row r="334" spans="1:19" hidden="1">
      <c r="C334" s="1"/>
      <c r="D334" s="1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</row>
    <row r="335" spans="1:19" hidden="1">
      <c r="C335" s="1"/>
      <c r="D335" s="1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</row>
    <row r="336" spans="1:19" hidden="1">
      <c r="C336" s="1"/>
      <c r="D336" s="1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</row>
    <row r="337" spans="1:19" hidden="1">
      <c r="C337" s="1"/>
      <c r="D337" s="1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</row>
    <row r="338" spans="1:19" hidden="1">
      <c r="C338" s="1"/>
      <c r="D338" s="1"/>
      <c r="L338" s="235"/>
      <c r="M338" s="235"/>
      <c r="N338" s="235"/>
      <c r="O338" s="235"/>
      <c r="P338" s="235"/>
      <c r="Q338" s="235"/>
      <c r="R338" s="235"/>
      <c r="S338" s="235"/>
    </row>
    <row r="339" spans="1:19" ht="15" hidden="1" thickBot="1">
      <c r="B339" s="142"/>
      <c r="C339" s="37"/>
      <c r="D339" s="37"/>
      <c r="E339" s="142"/>
      <c r="F339" s="142"/>
      <c r="G339" s="142"/>
      <c r="H339" s="39"/>
      <c r="I339" s="39"/>
      <c r="J339" s="39"/>
      <c r="K339" s="39"/>
      <c r="L339" s="147"/>
      <c r="M339" s="147"/>
      <c r="N339" s="147"/>
      <c r="O339" s="147"/>
      <c r="P339" s="147"/>
      <c r="Q339" s="147"/>
      <c r="R339" s="147"/>
      <c r="S339" s="147"/>
    </row>
    <row r="340" spans="1:19" s="236" customFormat="1" hidden="1">
      <c r="B340" s="18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 spans="1:19" hidden="1"/>
    <row r="342" spans="1:19" hidden="1"/>
    <row r="344" spans="1:19" s="62" customFormat="1">
      <c r="A344" s="10" t="s">
        <v>8</v>
      </c>
      <c r="B344" s="10" t="s">
        <v>612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6" spans="1:19">
      <c r="C346" s="1" t="s">
        <v>313</v>
      </c>
      <c r="H346" s="20">
        <f>'固定资产&amp;无形资产'!H9</f>
        <v>21.786000000000001</v>
      </c>
      <c r="I346" s="20">
        <f>'固定资产&amp;无形资产'!I9</f>
        <v>17.681999999999999</v>
      </c>
      <c r="J346" s="20">
        <f>'固定资产&amp;无形资产'!J9</f>
        <v>18.004999999999999</v>
      </c>
      <c r="K346" s="20">
        <f>'固定资产&amp;无形资产'!K9</f>
        <v>12.593</v>
      </c>
      <c r="L346" s="20">
        <f>'固定资产&amp;无形资产'!L9</f>
        <v>16.268177519999998</v>
      </c>
      <c r="M346" s="20">
        <f>'固定资产&amp;无形资产'!M9</f>
        <v>8.3676541700000016</v>
      </c>
      <c r="N346" s="20">
        <f>'固定资产&amp;无形资产'!N9</f>
        <v>7.6800051050000011</v>
      </c>
      <c r="O346" s="20">
        <f>'固定资产&amp;无形资产'!O9</f>
        <v>9.7896892161374609</v>
      </c>
      <c r="P346" s="20">
        <f>'固定资产&amp;无形资产'!P9</f>
        <v>10.53137332727492</v>
      </c>
      <c r="Q346" s="20">
        <f>'固定资产&amp;无形资产'!Q9</f>
        <v>11.27305743841238</v>
      </c>
      <c r="R346" s="20">
        <f>'固定资产&amp;无形资产'!R9</f>
        <v>11.61524743841238</v>
      </c>
      <c r="S346" s="20">
        <f>'固定资产&amp;无形资产'!S9</f>
        <v>11.957437438412381</v>
      </c>
    </row>
    <row r="347" spans="1:19">
      <c r="C347" s="1" t="s">
        <v>344</v>
      </c>
      <c r="H347" s="20">
        <f>'固定资产&amp;无形资产'!H10</f>
        <v>10.316419391346138</v>
      </c>
      <c r="I347" s="20">
        <f>'固定资产&amp;无形资产'!I10</f>
        <v>9.983952451708765</v>
      </c>
      <c r="J347" s="20">
        <f>'固定资产&amp;无形资产'!J10</f>
        <v>10.641595441595442</v>
      </c>
      <c r="K347" s="20">
        <f>'固定资产&amp;无形资产'!K10</f>
        <v>8.9232394366197187</v>
      </c>
      <c r="L347" s="20">
        <f>'固定资产&amp;无形资产'!L10</f>
        <v>10.765514408038568</v>
      </c>
      <c r="M347" s="20">
        <f>'固定资产&amp;无形资产'!M10</f>
        <v>6.0278057307266089</v>
      </c>
      <c r="N347" s="20">
        <f>'固定资产&amp;无形资产'!N10</f>
        <v>13.883597713247894</v>
      </c>
      <c r="O347" s="20">
        <f>'固定资产&amp;无形资产'!O10</f>
        <v>16.389261741698469</v>
      </c>
      <c r="P347" s="20">
        <f>'固定资产&amp;无形资产'!P10</f>
        <v>20.80767744549058</v>
      </c>
      <c r="Q347" s="20">
        <f>'固定资产&amp;无形资产'!Q10</f>
        <v>22.429016336088409</v>
      </c>
      <c r="R347" s="20">
        <f>'固定资产&amp;无形资产'!R10</f>
        <v>23.361055144006983</v>
      </c>
      <c r="S347" s="20">
        <f>'固定资产&amp;无形资产'!S10</f>
        <v>24.386297832717414</v>
      </c>
    </row>
    <row r="348" spans="1:19">
      <c r="C348" s="1" t="s">
        <v>315</v>
      </c>
      <c r="H348" s="20">
        <f>'固定资产&amp;无形资产'!H11</f>
        <v>0.32223288839278785</v>
      </c>
      <c r="I348" s="20">
        <f>'固定资产&amp;无形资产'!I11</f>
        <v>2.9548732689450223</v>
      </c>
      <c r="J348" s="20">
        <f>'固定资产&amp;无形资产'!J11</f>
        <v>1.9971495868945872</v>
      </c>
      <c r="K348" s="20">
        <f>'固定资产&amp;无形资产'!K11</f>
        <v>2.3085211267605632</v>
      </c>
      <c r="L348" s="20">
        <f>'固定资产&amp;无形资产'!L11</f>
        <v>2.1822846451463085</v>
      </c>
      <c r="M348" s="20">
        <f>'固定资产&amp;无形资产'!M11</f>
        <v>1.2596734486827823</v>
      </c>
      <c r="N348" s="20">
        <f>'固定资产&amp;无形资产'!N11</f>
        <v>3.4130236934435034</v>
      </c>
      <c r="O348" s="20">
        <f>'固定资产&amp;无形资产'!O11</f>
        <v>3.7333636934435033</v>
      </c>
      <c r="P348" s="20">
        <f>'固定资产&amp;无形资产'!P11</f>
        <v>4.0537036934435031</v>
      </c>
      <c r="Q348" s="20">
        <f>'固定资产&amp;无形资产'!Q11</f>
        <v>4.6590436934435031</v>
      </c>
      <c r="R348" s="20">
        <f>'固定资产&amp;无形资产'!R11</f>
        <v>5.2643836934435031</v>
      </c>
      <c r="S348" s="20">
        <f>'固定资产&amp;无形资产'!S11</f>
        <v>5.5847236934435029</v>
      </c>
    </row>
    <row r="349" spans="1:19">
      <c r="C349" s="1" t="s">
        <v>316</v>
      </c>
      <c r="H349" s="20">
        <f>'固定资产&amp;无形资产'!H12</f>
        <v>3.4164642884827061</v>
      </c>
      <c r="I349" s="20">
        <f>'固定资产&amp;无形资产'!I12</f>
        <v>3.537481263001486</v>
      </c>
      <c r="J349" s="20">
        <f>'固定资产&amp;无形资产'!J12</f>
        <v>4.0039155982905985</v>
      </c>
      <c r="K349" s="20">
        <f>'固定资产&amp;无形资产'!K12</f>
        <v>3.6083690140845075</v>
      </c>
      <c r="L349" s="20">
        <f>'固定资产&amp;无形资产'!L12</f>
        <v>3.9292518614375882</v>
      </c>
      <c r="M349" s="20">
        <f>'固定资产&amp;无形资产'!M12</f>
        <v>2.2894499566699102</v>
      </c>
      <c r="N349" s="20">
        <f>'固定资产&amp;无形资产'!N12</f>
        <v>1.7261478623650492</v>
      </c>
      <c r="O349" s="20">
        <f>'固定资产&amp;无形资产'!O12</f>
        <v>2.0504778623650495</v>
      </c>
      <c r="P349" s="20">
        <f>'固定资产&amp;无形资产'!P12</f>
        <v>2.3748078623650493</v>
      </c>
      <c r="Q349" s="20">
        <f>'固定资产&amp;无形资产'!Q12</f>
        <v>2.9841378623650492</v>
      </c>
      <c r="R349" s="20">
        <f>'固定资产&amp;无形资产'!R12</f>
        <v>3.5934678623650491</v>
      </c>
      <c r="S349" s="20">
        <f>'固定资产&amp;无形资产'!S12</f>
        <v>3.9177978623650489</v>
      </c>
    </row>
    <row r="350" spans="1:19" ht="15" thickBot="1">
      <c r="B350" s="142"/>
      <c r="C350" s="37" t="s">
        <v>347</v>
      </c>
      <c r="D350" s="142"/>
      <c r="E350" s="142"/>
      <c r="F350" s="142"/>
      <c r="G350" s="142"/>
      <c r="H350" s="39">
        <f>'固定资产&amp;无形资产'!H13</f>
        <v>-1.1165682216329742E-3</v>
      </c>
      <c r="I350" s="39">
        <f>'固定资产&amp;无形资产'!I13</f>
        <v>1.1693016344729301E-2</v>
      </c>
      <c r="J350" s="39">
        <f>'固定资产&amp;无形资产'!J13</f>
        <v>-7.6606267806269557E-3</v>
      </c>
      <c r="K350" s="39">
        <f>'固定资产&amp;无形资产'!K13</f>
        <v>0</v>
      </c>
      <c r="L350" s="39">
        <f>'固定资产&amp;无形资产'!L13</f>
        <v>4.7715653775384226E-3</v>
      </c>
      <c r="M350" s="39">
        <f>'固定资产&amp;无形资产'!M13</f>
        <v>-4.5833060793007974E-3</v>
      </c>
      <c r="N350" s="39">
        <f>'固定资产&amp;无形资产'!N13</f>
        <v>4.7715653775384226E-3</v>
      </c>
      <c r="O350" s="39">
        <f>'固定资产&amp;无形资产'!O13</f>
        <v>4.7715653775384226E-3</v>
      </c>
      <c r="P350" s="39">
        <f>'固定资产&amp;无形资产'!P13</f>
        <v>4.7715653775384226E-3</v>
      </c>
      <c r="Q350" s="39">
        <f>'固定资产&amp;无形资产'!Q13</f>
        <v>4.7715653775384226E-3</v>
      </c>
      <c r="R350" s="39">
        <f>'固定资产&amp;无形资产'!R13</f>
        <v>4.7715653775384226E-3</v>
      </c>
      <c r="S350" s="39">
        <f>'固定资产&amp;无形资产'!S13</f>
        <v>4.7715653775384226E-3</v>
      </c>
    </row>
    <row r="351" spans="1:19" s="18" customFormat="1">
      <c r="B351" s="18" t="s">
        <v>612</v>
      </c>
      <c r="H351" s="23">
        <f>SUM(H346:H350)</f>
        <v>35.840000000000003</v>
      </c>
      <c r="I351" s="23">
        <f>SUM(I346:I350)</f>
        <v>34.17</v>
      </c>
      <c r="J351" s="23">
        <f t="shared" ref="J351:S351" si="234">SUM(J346:J350)</f>
        <v>34.64</v>
      </c>
      <c r="K351" s="23">
        <f t="shared" si="234"/>
        <v>27.43312957746479</v>
      </c>
      <c r="L351" s="23">
        <f t="shared" si="234"/>
        <v>33.15</v>
      </c>
      <c r="M351" s="23">
        <f t="shared" si="234"/>
        <v>17.940000000000001</v>
      </c>
      <c r="N351" s="23">
        <f t="shared" si="234"/>
        <v>26.707545939433984</v>
      </c>
      <c r="O351" s="23">
        <f t="shared" si="234"/>
        <v>31.967564079022022</v>
      </c>
      <c r="P351" s="23">
        <f t="shared" si="234"/>
        <v>37.772333893951597</v>
      </c>
      <c r="Q351" s="23">
        <f t="shared" si="234"/>
        <v>41.350026895686881</v>
      </c>
      <c r="R351" s="23">
        <f t="shared" si="234"/>
        <v>43.838925703605454</v>
      </c>
      <c r="S351" s="23">
        <f t="shared" si="234"/>
        <v>45.851028392315882</v>
      </c>
    </row>
  </sheetData>
  <mergeCells count="2">
    <mergeCell ref="A1:S1"/>
    <mergeCell ref="A2:S2"/>
  </mergeCells>
  <phoneticPr fontId="5" type="noConversion"/>
  <conditionalFormatting sqref="H4:H5 P5:S5">
    <cfRule type="containsText" dxfId="58" priority="3" operator="containsText" text="Error">
      <formula>NOT(ISERROR(SEARCH("Error",H4)))</formula>
    </cfRule>
  </conditionalFormatting>
  <conditionalFormatting sqref="J5:N5">
    <cfRule type="containsText" dxfId="57" priority="1" operator="containsText" text="Error">
      <formula>NOT(ISERROR(SEARCH("Error",J5)))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AZ956"/>
  <sheetViews>
    <sheetView showGridLines="0" zoomScale="68" zoomScaleNormal="92" workbookViewId="0">
      <pane xSplit="7" ySplit="6" topLeftCell="N7" activePane="bottomRight" state="frozen"/>
      <selection activeCell="E29" sqref="E29"/>
      <selection pane="topRight" activeCell="E29" sqref="E29"/>
      <selection pane="bottomLeft" activeCell="E29" sqref="E29"/>
      <selection pane="bottomRight" activeCell="AW32" sqref="AW32"/>
    </sheetView>
  </sheetViews>
  <sheetFormatPr defaultColWidth="8.6640625" defaultRowHeight="78.5" customHeight="1" outlineLevelRow="3"/>
  <cols>
    <col min="1" max="1" width="2.33203125" style="97" customWidth="1"/>
    <col min="2" max="3" width="3.08203125" style="97" customWidth="1"/>
    <col min="4" max="4" width="2.6640625" style="97" customWidth="1"/>
    <col min="5" max="7" width="11.6640625" style="97" customWidth="1"/>
    <col min="8" max="19" width="10.83203125" style="97" customWidth="1"/>
    <col min="20" max="20" width="10" style="97" bestFit="1" customWidth="1"/>
    <col min="21" max="27" width="8.6640625" style="1510" hidden="1" customWidth="1"/>
    <col min="28" max="29" width="8.6640625" style="97"/>
    <col min="30" max="30" width="10.5" style="97" customWidth="1"/>
    <col min="31" max="34" width="8.6640625" style="97"/>
    <col min="35" max="35" width="0" style="97" hidden="1" customWidth="1"/>
    <col min="36" max="36" width="8.6640625" style="97"/>
    <col min="37" max="43" width="8.6640625" style="1510" hidden="1" customWidth="1"/>
    <col min="44" max="16384" width="8.6640625" style="97"/>
  </cols>
  <sheetData>
    <row r="1" spans="1:45" s="132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U1" s="1515"/>
      <c r="V1" s="1515"/>
      <c r="W1" s="1515"/>
      <c r="X1" s="1515"/>
      <c r="Y1" s="1515"/>
      <c r="Z1" s="1515"/>
      <c r="AA1" s="1515"/>
      <c r="AC1" s="1"/>
      <c r="AD1" s="1"/>
      <c r="AE1" s="1"/>
      <c r="AF1" s="1"/>
      <c r="AG1" s="1"/>
      <c r="AH1" s="1"/>
      <c r="AI1" s="1"/>
      <c r="AK1" s="1515"/>
      <c r="AL1" s="1515"/>
      <c r="AM1" s="1515"/>
      <c r="AN1" s="1515"/>
      <c r="AO1" s="1515"/>
      <c r="AP1" s="1515"/>
      <c r="AQ1" s="1515"/>
    </row>
    <row r="2" spans="1:45" s="1321" customFormat="1" ht="20.25" customHeight="1">
      <c r="A2" s="1579" t="s">
        <v>152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U2" s="1515"/>
      <c r="V2" s="1515"/>
      <c r="W2" s="1515"/>
      <c r="X2" s="1515"/>
      <c r="Y2" s="1515"/>
      <c r="Z2" s="1515"/>
      <c r="AA2" s="1515"/>
      <c r="AC2" s="1"/>
      <c r="AD2" s="1"/>
      <c r="AE2" s="1"/>
      <c r="AF2" s="1"/>
      <c r="AG2" s="1"/>
      <c r="AH2" s="1"/>
      <c r="AI2" s="1"/>
      <c r="AK2" s="1515"/>
      <c r="AL2" s="1515"/>
      <c r="AM2" s="1515"/>
      <c r="AN2" s="1515"/>
      <c r="AO2" s="1515"/>
      <c r="AP2" s="1515"/>
      <c r="AQ2" s="1515"/>
    </row>
    <row r="3" spans="1:45" s="1321" customFormat="1" ht="14.25" customHeight="1">
      <c r="A3" s="1"/>
      <c r="B3" s="1"/>
      <c r="C3" s="1"/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  <c r="U3" s="1515"/>
      <c r="V3" s="1515"/>
      <c r="W3" s="1515"/>
      <c r="X3" s="1515"/>
      <c r="Y3" s="1515"/>
      <c r="Z3" s="1515"/>
      <c r="AA3" s="1515"/>
      <c r="AC3" s="1"/>
      <c r="AD3" s="1"/>
      <c r="AE3" s="1"/>
      <c r="AF3" s="1"/>
      <c r="AG3" s="1"/>
      <c r="AH3" s="1"/>
      <c r="AI3" s="1"/>
      <c r="AK3" s="1515"/>
      <c r="AL3" s="1515"/>
      <c r="AM3" s="1515"/>
      <c r="AN3" s="1515"/>
      <c r="AO3" s="1515"/>
      <c r="AP3" s="1515"/>
      <c r="AQ3" s="1515"/>
    </row>
    <row r="4" spans="1:45" s="132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U4" s="1583" t="s">
        <v>646</v>
      </c>
      <c r="V4" s="1583"/>
      <c r="W4" s="1583"/>
      <c r="X4" s="1583"/>
      <c r="Y4" s="1583"/>
      <c r="Z4" s="1583"/>
      <c r="AA4" s="1583"/>
      <c r="AC4" s="1584" t="s">
        <v>647</v>
      </c>
      <c r="AD4" s="1585"/>
      <c r="AE4" s="1585"/>
      <c r="AF4" s="1585"/>
      <c r="AG4" s="1585"/>
      <c r="AH4" s="1585"/>
      <c r="AI4" s="1585"/>
      <c r="AK4" s="1583" t="s">
        <v>648</v>
      </c>
      <c r="AL4" s="1583"/>
      <c r="AM4" s="1583"/>
      <c r="AN4" s="1583"/>
      <c r="AO4" s="1583"/>
      <c r="AP4" s="1583"/>
      <c r="AQ4" s="1583"/>
    </row>
    <row r="5" spans="1:45" s="1321" customFormat="1" ht="14.25" customHeight="1">
      <c r="A5" s="5" t="s">
        <v>153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9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  <c r="U5" s="1516">
        <v>46022</v>
      </c>
      <c r="V5" s="1516">
        <v>46387</v>
      </c>
      <c r="W5" s="1516">
        <v>46752</v>
      </c>
      <c r="X5" s="1516">
        <v>46753</v>
      </c>
      <c r="Y5" s="1516">
        <v>47483</v>
      </c>
      <c r="Z5" s="1516">
        <v>47848</v>
      </c>
      <c r="AA5" s="1516" t="s">
        <v>356</v>
      </c>
      <c r="AC5" s="435">
        <v>46022</v>
      </c>
      <c r="AD5" s="435">
        <v>46387</v>
      </c>
      <c r="AE5" s="435">
        <v>46752</v>
      </c>
      <c r="AF5" s="435">
        <v>46753</v>
      </c>
      <c r="AG5" s="435">
        <v>47483</v>
      </c>
      <c r="AH5" s="435">
        <v>47848</v>
      </c>
      <c r="AI5" s="435" t="s">
        <v>356</v>
      </c>
      <c r="AK5" s="1516">
        <v>46022</v>
      </c>
      <c r="AL5" s="1516">
        <v>46387</v>
      </c>
      <c r="AM5" s="1516">
        <v>46752</v>
      </c>
      <c r="AN5" s="1516">
        <v>46753</v>
      </c>
      <c r="AO5" s="1516">
        <v>47483</v>
      </c>
      <c r="AP5" s="1516">
        <v>47848</v>
      </c>
      <c r="AQ5" s="1516" t="s">
        <v>356</v>
      </c>
    </row>
    <row r="6" spans="1:45" s="1321" customFormat="1" ht="14.25" customHeight="1">
      <c r="A6" s="5" t="s">
        <v>155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U6" s="1515"/>
      <c r="V6" s="1515"/>
      <c r="W6" s="1515"/>
      <c r="X6" s="1515"/>
      <c r="Y6" s="1515"/>
      <c r="Z6" s="1515"/>
      <c r="AA6" s="1515"/>
      <c r="AC6" s="1"/>
      <c r="AD6" s="1"/>
      <c r="AE6" s="1"/>
      <c r="AF6" s="1"/>
      <c r="AG6" s="1"/>
      <c r="AH6" s="1"/>
      <c r="AI6" s="1"/>
      <c r="AK6" s="1515"/>
      <c r="AL6" s="1515"/>
      <c r="AM6" s="1515"/>
      <c r="AN6" s="1515"/>
      <c r="AO6" s="1515"/>
      <c r="AP6" s="1515"/>
      <c r="AQ6" s="1515"/>
    </row>
    <row r="7" spans="1:45" s="1488" customFormat="1" ht="14.25" hidden="1" customHeight="1">
      <c r="A7" s="106"/>
      <c r="B7" s="106"/>
      <c r="C7" s="106"/>
      <c r="D7" s="107"/>
      <c r="E7" s="107"/>
      <c r="F7" s="107"/>
      <c r="G7" s="107" t="s">
        <v>156</v>
      </c>
      <c r="H7" s="107">
        <f>集团!H9</f>
        <v>6.4503000000000004</v>
      </c>
      <c r="I7" s="107">
        <f>集团!I9</f>
        <v>6.73</v>
      </c>
      <c r="J7" s="107">
        <f>集团!J9</f>
        <v>7.02</v>
      </c>
      <c r="K7" s="107">
        <f>集团!K9</f>
        <v>7.1</v>
      </c>
      <c r="L7" s="107">
        <f>集团!L9</f>
        <v>7.1356000000000002</v>
      </c>
      <c r="M7" s="107">
        <f>集团!M9</f>
        <v>7.1688999999999998</v>
      </c>
      <c r="N7" s="107">
        <f>集团!N9</f>
        <v>7.1688999999999998</v>
      </c>
      <c r="O7" s="107">
        <f>集团!O9</f>
        <v>7.1688999999999998</v>
      </c>
      <c r="P7" s="107">
        <f>集团!P9</f>
        <v>7.1688999999999998</v>
      </c>
      <c r="Q7" s="107">
        <f>集团!Q9</f>
        <v>7.1688999999999998</v>
      </c>
      <c r="R7" s="107">
        <f>集团!R9</f>
        <v>7.1688999999999998</v>
      </c>
      <c r="S7" s="107">
        <f>集团!S9</f>
        <v>7.1688999999999998</v>
      </c>
      <c r="U7" s="1517"/>
      <c r="V7" s="1517"/>
      <c r="W7" s="1517"/>
      <c r="X7" s="1517"/>
      <c r="Y7" s="1517"/>
      <c r="Z7" s="1517"/>
      <c r="AA7" s="1517"/>
      <c r="AC7" s="108"/>
      <c r="AD7" s="108"/>
      <c r="AE7" s="108"/>
      <c r="AF7" s="108"/>
      <c r="AG7" s="108"/>
      <c r="AH7" s="108"/>
      <c r="AI7" s="108"/>
      <c r="AK7" s="1517"/>
      <c r="AL7" s="1517"/>
      <c r="AM7" s="1517"/>
      <c r="AN7" s="1517"/>
      <c r="AO7" s="1517"/>
      <c r="AP7" s="1517"/>
      <c r="AQ7" s="1517"/>
    </row>
    <row r="8" spans="1:45" s="1125" customFormat="1" ht="14.5">
      <c r="A8" s="58" t="s">
        <v>8</v>
      </c>
      <c r="B8" s="58" t="s">
        <v>154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U8" s="1515"/>
      <c r="V8" s="1515"/>
      <c r="W8" s="1515"/>
      <c r="X8" s="1515"/>
      <c r="Y8" s="1515"/>
      <c r="Z8" s="1515"/>
      <c r="AA8" s="1515"/>
      <c r="AC8" s="59"/>
      <c r="AD8" s="59"/>
      <c r="AE8" s="59"/>
      <c r="AF8" s="59"/>
      <c r="AG8" s="59"/>
      <c r="AH8" s="59"/>
      <c r="AI8" s="59"/>
      <c r="AK8" s="1515"/>
      <c r="AL8" s="1515"/>
      <c r="AM8" s="1515"/>
      <c r="AN8" s="1515"/>
      <c r="AO8" s="1515"/>
      <c r="AP8" s="1515"/>
      <c r="AQ8" s="1515"/>
    </row>
    <row r="9" spans="1:45" ht="14.5" customHeight="1"/>
    <row r="10" spans="1:45" s="99" customFormat="1" ht="14.5">
      <c r="C10" s="18" t="s">
        <v>1090</v>
      </c>
      <c r="D10" s="18"/>
      <c r="E10" s="18"/>
      <c r="H10" s="99">
        <f>SUM(H11:H15)</f>
        <v>94552</v>
      </c>
      <c r="I10" s="1049"/>
      <c r="J10" s="99">
        <f t="shared" ref="J10:K10" si="0">SUM(J11:J15)</f>
        <v>118343</v>
      </c>
      <c r="K10" s="99">
        <f t="shared" si="0"/>
        <v>111581</v>
      </c>
      <c r="L10" s="23">
        <f>L56+L331+L606</f>
        <v>133095.02631480599</v>
      </c>
      <c r="M10" s="23">
        <f>M56+M331+M606</f>
        <v>72648.350470871985</v>
      </c>
      <c r="N10" s="23">
        <f>N56+N331+N606</f>
        <v>130940.81755500122</v>
      </c>
      <c r="O10" s="23">
        <f t="shared" ref="O10:S10" si="1">O56+O331+O606</f>
        <v>141918.7641676137</v>
      </c>
      <c r="P10" s="23">
        <f t="shared" si="1"/>
        <v>152575.357572865</v>
      </c>
      <c r="Q10" s="23">
        <f t="shared" si="1"/>
        <v>160728.69558480429</v>
      </c>
      <c r="R10" s="23">
        <f t="shared" si="1"/>
        <v>169411.54104893369</v>
      </c>
      <c r="S10" s="23">
        <f t="shared" si="1"/>
        <v>178646.08624200782</v>
      </c>
      <c r="U10" s="1511"/>
      <c r="V10" s="1511"/>
      <c r="W10" s="1511"/>
      <c r="X10" s="1511"/>
      <c r="Y10" s="1511"/>
      <c r="Z10" s="1511"/>
      <c r="AA10" s="1511"/>
      <c r="AK10" s="1511"/>
      <c r="AL10" s="1511"/>
      <c r="AM10" s="1511"/>
      <c r="AN10" s="1511"/>
      <c r="AO10" s="1511"/>
      <c r="AP10" s="1511"/>
      <c r="AQ10" s="1511"/>
      <c r="AS10" s="1483"/>
    </row>
    <row r="11" spans="1:45" s="101" customFormat="1" ht="14.5">
      <c r="C11" s="1"/>
      <c r="D11" s="27" t="s">
        <v>841</v>
      </c>
      <c r="E11" s="28"/>
      <c r="F11" s="28"/>
      <c r="G11" s="28"/>
      <c r="H11" s="29">
        <f>H57+H332+H607</f>
        <v>10345</v>
      </c>
      <c r="I11" s="689"/>
      <c r="J11" s="29">
        <f t="shared" ref="J11:L15" si="2">J57+J332+J607</f>
        <v>7842</v>
      </c>
      <c r="K11" s="29">
        <f t="shared" si="2"/>
        <v>7131</v>
      </c>
      <c r="L11" s="29">
        <f t="shared" si="2"/>
        <v>8467.7987343430395</v>
      </c>
      <c r="M11" s="29">
        <f t="shared" ref="M11" si="3">M57+M332+M607</f>
        <v>5026.183433653744</v>
      </c>
      <c r="N11" s="689">
        <f t="shared" ref="N11:S15" si="4">N57+N332+N607</f>
        <v>8713.7618152116484</v>
      </c>
      <c r="O11" s="689">
        <f t="shared" si="4"/>
        <v>9738.1834349933961</v>
      </c>
      <c r="P11" s="689">
        <f t="shared" si="4"/>
        <v>10382.673023243064</v>
      </c>
      <c r="Q11" s="689">
        <f t="shared" si="4"/>
        <v>11080.793719830566</v>
      </c>
      <c r="R11" s="689">
        <f t="shared" si="4"/>
        <v>11842.552764407443</v>
      </c>
      <c r="S11" s="689">
        <f t="shared" si="4"/>
        <v>12673.568938277162</v>
      </c>
      <c r="U11" s="1512"/>
      <c r="V11" s="1512"/>
      <c r="W11" s="1512"/>
      <c r="X11" s="1512"/>
      <c r="Y11" s="1512"/>
      <c r="Z11" s="1512"/>
      <c r="AA11" s="1512"/>
      <c r="AK11" s="1512"/>
      <c r="AL11" s="1512"/>
      <c r="AM11" s="1512"/>
      <c r="AN11" s="1512"/>
      <c r="AO11" s="1512"/>
      <c r="AP11" s="1512"/>
      <c r="AQ11" s="1512"/>
      <c r="AS11" s="1484"/>
    </row>
    <row r="12" spans="1:45" ht="14.5">
      <c r="C12" s="1"/>
      <c r="D12" s="31" t="s">
        <v>842</v>
      </c>
      <c r="E12" s="1"/>
      <c r="F12" s="1"/>
      <c r="G12" s="1"/>
      <c r="H12" s="20">
        <f>H58+H333+H608</f>
        <v>5375</v>
      </c>
      <c r="I12" s="690"/>
      <c r="J12" s="20">
        <f t="shared" si="2"/>
        <v>6295</v>
      </c>
      <c r="K12" s="20">
        <f t="shared" si="2"/>
        <v>7330</v>
      </c>
      <c r="L12" s="20">
        <f t="shared" si="2"/>
        <v>9091.2480846676881</v>
      </c>
      <c r="M12" s="20">
        <f t="shared" ref="M12" si="5">M58+M333+M608</f>
        <v>5885.3562561740782</v>
      </c>
      <c r="N12" s="690">
        <f t="shared" si="4"/>
        <v>10038.995584667689</v>
      </c>
      <c r="O12" s="690">
        <f t="shared" si="4"/>
        <v>10989.082463901075</v>
      </c>
      <c r="P12" s="690">
        <f t="shared" si="4"/>
        <v>11987.062317096128</v>
      </c>
      <c r="Q12" s="690">
        <f t="shared" si="4"/>
        <v>13047.307896200937</v>
      </c>
      <c r="R12" s="690">
        <f t="shared" si="4"/>
        <v>14161.174824935984</v>
      </c>
      <c r="S12" s="690">
        <f t="shared" si="4"/>
        <v>15322.092470455285</v>
      </c>
      <c r="AS12" s="1485"/>
    </row>
    <row r="13" spans="1:45" ht="14.5">
      <c r="C13" s="1"/>
      <c r="D13" s="31" t="s">
        <v>843</v>
      </c>
      <c r="E13" s="1"/>
      <c r="F13" s="1"/>
      <c r="G13" s="1"/>
      <c r="H13" s="20">
        <f>H59+H334+H609</f>
        <v>18418</v>
      </c>
      <c r="I13" s="690"/>
      <c r="J13" s="20">
        <f t="shared" si="2"/>
        <v>27209</v>
      </c>
      <c r="K13" s="20">
        <f t="shared" si="2"/>
        <v>21562</v>
      </c>
      <c r="L13" s="20">
        <f t="shared" si="2"/>
        <v>25004.720762878344</v>
      </c>
      <c r="M13" s="20">
        <f t="shared" ref="M13" si="6">M59+M334+M609</f>
        <v>12281.111677268622</v>
      </c>
      <c r="N13" s="690">
        <f t="shared" si="4"/>
        <v>22818.512101589549</v>
      </c>
      <c r="O13" s="690">
        <f t="shared" si="4"/>
        <v>24565.211706280359</v>
      </c>
      <c r="P13" s="690">
        <f t="shared" si="4"/>
        <v>25965.816427545702</v>
      </c>
      <c r="Q13" s="690">
        <f t="shared" si="4"/>
        <v>27091.81432330711</v>
      </c>
      <c r="R13" s="690">
        <f t="shared" si="4"/>
        <v>28287.395772759402</v>
      </c>
      <c r="S13" s="690">
        <f t="shared" si="4"/>
        <v>29560.295085511418</v>
      </c>
      <c r="AS13" s="1485"/>
    </row>
    <row r="14" spans="1:45" ht="14.5">
      <c r="C14" s="1"/>
      <c r="D14" s="31" t="s">
        <v>844</v>
      </c>
      <c r="E14" s="1"/>
      <c r="F14" s="1"/>
      <c r="G14" s="1"/>
      <c r="H14" s="20">
        <f>H60+H335+H610</f>
        <v>57083</v>
      </c>
      <c r="I14" s="690"/>
      <c r="J14" s="20">
        <f t="shared" si="2"/>
        <v>73168</v>
      </c>
      <c r="K14" s="20">
        <f t="shared" si="2"/>
        <v>72647</v>
      </c>
      <c r="L14" s="20">
        <f t="shared" si="2"/>
        <v>87244.413066585723</v>
      </c>
      <c r="M14" s="20">
        <f t="shared" ref="M14" si="7">M60+M335+M610</f>
        <v>47721.858750404914</v>
      </c>
      <c r="N14" s="690">
        <f t="shared" si="4"/>
        <v>86070.594331801141</v>
      </c>
      <c r="O14" s="690">
        <f t="shared" si="4"/>
        <v>93144.273240707684</v>
      </c>
      <c r="P14" s="690">
        <f t="shared" si="4"/>
        <v>100562.20692324892</v>
      </c>
      <c r="Q14" s="690">
        <f t="shared" si="4"/>
        <v>105627.59664773451</v>
      </c>
      <c r="R14" s="690">
        <f t="shared" si="4"/>
        <v>111027.43016149967</v>
      </c>
      <c r="S14" s="690">
        <f t="shared" si="4"/>
        <v>116786.69924207276</v>
      </c>
      <c r="AS14" s="1485"/>
    </row>
    <row r="15" spans="1:45" ht="14.5">
      <c r="C15" s="1"/>
      <c r="D15" s="33" t="s">
        <v>665</v>
      </c>
      <c r="E15" s="34"/>
      <c r="F15" s="34"/>
      <c r="G15" s="34"/>
      <c r="H15" s="35">
        <f>H61+H336+H611</f>
        <v>3331</v>
      </c>
      <c r="I15" s="691"/>
      <c r="J15" s="35">
        <f t="shared" si="2"/>
        <v>3829</v>
      </c>
      <c r="K15" s="35">
        <f t="shared" si="2"/>
        <v>2911</v>
      </c>
      <c r="L15" s="35">
        <f t="shared" si="2"/>
        <v>3286.8456663312036</v>
      </c>
      <c r="M15" s="35">
        <f t="shared" ref="M15" si="8">M61+M336+M611</f>
        <v>1733.8403533706355</v>
      </c>
      <c r="N15" s="691">
        <f t="shared" si="4"/>
        <v>3298.9537217312018</v>
      </c>
      <c r="O15" s="691">
        <f t="shared" si="4"/>
        <v>3482.0133217311995</v>
      </c>
      <c r="P15" s="691">
        <f t="shared" si="4"/>
        <v>3677.5988817311973</v>
      </c>
      <c r="Q15" s="691">
        <f t="shared" si="4"/>
        <v>3881.1829977311954</v>
      </c>
      <c r="R15" s="691">
        <f t="shared" si="4"/>
        <v>4092.987525331193</v>
      </c>
      <c r="S15" s="691">
        <f t="shared" si="4"/>
        <v>4303.4305056911926</v>
      </c>
      <c r="AS15" s="1485"/>
    </row>
    <row r="16" spans="1:45" ht="14.5">
      <c r="C16" s="18" t="s">
        <v>31</v>
      </c>
      <c r="D16" s="1"/>
      <c r="E16" s="1"/>
      <c r="H16" s="759">
        <f>IFERROR(H22/H10,"NA")</f>
        <v>7.4109167442253998</v>
      </c>
      <c r="I16" s="1050"/>
      <c r="J16" s="759">
        <f t="shared" ref="J16:K16" si="9">IFERROR(J22/J10,"NA")</f>
        <v>5.1735108962929797</v>
      </c>
      <c r="K16" s="759">
        <f t="shared" si="9"/>
        <v>4.6704994577929932</v>
      </c>
      <c r="L16" s="759">
        <f t="shared" ref="L16:S16" si="10">IFERROR(L22/L10,"NA")</f>
        <v>4.7444933707952259</v>
      </c>
      <c r="M16" s="759">
        <f t="shared" ref="M16" si="11">IFERROR(M22/M10,"NA")</f>
        <v>4.7598668896234777</v>
      </c>
      <c r="N16" s="759">
        <f t="shared" si="10"/>
        <v>4.9000262161145987</v>
      </c>
      <c r="O16" s="759">
        <f t="shared" si="10"/>
        <v>4.9078761303930305</v>
      </c>
      <c r="P16" s="759">
        <f t="shared" si="10"/>
        <v>4.904379078247195</v>
      </c>
      <c r="Q16" s="759">
        <f t="shared" si="10"/>
        <v>4.9652625938065622</v>
      </c>
      <c r="R16" s="759">
        <f t="shared" si="10"/>
        <v>5.0797247824307235</v>
      </c>
      <c r="S16" s="759">
        <f t="shared" si="10"/>
        <v>5.2951323363521023</v>
      </c>
      <c r="AS16" s="1485"/>
    </row>
    <row r="17" spans="3:45" ht="14.5">
      <c r="C17" s="1"/>
      <c r="D17" s="27" t="s">
        <v>841</v>
      </c>
      <c r="E17" s="28"/>
      <c r="F17" s="28"/>
      <c r="G17" s="28"/>
      <c r="H17" s="759">
        <f>IFERROR(H23/H11,"NA")</f>
        <v>3.3493475108748187</v>
      </c>
      <c r="I17" s="1050"/>
      <c r="J17" s="759">
        <f t="shared" ref="J17" si="12">IFERROR(J23/J11,"NA")</f>
        <v>5.3102524866105583</v>
      </c>
      <c r="K17" s="759">
        <f t="shared" ref="K17:S17" si="13">IFERROR(K23/K11,"NA")</f>
        <v>5.6011779554059737</v>
      </c>
      <c r="L17" s="759">
        <f t="shared" si="13"/>
        <v>5.3257522270279667</v>
      </c>
      <c r="M17" s="759">
        <f t="shared" ref="M17" si="14">IFERROR(M23/M11,"NA")</f>
        <v>4.5810661947887104</v>
      </c>
      <c r="N17" s="1046">
        <f t="shared" si="13"/>
        <v>4.5416334356041359</v>
      </c>
      <c r="O17" s="1046">
        <f t="shared" si="13"/>
        <v>4.4361701565597924</v>
      </c>
      <c r="P17" s="1046">
        <f t="shared" si="13"/>
        <v>4.3858741473453247</v>
      </c>
      <c r="Q17" s="1046">
        <f t="shared" si="13"/>
        <v>4.3353667617375615</v>
      </c>
      <c r="R17" s="1046">
        <f t="shared" si="13"/>
        <v>4.2858550967158831</v>
      </c>
      <c r="S17" s="1046">
        <f t="shared" si="13"/>
        <v>4.2372413223067502</v>
      </c>
      <c r="AS17" s="1485"/>
    </row>
    <row r="18" spans="3:45" ht="14.5">
      <c r="C18" s="1"/>
      <c r="D18" s="31" t="s">
        <v>842</v>
      </c>
      <c r="E18" s="1"/>
      <c r="F18" s="1"/>
      <c r="G18" s="1"/>
      <c r="H18" s="764">
        <f t="shared" ref="H18:J18" si="15">IFERROR(H24/H12,"NA")</f>
        <v>3.6612093023255814</v>
      </c>
      <c r="I18" s="1051"/>
      <c r="J18" s="764">
        <f t="shared" si="15"/>
        <v>3.9067513899920572</v>
      </c>
      <c r="K18" s="764">
        <f t="shared" ref="K18:S18" si="16">IFERROR(K24/K12,"NA")</f>
        <v>4.0430422919508864</v>
      </c>
      <c r="L18" s="764">
        <f t="shared" si="16"/>
        <v>4.0376561915783853</v>
      </c>
      <c r="M18" s="764">
        <f t="shared" ref="M18" si="17">IFERROR(M24/M12,"NA")</f>
        <v>4.1460531620782639</v>
      </c>
      <c r="N18" s="1037">
        <f t="shared" si="16"/>
        <v>4.139390511088906</v>
      </c>
      <c r="O18" s="1037">
        <f t="shared" si="16"/>
        <v>4.1659267445525696</v>
      </c>
      <c r="P18" s="1037">
        <f t="shared" si="16"/>
        <v>4.1841745271338668</v>
      </c>
      <c r="Q18" s="1037">
        <f t="shared" si="16"/>
        <v>4.1969859881432043</v>
      </c>
      <c r="R18" s="1037">
        <f t="shared" si="16"/>
        <v>4.2031806728674557</v>
      </c>
      <c r="S18" s="1037">
        <f t="shared" si="16"/>
        <v>4.2022462386201322</v>
      </c>
      <c r="AS18" s="1485"/>
    </row>
    <row r="19" spans="3:45" ht="14.5">
      <c r="C19" s="1"/>
      <c r="D19" s="31" t="s">
        <v>843</v>
      </c>
      <c r="E19" s="1"/>
      <c r="F19" s="1"/>
      <c r="G19" s="1"/>
      <c r="H19" s="764">
        <f t="shared" ref="H19:J19" si="18">IFERROR(H25/H13,"NA")</f>
        <v>3.9097621891627754</v>
      </c>
      <c r="I19" s="1051"/>
      <c r="J19" s="764">
        <f t="shared" si="18"/>
        <v>5.6221985372487042</v>
      </c>
      <c r="K19" s="764">
        <f t="shared" ref="K19:S19" si="19">IFERROR(K25/K13,"NA")</f>
        <v>5.8533531212317964</v>
      </c>
      <c r="L19" s="764">
        <f t="shared" si="19"/>
        <v>5.9985683738066866</v>
      </c>
      <c r="M19" s="764">
        <f t="shared" ref="M19" si="20">IFERROR(M25/M13,"NA")</f>
        <v>6.2445606939607128</v>
      </c>
      <c r="N19" s="1037">
        <f t="shared" si="19"/>
        <v>6.4108758740658232</v>
      </c>
      <c r="O19" s="1037">
        <f t="shared" si="19"/>
        <v>6.4163311098120852</v>
      </c>
      <c r="P19" s="1037">
        <f t="shared" si="19"/>
        <v>6.4123401838937824</v>
      </c>
      <c r="Q19" s="1037">
        <f t="shared" si="19"/>
        <v>6.4088857035937732</v>
      </c>
      <c r="R19" s="1037">
        <f t="shared" si="19"/>
        <v>6.4039508472002726</v>
      </c>
      <c r="S19" s="1037">
        <f t="shared" si="19"/>
        <v>6.3974624629057226</v>
      </c>
      <c r="AS19" s="1485"/>
    </row>
    <row r="20" spans="3:45" ht="14.5">
      <c r="C20" s="1"/>
      <c r="D20" s="31" t="s">
        <v>844</v>
      </c>
      <c r="E20" s="1"/>
      <c r="F20" s="1"/>
      <c r="G20" s="1"/>
      <c r="H20" s="764">
        <f t="shared" ref="H20:J20" si="21">IFERROR(H26/H14,"NA")</f>
        <v>3.9244783911146928</v>
      </c>
      <c r="I20" s="1051"/>
      <c r="J20" s="764">
        <f t="shared" si="21"/>
        <v>4.2583629455499672</v>
      </c>
      <c r="K20" s="764">
        <f t="shared" ref="K20:S20" si="22">IFERROR(K26/K14,"NA")</f>
        <v>4.0206202596115466</v>
      </c>
      <c r="L20" s="764">
        <f t="shared" si="22"/>
        <v>4.1333321293399887</v>
      </c>
      <c r="M20" s="764">
        <f t="shared" ref="M20" si="23">IFERROR(M26/M14,"NA")</f>
        <v>4.1789876580313683</v>
      </c>
      <c r="N20" s="1037">
        <f t="shared" si="22"/>
        <v>4.2826089982813365</v>
      </c>
      <c r="O20" s="1037">
        <f t="shared" si="22"/>
        <v>4.2694024804395303</v>
      </c>
      <c r="P20" s="1037">
        <f t="shared" si="22"/>
        <v>4.2463421706966935</v>
      </c>
      <c r="Q20" s="1037">
        <f t="shared" si="22"/>
        <v>4.265673186800667</v>
      </c>
      <c r="R20" s="1037">
        <f t="shared" si="22"/>
        <v>4.2863349622934281</v>
      </c>
      <c r="S20" s="1037">
        <f t="shared" si="22"/>
        <v>4.3083219286312326</v>
      </c>
      <c r="AS20" s="1485"/>
    </row>
    <row r="21" spans="3:45" ht="15" thickBot="1">
      <c r="C21" s="37"/>
      <c r="D21" s="33" t="s">
        <v>665</v>
      </c>
      <c r="E21" s="37"/>
      <c r="F21" s="37"/>
      <c r="G21" s="37"/>
      <c r="H21" s="774">
        <f t="shared" ref="H21:J21" si="24">IFERROR(H27/H15,"NA")</f>
        <v>5.5538877214049833</v>
      </c>
      <c r="I21" s="1052"/>
      <c r="J21" s="774">
        <f t="shared" si="24"/>
        <v>5.5827892400104462</v>
      </c>
      <c r="K21" s="774">
        <f t="shared" ref="K21:S21" si="25">IFERROR(K27/K15,"NA")</f>
        <v>11.427516317416694</v>
      </c>
      <c r="L21" s="774">
        <f t="shared" si="25"/>
        <v>11.88406123027065</v>
      </c>
      <c r="M21" s="774">
        <f t="shared" ref="M21" si="26">IFERROR(M27/M15,"NA")</f>
        <v>12.833357478358016</v>
      </c>
      <c r="N21" s="1048">
        <f t="shared" si="25"/>
        <v>13.819549185495667</v>
      </c>
      <c r="O21" s="1048">
        <f t="shared" si="25"/>
        <v>13.569976957754255</v>
      </c>
      <c r="P21" s="1048">
        <f t="shared" si="25"/>
        <v>13.343256564055523</v>
      </c>
      <c r="Q21" s="1048">
        <f t="shared" si="25"/>
        <v>13.155875013090741</v>
      </c>
      <c r="R21" s="1048">
        <f t="shared" si="25"/>
        <v>13.006322133886851</v>
      </c>
      <c r="S21" s="1048">
        <f t="shared" si="25"/>
        <v>12.92013824135903</v>
      </c>
      <c r="AS21" s="1485"/>
    </row>
    <row r="22" spans="3:45" ht="14.5">
      <c r="C22" s="18" t="s">
        <v>991</v>
      </c>
      <c r="D22" s="1"/>
      <c r="E22" s="1"/>
      <c r="H22" s="126">
        <f>H68+H343+H618</f>
        <v>700717</v>
      </c>
      <c r="I22" s="126">
        <f>I68+I343+I618</f>
        <v>739529</v>
      </c>
      <c r="J22" s="126">
        <f>J68+J343+J618</f>
        <v>612248.80000000005</v>
      </c>
      <c r="K22" s="126">
        <f>K68+K343+K618</f>
        <v>521139</v>
      </c>
      <c r="L22" s="23">
        <f t="shared" ref="L22:R22" si="27">L68+L343+L618</f>
        <v>631468.47003641317</v>
      </c>
      <c r="M22" s="23">
        <f t="shared" ref="M22" si="28">M68+M343+M618</f>
        <v>345796.47799206572</v>
      </c>
      <c r="N22" s="23">
        <f>N68+N343+N618</f>
        <v>641613.43877898471</v>
      </c>
      <c r="O22" s="23">
        <f t="shared" si="27"/>
        <v>696519.71511310898</v>
      </c>
      <c r="P22" s="23">
        <f t="shared" si="27"/>
        <v>748287.39153644384</v>
      </c>
      <c r="Q22" s="23">
        <f t="shared" si="27"/>
        <v>798060.17993855069</v>
      </c>
      <c r="R22" s="23">
        <f t="shared" si="27"/>
        <v>860564.00349604827</v>
      </c>
      <c r="S22" s="23">
        <f>S68+S343+S618</f>
        <v>945954.6680228021</v>
      </c>
      <c r="AS22" s="1485"/>
    </row>
    <row r="23" spans="3:45" ht="14.5">
      <c r="C23" s="1"/>
      <c r="D23" s="27" t="s">
        <v>841</v>
      </c>
      <c r="E23" s="28"/>
      <c r="F23" s="28"/>
      <c r="G23" s="28"/>
      <c r="H23" s="29">
        <f>H69+H344+H619</f>
        <v>34649</v>
      </c>
      <c r="I23" s="689"/>
      <c r="J23" s="29">
        <f t="shared" ref="J23:K27" si="29">J69+J344+J619</f>
        <v>41643</v>
      </c>
      <c r="K23" s="29">
        <f t="shared" si="29"/>
        <v>39942</v>
      </c>
      <c r="L23" s="29">
        <f t="shared" ref="L23:S23" si="30">L69+L344+L619</f>
        <v>45097.397967452038</v>
      </c>
      <c r="M23" s="29">
        <f t="shared" ref="M23" si="31">M69+M344+M619</f>
        <v>23025.27901671821</v>
      </c>
      <c r="N23" s="689">
        <f t="shared" si="30"/>
        <v>39574.712009855808</v>
      </c>
      <c r="O23" s="689">
        <f t="shared" si="30"/>
        <v>43200.23873342263</v>
      </c>
      <c r="P23" s="689">
        <f t="shared" si="30"/>
        <v>45537.097192981477</v>
      </c>
      <c r="Q23" s="689">
        <f t="shared" si="30"/>
        <v>48039.304786623747</v>
      </c>
      <c r="R23" s="689">
        <f t="shared" si="30"/>
        <v>50755.465123462411</v>
      </c>
      <c r="S23" s="689">
        <f t="shared" si="30"/>
        <v>53700.970006371281</v>
      </c>
      <c r="AS23" s="1485"/>
    </row>
    <row r="24" spans="3:45" ht="14.5">
      <c r="C24" s="1"/>
      <c r="D24" s="31" t="s">
        <v>842</v>
      </c>
      <c r="E24" s="1"/>
      <c r="F24" s="1"/>
      <c r="G24" s="1"/>
      <c r="H24" s="20">
        <f>H70+H345+H620</f>
        <v>19679</v>
      </c>
      <c r="I24" s="690"/>
      <c r="J24" s="20">
        <f t="shared" si="29"/>
        <v>24593</v>
      </c>
      <c r="K24" s="20">
        <f t="shared" si="29"/>
        <v>29635.5</v>
      </c>
      <c r="L24" s="20">
        <f t="shared" ref="L24:S24" si="32">L70+L345+L620</f>
        <v>36707.33411823363</v>
      </c>
      <c r="M24" s="20">
        <f t="shared" ref="M24" si="33">M70+M345+M620</f>
        <v>24400.999915867629</v>
      </c>
      <c r="N24" s="690">
        <f t="shared" si="32"/>
        <v>41555.323064036857</v>
      </c>
      <c r="O24" s="690">
        <f t="shared" si="32"/>
        <v>45779.712534459133</v>
      </c>
      <c r="P24" s="690">
        <f t="shared" si="32"/>
        <v>50155.960802359885</v>
      </c>
      <c r="Q24" s="690">
        <f t="shared" si="32"/>
        <v>54759.368423345521</v>
      </c>
      <c r="R24" s="690">
        <f t="shared" si="32"/>
        <v>59521.976329268109</v>
      </c>
      <c r="S24" s="690">
        <f t="shared" si="32"/>
        <v>64387.205451760579</v>
      </c>
      <c r="AS24" s="1485"/>
    </row>
    <row r="25" spans="3:45" ht="14.5">
      <c r="C25" s="1"/>
      <c r="D25" s="31" t="s">
        <v>843</v>
      </c>
      <c r="E25" s="1"/>
      <c r="F25" s="1"/>
      <c r="G25" s="1"/>
      <c r="H25" s="20">
        <f>H71+H346+H621</f>
        <v>72010</v>
      </c>
      <c r="I25" s="690"/>
      <c r="J25" s="20">
        <f t="shared" si="29"/>
        <v>152974.39999999999</v>
      </c>
      <c r="K25" s="20">
        <f t="shared" si="29"/>
        <v>126210</v>
      </c>
      <c r="L25" s="20">
        <f t="shared" ref="L25:S25" si="34">L71+L346+L621</f>
        <v>149992.52716406944</v>
      </c>
      <c r="M25" s="20">
        <f t="shared" ref="M25" si="35">M71+M346+M621</f>
        <v>76690.14725801356</v>
      </c>
      <c r="N25" s="690">
        <f t="shared" si="34"/>
        <v>146286.64871415947</v>
      </c>
      <c r="O25" s="690">
        <f t="shared" si="34"/>
        <v>157618.53209012668</v>
      </c>
      <c r="P25" s="690">
        <f t="shared" si="34"/>
        <v>166501.64808596059</v>
      </c>
      <c r="Q25" s="690">
        <f t="shared" si="34"/>
        <v>173628.34150105994</v>
      </c>
      <c r="R25" s="690">
        <f t="shared" si="34"/>
        <v>181151.092124052</v>
      </c>
      <c r="S25" s="690">
        <f t="shared" si="34"/>
        <v>189110.87820197581</v>
      </c>
      <c r="AS25" s="1485"/>
    </row>
    <row r="26" spans="3:45" ht="14.5">
      <c r="C26" s="1"/>
      <c r="D26" s="31" t="s">
        <v>844</v>
      </c>
      <c r="E26" s="1"/>
      <c r="F26" s="1"/>
      <c r="G26" s="1"/>
      <c r="H26" s="20">
        <f>H72+H347+H622</f>
        <v>224021</v>
      </c>
      <c r="I26" s="690"/>
      <c r="J26" s="20">
        <f t="shared" si="29"/>
        <v>311575.90000000002</v>
      </c>
      <c r="K26" s="20">
        <f t="shared" si="29"/>
        <v>292086</v>
      </c>
      <c r="L26" s="20">
        <f t="shared" ref="L26:S26" si="36">L72+L347+L622</f>
        <v>360610.13563352829</v>
      </c>
      <c r="M26" s="20">
        <f t="shared" ref="M26" si="37">M72+M347+M622</f>
        <v>199429.05873625839</v>
      </c>
      <c r="N26" s="690">
        <f t="shared" si="36"/>
        <v>368606.70177279419</v>
      </c>
      <c r="O26" s="690">
        <f t="shared" si="36"/>
        <v>397670.39121261472</v>
      </c>
      <c r="P26" s="690">
        <f t="shared" si="36"/>
        <v>427021.54003651888</v>
      </c>
      <c r="Q26" s="690">
        <f t="shared" si="36"/>
        <v>450572.80680643715</v>
      </c>
      <c r="R26" s="690">
        <f t="shared" si="36"/>
        <v>475900.7556748279</v>
      </c>
      <c r="S26" s="690">
        <f t="shared" si="36"/>
        <v>503154.69731708261</v>
      </c>
      <c r="AS26" s="1485"/>
    </row>
    <row r="27" spans="3:45" ht="14.5">
      <c r="C27" s="1"/>
      <c r="D27" s="33" t="s">
        <v>665</v>
      </c>
      <c r="E27" s="34"/>
      <c r="F27" s="34"/>
      <c r="G27" s="34"/>
      <c r="H27" s="35">
        <f>H73+H348+H623</f>
        <v>18500</v>
      </c>
      <c r="I27" s="691"/>
      <c r="J27" s="35">
        <f t="shared" si="29"/>
        <v>21376.5</v>
      </c>
      <c r="K27" s="35">
        <f t="shared" si="29"/>
        <v>33265.5</v>
      </c>
      <c r="L27" s="35">
        <f t="shared" ref="L27:S27" si="38">L73+L348+L623</f>
        <v>39061.075153129757</v>
      </c>
      <c r="M27" s="35">
        <f t="shared" ref="M27" si="39">M73+M348+M623</f>
        <v>22250.993065207949</v>
      </c>
      <c r="N27" s="691">
        <f t="shared" si="38"/>
        <v>45590.053218138331</v>
      </c>
      <c r="O27" s="691">
        <f t="shared" si="38"/>
        <v>47250.840542485734</v>
      </c>
      <c r="P27" s="691">
        <f t="shared" si="38"/>
        <v>49071.145418623048</v>
      </c>
      <c r="Q27" s="691">
        <f t="shared" si="38"/>
        <v>51060.358421084449</v>
      </c>
      <c r="R27" s="691">
        <f t="shared" si="38"/>
        <v>53234.714244437862</v>
      </c>
      <c r="S27" s="691">
        <f t="shared" si="38"/>
        <v>55600.917045611808</v>
      </c>
      <c r="AS27" s="1485"/>
    </row>
    <row r="28" spans="3:45" ht="14.5">
      <c r="C28" s="1"/>
      <c r="D28" s="1"/>
      <c r="E28" s="1"/>
      <c r="AS28" s="1485"/>
    </row>
    <row r="29" spans="3:45" ht="15" thickBot="1">
      <c r="C29" s="37" t="s">
        <v>160</v>
      </c>
      <c r="D29" s="37"/>
      <c r="E29" s="37"/>
      <c r="F29" s="109"/>
      <c r="G29" s="109"/>
      <c r="H29" s="117">
        <f>1-H30/H22</f>
        <v>6.0800579977365987E-2</v>
      </c>
      <c r="I29" s="117">
        <f t="shared" ref="I29:J29" si="40">1-I30/I22</f>
        <v>5.3093252597261276E-2</v>
      </c>
      <c r="J29" s="117">
        <f t="shared" si="40"/>
        <v>6.9889502249657287E-2</v>
      </c>
      <c r="K29" s="117">
        <f>1-K30/K22</f>
        <v>6.9179240087577365E-2</v>
      </c>
      <c r="L29" s="117">
        <f t="shared" ref="L29:S29" si="41">1-L30/L22</f>
        <v>7.3176726359351463E-2</v>
      </c>
      <c r="M29" s="117">
        <f t="shared" ref="M29" si="42">1-M30/M22</f>
        <v>7.2319123430220178E-2</v>
      </c>
      <c r="N29" s="117">
        <f t="shared" si="41"/>
        <v>7.6693099777358498E-2</v>
      </c>
      <c r="O29" s="117">
        <f t="shared" si="41"/>
        <v>7.5762862176879553E-2</v>
      </c>
      <c r="P29" s="117">
        <f t="shared" si="41"/>
        <v>7.5593436716022255E-2</v>
      </c>
      <c r="Q29" s="117">
        <f t="shared" si="41"/>
        <v>7.5862351508617754E-2</v>
      </c>
      <c r="R29" s="117">
        <f t="shared" si="41"/>
        <v>7.5484226712708158E-2</v>
      </c>
      <c r="S29" s="117">
        <f t="shared" si="41"/>
        <v>7.3942536240263146E-2</v>
      </c>
      <c r="AS29" s="1485"/>
    </row>
    <row r="30" spans="3:45" s="101" customFormat="1" ht="15" thickBot="1">
      <c r="C30" s="76" t="s">
        <v>993</v>
      </c>
      <c r="D30" s="76"/>
      <c r="E30" s="76"/>
      <c r="F30" s="110"/>
      <c r="G30" s="110"/>
      <c r="H30" s="77">
        <f>H76+H351+H626</f>
        <v>658113</v>
      </c>
      <c r="I30" s="77">
        <f t="shared" ref="I30:K30" si="43">I76+I351+I626</f>
        <v>700265</v>
      </c>
      <c r="J30" s="77">
        <f t="shared" si="43"/>
        <v>569459.03611505008</v>
      </c>
      <c r="K30" s="77">
        <f t="shared" si="43"/>
        <v>485087</v>
      </c>
      <c r="L30" s="113">
        <f>L76+L351+L626</f>
        <v>585259.67460000026</v>
      </c>
      <c r="M30" s="113">
        <f>M76+M351+M626</f>
        <v>320788.7798184221</v>
      </c>
      <c r="N30" s="113">
        <f t="shared" ref="N30:R30" si="44">N76+N351+N626</f>
        <v>592406.11530021392</v>
      </c>
      <c r="O30" s="113">
        <f t="shared" si="44"/>
        <v>643749.38793351513</v>
      </c>
      <c r="P30" s="113">
        <f t="shared" si="44"/>
        <v>691721.77595893631</v>
      </c>
      <c r="Q30" s="113">
        <f t="shared" si="44"/>
        <v>737517.45804302162</v>
      </c>
      <c r="R30" s="113">
        <f t="shared" si="44"/>
        <v>795604.99515535682</v>
      </c>
      <c r="S30" s="113">
        <f>S76+S351+S626</f>
        <v>876008.38070087996</v>
      </c>
      <c r="U30" s="1512"/>
      <c r="V30" s="1512"/>
      <c r="W30" s="1512"/>
      <c r="X30" s="1512"/>
      <c r="Y30" s="1512"/>
      <c r="Z30" s="1512"/>
      <c r="AA30" s="1512"/>
      <c r="AK30" s="1512"/>
      <c r="AL30" s="1512"/>
      <c r="AM30" s="1512"/>
      <c r="AN30" s="1512"/>
      <c r="AO30" s="1512"/>
      <c r="AP30" s="1512"/>
      <c r="AQ30" s="1512"/>
      <c r="AS30" s="1484"/>
    </row>
    <row r="31" spans="3:45" s="101" customFormat="1" ht="15" thickBot="1">
      <c r="C31" s="22"/>
      <c r="D31" s="22"/>
      <c r="E31" s="22"/>
      <c r="L31" s="99"/>
      <c r="M31" s="99"/>
      <c r="N31" s="99"/>
      <c r="O31" s="99"/>
      <c r="P31" s="99"/>
      <c r="Q31" s="99"/>
      <c r="R31" s="99"/>
      <c r="S31" s="99"/>
      <c r="U31" s="1512"/>
      <c r="V31" s="1512"/>
      <c r="W31" s="1512"/>
      <c r="X31" s="1512"/>
      <c r="Y31" s="1512"/>
      <c r="Z31" s="1512"/>
      <c r="AA31" s="1512"/>
      <c r="AK31" s="1512"/>
      <c r="AL31" s="1512"/>
      <c r="AM31" s="1512"/>
      <c r="AN31" s="1512"/>
      <c r="AO31" s="1512"/>
      <c r="AP31" s="1512"/>
      <c r="AQ31" s="1512"/>
      <c r="AS31" s="1484"/>
    </row>
    <row r="32" spans="3:45" s="101" customFormat="1" ht="15" thickBot="1">
      <c r="C32" s="76" t="s">
        <v>161</v>
      </c>
      <c r="D32" s="76"/>
      <c r="E32" s="76"/>
      <c r="F32" s="110"/>
      <c r="G32" s="110"/>
      <c r="H32" s="409">
        <v>659601</v>
      </c>
      <c r="I32" s="409">
        <v>700555</v>
      </c>
      <c r="J32" s="409">
        <v>554271</v>
      </c>
      <c r="K32" s="409">
        <v>485036</v>
      </c>
      <c r="L32" s="113"/>
      <c r="M32" s="113"/>
      <c r="N32" s="113"/>
      <c r="O32" s="113"/>
      <c r="P32" s="113"/>
      <c r="Q32" s="113"/>
      <c r="R32" s="113"/>
      <c r="S32" s="113"/>
      <c r="U32" s="1512"/>
      <c r="V32" s="1512"/>
      <c r="W32" s="1512"/>
      <c r="X32" s="1512"/>
      <c r="Y32" s="1512"/>
      <c r="Z32" s="1512"/>
      <c r="AA32" s="1512"/>
      <c r="AK32" s="1512"/>
      <c r="AL32" s="1512"/>
      <c r="AM32" s="1512"/>
      <c r="AN32" s="1512"/>
      <c r="AO32" s="1512"/>
      <c r="AP32" s="1512"/>
      <c r="AQ32" s="1512"/>
      <c r="AS32" s="1484"/>
    </row>
    <row r="33" spans="3:45" s="101" customFormat="1" ht="15" thickBot="1">
      <c r="C33" s="22"/>
      <c r="D33" s="22"/>
      <c r="E33" s="22"/>
      <c r="H33" s="100"/>
      <c r="I33" s="100"/>
      <c r="J33" s="100"/>
      <c r="K33" s="100"/>
      <c r="L33" s="99"/>
      <c r="M33" s="99"/>
      <c r="N33" s="99"/>
      <c r="O33" s="99"/>
      <c r="P33" s="99"/>
      <c r="Q33" s="99"/>
      <c r="R33" s="99"/>
      <c r="S33" s="99"/>
      <c r="U33" s="1512"/>
      <c r="V33" s="1512"/>
      <c r="W33" s="1512"/>
      <c r="X33" s="1512"/>
      <c r="Y33" s="1512"/>
      <c r="Z33" s="1512"/>
      <c r="AA33" s="1512"/>
      <c r="AK33" s="1512"/>
      <c r="AL33" s="1512"/>
      <c r="AM33" s="1512"/>
      <c r="AN33" s="1512"/>
      <c r="AO33" s="1512"/>
      <c r="AP33" s="1512"/>
      <c r="AQ33" s="1512"/>
      <c r="AS33" s="1484"/>
    </row>
    <row r="34" spans="3:45" s="101" customFormat="1" ht="15" thickBot="1">
      <c r="C34" s="76" t="s">
        <v>997</v>
      </c>
      <c r="D34" s="76"/>
      <c r="E34" s="76"/>
      <c r="F34" s="110"/>
      <c r="G34" s="110"/>
      <c r="H34" s="409">
        <v>659601</v>
      </c>
      <c r="I34" s="409">
        <v>700555</v>
      </c>
      <c r="J34" s="409">
        <v>554271</v>
      </c>
      <c r="K34" s="409">
        <v>485036</v>
      </c>
      <c r="L34" s="409">
        <v>585560</v>
      </c>
      <c r="M34" s="409">
        <v>320788.77980000002</v>
      </c>
      <c r="N34" s="113">
        <f t="shared" ref="N34:R34" si="45">N30</f>
        <v>592406.11530021392</v>
      </c>
      <c r="O34" s="113">
        <f t="shared" si="45"/>
        <v>643749.38793351513</v>
      </c>
      <c r="P34" s="113">
        <f t="shared" si="45"/>
        <v>691721.77595893631</v>
      </c>
      <c r="Q34" s="113">
        <f t="shared" si="45"/>
        <v>737517.45804302162</v>
      </c>
      <c r="R34" s="113">
        <f t="shared" si="45"/>
        <v>795604.99515535682</v>
      </c>
      <c r="S34" s="113">
        <f>S30</f>
        <v>876008.38070087996</v>
      </c>
      <c r="T34" s="525"/>
      <c r="U34" s="1512"/>
      <c r="V34" s="1512"/>
      <c r="W34" s="1512"/>
      <c r="X34" s="1512"/>
      <c r="Y34" s="1512"/>
      <c r="Z34" s="1512"/>
      <c r="AA34" s="1512"/>
      <c r="AK34" s="1512"/>
      <c r="AL34" s="1512"/>
      <c r="AM34" s="1512"/>
      <c r="AN34" s="1512"/>
      <c r="AO34" s="1512"/>
      <c r="AP34" s="1512"/>
      <c r="AQ34" s="1512"/>
      <c r="AS34" s="1484"/>
    </row>
    <row r="35" spans="3:45" s="101" customFormat="1" ht="14.5">
      <c r="C35" s="22"/>
      <c r="D35" s="22"/>
      <c r="E35" s="22"/>
      <c r="U35" s="1512"/>
      <c r="V35" s="1512"/>
      <c r="W35" s="1512"/>
      <c r="X35" s="1512"/>
      <c r="Y35" s="1512"/>
      <c r="Z35" s="1512"/>
      <c r="AA35" s="1512"/>
      <c r="AK35" s="1512"/>
      <c r="AL35" s="1512"/>
      <c r="AM35" s="1512"/>
      <c r="AN35" s="1512"/>
      <c r="AO35" s="1512"/>
      <c r="AP35" s="1512"/>
      <c r="AQ35" s="1512"/>
      <c r="AS35" s="1484"/>
    </row>
    <row r="36" spans="3:45" s="101" customFormat="1" ht="14.5">
      <c r="C36" s="97" t="s">
        <v>994</v>
      </c>
      <c r="H36" s="20">
        <f>H77+H352+H627</f>
        <v>-633777</v>
      </c>
      <c r="I36" s="20">
        <f t="shared" ref="I36:S36" si="46">I77+I352+I627</f>
        <v>-642626</v>
      </c>
      <c r="J36" s="20">
        <f t="shared" si="46"/>
        <v>-526659</v>
      </c>
      <c r="K36" s="20">
        <f t="shared" si="46"/>
        <v>-441856</v>
      </c>
      <c r="L36" s="20">
        <f>L77+L352+L627</f>
        <v>-524492.5506856849</v>
      </c>
      <c r="M36" s="20">
        <f>M77+M352+M627</f>
        <v>-281888.30611922563</v>
      </c>
      <c r="N36" s="20">
        <f>N77+N352+N627</f>
        <v>-516886.51264051883</v>
      </c>
      <c r="O36" s="20">
        <f t="shared" si="46"/>
        <v>-551519.92401283316</v>
      </c>
      <c r="P36" s="20">
        <f t="shared" si="46"/>
        <v>-584838.7896688811</v>
      </c>
      <c r="Q36" s="20">
        <f t="shared" si="46"/>
        <v>-617140.40896589868</v>
      </c>
      <c r="R36" s="20">
        <f t="shared" si="46"/>
        <v>-659424.2135832645</v>
      </c>
      <c r="S36" s="20">
        <f t="shared" si="46"/>
        <v>-719483.85981760616</v>
      </c>
      <c r="U36" s="1512"/>
      <c r="V36" s="1512"/>
      <c r="W36" s="1512"/>
      <c r="X36" s="1512"/>
      <c r="Y36" s="1512"/>
      <c r="Z36" s="1512"/>
      <c r="AA36" s="1512"/>
      <c r="AK36" s="1512"/>
      <c r="AL36" s="1512"/>
      <c r="AM36" s="1512"/>
      <c r="AN36" s="1512"/>
      <c r="AO36" s="1512"/>
      <c r="AP36" s="1512"/>
      <c r="AQ36" s="1512"/>
      <c r="AS36" s="1484"/>
    </row>
    <row r="37" spans="3:45" s="99" customFormat="1" ht="15" thickBot="1">
      <c r="U37" s="1511"/>
      <c r="V37" s="1511"/>
      <c r="W37" s="1511"/>
      <c r="X37" s="1511"/>
      <c r="Y37" s="1511"/>
      <c r="Z37" s="1511"/>
      <c r="AA37" s="1511"/>
      <c r="AK37" s="1511"/>
      <c r="AL37" s="1511"/>
      <c r="AM37" s="1511"/>
      <c r="AN37" s="1511"/>
      <c r="AO37" s="1511"/>
      <c r="AP37" s="1511"/>
      <c r="AQ37" s="1511"/>
      <c r="AS37" s="1483"/>
    </row>
    <row r="38" spans="3:45" s="101" customFormat="1" ht="15" thickBot="1">
      <c r="C38" s="76" t="s">
        <v>995</v>
      </c>
      <c r="D38" s="76"/>
      <c r="E38" s="76"/>
      <c r="F38" s="110"/>
      <c r="G38" s="110"/>
      <c r="H38" s="113">
        <f t="shared" ref="H38:S38" si="47">H30+H36</f>
        <v>24336</v>
      </c>
      <c r="I38" s="113">
        <f t="shared" si="47"/>
        <v>57639</v>
      </c>
      <c r="J38" s="113">
        <f t="shared" si="47"/>
        <v>42800.036115050083</v>
      </c>
      <c r="K38" s="113">
        <f t="shared" si="47"/>
        <v>43231</v>
      </c>
      <c r="L38" s="113">
        <f t="shared" si="47"/>
        <v>60767.123914315365</v>
      </c>
      <c r="M38" s="113">
        <f t="shared" si="47"/>
        <v>38900.473699196475</v>
      </c>
      <c r="N38" s="113">
        <f>N30+N36</f>
        <v>75519.602659695083</v>
      </c>
      <c r="O38" s="113">
        <f t="shared" si="47"/>
        <v>92229.46392068197</v>
      </c>
      <c r="P38" s="113">
        <f t="shared" si="47"/>
        <v>106882.98629005521</v>
      </c>
      <c r="Q38" s="113">
        <f t="shared" si="47"/>
        <v>120377.04907712294</v>
      </c>
      <c r="R38" s="113">
        <f t="shared" si="47"/>
        <v>136180.78157209232</v>
      </c>
      <c r="S38" s="113">
        <f t="shared" si="47"/>
        <v>156524.5208832738</v>
      </c>
      <c r="U38" s="1512"/>
      <c r="V38" s="1512"/>
      <c r="W38" s="1512"/>
      <c r="X38" s="1512"/>
      <c r="Y38" s="1512"/>
      <c r="Z38" s="1512"/>
      <c r="AA38" s="1512"/>
      <c r="AK38" s="1512"/>
      <c r="AL38" s="1512"/>
      <c r="AM38" s="1512"/>
      <c r="AN38" s="1512"/>
      <c r="AO38" s="1512"/>
      <c r="AP38" s="1512"/>
      <c r="AQ38" s="1512"/>
      <c r="AS38" s="1484"/>
    </row>
    <row r="39" spans="3:45" s="101" customFormat="1" ht="14.5">
      <c r="C39" s="22" t="s">
        <v>996</v>
      </c>
      <c r="D39" s="18"/>
      <c r="E39" s="18"/>
      <c r="H39" s="94">
        <f t="shared" ref="H39:S39" si="48">H38/H30</f>
        <v>3.6978452028754938E-2</v>
      </c>
      <c r="I39" s="94">
        <f t="shared" si="48"/>
        <v>8.2310268255588959E-2</v>
      </c>
      <c r="J39" s="94">
        <f t="shared" si="48"/>
        <v>7.515911312434248E-2</v>
      </c>
      <c r="K39" s="94">
        <f t="shared" si="48"/>
        <v>8.9120095982782477E-2</v>
      </c>
      <c r="L39" s="94">
        <f t="shared" si="48"/>
        <v>0.10382933687657034</v>
      </c>
      <c r="M39" s="94">
        <f t="shared" si="48"/>
        <v>0.12126506956139654</v>
      </c>
      <c r="N39" s="94">
        <f t="shared" si="48"/>
        <v>0.12747944477484668</v>
      </c>
      <c r="O39" s="94">
        <f t="shared" si="48"/>
        <v>0.14326920638595964</v>
      </c>
      <c r="P39" s="94">
        <f t="shared" si="48"/>
        <v>0.15451730739845937</v>
      </c>
      <c r="Q39" s="94">
        <f t="shared" si="48"/>
        <v>0.16321925367914611</v>
      </c>
      <c r="R39" s="94">
        <f t="shared" si="48"/>
        <v>0.17116632298858364</v>
      </c>
      <c r="S39" s="94">
        <f t="shared" si="48"/>
        <v>0.17867925048621236</v>
      </c>
      <c r="U39" s="1512"/>
      <c r="V39" s="1512"/>
      <c r="W39" s="1512"/>
      <c r="X39" s="1512"/>
      <c r="Y39" s="1512"/>
      <c r="Z39" s="1512"/>
      <c r="AA39" s="1512"/>
      <c r="AK39" s="1512"/>
      <c r="AL39" s="1512"/>
      <c r="AM39" s="1512"/>
      <c r="AN39" s="1512"/>
      <c r="AO39" s="1512"/>
      <c r="AP39" s="1512"/>
      <c r="AQ39" s="1512"/>
      <c r="AS39" s="1484"/>
    </row>
    <row r="40" spans="3:45" s="101" customFormat="1" ht="14.5">
      <c r="C40" s="22"/>
      <c r="D40" s="18"/>
      <c r="E40" s="18"/>
      <c r="U40" s="1512"/>
      <c r="V40" s="1512"/>
      <c r="W40" s="1512"/>
      <c r="X40" s="1512"/>
      <c r="Y40" s="1512"/>
      <c r="Z40" s="1512"/>
      <c r="AA40" s="1512"/>
      <c r="AK40" s="1512"/>
      <c r="AL40" s="1512"/>
      <c r="AM40" s="1512"/>
      <c r="AN40" s="1512"/>
      <c r="AO40" s="1512"/>
      <c r="AP40" s="1512"/>
      <c r="AQ40" s="1512"/>
      <c r="AS40" s="1484"/>
    </row>
    <row r="41" spans="3:45" s="101" customFormat="1" ht="14.5">
      <c r="C41" s="1" t="s">
        <v>998</v>
      </c>
      <c r="D41" s="18"/>
      <c r="E41" s="18"/>
      <c r="H41" s="394">
        <v>-611437.10618999903</v>
      </c>
      <c r="I41" s="394">
        <v>-625849.58254000195</v>
      </c>
      <c r="J41" s="394">
        <v>-510514.492783138</v>
      </c>
      <c r="K41" s="394">
        <v>-435441</v>
      </c>
      <c r="L41" s="394">
        <v>-520198</v>
      </c>
      <c r="M41" s="394">
        <v>-277642.69603000116</v>
      </c>
      <c r="N41" s="20">
        <f>N36</f>
        <v>-516886.51264051883</v>
      </c>
      <c r="O41" s="20">
        <f t="shared" ref="O41:S41" si="49">O36</f>
        <v>-551519.92401283316</v>
      </c>
      <c r="P41" s="20">
        <f t="shared" si="49"/>
        <v>-584838.7896688811</v>
      </c>
      <c r="Q41" s="20">
        <f t="shared" si="49"/>
        <v>-617140.40896589868</v>
      </c>
      <c r="R41" s="20">
        <f t="shared" si="49"/>
        <v>-659424.2135832645</v>
      </c>
      <c r="S41" s="20">
        <f t="shared" si="49"/>
        <v>-719483.85981760616</v>
      </c>
      <c r="U41" s="1512"/>
      <c r="V41" s="1512"/>
      <c r="W41" s="1512"/>
      <c r="X41" s="1512"/>
      <c r="Y41" s="1512"/>
      <c r="Z41" s="1512"/>
      <c r="AA41" s="1512"/>
      <c r="AK41" s="1512"/>
      <c r="AL41" s="1512"/>
      <c r="AM41" s="1512"/>
      <c r="AN41" s="1512"/>
      <c r="AO41" s="1512"/>
      <c r="AP41" s="1512"/>
      <c r="AQ41" s="1512"/>
      <c r="AS41" s="1484"/>
    </row>
    <row r="42" spans="3:45" s="101" customFormat="1" ht="15" thickBot="1">
      <c r="C42" s="22"/>
      <c r="D42" s="18"/>
      <c r="E42" s="18"/>
      <c r="U42" s="1512"/>
      <c r="V42" s="1512"/>
      <c r="W42" s="1512"/>
      <c r="X42" s="1512"/>
      <c r="Y42" s="1512"/>
      <c r="Z42" s="1512"/>
      <c r="AA42" s="1512"/>
      <c r="AK42" s="1512"/>
      <c r="AL42" s="1512"/>
      <c r="AM42" s="1512"/>
      <c r="AN42" s="1512"/>
      <c r="AO42" s="1512"/>
      <c r="AP42" s="1512"/>
      <c r="AQ42" s="1512"/>
      <c r="AS42" s="1484"/>
    </row>
    <row r="43" spans="3:45" s="101" customFormat="1" ht="15" hidden="1" thickBot="1">
      <c r="C43" s="22"/>
      <c r="D43" s="67" t="s">
        <v>162</v>
      </c>
      <c r="E43" s="18"/>
      <c r="U43" s="1512"/>
      <c r="V43" s="1512"/>
      <c r="W43" s="1512"/>
      <c r="X43" s="1512"/>
      <c r="Y43" s="1512"/>
      <c r="Z43" s="1512"/>
      <c r="AA43" s="1512"/>
      <c r="AK43" s="1512"/>
      <c r="AL43" s="1512"/>
      <c r="AM43" s="1512"/>
      <c r="AN43" s="1512"/>
      <c r="AO43" s="1512"/>
      <c r="AP43" s="1512"/>
      <c r="AQ43" s="1512"/>
      <c r="AS43" s="1484"/>
    </row>
    <row r="44" spans="3:45" s="101" customFormat="1" ht="15" hidden="1" thickBot="1">
      <c r="C44" s="22"/>
      <c r="D44" s="111" t="s">
        <v>163</v>
      </c>
      <c r="E44" s="18"/>
      <c r="H44" s="410">
        <v>20062</v>
      </c>
      <c r="I44" s="410">
        <v>15366</v>
      </c>
      <c r="J44" s="410">
        <v>13396</v>
      </c>
      <c r="K44" s="410">
        <v>10129</v>
      </c>
      <c r="L44" s="566"/>
      <c r="M44" s="566"/>
      <c r="N44" s="567"/>
      <c r="O44" s="567"/>
      <c r="P44" s="567"/>
      <c r="Q44" s="567"/>
      <c r="R44" s="567"/>
      <c r="S44" s="567"/>
      <c r="U44" s="1512"/>
      <c r="V44" s="1512"/>
      <c r="W44" s="1512"/>
      <c r="X44" s="1512"/>
      <c r="Y44" s="1512"/>
      <c r="Z44" s="1512"/>
      <c r="AA44" s="1512"/>
      <c r="AK44" s="1512"/>
      <c r="AL44" s="1512"/>
      <c r="AM44" s="1512"/>
      <c r="AN44" s="1512"/>
      <c r="AO44" s="1512"/>
      <c r="AP44" s="1512"/>
      <c r="AQ44" s="1512"/>
      <c r="AS44" s="1484"/>
    </row>
    <row r="45" spans="3:45" s="101" customFormat="1" ht="15" hidden="1" thickBot="1">
      <c r="C45" s="22"/>
      <c r="D45" s="111" t="s">
        <v>164</v>
      </c>
      <c r="E45" s="18"/>
      <c r="H45" s="410">
        <v>0</v>
      </c>
      <c r="I45" s="410">
        <v>0</v>
      </c>
      <c r="J45" s="410">
        <v>-15000</v>
      </c>
      <c r="K45" s="410">
        <v>0</v>
      </c>
      <c r="L45" s="566"/>
      <c r="M45" s="566"/>
      <c r="N45" s="567"/>
      <c r="O45" s="567"/>
      <c r="P45" s="567"/>
      <c r="Q45" s="567"/>
      <c r="R45" s="567"/>
      <c r="S45" s="567"/>
      <c r="U45" s="1512"/>
      <c r="V45" s="1512"/>
      <c r="W45" s="1512"/>
      <c r="X45" s="1512"/>
      <c r="Y45" s="1512"/>
      <c r="Z45" s="1512"/>
      <c r="AA45" s="1512"/>
      <c r="AK45" s="1512"/>
      <c r="AL45" s="1512"/>
      <c r="AM45" s="1512"/>
      <c r="AN45" s="1512"/>
      <c r="AO45" s="1512"/>
      <c r="AP45" s="1512"/>
      <c r="AQ45" s="1512"/>
      <c r="AS45" s="1484"/>
    </row>
    <row r="46" spans="3:45" s="101" customFormat="1" ht="15" hidden="1" thickBot="1">
      <c r="C46" s="22"/>
      <c r="D46" s="111" t="s">
        <v>165</v>
      </c>
      <c r="E46" s="18"/>
      <c r="H46" s="410">
        <v>0</v>
      </c>
      <c r="I46" s="410">
        <v>0</v>
      </c>
      <c r="J46" s="410">
        <v>-4032</v>
      </c>
      <c r="K46" s="410">
        <v>-4955</v>
      </c>
      <c r="L46" s="566"/>
      <c r="M46" s="566"/>
      <c r="N46" s="567"/>
      <c r="O46" s="567"/>
      <c r="P46" s="567"/>
      <c r="Q46" s="567"/>
      <c r="R46" s="567"/>
      <c r="S46" s="567"/>
      <c r="U46" s="1512"/>
      <c r="V46" s="1512"/>
      <c r="W46" s="1512"/>
      <c r="X46" s="1512"/>
      <c r="Y46" s="1512"/>
      <c r="Z46" s="1512"/>
      <c r="AA46" s="1512"/>
      <c r="AK46" s="1512"/>
      <c r="AL46" s="1512"/>
      <c r="AM46" s="1512"/>
      <c r="AN46" s="1512"/>
      <c r="AO46" s="1512"/>
      <c r="AP46" s="1512"/>
      <c r="AQ46" s="1512"/>
      <c r="AS46" s="1484"/>
    </row>
    <row r="47" spans="3:45" s="101" customFormat="1" ht="15" hidden="1" thickBot="1">
      <c r="C47" s="22"/>
      <c r="D47" s="111" t="s">
        <v>166</v>
      </c>
      <c r="E47" s="18"/>
      <c r="H47" s="410">
        <v>820</v>
      </c>
      <c r="I47" s="410">
        <v>943</v>
      </c>
      <c r="J47" s="410">
        <v>643</v>
      </c>
      <c r="K47" s="410">
        <v>0</v>
      </c>
      <c r="L47" s="566"/>
      <c r="M47" s="566"/>
      <c r="N47" s="567"/>
      <c r="O47" s="567"/>
      <c r="P47" s="567"/>
      <c r="Q47" s="567"/>
      <c r="R47" s="567"/>
      <c r="S47" s="567"/>
      <c r="U47" s="1512"/>
      <c r="V47" s="1512"/>
      <c r="W47" s="1512"/>
      <c r="X47" s="1512"/>
      <c r="Y47" s="1512"/>
      <c r="Z47" s="1512"/>
      <c r="AA47" s="1512"/>
      <c r="AK47" s="1512"/>
      <c r="AL47" s="1512"/>
      <c r="AM47" s="1512"/>
      <c r="AN47" s="1512"/>
      <c r="AO47" s="1512"/>
      <c r="AP47" s="1512"/>
      <c r="AQ47" s="1512"/>
      <c r="AS47" s="1484"/>
    </row>
    <row r="48" spans="3:45" s="101" customFormat="1" ht="15" hidden="1" thickBot="1">
      <c r="C48" s="22"/>
      <c r="D48" s="1" t="s">
        <v>167</v>
      </c>
      <c r="E48" s="18"/>
      <c r="H48" s="410">
        <v>2947</v>
      </c>
      <c r="I48" s="410">
        <v>758</v>
      </c>
      <c r="J48" s="410">
        <v>5949</v>
      </c>
      <c r="K48" s="410">
        <v>1190</v>
      </c>
      <c r="L48" s="566"/>
      <c r="M48" s="566"/>
      <c r="N48" s="567"/>
      <c r="O48" s="567"/>
      <c r="P48" s="567"/>
      <c r="Q48" s="567"/>
      <c r="R48" s="567"/>
      <c r="S48" s="567"/>
      <c r="U48" s="1512"/>
      <c r="V48" s="1512"/>
      <c r="W48" s="1512"/>
      <c r="X48" s="1512"/>
      <c r="Y48" s="1512"/>
      <c r="Z48" s="1512"/>
      <c r="AA48" s="1512"/>
      <c r="AK48" s="1512"/>
      <c r="AL48" s="1512"/>
      <c r="AM48" s="1512"/>
      <c r="AN48" s="1512"/>
      <c r="AO48" s="1512"/>
      <c r="AP48" s="1512"/>
      <c r="AQ48" s="1512"/>
      <c r="AS48" s="1484"/>
    </row>
    <row r="49" spans="1:45" s="101" customFormat="1" ht="15" thickBot="1">
      <c r="C49" s="76" t="s">
        <v>999</v>
      </c>
      <c r="D49" s="76"/>
      <c r="E49" s="76"/>
      <c r="F49" s="110"/>
      <c r="G49" s="110"/>
      <c r="H49" s="113">
        <f>H34+H41</f>
        <v>48163.893810000969</v>
      </c>
      <c r="I49" s="113">
        <f t="shared" ref="I49:S49" si="50">I34+I41</f>
        <v>74705.417459998047</v>
      </c>
      <c r="J49" s="113">
        <f t="shared" si="50"/>
        <v>43756.507216861995</v>
      </c>
      <c r="K49" s="113">
        <f t="shared" si="50"/>
        <v>49595</v>
      </c>
      <c r="L49" s="113">
        <f t="shared" si="50"/>
        <v>65362</v>
      </c>
      <c r="M49" s="113">
        <f t="shared" si="50"/>
        <v>43146.083769998862</v>
      </c>
      <c r="N49" s="113">
        <f t="shared" si="50"/>
        <v>75519.602659695083</v>
      </c>
      <c r="O49" s="113">
        <f t="shared" si="50"/>
        <v>92229.46392068197</v>
      </c>
      <c r="P49" s="113">
        <f t="shared" si="50"/>
        <v>106882.98629005521</v>
      </c>
      <c r="Q49" s="113">
        <f t="shared" si="50"/>
        <v>120377.04907712294</v>
      </c>
      <c r="R49" s="113">
        <f t="shared" si="50"/>
        <v>136180.78157209232</v>
      </c>
      <c r="S49" s="113">
        <f t="shared" si="50"/>
        <v>156524.5208832738</v>
      </c>
      <c r="U49" s="1512"/>
      <c r="V49" s="1512"/>
      <c r="W49" s="1512"/>
      <c r="X49" s="1512"/>
      <c r="Y49" s="1512"/>
      <c r="Z49" s="1512"/>
      <c r="AA49" s="1512"/>
      <c r="AK49" s="1512"/>
      <c r="AL49" s="1512"/>
      <c r="AM49" s="1512"/>
      <c r="AN49" s="1512"/>
      <c r="AO49" s="1512"/>
      <c r="AP49" s="1512"/>
      <c r="AQ49" s="1512"/>
      <c r="AS49" s="1484"/>
    </row>
    <row r="50" spans="1:45" s="101" customFormat="1" ht="14.5">
      <c r="C50" s="22" t="s">
        <v>1000</v>
      </c>
      <c r="D50" s="18"/>
      <c r="E50" s="18"/>
      <c r="H50" s="94">
        <f t="shared" ref="H50:S50" si="51">H49/H34</f>
        <v>7.3019740433991107E-2</v>
      </c>
      <c r="I50" s="94">
        <f t="shared" si="51"/>
        <v>0.10663747665778996</v>
      </c>
      <c r="J50" s="94">
        <f t="shared" si="51"/>
        <v>7.8944247880300425E-2</v>
      </c>
      <c r="K50" s="94">
        <f t="shared" si="51"/>
        <v>0.10225014225748191</v>
      </c>
      <c r="L50" s="94">
        <f t="shared" si="51"/>
        <v>0.11162306168454129</v>
      </c>
      <c r="M50" s="94">
        <f>M49/M34</f>
        <v>0.13449997782621592</v>
      </c>
      <c r="N50" s="94">
        <f t="shared" si="51"/>
        <v>0.12747944477484668</v>
      </c>
      <c r="O50" s="94">
        <f t="shared" si="51"/>
        <v>0.14326920638595964</v>
      </c>
      <c r="P50" s="94">
        <f t="shared" si="51"/>
        <v>0.15451730739845937</v>
      </c>
      <c r="Q50" s="94">
        <f t="shared" si="51"/>
        <v>0.16321925367914611</v>
      </c>
      <c r="R50" s="94">
        <f t="shared" si="51"/>
        <v>0.17116632298858364</v>
      </c>
      <c r="S50" s="94">
        <f t="shared" si="51"/>
        <v>0.17867925048621236</v>
      </c>
      <c r="U50" s="1512"/>
      <c r="V50" s="1512"/>
      <c r="W50" s="1512"/>
      <c r="X50" s="1512"/>
      <c r="Y50" s="1512"/>
      <c r="Z50" s="1512"/>
      <c r="AA50" s="1512"/>
      <c r="AK50" s="1512"/>
      <c r="AL50" s="1512"/>
      <c r="AM50" s="1512"/>
      <c r="AN50" s="1512"/>
      <c r="AO50" s="1512"/>
      <c r="AP50" s="1512"/>
      <c r="AQ50" s="1512"/>
      <c r="AS50" s="1484"/>
    </row>
    <row r="51" spans="1:45" ht="14.5">
      <c r="H51" s="127"/>
      <c r="I51" s="127"/>
      <c r="J51" s="212"/>
      <c r="K51" s="212"/>
      <c r="AS51" s="1485"/>
    </row>
    <row r="52" spans="1:45" s="1125" customFormat="1" ht="14.5" outlineLevel="1">
      <c r="A52" s="10" t="s">
        <v>8</v>
      </c>
      <c r="B52" s="10" t="s">
        <v>157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U52" s="1515"/>
      <c r="V52" s="1515"/>
      <c r="W52" s="1515"/>
      <c r="X52" s="1515"/>
      <c r="Y52" s="1515"/>
      <c r="Z52" s="1515"/>
      <c r="AA52" s="1515"/>
      <c r="AC52" s="62"/>
      <c r="AD52" s="62"/>
      <c r="AE52" s="62"/>
      <c r="AF52" s="62"/>
      <c r="AG52" s="62"/>
      <c r="AH52" s="62"/>
      <c r="AI52" s="62"/>
      <c r="AK52" s="1515"/>
      <c r="AL52" s="1515"/>
      <c r="AM52" s="1515"/>
      <c r="AN52" s="1515"/>
      <c r="AO52" s="1515"/>
      <c r="AP52" s="1515"/>
      <c r="AQ52" s="1515"/>
      <c r="AS52" s="1486"/>
    </row>
    <row r="53" spans="1:45" ht="14.5" outlineLevel="1"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AS53" s="1485"/>
    </row>
    <row r="54" spans="1:45" s="1126" customFormat="1" ht="14.5" outlineLevel="1">
      <c r="A54" s="26" t="s">
        <v>8</v>
      </c>
      <c r="B54" s="26"/>
      <c r="C54" s="26" t="s">
        <v>158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U54" s="1518"/>
      <c r="V54" s="1518"/>
      <c r="W54" s="1518"/>
      <c r="X54" s="1518"/>
      <c r="Y54" s="1518"/>
      <c r="Z54" s="1518"/>
      <c r="AA54" s="1518"/>
      <c r="AC54" s="26"/>
      <c r="AD54" s="26"/>
      <c r="AE54" s="26"/>
      <c r="AF54" s="26"/>
      <c r="AG54" s="26"/>
      <c r="AH54" s="26"/>
      <c r="AI54" s="26"/>
      <c r="AK54" s="1518"/>
      <c r="AL54" s="1518"/>
      <c r="AM54" s="1518"/>
      <c r="AN54" s="1518"/>
      <c r="AO54" s="1518"/>
      <c r="AP54" s="1518"/>
      <c r="AQ54" s="1518"/>
      <c r="AS54" s="1481"/>
    </row>
    <row r="55" spans="1:45" ht="14.5" outlineLevel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AS55" s="1485"/>
    </row>
    <row r="56" spans="1:45" s="99" customFormat="1" ht="14.5" outlineLevel="1">
      <c r="C56" s="18" t="s">
        <v>840</v>
      </c>
      <c r="D56" s="18"/>
      <c r="E56" s="18"/>
      <c r="H56" s="99">
        <f>SUM(H57:H61)</f>
        <v>94552</v>
      </c>
      <c r="I56" s="99">
        <f t="shared" ref="I56:K56" si="52">SUM(I57:I61)</f>
        <v>0</v>
      </c>
      <c r="J56" s="99">
        <f t="shared" si="52"/>
        <v>86085</v>
      </c>
      <c r="K56" s="99">
        <f t="shared" si="52"/>
        <v>87318</v>
      </c>
      <c r="L56" s="23">
        <f>L83+L124+L165+L206+L247+L288</f>
        <v>104756.13724632436</v>
      </c>
      <c r="M56" s="23">
        <f>M83+M124+M165+M206+M247+M288</f>
        <v>61027.324608577117</v>
      </c>
      <c r="N56" s="23">
        <f t="shared" ref="N56:S56" si="53">N83+N124+N165+N206+N247+N288</f>
        <v>110679.32752117624</v>
      </c>
      <c r="O56" s="23">
        <f t="shared" si="53"/>
        <v>121140.23247478873</v>
      </c>
      <c r="P56" s="23">
        <f t="shared" si="53"/>
        <v>131479.97168259003</v>
      </c>
      <c r="Q56" s="23">
        <f t="shared" si="53"/>
        <v>139567.04536752932</v>
      </c>
      <c r="R56" s="23">
        <f t="shared" si="53"/>
        <v>148189.30344695871</v>
      </c>
      <c r="S56" s="23">
        <f t="shared" si="53"/>
        <v>157379.91816061284</v>
      </c>
      <c r="U56" s="1511"/>
      <c r="V56" s="1511"/>
      <c r="W56" s="1511"/>
      <c r="X56" s="1511"/>
      <c r="Y56" s="1511"/>
      <c r="Z56" s="1511"/>
      <c r="AA56" s="1511"/>
      <c r="AK56" s="1511"/>
      <c r="AL56" s="1511"/>
      <c r="AM56" s="1511"/>
      <c r="AN56" s="1511"/>
      <c r="AO56" s="1511"/>
      <c r="AP56" s="1511"/>
      <c r="AQ56" s="1511"/>
      <c r="AS56" s="1483"/>
    </row>
    <row r="57" spans="1:45" s="101" customFormat="1" ht="14.5" outlineLevel="1">
      <c r="C57" s="1"/>
      <c r="D57" s="27" t="s">
        <v>841</v>
      </c>
      <c r="E57" s="28"/>
      <c r="F57" s="28"/>
      <c r="G57" s="28"/>
      <c r="H57" s="29">
        <f>H84+H125+H166+H207+H248+H289</f>
        <v>10345</v>
      </c>
      <c r="I57" s="29">
        <f t="shared" ref="I57:L57" si="54">I84+I125+I166+I207+I248+I289</f>
        <v>0</v>
      </c>
      <c r="J57" s="29">
        <f t="shared" si="54"/>
        <v>4503</v>
      </c>
      <c r="K57" s="29">
        <f t="shared" si="54"/>
        <v>4357</v>
      </c>
      <c r="L57" s="29">
        <f t="shared" si="54"/>
        <v>5315.1868043430395</v>
      </c>
      <c r="M57" s="29">
        <f t="shared" ref="M57" si="55">M84+M125+M166+M207+M248+M289</f>
        <v>3602.3094336537442</v>
      </c>
      <c r="N57" s="689">
        <f>N84+N125+N166+N207+N248+N289</f>
        <v>6342.3060652116483</v>
      </c>
      <c r="O57" s="689">
        <f t="shared" ref="O57:S57" si="56">O84+O125+O166+O207+O248+O289</f>
        <v>7363.7276849933951</v>
      </c>
      <c r="P57" s="689">
        <f t="shared" si="56"/>
        <v>8005.0672732430639</v>
      </c>
      <c r="Q57" s="689">
        <f t="shared" si="56"/>
        <v>8699.8804698305667</v>
      </c>
      <c r="R57" s="689">
        <f>R84+R125+R166+R207+R248+R289</f>
        <v>9458.1666394074418</v>
      </c>
      <c r="S57" s="689">
        <f t="shared" si="56"/>
        <v>10285.536294527161</v>
      </c>
      <c r="U57" s="1512"/>
      <c r="V57" s="1512"/>
      <c r="W57" s="1512"/>
      <c r="X57" s="1512"/>
      <c r="Y57" s="1512"/>
      <c r="Z57" s="1512"/>
      <c r="AA57" s="1512"/>
      <c r="AK57" s="1512"/>
      <c r="AL57" s="1512"/>
      <c r="AM57" s="1512"/>
      <c r="AN57" s="1512"/>
      <c r="AO57" s="1512"/>
      <c r="AP57" s="1512"/>
      <c r="AQ57" s="1512"/>
      <c r="AS57" s="1484"/>
    </row>
    <row r="58" spans="1:45" ht="14.5" outlineLevel="1">
      <c r="C58" s="1"/>
      <c r="D58" s="31" t="s">
        <v>842</v>
      </c>
      <c r="E58" s="1"/>
      <c r="F58" s="1"/>
      <c r="G58" s="1"/>
      <c r="H58" s="20">
        <f>H85+H126+H167+H208+H249+H290</f>
        <v>5375</v>
      </c>
      <c r="I58" s="20">
        <f t="shared" ref="I58:L61" si="57">I85+I126+I167+I208+I249+I290</f>
        <v>0</v>
      </c>
      <c r="J58" s="20">
        <f t="shared" si="57"/>
        <v>6295</v>
      </c>
      <c r="K58" s="20">
        <f t="shared" si="57"/>
        <v>7330</v>
      </c>
      <c r="L58" s="20">
        <f t="shared" si="57"/>
        <v>9091.2480846676881</v>
      </c>
      <c r="M58" s="20">
        <f t="shared" ref="M58" si="58">M85+M126+M167+M208+M249+M290</f>
        <v>5885.3562561740782</v>
      </c>
      <c r="N58" s="690">
        <f t="shared" ref="N58:S58" si="59">N85+N126+N167+N208+N249+N290</f>
        <v>10038.995584667689</v>
      </c>
      <c r="O58" s="690">
        <f t="shared" si="59"/>
        <v>10989.082463901075</v>
      </c>
      <c r="P58" s="690">
        <f t="shared" si="59"/>
        <v>11987.062317096128</v>
      </c>
      <c r="Q58" s="690">
        <f t="shared" si="59"/>
        <v>13047.307896200937</v>
      </c>
      <c r="R58" s="690">
        <f t="shared" si="59"/>
        <v>14161.174824935984</v>
      </c>
      <c r="S58" s="690">
        <f t="shared" si="59"/>
        <v>15322.092470455285</v>
      </c>
      <c r="AS58" s="1485"/>
    </row>
    <row r="59" spans="1:45" ht="14.5" outlineLevel="1">
      <c r="C59" s="1"/>
      <c r="D59" s="31" t="s">
        <v>843</v>
      </c>
      <c r="E59" s="1"/>
      <c r="F59" s="1"/>
      <c r="G59" s="1"/>
      <c r="H59" s="20">
        <f>H86+H127+H168+H209+H250+H291</f>
        <v>18418</v>
      </c>
      <c r="I59" s="20">
        <f t="shared" si="57"/>
        <v>0</v>
      </c>
      <c r="J59" s="20">
        <f t="shared" si="57"/>
        <v>10635</v>
      </c>
      <c r="K59" s="20">
        <f t="shared" si="57"/>
        <v>12586</v>
      </c>
      <c r="L59" s="20">
        <f t="shared" si="57"/>
        <v>15163.793639832795</v>
      </c>
      <c r="M59" s="20">
        <f t="shared" ref="M59" si="60">M86+M127+M168+M209+M250+M291</f>
        <v>8771.8505085665856</v>
      </c>
      <c r="N59" s="690">
        <f t="shared" ref="N59:S59" si="61">N86+N127+N168+N209+N250+N291</f>
        <v>16701.628653816071</v>
      </c>
      <c r="O59" s="690">
        <f t="shared" si="61"/>
        <v>18200.78113450688</v>
      </c>
      <c r="P59" s="690">
        <f t="shared" si="61"/>
        <v>19465.234937572226</v>
      </c>
      <c r="Q59" s="690">
        <f t="shared" si="61"/>
        <v>20591.232833333634</v>
      </c>
      <c r="R59" s="690">
        <f t="shared" si="61"/>
        <v>21786.814282785926</v>
      </c>
      <c r="S59" s="690">
        <f t="shared" si="61"/>
        <v>23059.713595537938</v>
      </c>
      <c r="AS59" s="1485"/>
    </row>
    <row r="60" spans="1:45" ht="14.5" outlineLevel="1">
      <c r="C60" s="1"/>
      <c r="D60" s="31" t="s">
        <v>844</v>
      </c>
      <c r="E60" s="1"/>
      <c r="F60" s="1"/>
      <c r="G60" s="1"/>
      <c r="H60" s="20">
        <f>H87+H128+H169+H210+H251+H292</f>
        <v>57083</v>
      </c>
      <c r="I60" s="20">
        <f t="shared" si="57"/>
        <v>0</v>
      </c>
      <c r="J60" s="20">
        <f t="shared" si="57"/>
        <v>64007</v>
      </c>
      <c r="K60" s="20">
        <f t="shared" si="57"/>
        <v>61872</v>
      </c>
      <c r="L60" s="20">
        <f t="shared" si="57"/>
        <v>73831.349390654868</v>
      </c>
      <c r="M60" s="20">
        <f t="shared" ref="M60" si="62">M87+M128+M169+M210+M251+M292</f>
        <v>42091.105327305355</v>
      </c>
      <c r="N60" s="690">
        <f t="shared" ref="N60:S60" si="63">N87+N128+N169+N210+N251+N292</f>
        <v>76122.506890654869</v>
      </c>
      <c r="O60" s="690">
        <f t="shared" si="63"/>
        <v>82996.529964561414</v>
      </c>
      <c r="P60" s="690">
        <f t="shared" si="63"/>
        <v>90304.652937852647</v>
      </c>
      <c r="Q60" s="690">
        <f t="shared" si="63"/>
        <v>95370.042662338237</v>
      </c>
      <c r="R60" s="690">
        <f t="shared" si="63"/>
        <v>100769.8761761034</v>
      </c>
      <c r="S60" s="690">
        <f t="shared" si="63"/>
        <v>106529.14525667649</v>
      </c>
      <c r="AS60" s="1485"/>
    </row>
    <row r="61" spans="1:45" ht="14.5" outlineLevel="1">
      <c r="C61" s="1"/>
      <c r="D61" s="33" t="s">
        <v>665</v>
      </c>
      <c r="E61" s="34"/>
      <c r="F61" s="34"/>
      <c r="G61" s="34"/>
      <c r="H61" s="35">
        <f>H88+H129+H170+H211+H252+H293</f>
        <v>3331</v>
      </c>
      <c r="I61" s="35">
        <f t="shared" si="57"/>
        <v>0</v>
      </c>
      <c r="J61" s="35">
        <f t="shared" si="57"/>
        <v>645</v>
      </c>
      <c r="K61" s="35">
        <f t="shared" si="57"/>
        <v>1173</v>
      </c>
      <c r="L61" s="35">
        <f t="shared" si="57"/>
        <v>1354.5593268259713</v>
      </c>
      <c r="M61" s="35">
        <f t="shared" ref="M61" si="64">M88+M129+M170+M211+M252+M293</f>
        <v>676.70308287736123</v>
      </c>
      <c r="N61" s="691">
        <f t="shared" ref="N61:S61" si="65">N88+N129+N170+N211+N252+N293</f>
        <v>1473.8903268259714</v>
      </c>
      <c r="O61" s="691">
        <f t="shared" si="65"/>
        <v>1590.1112268259717</v>
      </c>
      <c r="P61" s="691">
        <f t="shared" si="65"/>
        <v>1717.9542168259718</v>
      </c>
      <c r="Q61" s="691">
        <f t="shared" si="65"/>
        <v>1858.5815058259723</v>
      </c>
      <c r="R61" s="691">
        <f t="shared" si="65"/>
        <v>2013.2715237259722</v>
      </c>
      <c r="S61" s="691">
        <f t="shared" si="65"/>
        <v>2183.4305434159728</v>
      </c>
      <c r="AS61" s="1485"/>
    </row>
    <row r="62" spans="1:45" ht="14.5" outlineLevel="1">
      <c r="C62" s="18" t="s">
        <v>31</v>
      </c>
      <c r="D62" s="1"/>
      <c r="E62" s="1"/>
      <c r="H62" s="759">
        <f>IFERROR(H68/H56,"NA")</f>
        <v>4.2813689821473897</v>
      </c>
      <c r="I62" s="759" t="str">
        <f t="shared" ref="I62:K62" si="66">IFERROR(I68/I56,"NA")</f>
        <v>NA</v>
      </c>
      <c r="J62" s="759">
        <f t="shared" si="66"/>
        <v>5.0227658709415115</v>
      </c>
      <c r="K62" s="759">
        <f t="shared" si="66"/>
        <v>4.3416706750040079</v>
      </c>
      <c r="L62" s="759">
        <f t="shared" ref="L62:S62" si="67">IFERROR(L68/L56,"NA")</f>
        <v>4.4850569870231434</v>
      </c>
      <c r="M62" s="759">
        <f t="shared" ref="M62" si="68">IFERROR(M68/M56,"NA")</f>
        <v>4.3798319819831057</v>
      </c>
      <c r="N62" s="759">
        <f t="shared" si="67"/>
        <v>4.553522893010677</v>
      </c>
      <c r="O62" s="759">
        <f t="shared" si="67"/>
        <v>4.5591996289197665</v>
      </c>
      <c r="P62" s="759">
        <f t="shared" si="67"/>
        <v>4.5487740065828817</v>
      </c>
      <c r="Q62" s="759">
        <f t="shared" si="67"/>
        <v>4.5682290930360647</v>
      </c>
      <c r="R62" s="759">
        <f t="shared" si="67"/>
        <v>4.5873356021022538</v>
      </c>
      <c r="S62" s="759">
        <f t="shared" si="67"/>
        <v>4.6060421558774207</v>
      </c>
      <c r="AS62" s="1485"/>
    </row>
    <row r="63" spans="1:45" ht="14.5" outlineLevel="1">
      <c r="C63" s="1"/>
      <c r="D63" s="27" t="s">
        <v>841</v>
      </c>
      <c r="E63" s="28"/>
      <c r="F63" s="28"/>
      <c r="G63" s="28"/>
      <c r="H63" s="759">
        <f>IFERROR(H69/H57,"NA")</f>
        <v>3.3493475108748187</v>
      </c>
      <c r="I63" s="759" t="str">
        <f t="shared" ref="I63:J63" si="69">IFERROR(I69/I57,"NA")</f>
        <v>NA</v>
      </c>
      <c r="J63" s="759">
        <f t="shared" si="69"/>
        <v>4.420386409060626</v>
      </c>
      <c r="K63" s="759">
        <f t="shared" ref="K63:S63" si="70">IFERROR(K69/K57,"NA")</f>
        <v>4.0566903832912553</v>
      </c>
      <c r="L63" s="759">
        <f t="shared" si="70"/>
        <v>4.0365138695393128</v>
      </c>
      <c r="M63" s="759">
        <f t="shared" ref="M63" si="71">IFERROR(M69/M57,"NA")</f>
        <v>3.6450287512211981</v>
      </c>
      <c r="N63" s="1046">
        <f t="shared" si="70"/>
        <v>3.6462698156399944</v>
      </c>
      <c r="O63" s="1046">
        <f t="shared" si="70"/>
        <v>3.6314162222059241</v>
      </c>
      <c r="P63" s="1046">
        <f t="shared" si="70"/>
        <v>3.6310209062731778</v>
      </c>
      <c r="Q63" s="1046">
        <f t="shared" si="70"/>
        <v>3.6273107110596414</v>
      </c>
      <c r="R63" s="1046">
        <f t="shared" si="70"/>
        <v>3.6223875535456083</v>
      </c>
      <c r="S63" s="1046">
        <f t="shared" si="70"/>
        <v>3.6161319015327513</v>
      </c>
      <c r="AS63" s="1485"/>
    </row>
    <row r="64" spans="1:45" ht="14.5" outlineLevel="1">
      <c r="C64" s="1"/>
      <c r="D64" s="31" t="s">
        <v>842</v>
      </c>
      <c r="E64" s="1"/>
      <c r="F64" s="1"/>
      <c r="G64" s="1"/>
      <c r="H64" s="764">
        <f t="shared" ref="H64:J64" si="72">IFERROR(H70/H58,"NA")</f>
        <v>3.6612093023255814</v>
      </c>
      <c r="I64" s="764" t="str">
        <f t="shared" si="72"/>
        <v>NA</v>
      </c>
      <c r="J64" s="764">
        <f t="shared" si="72"/>
        <v>3.9067513899920572</v>
      </c>
      <c r="K64" s="764">
        <f t="shared" ref="K64:S64" si="73">IFERROR(K70/K58,"NA")</f>
        <v>4.0430422919508864</v>
      </c>
      <c r="L64" s="764">
        <f t="shared" si="73"/>
        <v>4.0376561915783853</v>
      </c>
      <c r="M64" s="764">
        <f t="shared" ref="M64" si="74">IFERROR(M70/M58,"NA")</f>
        <v>4.1460531620782639</v>
      </c>
      <c r="N64" s="1037">
        <f t="shared" si="73"/>
        <v>4.139390511088906</v>
      </c>
      <c r="O64" s="1037">
        <f t="shared" si="73"/>
        <v>4.1659267445525696</v>
      </c>
      <c r="P64" s="1037">
        <f t="shared" si="73"/>
        <v>4.1841745271338668</v>
      </c>
      <c r="Q64" s="1037">
        <f t="shared" si="73"/>
        <v>4.1969859881432043</v>
      </c>
      <c r="R64" s="1037">
        <f t="shared" si="73"/>
        <v>4.2031806728674557</v>
      </c>
      <c r="S64" s="1037">
        <f t="shared" si="73"/>
        <v>4.2022462386201322</v>
      </c>
      <c r="AS64" s="1485"/>
    </row>
    <row r="65" spans="3:45" ht="14.5" outlineLevel="1">
      <c r="C65" s="1"/>
      <c r="D65" s="31" t="s">
        <v>843</v>
      </c>
      <c r="E65" s="1"/>
      <c r="F65" s="1"/>
      <c r="G65" s="1"/>
      <c r="H65" s="764">
        <f t="shared" ref="H65:J65" si="75">IFERROR(H71/H59,"NA")</f>
        <v>3.9097621891627754</v>
      </c>
      <c r="I65" s="764" t="str">
        <f t="shared" si="75"/>
        <v>NA</v>
      </c>
      <c r="J65" s="764">
        <f t="shared" si="75"/>
        <v>7.191574988246356</v>
      </c>
      <c r="K65" s="764">
        <f t="shared" ref="K65:S65" si="76">IFERROR(K71/K59,"NA")</f>
        <v>6.36238677896075</v>
      </c>
      <c r="L65" s="764">
        <f t="shared" si="76"/>
        <v>6.5491825682272093</v>
      </c>
      <c r="M65" s="764">
        <f t="shared" ref="M65" si="77">IFERROR(M71/M59,"NA")</f>
        <v>6.572569772443881</v>
      </c>
      <c r="N65" s="1037">
        <f t="shared" si="76"/>
        <v>6.7857860236228138</v>
      </c>
      <c r="O65" s="1037">
        <f t="shared" si="76"/>
        <v>6.8034288665743778</v>
      </c>
      <c r="P65" s="1037">
        <f t="shared" si="76"/>
        <v>6.7941652458112989</v>
      </c>
      <c r="Q65" s="1037">
        <f t="shared" si="76"/>
        <v>6.7687407188110518</v>
      </c>
      <c r="R65" s="1037">
        <f t="shared" si="76"/>
        <v>6.7425858983230906</v>
      </c>
      <c r="S65" s="1037">
        <f t="shared" si="76"/>
        <v>6.7155757242529504</v>
      </c>
      <c r="AS65" s="1485"/>
    </row>
    <row r="66" spans="3:45" ht="14.5" outlineLevel="1">
      <c r="C66" s="1"/>
      <c r="D66" s="31" t="s">
        <v>844</v>
      </c>
      <c r="E66" s="1"/>
      <c r="F66" s="1"/>
      <c r="G66" s="1"/>
      <c r="H66" s="764">
        <f t="shared" ref="H66:J66" si="78">IFERROR(H72/H60,"NA")</f>
        <v>3.9244783911146928</v>
      </c>
      <c r="I66" s="764" t="str">
        <f t="shared" si="78"/>
        <v>NA</v>
      </c>
      <c r="J66" s="764">
        <f t="shared" si="78"/>
        <v>4.0800834283750218</v>
      </c>
      <c r="K66" s="764">
        <f t="shared" ref="K66:S66" si="79">IFERROR(K72/K60,"NA")</f>
        <v>3.8512412723041116</v>
      </c>
      <c r="L66" s="764">
        <f t="shared" si="79"/>
        <v>4.0128438191413736</v>
      </c>
      <c r="M66" s="764">
        <f t="shared" ref="M66" si="80">IFERROR(M72/M60,"NA")</f>
        <v>3.9186868835211266</v>
      </c>
      <c r="N66" s="1037">
        <f t="shared" si="79"/>
        <v>4.0541113915504523</v>
      </c>
      <c r="O66" s="1037">
        <f t="shared" si="79"/>
        <v>4.06243405206608</v>
      </c>
      <c r="P66" s="1037">
        <f t="shared" si="79"/>
        <v>4.0556204049787166</v>
      </c>
      <c r="Q66" s="1037">
        <f t="shared" si="79"/>
        <v>4.0871603808469752</v>
      </c>
      <c r="R66" s="1037">
        <f t="shared" si="79"/>
        <v>4.1194911069666196</v>
      </c>
      <c r="S66" s="1037">
        <f t="shared" si="79"/>
        <v>4.1526152240681311</v>
      </c>
      <c r="AS66" s="1485"/>
    </row>
    <row r="67" spans="3:45" ht="15" outlineLevel="1" thickBot="1">
      <c r="C67" s="37"/>
      <c r="D67" s="33" t="s">
        <v>665</v>
      </c>
      <c r="E67" s="37"/>
      <c r="F67" s="37"/>
      <c r="G67" s="37"/>
      <c r="H67" s="774">
        <f t="shared" ref="H67:J67" si="81">IFERROR(H73/H61,"NA")</f>
        <v>5.5538877214049833</v>
      </c>
      <c r="I67" s="774" t="str">
        <f t="shared" si="81"/>
        <v>NA</v>
      </c>
      <c r="J67" s="774">
        <f t="shared" si="81"/>
        <v>14.909302325581395</v>
      </c>
      <c r="K67" s="774">
        <f t="shared" ref="K67:S67" si="82">IFERROR(K73/K61,"NA")</f>
        <v>11.453111679454391</v>
      </c>
      <c r="L67" s="774">
        <f t="shared" si="82"/>
        <v>11.879109731861032</v>
      </c>
      <c r="M67" s="774">
        <f t="shared" ref="M67" si="83">IFERROR(M73/M61,"NA")</f>
        <v>10.584324269228933</v>
      </c>
      <c r="N67" s="1047">
        <f t="shared" si="82"/>
        <v>11.776296020157236</v>
      </c>
      <c r="O67" s="1047">
        <f t="shared" si="82"/>
        <v>11.814507455617463</v>
      </c>
      <c r="P67" s="1047">
        <f t="shared" si="82"/>
        <v>11.850568609635477</v>
      </c>
      <c r="Q67" s="1047">
        <f t="shared" si="82"/>
        <v>11.884505980821116</v>
      </c>
      <c r="R67" s="1047">
        <f t="shared" si="82"/>
        <v>11.916361164870658</v>
      </c>
      <c r="S67" s="1047">
        <f t="shared" si="82"/>
        <v>11.946188539837753</v>
      </c>
      <c r="AS67" s="1485"/>
    </row>
    <row r="68" spans="3:45" ht="14.5" outlineLevel="1">
      <c r="C68" s="18" t="s">
        <v>991</v>
      </c>
      <c r="D68" s="1"/>
      <c r="E68" s="1"/>
      <c r="H68" s="99">
        <f>H107+H148+H189+H230+H271+H312</f>
        <v>404812</v>
      </c>
      <c r="I68" s="99">
        <f>I107+I148+I189+I230+I271+I312</f>
        <v>433111</v>
      </c>
      <c r="J68" s="99">
        <f t="shared" ref="J68:K68" si="84">J107+J148+J189+J230+J271+J312</f>
        <v>432384.8</v>
      </c>
      <c r="K68" s="99">
        <f t="shared" si="84"/>
        <v>379106</v>
      </c>
      <c r="L68" s="23">
        <f>L107+L148+L189+L230+L271+L312</f>
        <v>469837.24529018241</v>
      </c>
      <c r="M68" s="23">
        <f>M107+M148+M189+M230+M271+M312</f>
        <v>267289.4280955107</v>
      </c>
      <c r="N68" s="23">
        <f t="shared" ref="N68:S68" si="85">N107+N148+N189+N230+N271+N312</f>
        <v>503980.85165070265</v>
      </c>
      <c r="O68" s="23">
        <f t="shared" si="85"/>
        <v>552302.50294631103</v>
      </c>
      <c r="P68" s="23">
        <f t="shared" si="85"/>
        <v>598072.67757601885</v>
      </c>
      <c r="Q68" s="23">
        <f t="shared" si="85"/>
        <v>637574.23707703175</v>
      </c>
      <c r="R68" s="23">
        <f t="shared" si="85"/>
        <v>679794.06755296793</v>
      </c>
      <c r="S68" s="23">
        <f t="shared" si="85"/>
        <v>724898.53753632121</v>
      </c>
      <c r="AS68" s="1485"/>
    </row>
    <row r="69" spans="3:45" ht="14.5" outlineLevel="1">
      <c r="C69" s="1"/>
      <c r="D69" s="27" t="s">
        <v>841</v>
      </c>
      <c r="E69" s="28"/>
      <c r="F69" s="28"/>
      <c r="G69" s="28"/>
      <c r="H69" s="29">
        <f>H108+H149+H190+H231+H272+H313</f>
        <v>34649</v>
      </c>
      <c r="I69" s="29">
        <f t="shared" ref="I69:L69" si="86">I108+I149+I190+I231+I272+I313</f>
        <v>0</v>
      </c>
      <c r="J69" s="29">
        <f t="shared" si="86"/>
        <v>19905</v>
      </c>
      <c r="K69" s="29">
        <f t="shared" si="86"/>
        <v>17675</v>
      </c>
      <c r="L69" s="29">
        <f t="shared" si="86"/>
        <v>21454.825254923016</v>
      </c>
      <c r="M69" s="29">
        <f t="shared" ref="M69" si="87">M108+M149+M190+M231+M272+M313</f>
        <v>13130.521456463248</v>
      </c>
      <c r="N69" s="689">
        <f>N108+N149+N190+N231+N272+N313</f>
        <v>23125.759167131695</v>
      </c>
      <c r="O69" s="689">
        <f t="shared" ref="O69:Q69" si="88">O108+O149+O190+O231+O272+O313</f>
        <v>26740.760171191891</v>
      </c>
      <c r="P69" s="689">
        <f t="shared" si="88"/>
        <v>29066.566625268784</v>
      </c>
      <c r="Q69" s="689">
        <f t="shared" si="88"/>
        <v>31557.169613155002</v>
      </c>
      <c r="R69" s="689">
        <f>R108+R149+R190+R231+R272+R313</f>
        <v>34261.145113949809</v>
      </c>
      <c r="S69" s="689">
        <f t="shared" ref="S69" si="89">S108+S149+S190+S231+S272+S313</f>
        <v>37193.855919012633</v>
      </c>
      <c r="AS69" s="1485"/>
    </row>
    <row r="70" spans="3:45" ht="14.5" outlineLevel="1">
      <c r="C70" s="1"/>
      <c r="D70" s="31" t="s">
        <v>842</v>
      </c>
      <c r="E70" s="1"/>
      <c r="F70" s="1"/>
      <c r="G70" s="1"/>
      <c r="H70" s="20">
        <f t="shared" ref="H70:S70" si="90">H109+H150+H191+H232+H273+H314</f>
        <v>19679</v>
      </c>
      <c r="I70" s="20">
        <f t="shared" si="90"/>
        <v>0</v>
      </c>
      <c r="J70" s="20">
        <f t="shared" si="90"/>
        <v>24593</v>
      </c>
      <c r="K70" s="20">
        <f t="shared" si="90"/>
        <v>29635.5</v>
      </c>
      <c r="L70" s="20">
        <f t="shared" si="90"/>
        <v>36707.33411823363</v>
      </c>
      <c r="M70" s="20">
        <f t="shared" ref="M70" si="91">M109+M150+M191+M232+M273+M314</f>
        <v>24400.999915867629</v>
      </c>
      <c r="N70" s="690">
        <f t="shared" si="90"/>
        <v>41555.323064036857</v>
      </c>
      <c r="O70" s="690">
        <f t="shared" si="90"/>
        <v>45779.712534459133</v>
      </c>
      <c r="P70" s="690">
        <f t="shared" si="90"/>
        <v>50155.960802359885</v>
      </c>
      <c r="Q70" s="690">
        <f t="shared" si="90"/>
        <v>54759.368423345521</v>
      </c>
      <c r="R70" s="690">
        <f t="shared" si="90"/>
        <v>59521.976329268109</v>
      </c>
      <c r="S70" s="690">
        <f t="shared" si="90"/>
        <v>64387.205451760579</v>
      </c>
      <c r="AS70" s="1485"/>
    </row>
    <row r="71" spans="3:45" ht="14.5" outlineLevel="1">
      <c r="C71" s="1"/>
      <c r="D71" s="31" t="s">
        <v>843</v>
      </c>
      <c r="E71" s="1"/>
      <c r="F71" s="1"/>
      <c r="G71" s="1"/>
      <c r="H71" s="20">
        <f t="shared" ref="H71:S71" si="92">H110+H151+H192+H233+H274+H315</f>
        <v>72010</v>
      </c>
      <c r="I71" s="20">
        <f t="shared" si="92"/>
        <v>0</v>
      </c>
      <c r="J71" s="20">
        <f t="shared" si="92"/>
        <v>76482.399999999994</v>
      </c>
      <c r="K71" s="20">
        <f t="shared" si="92"/>
        <v>80077</v>
      </c>
      <c r="L71" s="20">
        <f t="shared" si="92"/>
        <v>99310.452974187559</v>
      </c>
      <c r="M71" s="20">
        <f t="shared" ref="M71" si="93">M110+M151+M192+M233+M274+M315</f>
        <v>57653.599501001227</v>
      </c>
      <c r="N71" s="690">
        <f t="shared" si="92"/>
        <v>113333.67829080341</v>
      </c>
      <c r="O71" s="690">
        <f t="shared" si="92"/>
        <v>123827.71976470646</v>
      </c>
      <c r="P71" s="690">
        <f t="shared" si="92"/>
        <v>132250.02271440509</v>
      </c>
      <c r="Q71" s="690">
        <f t="shared" si="92"/>
        <v>139376.71612950444</v>
      </c>
      <c r="R71" s="690">
        <f t="shared" si="92"/>
        <v>146899.46675249649</v>
      </c>
      <c r="S71" s="690">
        <f t="shared" si="92"/>
        <v>154859.2528304203</v>
      </c>
      <c r="AS71" s="1485"/>
    </row>
    <row r="72" spans="3:45" ht="14.5" outlineLevel="1">
      <c r="C72" s="1"/>
      <c r="D72" s="31" t="s">
        <v>844</v>
      </c>
      <c r="E72" s="1"/>
      <c r="F72" s="1"/>
      <c r="G72" s="1"/>
      <c r="H72" s="20">
        <f t="shared" ref="H72:S72" si="94">H111+H152+H193+H234+H275+H316</f>
        <v>224021</v>
      </c>
      <c r="I72" s="20">
        <f t="shared" si="94"/>
        <v>0</v>
      </c>
      <c r="J72" s="20">
        <f t="shared" si="94"/>
        <v>261153.9</v>
      </c>
      <c r="K72" s="20">
        <f t="shared" si="94"/>
        <v>238284</v>
      </c>
      <c r="L72" s="20">
        <f t="shared" si="94"/>
        <v>296273.67406115663</v>
      </c>
      <c r="M72" s="20">
        <f t="shared" ref="M72" si="95">M111+M152+M193+M234+M275+M316</f>
        <v>164941.86235901772</v>
      </c>
      <c r="N72" s="690">
        <f t="shared" si="94"/>
        <v>308609.12233878172</v>
      </c>
      <c r="O72" s="690">
        <f t="shared" si="94"/>
        <v>337167.92953135708</v>
      </c>
      <c r="P72" s="690">
        <f t="shared" si="94"/>
        <v>366241.39311927638</v>
      </c>
      <c r="Q72" s="690">
        <f t="shared" si="94"/>
        <v>389792.65988919465</v>
      </c>
      <c r="R72" s="690">
        <f t="shared" si="94"/>
        <v>415120.6087575854</v>
      </c>
      <c r="S72" s="690">
        <f t="shared" si="94"/>
        <v>442374.55039984011</v>
      </c>
      <c r="AS72" s="1485"/>
    </row>
    <row r="73" spans="3:45" ht="14.5" outlineLevel="1">
      <c r="C73" s="1"/>
      <c r="D73" s="33" t="s">
        <v>665</v>
      </c>
      <c r="E73" s="34"/>
      <c r="F73" s="34"/>
      <c r="G73" s="34"/>
      <c r="H73" s="35">
        <f>H112+H153+H194+H235+H276+H317</f>
        <v>18500</v>
      </c>
      <c r="I73" s="35">
        <f t="shared" ref="I73:S73" si="96">I112+I153+I194+I235+I276+I317</f>
        <v>0</v>
      </c>
      <c r="J73" s="35">
        <f t="shared" si="96"/>
        <v>9616.5</v>
      </c>
      <c r="K73" s="35">
        <f t="shared" si="96"/>
        <v>13434.5</v>
      </c>
      <c r="L73" s="35">
        <f t="shared" si="96"/>
        <v>16090.958881681523</v>
      </c>
      <c r="M73" s="35">
        <f t="shared" ref="M73" si="97">M112+M153+M194+M235+M276+M317</f>
        <v>7162.4448631608921</v>
      </c>
      <c r="N73" s="691">
        <f t="shared" si="96"/>
        <v>17356.968789948936</v>
      </c>
      <c r="O73" s="691">
        <f t="shared" si="96"/>
        <v>18786.380944596473</v>
      </c>
      <c r="P73" s="691">
        <f t="shared" si="96"/>
        <v>20358.734314708763</v>
      </c>
      <c r="Q73" s="691">
        <f t="shared" si="96"/>
        <v>22088.323021832282</v>
      </c>
      <c r="R73" s="691">
        <f t="shared" si="96"/>
        <v>23990.870599668149</v>
      </c>
      <c r="S73" s="691">
        <f t="shared" si="96"/>
        <v>26083.67293528761</v>
      </c>
      <c r="AS73" s="1485"/>
    </row>
    <row r="74" spans="3:45" ht="14.5" outlineLevel="1">
      <c r="C74" s="1"/>
      <c r="D74" s="1"/>
      <c r="E74" s="1"/>
      <c r="AS74" s="1485"/>
    </row>
    <row r="75" spans="3:45" ht="15" outlineLevel="1" thickBot="1">
      <c r="C75" s="37" t="s">
        <v>160</v>
      </c>
      <c r="D75" s="37"/>
      <c r="E75" s="37"/>
      <c r="F75" s="109"/>
      <c r="G75" s="109"/>
      <c r="H75" s="117">
        <f>1-H76/H68</f>
        <v>0.10470045354386726</v>
      </c>
      <c r="I75" s="117">
        <f t="shared" ref="I75" si="98">1-I76/I68</f>
        <v>7.1515154313790186E-2</v>
      </c>
      <c r="J75" s="117">
        <f t="shared" ref="J75" si="99">1-J76/J68</f>
        <v>6.01125753841254E-2</v>
      </c>
      <c r="K75" s="117">
        <f t="shared" ref="K75:S75" si="100">1-K76/K68</f>
        <v>7.6859770090687007E-2</v>
      </c>
      <c r="L75" s="117">
        <f t="shared" si="100"/>
        <v>8.1211346530469353E-2</v>
      </c>
      <c r="M75" s="117">
        <f t="shared" ref="M75" si="101">1-M76/M68</f>
        <v>7.685244651632217E-2</v>
      </c>
      <c r="N75" s="117">
        <f t="shared" si="100"/>
        <v>8.2484292789282598E-2</v>
      </c>
      <c r="O75" s="117">
        <f t="shared" si="100"/>
        <v>8.1597096187448814E-2</v>
      </c>
      <c r="P75" s="117">
        <f t="shared" si="100"/>
        <v>8.1596765966463702E-2</v>
      </c>
      <c r="Q75" s="117">
        <f t="shared" si="100"/>
        <v>8.2617979580185574E-2</v>
      </c>
      <c r="R75" s="117">
        <f t="shared" si="100"/>
        <v>8.3684770924933871E-2</v>
      </c>
      <c r="S75" s="117">
        <f t="shared" si="100"/>
        <v>8.4801708065338266E-2</v>
      </c>
      <c r="AS75" s="1485"/>
    </row>
    <row r="76" spans="3:45" s="101" customFormat="1" ht="15" outlineLevel="1" thickBot="1">
      <c r="C76" s="76" t="s">
        <v>993</v>
      </c>
      <c r="D76" s="76"/>
      <c r="E76" s="76"/>
      <c r="F76" s="110"/>
      <c r="G76" s="110"/>
      <c r="H76" s="77">
        <f t="shared" ref="H76:K76" si="102">H115+H156+H197+H238+H279+H320</f>
        <v>362428</v>
      </c>
      <c r="I76" s="77">
        <f t="shared" si="102"/>
        <v>402137</v>
      </c>
      <c r="J76" s="77">
        <f t="shared" si="102"/>
        <v>406393.03611505002</v>
      </c>
      <c r="K76" s="77">
        <f t="shared" si="102"/>
        <v>349968</v>
      </c>
      <c r="L76" s="77">
        <f t="shared" ref="L76:S76" si="103">L115+L156+L197+L238+L279+L320</f>
        <v>431681.12995000026</v>
      </c>
      <c r="M76" s="77">
        <f t="shared" ref="M76" si="104">M115+M156+M197+M238+M279+M320</f>
        <v>246747.58161842212</v>
      </c>
      <c r="N76" s="77">
        <f>N115+N156+N197+N238+N279+N320</f>
        <v>462410.34752295411</v>
      </c>
      <c r="O76" s="77">
        <f t="shared" si="103"/>
        <v>507236.22248883214</v>
      </c>
      <c r="P76" s="77">
        <f t="shared" si="103"/>
        <v>549271.88127291214</v>
      </c>
      <c r="Q76" s="77">
        <f t="shared" si="103"/>
        <v>584899.14177734917</v>
      </c>
      <c r="R76" s="77">
        <f t="shared" si="103"/>
        <v>622905.65673366876</v>
      </c>
      <c r="S76" s="77">
        <f t="shared" si="103"/>
        <v>663425.90337917546</v>
      </c>
      <c r="T76" s="525"/>
      <c r="U76" s="1512"/>
      <c r="V76" s="1512"/>
      <c r="W76" s="1512"/>
      <c r="X76" s="1512"/>
      <c r="Y76" s="1512"/>
      <c r="Z76" s="1512"/>
      <c r="AA76" s="1512"/>
      <c r="AK76" s="1512"/>
      <c r="AL76" s="1512"/>
      <c r="AM76" s="1512"/>
      <c r="AN76" s="1512"/>
      <c r="AO76" s="1512"/>
      <c r="AP76" s="1512"/>
      <c r="AQ76" s="1512"/>
      <c r="AS76" s="1484"/>
    </row>
    <row r="77" spans="3:45" s="101" customFormat="1" ht="15" outlineLevel="1" thickBot="1">
      <c r="C77" s="97" t="s">
        <v>994</v>
      </c>
      <c r="H77" s="39">
        <f t="shared" ref="H77:K77" si="105">H116+H157+H198+H239+H280+H321</f>
        <v>-356279</v>
      </c>
      <c r="I77" s="39">
        <f t="shared" si="105"/>
        <v>-375688</v>
      </c>
      <c r="J77" s="39">
        <f t="shared" si="105"/>
        <v>-377043</v>
      </c>
      <c r="K77" s="39">
        <f t="shared" si="105"/>
        <v>-311207</v>
      </c>
      <c r="L77" s="39">
        <f>L116+L157+L198+L239+L280+L321</f>
        <v>-376295.43011282565</v>
      </c>
      <c r="M77" s="39">
        <f>M116+M157+M198+M239+M280+M321</f>
        <v>-212514.28053511717</v>
      </c>
      <c r="N77" s="39">
        <f t="shared" ref="N77:S77" si="106">N116+N157+N198+N239+N280+N321</f>
        <v>-395424.00489391974</v>
      </c>
      <c r="O77" s="39">
        <f t="shared" si="106"/>
        <v>-425802.04849054926</v>
      </c>
      <c r="P77" s="39">
        <f t="shared" si="106"/>
        <v>-454979.45944941434</v>
      </c>
      <c r="Q77" s="39">
        <f t="shared" si="106"/>
        <v>-479397.687111818</v>
      </c>
      <c r="R77" s="39">
        <f t="shared" si="106"/>
        <v>-505556.27372133348</v>
      </c>
      <c r="S77" s="39">
        <f t="shared" si="106"/>
        <v>-533313.60930781474</v>
      </c>
      <c r="U77" s="1512"/>
      <c r="V77" s="1512"/>
      <c r="W77" s="1512"/>
      <c r="X77" s="1512"/>
      <c r="Y77" s="1512"/>
      <c r="Z77" s="1512"/>
      <c r="AA77" s="1512"/>
      <c r="AK77" s="1512"/>
      <c r="AL77" s="1512"/>
      <c r="AM77" s="1512"/>
      <c r="AN77" s="1512"/>
      <c r="AO77" s="1512"/>
      <c r="AP77" s="1512"/>
      <c r="AQ77" s="1512"/>
      <c r="AS77" s="1484"/>
    </row>
    <row r="78" spans="3:45" s="101" customFormat="1" ht="15" outlineLevel="1" thickBot="1">
      <c r="C78" s="76" t="s">
        <v>995</v>
      </c>
      <c r="D78" s="76"/>
      <c r="E78" s="76"/>
      <c r="F78" s="110"/>
      <c r="G78" s="110"/>
      <c r="H78" s="64">
        <f t="shared" ref="H78:K78" si="107">H119+H160+H201+H242+H283+H324</f>
        <v>6149</v>
      </c>
      <c r="I78" s="64">
        <f t="shared" si="107"/>
        <v>26449</v>
      </c>
      <c r="J78" s="64">
        <f t="shared" si="107"/>
        <v>29350.03611505001</v>
      </c>
      <c r="K78" s="64">
        <f t="shared" si="107"/>
        <v>38761</v>
      </c>
      <c r="L78" s="64">
        <f t="shared" ref="L78:S78" si="108">L119+L160+L201+L242+L283+L324</f>
        <v>55385.699837174572</v>
      </c>
      <c r="M78" s="64">
        <f t="shared" ref="M78" si="109">M119+M160+M201+M242+M283+M324</f>
        <v>34233.30108330497</v>
      </c>
      <c r="N78" s="64">
        <f t="shared" si="108"/>
        <v>66986.342629034349</v>
      </c>
      <c r="O78" s="64">
        <f t="shared" si="108"/>
        <v>81434.173998282888</v>
      </c>
      <c r="P78" s="64">
        <f t="shared" si="108"/>
        <v>94292.421823497891</v>
      </c>
      <c r="Q78" s="64">
        <f t="shared" si="108"/>
        <v>105501.45466553117</v>
      </c>
      <c r="R78" s="64">
        <f t="shared" si="108"/>
        <v>117349.38301233517</v>
      </c>
      <c r="S78" s="64">
        <f t="shared" si="108"/>
        <v>130112.29407136084</v>
      </c>
      <c r="U78" s="1512"/>
      <c r="V78" s="1512"/>
      <c r="W78" s="1512"/>
      <c r="X78" s="1512"/>
      <c r="Y78" s="1512"/>
      <c r="Z78" s="1512"/>
      <c r="AA78" s="1512"/>
      <c r="AK78" s="1512"/>
      <c r="AL78" s="1512"/>
      <c r="AM78" s="1512"/>
      <c r="AN78" s="1512"/>
      <c r="AO78" s="1512"/>
      <c r="AP78" s="1512"/>
      <c r="AQ78" s="1512"/>
      <c r="AS78" s="1484"/>
    </row>
    <row r="79" spans="3:45" s="101" customFormat="1" ht="14.5" outlineLevel="1">
      <c r="C79" s="22" t="s">
        <v>996</v>
      </c>
      <c r="D79" s="18"/>
      <c r="E79" s="18"/>
      <c r="H79" s="94">
        <f>H78/H76</f>
        <v>1.6966128444822145E-2</v>
      </c>
      <c r="I79" s="94">
        <f t="shared" ref="I79" si="110">I78/I76</f>
        <v>6.5771117803136742E-2</v>
      </c>
      <c r="J79" s="94">
        <f t="shared" ref="J79" si="111">J78/J76</f>
        <v>7.2220814597671906E-2</v>
      </c>
      <c r="K79" s="94">
        <f t="shared" ref="K79:S79" si="112">K78/K76</f>
        <v>0.11075584053399168</v>
      </c>
      <c r="L79" s="94">
        <f t="shared" si="112"/>
        <v>0.1283023416927899</v>
      </c>
      <c r="M79" s="94">
        <f t="shared" ref="M79" si="113">M78/M76</f>
        <v>0.13873814226979689</v>
      </c>
      <c r="N79" s="94">
        <f t="shared" si="112"/>
        <v>0.14486341620136245</v>
      </c>
      <c r="O79" s="94">
        <f t="shared" si="112"/>
        <v>0.16054487118193897</v>
      </c>
      <c r="P79" s="94">
        <f t="shared" si="112"/>
        <v>0.17166803005640771</v>
      </c>
      <c r="Q79" s="94">
        <f t="shared" si="112"/>
        <v>0.18037546498177615</v>
      </c>
      <c r="R79" s="94">
        <f t="shared" si="112"/>
        <v>0.18839029914687289</v>
      </c>
      <c r="S79" s="94">
        <f t="shared" si="112"/>
        <v>0.19612181768699535</v>
      </c>
      <c r="U79" s="1512"/>
      <c r="V79" s="1512"/>
      <c r="W79" s="1512"/>
      <c r="X79" s="1512"/>
      <c r="Y79" s="1512"/>
      <c r="Z79" s="1512"/>
      <c r="AA79" s="1512"/>
      <c r="AK79" s="1512"/>
      <c r="AL79" s="1512"/>
      <c r="AM79" s="1512"/>
      <c r="AN79" s="1512"/>
      <c r="AO79" s="1512"/>
      <c r="AP79" s="1512"/>
      <c r="AQ79" s="1512"/>
      <c r="AS79" s="1484"/>
    </row>
    <row r="80" spans="3:45" s="101" customFormat="1" ht="14.5" outlineLevel="1">
      <c r="U80" s="1512"/>
      <c r="V80" s="1512"/>
      <c r="W80" s="1512"/>
      <c r="X80" s="1512"/>
      <c r="Y80" s="1512"/>
      <c r="Z80" s="1512"/>
      <c r="AA80" s="1512"/>
      <c r="AK80" s="1512"/>
      <c r="AL80" s="1512"/>
      <c r="AM80" s="1512"/>
      <c r="AN80" s="1512"/>
      <c r="AO80" s="1512"/>
      <c r="AP80" s="1512"/>
      <c r="AQ80" s="1512"/>
      <c r="AS80" s="1484"/>
    </row>
    <row r="81" spans="1:45" s="1126" customFormat="1" ht="14.5" outlineLevel="2">
      <c r="A81" s="26" t="s">
        <v>8</v>
      </c>
      <c r="B81" s="26"/>
      <c r="C81" s="26" t="s">
        <v>171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U81" s="1518"/>
      <c r="V81" s="1518"/>
      <c r="W81" s="1518"/>
      <c r="X81" s="1518"/>
      <c r="Y81" s="1518"/>
      <c r="Z81" s="1518"/>
      <c r="AA81" s="1518"/>
      <c r="AC81" s="26"/>
      <c r="AD81" s="26"/>
      <c r="AE81" s="26"/>
      <c r="AF81" s="26"/>
      <c r="AG81" s="26"/>
      <c r="AH81" s="26"/>
      <c r="AI81" s="474"/>
      <c r="AK81" s="1518"/>
      <c r="AL81" s="1518"/>
      <c r="AM81" s="1518"/>
      <c r="AN81" s="1518"/>
      <c r="AO81" s="1518"/>
      <c r="AP81" s="1518"/>
      <c r="AQ81" s="1518"/>
      <c r="AS81" s="1481"/>
    </row>
    <row r="82" spans="1:45" ht="14.5" outlineLevel="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AI82" s="424"/>
      <c r="AS82" s="1485"/>
    </row>
    <row r="83" spans="1:45" s="99" customFormat="1" ht="14.5" outlineLevel="2">
      <c r="C83" s="18" t="s">
        <v>840</v>
      </c>
      <c r="D83" s="18"/>
      <c r="E83" s="18"/>
      <c r="H83" s="99">
        <f>SUM(H84:H88)</f>
        <v>60455</v>
      </c>
      <c r="I83" s="99">
        <f t="shared" ref="I83:K83" si="114">SUM(I84:I88)</f>
        <v>0</v>
      </c>
      <c r="J83" s="99">
        <f t="shared" si="114"/>
        <v>58975</v>
      </c>
      <c r="K83" s="99">
        <f t="shared" si="114"/>
        <v>55054</v>
      </c>
      <c r="L83" s="23">
        <f>SUM(L84:L88)</f>
        <v>66157.625</v>
      </c>
      <c r="M83" s="23">
        <f>SUM(M84:M88)</f>
        <v>39142.832000000002</v>
      </c>
      <c r="N83" s="23">
        <f t="shared" ref="N83:S83" si="115">SUM(N84:N88)</f>
        <v>68088.131099999999</v>
      </c>
      <c r="O83" s="23">
        <f t="shared" si="115"/>
        <v>75005.502630000003</v>
      </c>
      <c r="P83" s="23">
        <f t="shared" si="115"/>
        <v>82139.141334000014</v>
      </c>
      <c r="Q83" s="23">
        <f t="shared" si="115"/>
        <v>86977.990333450012</v>
      </c>
      <c r="R83" s="23">
        <f t="shared" si="115"/>
        <v>92131.970976147524</v>
      </c>
      <c r="S83" s="23">
        <f t="shared" si="115"/>
        <v>97624.158763582411</v>
      </c>
      <c r="T83" s="525"/>
      <c r="U83" s="1519">
        <f>$L83*(1+$AA83)</f>
        <v>71450.235000000001</v>
      </c>
      <c r="V83" s="1519">
        <f>U83*(1+$AA83)</f>
        <v>77166.253800000006</v>
      </c>
      <c r="W83" s="1519">
        <f t="shared" ref="W83:Z83" si="116">V83*(1+$AA83)</f>
        <v>83339.55410400001</v>
      </c>
      <c r="X83" s="1519">
        <f t="shared" si="116"/>
        <v>90006.71843232002</v>
      </c>
      <c r="Y83" s="1519">
        <f t="shared" si="116"/>
        <v>97207.25590690563</v>
      </c>
      <c r="Z83" s="1519">
        <f t="shared" si="116"/>
        <v>104983.83637945808</v>
      </c>
      <c r="AA83" s="1520">
        <v>0.08</v>
      </c>
      <c r="AB83" s="1321"/>
      <c r="AC83" s="20"/>
      <c r="AD83" s="20"/>
      <c r="AE83" s="20"/>
      <c r="AF83" s="20"/>
      <c r="AG83" s="20"/>
      <c r="AH83" s="20"/>
      <c r="AI83" s="472"/>
      <c r="AJ83" s="1321"/>
      <c r="AK83" s="1519">
        <f>$L83*(1+$AQ83)</f>
        <v>68803.930000000008</v>
      </c>
      <c r="AL83" s="1519">
        <f>AK83*(1+$AQ83)</f>
        <v>71556.087200000009</v>
      </c>
      <c r="AM83" s="1519">
        <f t="shared" ref="AM83:AP83" si="117">AL83*(1+$AQ83)</f>
        <v>74418.330688000016</v>
      </c>
      <c r="AN83" s="1519">
        <f t="shared" si="117"/>
        <v>77395.063915520019</v>
      </c>
      <c r="AO83" s="1519">
        <f>AN83*(1+$AQ83)</f>
        <v>80490.866472140828</v>
      </c>
      <c r="AP83" s="1519">
        <f t="shared" si="117"/>
        <v>83710.501131026467</v>
      </c>
      <c r="AQ83" s="1520">
        <v>0.04</v>
      </c>
      <c r="AS83" s="1483"/>
    </row>
    <row r="84" spans="1:45" s="101" customFormat="1" ht="14.5" outlineLevel="2">
      <c r="C84" s="1"/>
      <c r="D84" s="27" t="s">
        <v>841</v>
      </c>
      <c r="E84" s="28"/>
      <c r="F84" s="28"/>
      <c r="G84" s="28"/>
      <c r="H84" s="398">
        <v>6401</v>
      </c>
      <c r="I84" s="411"/>
      <c r="J84" s="398">
        <v>2953</v>
      </c>
      <c r="K84" s="398">
        <v>2965</v>
      </c>
      <c r="L84" s="398">
        <v>3663.9839999999999</v>
      </c>
      <c r="M84" s="398">
        <v>2586.2040000000002</v>
      </c>
      <c r="N84" s="703">
        <f>L84*(1+N90)</f>
        <v>4579.9799999999996</v>
      </c>
      <c r="O84" s="29">
        <f>N84*(1+O90)</f>
        <v>5495.9759999999997</v>
      </c>
      <c r="P84" s="29">
        <f t="shared" ref="P84:S84" si="118">O84*(1+P90)</f>
        <v>6045.5735999999997</v>
      </c>
      <c r="Q84" s="29">
        <f t="shared" si="118"/>
        <v>6650.1309600000004</v>
      </c>
      <c r="R84" s="29">
        <f t="shared" si="118"/>
        <v>7315.144056000001</v>
      </c>
      <c r="S84" s="30">
        <f t="shared" si="118"/>
        <v>8046.6584616000018</v>
      </c>
      <c r="T84" s="1205"/>
      <c r="U84" s="1515"/>
      <c r="V84" s="1515"/>
      <c r="W84" s="1515"/>
      <c r="X84" s="1515"/>
      <c r="Y84" s="1515"/>
      <c r="Z84" s="1515"/>
      <c r="AA84" s="1515"/>
      <c r="AB84" s="1321"/>
      <c r="AC84" s="1"/>
      <c r="AD84" s="1"/>
      <c r="AE84" s="1"/>
      <c r="AF84" s="1"/>
      <c r="AG84" s="1"/>
      <c r="AH84" s="1"/>
      <c r="AI84" s="415"/>
      <c r="AJ84" s="1321"/>
      <c r="AK84" s="1515"/>
      <c r="AL84" s="1515"/>
      <c r="AM84" s="1515"/>
      <c r="AN84" s="1515"/>
      <c r="AO84" s="1515"/>
      <c r="AP84" s="1515"/>
      <c r="AQ84" s="1515"/>
      <c r="AS84" s="1484"/>
    </row>
    <row r="85" spans="1:45" ht="14.5" outlineLevel="2">
      <c r="C85" s="1"/>
      <c r="D85" s="31" t="s">
        <v>842</v>
      </c>
      <c r="E85" s="1"/>
      <c r="F85" s="1"/>
      <c r="G85" s="1"/>
      <c r="H85" s="400">
        <v>3303</v>
      </c>
      <c r="I85" s="412"/>
      <c r="J85" s="400">
        <v>3839</v>
      </c>
      <c r="K85" s="400">
        <v>4574</v>
      </c>
      <c r="L85" s="400">
        <v>5623.7950000000001</v>
      </c>
      <c r="M85" s="400">
        <v>3760.768</v>
      </c>
      <c r="N85" s="704">
        <f t="shared" ref="N85:N88" si="119">L85*(1+N91)</f>
        <v>6186.174500000001</v>
      </c>
      <c r="O85" s="20">
        <f t="shared" ref="O85:S88" si="120">N85*(1+O91)</f>
        <v>6804.7919500000016</v>
      </c>
      <c r="P85" s="20">
        <f t="shared" si="120"/>
        <v>7485.2711450000024</v>
      </c>
      <c r="Q85" s="20">
        <f t="shared" si="120"/>
        <v>8233.798259500003</v>
      </c>
      <c r="R85" s="20">
        <f t="shared" si="120"/>
        <v>9057.1780854500048</v>
      </c>
      <c r="S85" s="32">
        <f t="shared" si="120"/>
        <v>9962.8958939950062</v>
      </c>
      <c r="T85" s="675"/>
      <c r="U85" s="1515"/>
      <c r="V85" s="1515"/>
      <c r="W85" s="1515"/>
      <c r="X85" s="1515"/>
      <c r="Y85" s="1515"/>
      <c r="Z85" s="1515"/>
      <c r="AA85" s="1515"/>
      <c r="AB85" s="1321"/>
      <c r="AC85" s="1"/>
      <c r="AD85" s="1"/>
      <c r="AE85" s="1"/>
      <c r="AF85" s="1"/>
      <c r="AG85" s="1"/>
      <c r="AH85" s="1"/>
      <c r="AI85" s="415"/>
      <c r="AJ85" s="1321"/>
      <c r="AK85" s="1515"/>
      <c r="AL85" s="1515"/>
      <c r="AM85" s="1515"/>
      <c r="AN85" s="1515"/>
      <c r="AO85" s="1515"/>
      <c r="AP85" s="1515"/>
      <c r="AQ85" s="1515"/>
      <c r="AS85" s="1485"/>
    </row>
    <row r="86" spans="1:45" ht="14.5" outlineLevel="2">
      <c r="C86" s="1"/>
      <c r="D86" s="31" t="s">
        <v>843</v>
      </c>
      <c r="E86" s="1"/>
      <c r="F86" s="1"/>
      <c r="G86" s="1"/>
      <c r="H86" s="400">
        <v>11353</v>
      </c>
      <c r="I86" s="412"/>
      <c r="J86" s="400">
        <v>5328</v>
      </c>
      <c r="K86" s="400">
        <v>5531</v>
      </c>
      <c r="L86" s="400">
        <v>6655.9920000000002</v>
      </c>
      <c r="M86" s="400">
        <v>3816.1559999999999</v>
      </c>
      <c r="N86" s="704">
        <f t="shared" si="119"/>
        <v>6988.7916000000005</v>
      </c>
      <c r="O86" s="20">
        <f t="shared" si="120"/>
        <v>7338.2311800000007</v>
      </c>
      <c r="P86" s="20">
        <f t="shared" si="120"/>
        <v>7705.1427390000008</v>
      </c>
      <c r="Q86" s="20">
        <f t="shared" si="120"/>
        <v>8090.3998759500009</v>
      </c>
      <c r="R86" s="20">
        <f t="shared" si="120"/>
        <v>8494.9198697475022</v>
      </c>
      <c r="S86" s="32">
        <f t="shared" si="120"/>
        <v>8919.6658632348772</v>
      </c>
      <c r="T86" s="675"/>
      <c r="U86" s="1515"/>
      <c r="V86" s="1515"/>
      <c r="W86" s="1515"/>
      <c r="X86" s="1515"/>
      <c r="Y86" s="1515"/>
      <c r="Z86" s="1515"/>
      <c r="AA86" s="1515"/>
      <c r="AB86" s="1321"/>
      <c r="AC86" s="1"/>
      <c r="AD86" s="1"/>
      <c r="AE86" s="1"/>
      <c r="AF86" s="1"/>
      <c r="AG86" s="1"/>
      <c r="AH86" s="1"/>
      <c r="AI86" s="415"/>
      <c r="AJ86" s="1321"/>
      <c r="AK86" s="1515"/>
      <c r="AL86" s="1515"/>
      <c r="AM86" s="1515"/>
      <c r="AN86" s="1515"/>
      <c r="AO86" s="1515"/>
      <c r="AP86" s="1515"/>
      <c r="AQ86" s="1515"/>
      <c r="AS86" s="1485"/>
    </row>
    <row r="87" spans="1:45" ht="14.5" outlineLevel="2">
      <c r="C87" s="1"/>
      <c r="D87" s="31" t="s">
        <v>844</v>
      </c>
      <c r="E87" s="1"/>
      <c r="F87" s="1"/>
      <c r="G87" s="1"/>
      <c r="H87" s="400">
        <v>37992</v>
      </c>
      <c r="I87" s="412"/>
      <c r="J87" s="400">
        <v>46263</v>
      </c>
      <c r="K87" s="400">
        <v>41305</v>
      </c>
      <c r="L87" s="400">
        <v>49418.313999999998</v>
      </c>
      <c r="M87" s="400">
        <v>28541.596000000001</v>
      </c>
      <c r="N87" s="704">
        <f t="shared" si="119"/>
        <v>49418.313999999998</v>
      </c>
      <c r="O87" s="20">
        <f t="shared" si="120"/>
        <v>54360.145400000001</v>
      </c>
      <c r="P87" s="20">
        <f t="shared" si="120"/>
        <v>59796.159940000005</v>
      </c>
      <c r="Q87" s="20">
        <f t="shared" si="120"/>
        <v>62785.967937000009</v>
      </c>
      <c r="R87" s="20">
        <f t="shared" si="120"/>
        <v>65925.266333850013</v>
      </c>
      <c r="S87" s="32">
        <f t="shared" si="120"/>
        <v>69221.529650542521</v>
      </c>
      <c r="T87" s="675"/>
      <c r="U87" s="1515"/>
      <c r="V87" s="1515"/>
      <c r="W87" s="1515"/>
      <c r="X87" s="1515"/>
      <c r="Y87" s="1515"/>
      <c r="Z87" s="1515"/>
      <c r="AA87" s="1515"/>
      <c r="AB87" s="1321"/>
      <c r="AC87" s="1"/>
      <c r="AD87" s="1"/>
      <c r="AE87" s="1"/>
      <c r="AF87" s="1"/>
      <c r="AG87" s="1"/>
      <c r="AH87" s="1"/>
      <c r="AI87" s="415"/>
      <c r="AJ87" s="1321"/>
      <c r="AK87" s="1515"/>
      <c r="AL87" s="1515"/>
      <c r="AM87" s="1515"/>
      <c r="AN87" s="1515"/>
      <c r="AO87" s="1515"/>
      <c r="AP87" s="1515"/>
      <c r="AQ87" s="1515"/>
      <c r="AS87" s="1485"/>
    </row>
    <row r="88" spans="1:45" ht="14.5" outlineLevel="2">
      <c r="C88" s="1"/>
      <c r="D88" s="33" t="s">
        <v>665</v>
      </c>
      <c r="E88" s="34"/>
      <c r="F88" s="34"/>
      <c r="G88" s="34"/>
      <c r="H88" s="402">
        <v>1406</v>
      </c>
      <c r="I88" s="413"/>
      <c r="J88" s="402">
        <v>592</v>
      </c>
      <c r="K88" s="402">
        <v>679</v>
      </c>
      <c r="L88" s="402">
        <v>795.54000000000087</v>
      </c>
      <c r="M88" s="402">
        <v>438.10800000000017</v>
      </c>
      <c r="N88" s="705">
        <f t="shared" si="119"/>
        <v>914.87100000000089</v>
      </c>
      <c r="O88" s="35">
        <f t="shared" si="120"/>
        <v>1006.3581000000011</v>
      </c>
      <c r="P88" s="35">
        <f t="shared" si="120"/>
        <v>1106.9939100000013</v>
      </c>
      <c r="Q88" s="35">
        <f t="shared" si="120"/>
        <v>1217.6933010000016</v>
      </c>
      <c r="R88" s="35">
        <f t="shared" si="120"/>
        <v>1339.4626311000018</v>
      </c>
      <c r="S88" s="36">
        <f t="shared" si="120"/>
        <v>1473.408894210002</v>
      </c>
      <c r="T88" s="675"/>
      <c r="U88" s="1515"/>
      <c r="V88" s="1515"/>
      <c r="W88" s="1515"/>
      <c r="X88" s="1515"/>
      <c r="Y88" s="1515"/>
      <c r="Z88" s="1515"/>
      <c r="AA88" s="1515"/>
      <c r="AB88" s="1321"/>
      <c r="AC88" s="448"/>
      <c r="AD88" s="448"/>
      <c r="AE88" s="448"/>
      <c r="AF88" s="448"/>
      <c r="AG88" s="448"/>
      <c r="AH88" s="448"/>
      <c r="AI88" s="415"/>
      <c r="AJ88" s="1321"/>
      <c r="AK88" s="1515"/>
      <c r="AL88" s="1515"/>
      <c r="AM88" s="1515"/>
      <c r="AN88" s="1515"/>
      <c r="AO88" s="1515"/>
      <c r="AP88" s="1515"/>
      <c r="AQ88" s="1515"/>
      <c r="AS88" s="1485"/>
    </row>
    <row r="89" spans="1:45" s="1365" customFormat="1" ht="14.5" outlineLevel="3">
      <c r="A89" s="22"/>
      <c r="B89" s="22"/>
      <c r="C89" s="22" t="s">
        <v>847</v>
      </c>
      <c r="D89" s="22"/>
      <c r="E89" s="22"/>
      <c r="F89" s="22"/>
      <c r="G89" s="22"/>
      <c r="H89" s="219"/>
      <c r="I89" s="24"/>
      <c r="J89" s="24"/>
      <c r="K89" s="24"/>
      <c r="L89" s="24">
        <f>L83/J83-1</f>
        <v>0.12179101314116147</v>
      </c>
      <c r="M89" s="24"/>
      <c r="N89" s="24">
        <f>N83/L83-1</f>
        <v>2.9180402107844783E-2</v>
      </c>
      <c r="O89" s="24">
        <f>O83/N83-1</f>
        <v>0.10159438096252882</v>
      </c>
      <c r="P89" s="24">
        <f t="shared" ref="P89:S89" si="121">P83/O83-1</f>
        <v>9.5108204783188377E-2</v>
      </c>
      <c r="Q89" s="24">
        <f t="shared" si="121"/>
        <v>5.8910391816417107E-2</v>
      </c>
      <c r="R89" s="24">
        <f t="shared" si="121"/>
        <v>5.9256147709765949E-2</v>
      </c>
      <c r="S89" s="24">
        <f t="shared" si="121"/>
        <v>5.9612181626471195E-2</v>
      </c>
      <c r="T89" s="726"/>
      <c r="U89" s="1521"/>
      <c r="V89" s="1521"/>
      <c r="W89" s="1521"/>
      <c r="X89" s="1521"/>
      <c r="Y89" s="1521"/>
      <c r="Z89" s="1521"/>
      <c r="AA89" s="1522"/>
      <c r="AC89" s="219"/>
      <c r="AD89" s="219"/>
      <c r="AE89" s="219"/>
      <c r="AF89" s="219"/>
      <c r="AG89" s="219"/>
      <c r="AH89" s="219"/>
      <c r="AI89" s="706"/>
      <c r="AK89" s="1521"/>
      <c r="AL89" s="1521"/>
      <c r="AM89" s="1521"/>
      <c r="AN89" s="1521"/>
      <c r="AO89" s="1521"/>
      <c r="AP89" s="1521"/>
      <c r="AQ89" s="1522"/>
      <c r="AS89" s="1487"/>
    </row>
    <row r="90" spans="1:45" s="1365" customFormat="1" ht="14.5" outlineLevel="3">
      <c r="A90" s="22"/>
      <c r="B90" s="22"/>
      <c r="C90" s="22"/>
      <c r="D90" s="707" t="s">
        <v>841</v>
      </c>
      <c r="E90" s="708"/>
      <c r="F90" s="708"/>
      <c r="G90" s="708"/>
      <c r="H90" s="709"/>
      <c r="I90" s="710"/>
      <c r="J90" s="710"/>
      <c r="K90" s="710"/>
      <c r="L90" s="710">
        <f>L84/J84-1</f>
        <v>0.24076667795462248</v>
      </c>
      <c r="M90" s="710"/>
      <c r="N90" s="711">
        <f t="shared" ref="N90:S94" si="122">CHOOSE(case,U90,AC90,AK90)</f>
        <v>0.25</v>
      </c>
      <c r="O90" s="712">
        <f t="shared" si="122"/>
        <v>0.2</v>
      </c>
      <c r="P90" s="712">
        <f t="shared" si="122"/>
        <v>0.1</v>
      </c>
      <c r="Q90" s="712">
        <f t="shared" si="122"/>
        <v>0.1</v>
      </c>
      <c r="R90" s="712">
        <f t="shared" si="122"/>
        <v>0.1</v>
      </c>
      <c r="S90" s="713">
        <f t="shared" si="122"/>
        <v>0.1</v>
      </c>
      <c r="T90" s="726"/>
      <c r="U90" s="1521"/>
      <c r="V90" s="1521"/>
      <c r="W90" s="1521"/>
      <c r="X90" s="1521"/>
      <c r="Y90" s="1521"/>
      <c r="Z90" s="1521"/>
      <c r="AA90" s="1523"/>
      <c r="AC90" s="714">
        <v>0.25</v>
      </c>
      <c r="AD90" s="714">
        <f>AC90-5%</f>
        <v>0.2</v>
      </c>
      <c r="AE90" s="714">
        <v>0.1</v>
      </c>
      <c r="AF90" s="714">
        <v>0.1</v>
      </c>
      <c r="AG90" s="714">
        <v>0.1</v>
      </c>
      <c r="AH90" s="714">
        <v>0.1</v>
      </c>
      <c r="AI90" s="22"/>
      <c r="AK90" s="1521"/>
      <c r="AL90" s="1521"/>
      <c r="AM90" s="1521"/>
      <c r="AN90" s="1521"/>
      <c r="AO90" s="1521"/>
      <c r="AP90" s="1521"/>
      <c r="AQ90" s="1523"/>
      <c r="AS90" s="1487"/>
    </row>
    <row r="91" spans="1:45" s="1365" customFormat="1" ht="14.5" outlineLevel="3">
      <c r="A91" s="22"/>
      <c r="B91" s="22"/>
      <c r="C91" s="22"/>
      <c r="D91" s="715" t="s">
        <v>842</v>
      </c>
      <c r="E91" s="22"/>
      <c r="F91" s="22"/>
      <c r="G91" s="22"/>
      <c r="H91" s="219"/>
      <c r="I91" s="175"/>
      <c r="J91" s="175"/>
      <c r="K91" s="175"/>
      <c r="L91" s="175">
        <f t="shared" ref="L91:L94" si="123">L85/J85-1</f>
        <v>0.46491143526960155</v>
      </c>
      <c r="M91" s="175"/>
      <c r="N91" s="716">
        <f t="shared" si="122"/>
        <v>0.1</v>
      </c>
      <c r="O91" s="717">
        <f t="shared" si="122"/>
        <v>0.1</v>
      </c>
      <c r="P91" s="717">
        <f t="shared" si="122"/>
        <v>0.1</v>
      </c>
      <c r="Q91" s="717">
        <f t="shared" si="122"/>
        <v>0.1</v>
      </c>
      <c r="R91" s="717">
        <f t="shared" si="122"/>
        <v>0.1</v>
      </c>
      <c r="S91" s="718">
        <f t="shared" si="122"/>
        <v>0.1</v>
      </c>
      <c r="T91" s="726"/>
      <c r="U91" s="1521"/>
      <c r="V91" s="1521"/>
      <c r="W91" s="1521"/>
      <c r="X91" s="1521"/>
      <c r="Y91" s="1521"/>
      <c r="Z91" s="1521"/>
      <c r="AA91" s="1523"/>
      <c r="AC91" s="714">
        <v>0.1</v>
      </c>
      <c r="AD91" s="714">
        <v>0.1</v>
      </c>
      <c r="AE91" s="714">
        <v>0.1</v>
      </c>
      <c r="AF91" s="714">
        <v>0.1</v>
      </c>
      <c r="AG91" s="714">
        <v>0.1</v>
      </c>
      <c r="AH91" s="714">
        <v>0.1</v>
      </c>
      <c r="AI91" s="22"/>
      <c r="AK91" s="1521"/>
      <c r="AL91" s="1521"/>
      <c r="AM91" s="1521"/>
      <c r="AN91" s="1521"/>
      <c r="AO91" s="1521"/>
      <c r="AP91" s="1521"/>
      <c r="AQ91" s="1523"/>
      <c r="AS91" s="1487"/>
    </row>
    <row r="92" spans="1:45" s="1365" customFormat="1" ht="14.5" outlineLevel="3">
      <c r="A92" s="22"/>
      <c r="B92" s="22"/>
      <c r="C92" s="22"/>
      <c r="D92" s="715" t="s">
        <v>843</v>
      </c>
      <c r="E92" s="22"/>
      <c r="F92" s="22"/>
      <c r="G92" s="22"/>
      <c r="H92" s="219"/>
      <c r="I92" s="175"/>
      <c r="J92" s="175"/>
      <c r="K92" s="175"/>
      <c r="L92" s="175">
        <f t="shared" si="123"/>
        <v>0.24924774774774772</v>
      </c>
      <c r="M92" s="175"/>
      <c r="N92" s="716">
        <f t="shared" si="122"/>
        <v>0.05</v>
      </c>
      <c r="O92" s="717">
        <f t="shared" si="122"/>
        <v>0.05</v>
      </c>
      <c r="P92" s="717">
        <f t="shared" si="122"/>
        <v>0.05</v>
      </c>
      <c r="Q92" s="717">
        <f t="shared" si="122"/>
        <v>0.05</v>
      </c>
      <c r="R92" s="717">
        <f t="shared" si="122"/>
        <v>0.05</v>
      </c>
      <c r="S92" s="718">
        <f t="shared" si="122"/>
        <v>0.05</v>
      </c>
      <c r="T92" s="726"/>
      <c r="U92" s="1521"/>
      <c r="V92" s="1521"/>
      <c r="W92" s="1521"/>
      <c r="X92" s="1521"/>
      <c r="Y92" s="1521"/>
      <c r="Z92" s="1521"/>
      <c r="AA92" s="1523"/>
      <c r="AC92" s="714">
        <v>0.05</v>
      </c>
      <c r="AD92" s="714">
        <v>0.05</v>
      </c>
      <c r="AE92" s="714">
        <v>0.05</v>
      </c>
      <c r="AF92" s="714">
        <v>0.05</v>
      </c>
      <c r="AG92" s="714">
        <v>0.05</v>
      </c>
      <c r="AH92" s="714">
        <v>0.05</v>
      </c>
      <c r="AI92" s="22"/>
      <c r="AK92" s="1521"/>
      <c r="AL92" s="1521"/>
      <c r="AM92" s="1521"/>
      <c r="AN92" s="1521"/>
      <c r="AO92" s="1521"/>
      <c r="AP92" s="1521"/>
      <c r="AQ92" s="1523"/>
      <c r="AS92" s="1487"/>
    </row>
    <row r="93" spans="1:45" s="1365" customFormat="1" ht="14.5" outlineLevel="3">
      <c r="A93" s="22"/>
      <c r="B93" s="22"/>
      <c r="C93" s="22"/>
      <c r="D93" s="715" t="s">
        <v>844</v>
      </c>
      <c r="E93" s="22"/>
      <c r="F93" s="22"/>
      <c r="G93" s="22"/>
      <c r="H93" s="219"/>
      <c r="I93" s="175"/>
      <c r="J93" s="175"/>
      <c r="K93" s="175"/>
      <c r="L93" s="175">
        <f t="shared" si="123"/>
        <v>6.8203834597842627E-2</v>
      </c>
      <c r="M93" s="175"/>
      <c r="N93" s="716">
        <f t="shared" si="122"/>
        <v>0</v>
      </c>
      <c r="O93" s="717">
        <f t="shared" si="122"/>
        <v>0.1</v>
      </c>
      <c r="P93" s="717">
        <f t="shared" si="122"/>
        <v>0.1</v>
      </c>
      <c r="Q93" s="717">
        <f t="shared" si="122"/>
        <v>0.05</v>
      </c>
      <c r="R93" s="717">
        <f t="shared" si="122"/>
        <v>0.05</v>
      </c>
      <c r="S93" s="718">
        <f t="shared" si="122"/>
        <v>0.05</v>
      </c>
      <c r="T93" s="726"/>
      <c r="U93" s="1521"/>
      <c r="V93" s="1521"/>
      <c r="W93" s="1521"/>
      <c r="X93" s="1521"/>
      <c r="Y93" s="1521"/>
      <c r="Z93" s="1521"/>
      <c r="AA93" s="1523"/>
      <c r="AC93" s="714">
        <v>0</v>
      </c>
      <c r="AD93" s="714">
        <v>0.1</v>
      </c>
      <c r="AE93" s="714">
        <v>0.1</v>
      </c>
      <c r="AF93" s="714">
        <v>0.05</v>
      </c>
      <c r="AG93" s="714">
        <v>0.05</v>
      </c>
      <c r="AH93" s="714">
        <v>0.05</v>
      </c>
      <c r="AI93" s="22"/>
      <c r="AK93" s="1521"/>
      <c r="AL93" s="1521"/>
      <c r="AM93" s="1521"/>
      <c r="AN93" s="1521"/>
      <c r="AO93" s="1521"/>
      <c r="AP93" s="1521"/>
      <c r="AQ93" s="1523"/>
      <c r="AS93" s="1487"/>
    </row>
    <row r="94" spans="1:45" s="1365" customFormat="1" ht="14.5" outlineLevel="3">
      <c r="A94" s="22"/>
      <c r="B94" s="22"/>
      <c r="C94" s="22"/>
      <c r="D94" s="719" t="s">
        <v>665</v>
      </c>
      <c r="E94" s="720"/>
      <c r="F94" s="720"/>
      <c r="G94" s="720"/>
      <c r="H94" s="721"/>
      <c r="I94" s="722"/>
      <c r="J94" s="722"/>
      <c r="K94" s="722"/>
      <c r="L94" s="722">
        <f t="shared" si="123"/>
        <v>0.34381756756756898</v>
      </c>
      <c r="M94" s="722"/>
      <c r="N94" s="723">
        <f t="shared" si="122"/>
        <v>0.15</v>
      </c>
      <c r="O94" s="724">
        <f t="shared" si="122"/>
        <v>0.1</v>
      </c>
      <c r="P94" s="724">
        <f t="shared" si="122"/>
        <v>0.1</v>
      </c>
      <c r="Q94" s="724">
        <f t="shared" si="122"/>
        <v>0.1</v>
      </c>
      <c r="R94" s="724">
        <f t="shared" si="122"/>
        <v>0.1</v>
      </c>
      <c r="S94" s="725">
        <f t="shared" si="122"/>
        <v>0.1</v>
      </c>
      <c r="T94" s="726"/>
      <c r="U94" s="1521"/>
      <c r="V94" s="1521"/>
      <c r="W94" s="1521"/>
      <c r="X94" s="1521"/>
      <c r="Y94" s="1521"/>
      <c r="Z94" s="1521"/>
      <c r="AA94" s="1523"/>
      <c r="AC94" s="714">
        <v>0.15</v>
      </c>
      <c r="AD94" s="714">
        <v>0.1</v>
      </c>
      <c r="AE94" s="714">
        <v>0.1</v>
      </c>
      <c r="AF94" s="714">
        <v>0.1</v>
      </c>
      <c r="AG94" s="714">
        <v>0.1</v>
      </c>
      <c r="AH94" s="714">
        <v>0.1</v>
      </c>
      <c r="AI94" s="22"/>
      <c r="AK94" s="1521"/>
      <c r="AL94" s="1521"/>
      <c r="AM94" s="1521"/>
      <c r="AN94" s="1521"/>
      <c r="AO94" s="1521"/>
      <c r="AP94" s="1521"/>
      <c r="AQ94" s="1523"/>
      <c r="AS94" s="1487"/>
    </row>
    <row r="95" spans="1:45" s="1365" customFormat="1" ht="14.5" outlineLevel="3">
      <c r="A95" s="22"/>
      <c r="B95" s="22"/>
      <c r="C95" s="22" t="s">
        <v>848</v>
      </c>
      <c r="D95" s="22"/>
      <c r="E95" s="22"/>
      <c r="F95" s="22"/>
      <c r="G95" s="22"/>
      <c r="H95" s="24">
        <f>H83/H$83</f>
        <v>1</v>
      </c>
      <c r="I95" s="24"/>
      <c r="J95" s="24">
        <f t="shared" ref="J95:S95" si="124">J83/J$83</f>
        <v>1</v>
      </c>
      <c r="K95" s="24">
        <f t="shared" si="124"/>
        <v>1</v>
      </c>
      <c r="L95" s="24">
        <f t="shared" si="124"/>
        <v>1</v>
      </c>
      <c r="M95" s="24">
        <f t="shared" si="124"/>
        <v>1</v>
      </c>
      <c r="N95" s="24">
        <f t="shared" si="124"/>
        <v>1</v>
      </c>
      <c r="O95" s="24">
        <f t="shared" si="124"/>
        <v>1</v>
      </c>
      <c r="P95" s="24">
        <f t="shared" si="124"/>
        <v>1</v>
      </c>
      <c r="Q95" s="24">
        <f t="shared" si="124"/>
        <v>1</v>
      </c>
      <c r="R95" s="24">
        <f t="shared" si="124"/>
        <v>1</v>
      </c>
      <c r="S95" s="24">
        <f t="shared" si="124"/>
        <v>1</v>
      </c>
      <c r="T95" s="726"/>
      <c r="U95" s="1521"/>
      <c r="V95" s="1521"/>
      <c r="W95" s="1521"/>
      <c r="X95" s="1521"/>
      <c r="Y95" s="1521"/>
      <c r="Z95" s="1521"/>
      <c r="AA95" s="1522"/>
      <c r="AC95" s="219"/>
      <c r="AD95" s="219"/>
      <c r="AE95" s="219"/>
      <c r="AF95" s="219"/>
      <c r="AG95" s="219"/>
      <c r="AH95" s="219"/>
      <c r="AI95" s="706"/>
      <c r="AK95" s="1521"/>
      <c r="AL95" s="1521"/>
      <c r="AM95" s="1521"/>
      <c r="AN95" s="1521"/>
      <c r="AO95" s="1521"/>
      <c r="AP95" s="1521"/>
      <c r="AQ95" s="1522"/>
      <c r="AS95" s="1487"/>
    </row>
    <row r="96" spans="1:45" s="1365" customFormat="1" ht="14.5" outlineLevel="3">
      <c r="A96" s="22"/>
      <c r="B96" s="22"/>
      <c r="C96" s="22"/>
      <c r="D96" s="707" t="s">
        <v>841</v>
      </c>
      <c r="E96" s="707"/>
      <c r="F96" s="708"/>
      <c r="G96" s="708"/>
      <c r="H96" s="793">
        <f t="shared" ref="H96:S96" si="125">H84/H$83</f>
        <v>0.10588040691423373</v>
      </c>
      <c r="I96" s="793"/>
      <c r="J96" s="793">
        <f t="shared" si="125"/>
        <v>5.0072064434082235E-2</v>
      </c>
      <c r="K96" s="793">
        <f t="shared" si="125"/>
        <v>5.38562138990809E-2</v>
      </c>
      <c r="L96" s="793">
        <f t="shared" si="125"/>
        <v>5.5382641078787216E-2</v>
      </c>
      <c r="M96" s="793">
        <f t="shared" si="125"/>
        <v>6.6070947549221784E-2</v>
      </c>
      <c r="N96" s="793">
        <f t="shared" si="125"/>
        <v>6.7265467945851726E-2</v>
      </c>
      <c r="O96" s="793">
        <f t="shared" si="125"/>
        <v>7.3274303981555752E-2</v>
      </c>
      <c r="P96" s="793">
        <f t="shared" si="125"/>
        <v>7.3601616742218656E-2</v>
      </c>
      <c r="Q96" s="793">
        <f t="shared" si="125"/>
        <v>7.6457629504949498E-2</v>
      </c>
      <c r="R96" s="793">
        <f t="shared" si="125"/>
        <v>7.9398540794203276E-2</v>
      </c>
      <c r="S96" s="803">
        <f t="shared" si="125"/>
        <v>8.2424868634071308E-2</v>
      </c>
      <c r="T96" s="726"/>
      <c r="U96" s="1521"/>
      <c r="V96" s="1521"/>
      <c r="W96" s="1521"/>
      <c r="X96" s="1521"/>
      <c r="Y96" s="1521"/>
      <c r="Z96" s="1521"/>
      <c r="AA96" s="1523"/>
      <c r="AC96" s="728"/>
      <c r="AD96" s="728"/>
      <c r="AE96" s="728"/>
      <c r="AF96" s="728"/>
      <c r="AG96" s="728"/>
      <c r="AH96" s="728"/>
      <c r="AI96" s="22"/>
      <c r="AK96" s="1521"/>
      <c r="AL96" s="1521"/>
      <c r="AM96" s="1521"/>
      <c r="AN96" s="1521"/>
      <c r="AO96" s="1521"/>
      <c r="AP96" s="1521"/>
      <c r="AQ96" s="1523"/>
      <c r="AS96" s="1487"/>
    </row>
    <row r="97" spans="1:45" s="1365" customFormat="1" ht="14.5" outlineLevel="3">
      <c r="A97" s="22"/>
      <c r="B97" s="22"/>
      <c r="C97" s="22"/>
      <c r="D97" s="715" t="s">
        <v>842</v>
      </c>
      <c r="E97" s="715"/>
      <c r="F97" s="22"/>
      <c r="G97" s="22"/>
      <c r="H97" s="91">
        <f t="shared" ref="H97:S97" si="126">H85/H$83</f>
        <v>5.4635679430981722E-2</v>
      </c>
      <c r="I97" s="91"/>
      <c r="J97" s="91">
        <f t="shared" si="126"/>
        <v>6.5095379398050018E-2</v>
      </c>
      <c r="K97" s="91">
        <f t="shared" si="126"/>
        <v>8.308206488175246E-2</v>
      </c>
      <c r="L97" s="91">
        <f t="shared" si="126"/>
        <v>8.5005998930584345E-2</v>
      </c>
      <c r="M97" s="91">
        <f t="shared" si="126"/>
        <v>9.607807631292492E-2</v>
      </c>
      <c r="N97" s="91">
        <f t="shared" si="126"/>
        <v>9.0855401669263924E-2</v>
      </c>
      <c r="O97" s="91">
        <f t="shared" si="126"/>
        <v>9.0723903065723671E-2</v>
      </c>
      <c r="P97" s="91">
        <f t="shared" si="126"/>
        <v>9.1129162338852085E-2</v>
      </c>
      <c r="Q97" s="91">
        <f t="shared" si="126"/>
        <v>9.4665308176630145E-2</v>
      </c>
      <c r="R97" s="91">
        <f t="shared" si="126"/>
        <v>9.8306570341308117E-2</v>
      </c>
      <c r="S97" s="804">
        <f t="shared" si="126"/>
        <v>0.10205359021963273</v>
      </c>
      <c r="T97" s="726"/>
      <c r="U97" s="1521"/>
      <c r="V97" s="1521"/>
      <c r="W97" s="1521"/>
      <c r="X97" s="1521"/>
      <c r="Y97" s="1521"/>
      <c r="Z97" s="1521"/>
      <c r="AA97" s="1523"/>
      <c r="AC97" s="728"/>
      <c r="AD97" s="728"/>
      <c r="AE97" s="728"/>
      <c r="AF97" s="728"/>
      <c r="AG97" s="728"/>
      <c r="AH97" s="728"/>
      <c r="AI97" s="22"/>
      <c r="AK97" s="1521"/>
      <c r="AL97" s="1521"/>
      <c r="AM97" s="1521"/>
      <c r="AN97" s="1521"/>
      <c r="AO97" s="1521"/>
      <c r="AP97" s="1521"/>
      <c r="AQ97" s="1523"/>
      <c r="AS97" s="1487"/>
    </row>
    <row r="98" spans="1:45" s="1365" customFormat="1" ht="14.5" outlineLevel="3">
      <c r="A98" s="22"/>
      <c r="B98" s="22"/>
      <c r="C98" s="22"/>
      <c r="D98" s="715" t="s">
        <v>843</v>
      </c>
      <c r="E98" s="715"/>
      <c r="F98" s="22"/>
      <c r="G98" s="22"/>
      <c r="H98" s="91">
        <f t="shared" ref="H98:S98" si="127">H86/H$83</f>
        <v>0.18779257298817303</v>
      </c>
      <c r="I98" s="91"/>
      <c r="J98" s="91">
        <f t="shared" si="127"/>
        <v>9.0343365832980083E-2</v>
      </c>
      <c r="K98" s="91">
        <f t="shared" si="127"/>
        <v>0.10046499800196171</v>
      </c>
      <c r="L98" s="91">
        <f t="shared" si="127"/>
        <v>0.10060808561371422</v>
      </c>
      <c r="M98" s="91">
        <f t="shared" si="127"/>
        <v>9.7493099119654897E-2</v>
      </c>
      <c r="N98" s="91">
        <f t="shared" si="127"/>
        <v>0.10264331664112897</v>
      </c>
      <c r="O98" s="91">
        <f t="shared" si="127"/>
        <v>9.7835904336236304E-2</v>
      </c>
      <c r="P98" s="91">
        <f t="shared" si="127"/>
        <v>9.3805981093335294E-2</v>
      </c>
      <c r="Q98" s="91">
        <f t="shared" si="127"/>
        <v>9.3016633805099461E-2</v>
      </c>
      <c r="R98" s="91">
        <f t="shared" si="127"/>
        <v>9.2203822188356224E-2</v>
      </c>
      <c r="S98" s="804">
        <f t="shared" si="127"/>
        <v>9.1367403071157191E-2</v>
      </c>
      <c r="T98" s="726"/>
      <c r="U98" s="1521"/>
      <c r="V98" s="1521"/>
      <c r="W98" s="1521"/>
      <c r="X98" s="1521"/>
      <c r="Y98" s="1521"/>
      <c r="Z98" s="1521"/>
      <c r="AA98" s="1523"/>
      <c r="AC98" s="728"/>
      <c r="AD98" s="728"/>
      <c r="AE98" s="728"/>
      <c r="AF98" s="728"/>
      <c r="AG98" s="728"/>
      <c r="AH98" s="728"/>
      <c r="AI98" s="22"/>
      <c r="AK98" s="1521"/>
      <c r="AL98" s="1521"/>
      <c r="AM98" s="1521"/>
      <c r="AN98" s="1521"/>
      <c r="AO98" s="1521"/>
      <c r="AP98" s="1521"/>
      <c r="AQ98" s="1523"/>
      <c r="AS98" s="1487"/>
    </row>
    <row r="99" spans="1:45" s="1365" customFormat="1" ht="14.5" outlineLevel="3">
      <c r="A99" s="22"/>
      <c r="B99" s="22"/>
      <c r="C99" s="22"/>
      <c r="D99" s="715" t="s">
        <v>844</v>
      </c>
      <c r="E99" s="715"/>
      <c r="F99" s="22"/>
      <c r="G99" s="22"/>
      <c r="H99" s="91">
        <f t="shared" ref="H99:S99" si="128">H87/H$83</f>
        <v>0.62843437267388969</v>
      </c>
      <c r="I99" s="91"/>
      <c r="J99" s="91">
        <f t="shared" si="128"/>
        <v>0.78445103857566767</v>
      </c>
      <c r="K99" s="91">
        <f t="shared" si="128"/>
        <v>0.75026337777454866</v>
      </c>
      <c r="L99" s="91">
        <f t="shared" si="128"/>
        <v>0.74697835661422241</v>
      </c>
      <c r="M99" s="91">
        <f t="shared" si="128"/>
        <v>0.72916532968283954</v>
      </c>
      <c r="N99" s="91">
        <f t="shared" si="128"/>
        <v>0.72579924285805519</v>
      </c>
      <c r="O99" s="91">
        <f t="shared" si="128"/>
        <v>0.72474876500937591</v>
      </c>
      <c r="P99" s="91">
        <f t="shared" si="128"/>
        <v>0.72798618257832293</v>
      </c>
      <c r="Q99" s="91">
        <f t="shared" si="128"/>
        <v>0.7218604119995834</v>
      </c>
      <c r="R99" s="91">
        <f t="shared" si="128"/>
        <v>0.71555254528222034</v>
      </c>
      <c r="S99" s="804">
        <f t="shared" si="128"/>
        <v>0.70906147133290154</v>
      </c>
      <c r="T99" s="726"/>
      <c r="U99" s="1521"/>
      <c r="V99" s="1521"/>
      <c r="W99" s="1521"/>
      <c r="X99" s="1521"/>
      <c r="Y99" s="1521"/>
      <c r="Z99" s="1521"/>
      <c r="AA99" s="1523"/>
      <c r="AC99" s="728"/>
      <c r="AD99" s="728"/>
      <c r="AE99" s="728"/>
      <c r="AF99" s="728"/>
      <c r="AG99" s="728"/>
      <c r="AH99" s="728"/>
      <c r="AI99" s="22"/>
      <c r="AK99" s="1521"/>
      <c r="AL99" s="1521"/>
      <c r="AM99" s="1521"/>
      <c r="AN99" s="1521"/>
      <c r="AO99" s="1521"/>
      <c r="AP99" s="1521"/>
      <c r="AQ99" s="1523"/>
      <c r="AS99" s="1487"/>
    </row>
    <row r="100" spans="1:45" s="1365" customFormat="1" ht="14.5" outlineLevel="3">
      <c r="A100" s="22"/>
      <c r="B100" s="22"/>
      <c r="C100" s="22"/>
      <c r="D100" s="719" t="s">
        <v>665</v>
      </c>
      <c r="E100" s="719"/>
      <c r="F100" s="720"/>
      <c r="G100" s="720"/>
      <c r="H100" s="794">
        <f t="shared" ref="H100:S100" si="129">H88/H$83</f>
        <v>2.3256967992721859E-2</v>
      </c>
      <c r="I100" s="794"/>
      <c r="J100" s="794">
        <f t="shared" si="129"/>
        <v>1.0038151759220008E-2</v>
      </c>
      <c r="K100" s="794">
        <f t="shared" si="129"/>
        <v>1.2333345442656301E-2</v>
      </c>
      <c r="L100" s="794">
        <f t="shared" si="129"/>
        <v>1.2024917762691767E-2</v>
      </c>
      <c r="M100" s="794">
        <f t="shared" si="129"/>
        <v>1.1192547335358877E-2</v>
      </c>
      <c r="N100" s="794">
        <f t="shared" si="129"/>
        <v>1.3436570885700237E-2</v>
      </c>
      <c r="O100" s="794">
        <f t="shared" si="129"/>
        <v>1.3417123607108358E-2</v>
      </c>
      <c r="P100" s="794">
        <f t="shared" si="129"/>
        <v>1.3477057247270992E-2</v>
      </c>
      <c r="Q100" s="794">
        <f t="shared" si="129"/>
        <v>1.400001651373751E-2</v>
      </c>
      <c r="R100" s="794">
        <f t="shared" si="129"/>
        <v>1.4538521393912016E-2</v>
      </c>
      <c r="S100" s="805">
        <f t="shared" si="129"/>
        <v>1.5092666742237174E-2</v>
      </c>
      <c r="T100" s="726"/>
      <c r="U100" s="1521"/>
      <c r="V100" s="1521"/>
      <c r="W100" s="1521"/>
      <c r="X100" s="1521"/>
      <c r="Y100" s="1521"/>
      <c r="Z100" s="1521"/>
      <c r="AA100" s="1523"/>
      <c r="AC100" s="728"/>
      <c r="AD100" s="728"/>
      <c r="AE100" s="728"/>
      <c r="AF100" s="728"/>
      <c r="AG100" s="728"/>
      <c r="AH100" s="728"/>
      <c r="AI100" s="22"/>
      <c r="AK100" s="1521"/>
      <c r="AL100" s="1521"/>
      <c r="AM100" s="1521"/>
      <c r="AN100" s="1521"/>
      <c r="AO100" s="1521"/>
      <c r="AP100" s="1521"/>
      <c r="AQ100" s="1523"/>
      <c r="AS100" s="1487"/>
    </row>
    <row r="101" spans="1:45" ht="14.5" outlineLevel="2">
      <c r="C101" s="18" t="s">
        <v>31</v>
      </c>
      <c r="D101" s="1"/>
      <c r="E101" s="1"/>
      <c r="H101" s="764">
        <f t="shared" ref="H101:K106" si="130">IFERROR(H107/H83,"NA")</f>
        <v>2.7410801422545696</v>
      </c>
      <c r="I101" s="764" t="str">
        <f t="shared" si="130"/>
        <v>NA</v>
      </c>
      <c r="J101" s="764">
        <f t="shared" si="130"/>
        <v>3.3136413734633319</v>
      </c>
      <c r="K101" s="764">
        <f t="shared" si="130"/>
        <v>3.2111563192501906</v>
      </c>
      <c r="L101" s="764">
        <f t="shared" ref="L101:M101" si="131">IFERROR(L107/L83,"NA")</f>
        <v>3.2184243480075483</v>
      </c>
      <c r="M101" s="764">
        <f t="shared" si="131"/>
        <v>3.1429808483139392</v>
      </c>
      <c r="N101" s="757">
        <f t="shared" ref="N101:S101" si="132">N107/N83</f>
        <v>3.1534352541442909</v>
      </c>
      <c r="O101" s="757">
        <f t="shared" si="132"/>
        <v>3.1510880602325284</v>
      </c>
      <c r="P101" s="757">
        <f t="shared" si="132"/>
        <v>3.1477466453331928</v>
      </c>
      <c r="Q101" s="757">
        <f t="shared" si="132"/>
        <v>3.155815900221413</v>
      </c>
      <c r="R101" s="757">
        <f t="shared" si="132"/>
        <v>3.1641250237331513</v>
      </c>
      <c r="S101" s="757">
        <f t="shared" si="132"/>
        <v>3.1726754794712617</v>
      </c>
      <c r="T101" s="408"/>
      <c r="U101" s="1524">
        <f>$L101*(1+$AA101)</f>
        <v>3.2827928349676991</v>
      </c>
      <c r="V101" s="1524">
        <f>U101*(1+$AA101)</f>
        <v>3.3484486916670533</v>
      </c>
      <c r="W101" s="1524">
        <f t="shared" ref="W101:Z101" si="133">V101*(1+$AA101)</f>
        <v>3.4154176655003945</v>
      </c>
      <c r="X101" s="1524">
        <f t="shared" si="133"/>
        <v>3.4837260188104024</v>
      </c>
      <c r="Y101" s="1524">
        <f t="shared" si="133"/>
        <v>3.5534005391866104</v>
      </c>
      <c r="Z101" s="1524">
        <f t="shared" si="133"/>
        <v>3.6244685499703428</v>
      </c>
      <c r="AA101" s="1525">
        <v>0.02</v>
      </c>
      <c r="AB101" s="1126"/>
      <c r="AC101" s="733"/>
      <c r="AD101" s="733"/>
      <c r="AE101" s="733"/>
      <c r="AF101" s="733"/>
      <c r="AG101" s="733"/>
      <c r="AH101" s="733"/>
      <c r="AI101" s="472"/>
      <c r="AJ101" s="1321"/>
      <c r="AK101" s="1529">
        <f>$L101*(1+$AQ101)</f>
        <v>3.2184243480075483</v>
      </c>
      <c r="AL101" s="1529">
        <f>AK101*(1+$AQ101)</f>
        <v>3.2184243480075483</v>
      </c>
      <c r="AM101" s="1529">
        <f t="shared" ref="AM101:AP101" si="134">AL101*(1+$AQ101)</f>
        <v>3.2184243480075483</v>
      </c>
      <c r="AN101" s="1529">
        <f t="shared" si="134"/>
        <v>3.2184243480075483</v>
      </c>
      <c r="AO101" s="1529">
        <f>AN101*(1+$AQ101)</f>
        <v>3.2184243480075483</v>
      </c>
      <c r="AP101" s="1529">
        <f t="shared" si="134"/>
        <v>3.2184243480075483</v>
      </c>
      <c r="AQ101" s="1520">
        <v>0</v>
      </c>
      <c r="AS101" s="1485"/>
    </row>
    <row r="102" spans="1:45" ht="14.5" outlineLevel="2">
      <c r="C102" s="1"/>
      <c r="D102" s="27" t="s">
        <v>841</v>
      </c>
      <c r="E102" s="28"/>
      <c r="F102" s="28"/>
      <c r="G102" s="28"/>
      <c r="H102" s="759">
        <f t="shared" si="130"/>
        <v>2.6870801437275427</v>
      </c>
      <c r="I102" s="759" t="str">
        <f t="shared" si="130"/>
        <v>NA</v>
      </c>
      <c r="J102" s="759">
        <f t="shared" si="130"/>
        <v>3.8814764646122586</v>
      </c>
      <c r="K102" s="759">
        <f t="shared" si="130"/>
        <v>3.6890387858347387</v>
      </c>
      <c r="L102" s="759">
        <f t="shared" ref="L102:M102" si="135">IFERROR(L108/L84,"NA")</f>
        <v>3.6953984382221692</v>
      </c>
      <c r="M102" s="759">
        <f t="shared" si="135"/>
        <v>3.3379747499846264</v>
      </c>
      <c r="N102" s="760">
        <f>CHOOSE(case,U102,AC102,AK102)</f>
        <v>3.3379747499846264</v>
      </c>
      <c r="O102" s="761">
        <f t="shared" ref="O102:S106" si="136">CHOOSE(case,V102,AD102,AL102)</f>
        <v>3.3379747499846264</v>
      </c>
      <c r="P102" s="761">
        <f t="shared" si="136"/>
        <v>3.3379747499846264</v>
      </c>
      <c r="Q102" s="761">
        <f t="shared" si="136"/>
        <v>3.3379747499846264</v>
      </c>
      <c r="R102" s="761">
        <f t="shared" si="136"/>
        <v>3.3379747499846264</v>
      </c>
      <c r="S102" s="762">
        <f t="shared" si="136"/>
        <v>3.3379747499846264</v>
      </c>
      <c r="T102" s="675"/>
      <c r="U102" s="1515"/>
      <c r="V102" s="1515"/>
      <c r="W102" s="1515"/>
      <c r="X102" s="1515"/>
      <c r="Y102" s="1515"/>
      <c r="Z102" s="1515"/>
      <c r="AA102" s="1515"/>
      <c r="AB102" s="1321"/>
      <c r="AC102" s="737">
        <f>M102</f>
        <v>3.3379747499846264</v>
      </c>
      <c r="AD102" s="737">
        <f t="shared" ref="AD102:AH106" si="137">N102</f>
        <v>3.3379747499846264</v>
      </c>
      <c r="AE102" s="737">
        <f t="shared" si="137"/>
        <v>3.3379747499846264</v>
      </c>
      <c r="AF102" s="737">
        <f t="shared" si="137"/>
        <v>3.3379747499846264</v>
      </c>
      <c r="AG102" s="737">
        <f t="shared" si="137"/>
        <v>3.3379747499846264</v>
      </c>
      <c r="AH102" s="737">
        <f t="shared" si="137"/>
        <v>3.3379747499846264</v>
      </c>
      <c r="AI102" s="415"/>
      <c r="AJ102" s="1321"/>
      <c r="AK102" s="1515"/>
      <c r="AL102" s="1515"/>
      <c r="AM102" s="1515"/>
      <c r="AN102" s="1515"/>
      <c r="AO102" s="1515"/>
      <c r="AP102" s="1515"/>
      <c r="AQ102" s="1515"/>
      <c r="AS102" s="1485"/>
    </row>
    <row r="103" spans="1:45" ht="14.5" outlineLevel="2">
      <c r="C103" s="1"/>
      <c r="D103" s="31" t="s">
        <v>842</v>
      </c>
      <c r="E103" s="1"/>
      <c r="F103" s="1"/>
      <c r="G103" s="1"/>
      <c r="H103" s="764">
        <f t="shared" si="130"/>
        <v>2.8280351195882529</v>
      </c>
      <c r="I103" s="764" t="str">
        <f t="shared" si="130"/>
        <v>NA</v>
      </c>
      <c r="J103" s="764">
        <f t="shared" si="130"/>
        <v>4.2557957801510806</v>
      </c>
      <c r="K103" s="764">
        <f t="shared" si="130"/>
        <v>4.3078268473983385</v>
      </c>
      <c r="L103" s="764">
        <f t="shared" ref="L103:M103" si="138">IFERROR(L109/L85,"NA")</f>
        <v>4.2349213421745198</v>
      </c>
      <c r="M103" s="764">
        <f t="shared" si="138"/>
        <v>4.1715648918593855</v>
      </c>
      <c r="N103" s="765">
        <f>CHOOSE(case,U103,AC103,AK103)</f>
        <v>4.1715648918593855</v>
      </c>
      <c r="O103" s="766">
        <f t="shared" si="136"/>
        <v>4.1715648918593855</v>
      </c>
      <c r="P103" s="766">
        <f t="shared" si="136"/>
        <v>4.1715648918593855</v>
      </c>
      <c r="Q103" s="766">
        <f t="shared" si="136"/>
        <v>4.1715648918593855</v>
      </c>
      <c r="R103" s="766">
        <f t="shared" si="136"/>
        <v>4.1715648918593855</v>
      </c>
      <c r="S103" s="767">
        <f t="shared" si="136"/>
        <v>4.1715648918593855</v>
      </c>
      <c r="T103" s="675"/>
      <c r="U103" s="1515"/>
      <c r="V103" s="1515"/>
      <c r="W103" s="1515"/>
      <c r="X103" s="1515"/>
      <c r="Y103" s="1515"/>
      <c r="Z103" s="1515"/>
      <c r="AA103" s="1515"/>
      <c r="AB103" s="1321"/>
      <c r="AC103" s="737">
        <f t="shared" ref="AC103:AC106" si="139">M103</f>
        <v>4.1715648918593855</v>
      </c>
      <c r="AD103" s="737">
        <f t="shared" si="137"/>
        <v>4.1715648918593855</v>
      </c>
      <c r="AE103" s="737">
        <f t="shared" si="137"/>
        <v>4.1715648918593855</v>
      </c>
      <c r="AF103" s="737">
        <f t="shared" si="137"/>
        <v>4.1715648918593855</v>
      </c>
      <c r="AG103" s="737">
        <f t="shared" si="137"/>
        <v>4.1715648918593855</v>
      </c>
      <c r="AH103" s="737">
        <f t="shared" si="137"/>
        <v>4.1715648918593855</v>
      </c>
      <c r="AI103" s="415"/>
      <c r="AJ103" s="1321"/>
      <c r="AK103" s="1515"/>
      <c r="AL103" s="1515"/>
      <c r="AM103" s="1515"/>
      <c r="AN103" s="1515"/>
      <c r="AO103" s="1515"/>
      <c r="AP103" s="1515"/>
      <c r="AQ103" s="1515"/>
      <c r="AS103" s="1485"/>
    </row>
    <row r="104" spans="1:45" ht="14.5" outlineLevel="2">
      <c r="C104" s="1"/>
      <c r="D104" s="31" t="s">
        <v>843</v>
      </c>
      <c r="E104" s="1"/>
      <c r="F104" s="1"/>
      <c r="G104" s="1"/>
      <c r="H104" s="764">
        <f t="shared" si="130"/>
        <v>2.7318770369065444</v>
      </c>
      <c r="I104" s="764" t="str">
        <f t="shared" si="130"/>
        <v>NA</v>
      </c>
      <c r="J104" s="764">
        <f t="shared" si="130"/>
        <v>3.7817192192192191</v>
      </c>
      <c r="K104" s="764">
        <f t="shared" si="130"/>
        <v>3.7669499186403903</v>
      </c>
      <c r="L104" s="764">
        <f t="shared" ref="L104:M104" si="140">IFERROR(L110/L86,"NA")</f>
        <v>3.808291387753461</v>
      </c>
      <c r="M104" s="764">
        <f t="shared" si="140"/>
        <v>3.8991183251282178</v>
      </c>
      <c r="N104" s="765">
        <f>CHOOSE(case,U104,AC104,AK104)</f>
        <v>3.8991183251282178</v>
      </c>
      <c r="O104" s="766">
        <f t="shared" si="136"/>
        <v>3.8991183251282178</v>
      </c>
      <c r="P104" s="766">
        <f t="shared" si="136"/>
        <v>3.8991183251282178</v>
      </c>
      <c r="Q104" s="766">
        <f t="shared" si="136"/>
        <v>3.8991183251282178</v>
      </c>
      <c r="R104" s="766">
        <f t="shared" si="136"/>
        <v>3.8991183251282178</v>
      </c>
      <c r="S104" s="767">
        <f t="shared" si="136"/>
        <v>3.8991183251282178</v>
      </c>
      <c r="T104" s="675"/>
      <c r="U104" s="1515"/>
      <c r="V104" s="1515"/>
      <c r="W104" s="1515"/>
      <c r="X104" s="1515"/>
      <c r="Y104" s="1515"/>
      <c r="Z104" s="1515"/>
      <c r="AA104" s="1515"/>
      <c r="AB104" s="1321"/>
      <c r="AC104" s="737">
        <f t="shared" si="139"/>
        <v>3.8991183251282178</v>
      </c>
      <c r="AD104" s="737">
        <f t="shared" si="137"/>
        <v>3.8991183251282178</v>
      </c>
      <c r="AE104" s="737">
        <f t="shared" si="137"/>
        <v>3.8991183251282178</v>
      </c>
      <c r="AF104" s="737">
        <f t="shared" si="137"/>
        <v>3.8991183251282178</v>
      </c>
      <c r="AG104" s="737">
        <f t="shared" si="137"/>
        <v>3.8991183251282178</v>
      </c>
      <c r="AH104" s="737">
        <f t="shared" si="137"/>
        <v>3.8991183251282178</v>
      </c>
      <c r="AI104" s="415"/>
      <c r="AJ104" s="1321"/>
      <c r="AK104" s="1515"/>
      <c r="AL104" s="1515"/>
      <c r="AM104" s="1515"/>
      <c r="AN104" s="1515"/>
      <c r="AO104" s="1515"/>
      <c r="AP104" s="1515"/>
      <c r="AQ104" s="1515"/>
      <c r="AS104" s="1485"/>
    </row>
    <row r="105" spans="1:45" ht="14.5" outlineLevel="2">
      <c r="C105" s="1"/>
      <c r="D105" s="31" t="s">
        <v>844</v>
      </c>
      <c r="E105" s="1"/>
      <c r="F105" s="1"/>
      <c r="G105" s="1"/>
      <c r="H105" s="764">
        <f t="shared" si="130"/>
        <v>2.7408928195409561</v>
      </c>
      <c r="I105" s="764" t="str">
        <f t="shared" si="130"/>
        <v>NA</v>
      </c>
      <c r="J105" s="764">
        <f t="shared" si="130"/>
        <v>2.9943691502928909</v>
      </c>
      <c r="K105" s="764">
        <f t="shared" si="130"/>
        <v>2.8442440382520275</v>
      </c>
      <c r="L105" s="764">
        <f t="shared" ref="L105:M105" si="141">IFERROR(L111/L87,"NA")</f>
        <v>2.8613515542915118</v>
      </c>
      <c r="M105" s="764">
        <f t="shared" si="141"/>
        <v>2.8161805792836123</v>
      </c>
      <c r="N105" s="765">
        <f>CHOOSE(case,U105,AC105,AK105)</f>
        <v>2.8161805792836123</v>
      </c>
      <c r="O105" s="766">
        <f t="shared" si="136"/>
        <v>2.8161805792836123</v>
      </c>
      <c r="P105" s="766">
        <f t="shared" si="136"/>
        <v>2.8161805792836123</v>
      </c>
      <c r="Q105" s="766">
        <f t="shared" si="136"/>
        <v>2.8161805792836123</v>
      </c>
      <c r="R105" s="766">
        <f t="shared" si="136"/>
        <v>2.8161805792836123</v>
      </c>
      <c r="S105" s="767">
        <f t="shared" si="136"/>
        <v>2.8161805792836123</v>
      </c>
      <c r="T105" s="675"/>
      <c r="U105" s="1515"/>
      <c r="V105" s="1515"/>
      <c r="W105" s="1515"/>
      <c r="X105" s="1515"/>
      <c r="Y105" s="1515"/>
      <c r="Z105" s="1515"/>
      <c r="AA105" s="1515"/>
      <c r="AB105" s="1321"/>
      <c r="AC105" s="737">
        <f t="shared" si="139"/>
        <v>2.8161805792836123</v>
      </c>
      <c r="AD105" s="737">
        <f t="shared" si="137"/>
        <v>2.8161805792836123</v>
      </c>
      <c r="AE105" s="737">
        <f t="shared" si="137"/>
        <v>2.8161805792836123</v>
      </c>
      <c r="AF105" s="737">
        <f t="shared" si="137"/>
        <v>2.8161805792836123</v>
      </c>
      <c r="AG105" s="737">
        <f t="shared" si="137"/>
        <v>2.8161805792836123</v>
      </c>
      <c r="AH105" s="737">
        <f t="shared" si="137"/>
        <v>2.8161805792836123</v>
      </c>
      <c r="AI105" s="415"/>
      <c r="AJ105" s="1321"/>
      <c r="AK105" s="1515"/>
      <c r="AL105" s="1515"/>
      <c r="AM105" s="1515"/>
      <c r="AN105" s="1515"/>
      <c r="AO105" s="1515"/>
      <c r="AP105" s="1515"/>
      <c r="AQ105" s="1515"/>
      <c r="AS105" s="1485"/>
    </row>
    <row r="106" spans="1:45" ht="15" outlineLevel="2" thickBot="1">
      <c r="C106" s="37"/>
      <c r="D106" s="33" t="s">
        <v>665</v>
      </c>
      <c r="E106" s="37"/>
      <c r="F106" s="37"/>
      <c r="G106" s="37"/>
      <c r="H106" s="774">
        <f t="shared" si="130"/>
        <v>2.8620199146514937</v>
      </c>
      <c r="I106" s="774" t="str">
        <f t="shared" si="130"/>
        <v>NA</v>
      </c>
      <c r="J106" s="774">
        <f t="shared" si="130"/>
        <v>15.108952702702704</v>
      </c>
      <c r="K106" s="774">
        <f t="shared" si="130"/>
        <v>11.529455081001473</v>
      </c>
      <c r="L106" s="774">
        <f t="shared" ref="L106:M106" si="142">IFERROR(L112/L88,"NA")</f>
        <v>11.081748624387913</v>
      </c>
      <c r="M106" s="774">
        <f t="shared" si="142"/>
        <v>7.866251634587111</v>
      </c>
      <c r="N106" s="1034">
        <f>CHOOSE(case,U106,AC106,AK106)</f>
        <v>7.866251634587111</v>
      </c>
      <c r="O106" s="1035">
        <f t="shared" si="136"/>
        <v>7.866251634587111</v>
      </c>
      <c r="P106" s="1035">
        <f t="shared" si="136"/>
        <v>7.866251634587111</v>
      </c>
      <c r="Q106" s="1035">
        <f t="shared" si="136"/>
        <v>7.866251634587111</v>
      </c>
      <c r="R106" s="1035">
        <f t="shared" si="136"/>
        <v>7.866251634587111</v>
      </c>
      <c r="S106" s="1036">
        <f t="shared" si="136"/>
        <v>7.866251634587111</v>
      </c>
      <c r="T106" s="675"/>
      <c r="U106" s="1515"/>
      <c r="V106" s="1515"/>
      <c r="W106" s="1515"/>
      <c r="X106" s="1515"/>
      <c r="Y106" s="1515"/>
      <c r="Z106" s="1515"/>
      <c r="AA106" s="1515"/>
      <c r="AB106" s="1321"/>
      <c r="AC106" s="737">
        <f t="shared" si="139"/>
        <v>7.866251634587111</v>
      </c>
      <c r="AD106" s="737">
        <f t="shared" si="137"/>
        <v>7.866251634587111</v>
      </c>
      <c r="AE106" s="737">
        <f t="shared" si="137"/>
        <v>7.866251634587111</v>
      </c>
      <c r="AF106" s="737">
        <f t="shared" si="137"/>
        <v>7.866251634587111</v>
      </c>
      <c r="AG106" s="737">
        <f t="shared" si="137"/>
        <v>7.866251634587111</v>
      </c>
      <c r="AH106" s="737">
        <f t="shared" si="137"/>
        <v>7.866251634587111</v>
      </c>
      <c r="AI106" s="415"/>
      <c r="AJ106" s="1321"/>
      <c r="AK106" s="1515"/>
      <c r="AL106" s="1515"/>
      <c r="AM106" s="1515"/>
      <c r="AN106" s="1515"/>
      <c r="AO106" s="1515"/>
      <c r="AP106" s="1515"/>
      <c r="AQ106" s="1515"/>
      <c r="AS106" s="1485"/>
    </row>
    <row r="107" spans="1:45" ht="14.5" outlineLevel="2">
      <c r="C107" s="18" t="s">
        <v>991</v>
      </c>
      <c r="D107" s="1"/>
      <c r="E107" s="1"/>
      <c r="H107" s="99">
        <f>SUM(H108:H112)</f>
        <v>165712</v>
      </c>
      <c r="I107" s="414">
        <v>188540</v>
      </c>
      <c r="J107" s="99">
        <f t="shared" ref="J107" si="143">SUM(J108:J112)</f>
        <v>195422</v>
      </c>
      <c r="K107" s="99">
        <f t="shared" ref="K107" si="144">SUM(K108:K112)</f>
        <v>176787</v>
      </c>
      <c r="L107" s="23">
        <f>SUM(L108:L112)</f>
        <v>212923.31110635286</v>
      </c>
      <c r="M107" s="23">
        <f>SUM(M108:M112)</f>
        <v>123025.17132477001</v>
      </c>
      <c r="N107" s="23">
        <f>SUM(N108:N112)</f>
        <v>214711.5129995383</v>
      </c>
      <c r="O107" s="23">
        <f t="shared" ref="O107:S107" si="145">SUM(O108:O112)</f>
        <v>236348.94378913252</v>
      </c>
      <c r="P107" s="23">
        <f t="shared" si="145"/>
        <v>258553.20658464756</v>
      </c>
      <c r="Q107" s="23">
        <f t="shared" si="145"/>
        <v>274486.52486360591</v>
      </c>
      <c r="R107" s="23">
        <f t="shared" si="145"/>
        <v>291517.07485148479</v>
      </c>
      <c r="S107" s="23">
        <f t="shared" si="145"/>
        <v>309729.77471322741</v>
      </c>
      <c r="T107" s="1321"/>
      <c r="U107" s="1515"/>
      <c r="V107" s="1515"/>
      <c r="W107" s="1515"/>
      <c r="X107" s="1515"/>
      <c r="Y107" s="1515"/>
      <c r="Z107" s="1515"/>
      <c r="AA107" s="1515"/>
      <c r="AB107" s="1321"/>
      <c r="AC107" s="1"/>
      <c r="AD107" s="1"/>
      <c r="AE107" s="1"/>
      <c r="AF107" s="1"/>
      <c r="AG107" s="1"/>
      <c r="AH107" s="1"/>
      <c r="AI107" s="415"/>
      <c r="AJ107" s="1321"/>
      <c r="AK107" s="1515"/>
      <c r="AL107" s="1515"/>
      <c r="AM107" s="1515"/>
      <c r="AN107" s="1515"/>
      <c r="AO107" s="1515"/>
      <c r="AP107" s="1515"/>
      <c r="AQ107" s="1515"/>
      <c r="AS107" s="1485"/>
    </row>
    <row r="108" spans="1:45" ht="14.5" outlineLevel="2">
      <c r="C108" s="1"/>
      <c r="D108" s="27" t="s">
        <v>841</v>
      </c>
      <c r="E108" s="28"/>
      <c r="F108" s="28"/>
      <c r="G108" s="28"/>
      <c r="H108" s="398">
        <v>17200</v>
      </c>
      <c r="I108" s="411"/>
      <c r="J108" s="398">
        <v>11462</v>
      </c>
      <c r="K108" s="398">
        <v>10938</v>
      </c>
      <c r="L108" s="398">
        <v>13539.880751271015</v>
      </c>
      <c r="M108" s="398">
        <v>8632.6836503092418</v>
      </c>
      <c r="N108" s="29">
        <f>N84*N102</f>
        <v>15287.857595434587</v>
      </c>
      <c r="O108" s="29">
        <f t="shared" ref="O108:R108" si="146">O84*O102</f>
        <v>18345.429114521507</v>
      </c>
      <c r="P108" s="29">
        <f t="shared" si="146"/>
        <v>20179.972025973657</v>
      </c>
      <c r="Q108" s="29">
        <f t="shared" si="146"/>
        <v>22197.969228571026</v>
      </c>
      <c r="R108" s="29">
        <f t="shared" si="146"/>
        <v>24417.766151428128</v>
      </c>
      <c r="S108" s="30">
        <f>S84*S102</f>
        <v>26859.542766570943</v>
      </c>
      <c r="T108" s="1321"/>
      <c r="U108" s="1515"/>
      <c r="V108" s="1515"/>
      <c r="W108" s="1515"/>
      <c r="X108" s="1515"/>
      <c r="Y108" s="1515"/>
      <c r="Z108" s="1515"/>
      <c r="AA108" s="1515"/>
      <c r="AB108" s="1321"/>
      <c r="AC108" s="1"/>
      <c r="AD108" s="1"/>
      <c r="AE108" s="1"/>
      <c r="AF108" s="1"/>
      <c r="AG108" s="1"/>
      <c r="AH108" s="1"/>
      <c r="AI108" s="415"/>
      <c r="AJ108" s="1321"/>
      <c r="AK108" s="1515"/>
      <c r="AL108" s="1515"/>
      <c r="AM108" s="1515"/>
      <c r="AN108" s="1515"/>
      <c r="AO108" s="1515"/>
      <c r="AP108" s="1515"/>
      <c r="AQ108" s="1515"/>
      <c r="AS108" s="1485"/>
    </row>
    <row r="109" spans="1:45" ht="14.5" outlineLevel="2">
      <c r="C109" s="1"/>
      <c r="D109" s="31" t="s">
        <v>842</v>
      </c>
      <c r="E109" s="1"/>
      <c r="F109" s="1"/>
      <c r="G109" s="1"/>
      <c r="H109" s="400">
        <v>9341</v>
      </c>
      <c r="I109" s="412"/>
      <c r="J109" s="400">
        <v>16338</v>
      </c>
      <c r="K109" s="400">
        <v>19704</v>
      </c>
      <c r="L109" s="400">
        <v>23816.329469514352</v>
      </c>
      <c r="M109" s="400">
        <v>15688.287755228237</v>
      </c>
      <c r="N109" s="20">
        <f t="shared" ref="N109:S112" si="147">N85*N103</f>
        <v>25806.028359115793</v>
      </c>
      <c r="O109" s="20">
        <f t="shared" si="147"/>
        <v>28386.631195027374</v>
      </c>
      <c r="P109" s="20">
        <f t="shared" si="147"/>
        <v>31225.294314530114</v>
      </c>
      <c r="Q109" s="20">
        <f t="shared" si="147"/>
        <v>34347.823745983129</v>
      </c>
      <c r="R109" s="20">
        <f t="shared" si="147"/>
        <v>37782.606120581448</v>
      </c>
      <c r="S109" s="32">
        <f t="shared" si="147"/>
        <v>41560.866732639595</v>
      </c>
      <c r="T109" s="1321"/>
      <c r="U109" s="1515"/>
      <c r="V109" s="1515"/>
      <c r="W109" s="1515"/>
      <c r="X109" s="1515"/>
      <c r="Y109" s="1515"/>
      <c r="Z109" s="1515"/>
      <c r="AA109" s="1515"/>
      <c r="AB109" s="1321"/>
      <c r="AC109" s="1"/>
      <c r="AD109" s="1"/>
      <c r="AE109" s="1"/>
      <c r="AF109" s="1"/>
      <c r="AG109" s="1"/>
      <c r="AH109" s="1"/>
      <c r="AI109" s="415"/>
      <c r="AJ109" s="1321"/>
      <c r="AK109" s="1515"/>
      <c r="AL109" s="1515"/>
      <c r="AM109" s="1515"/>
      <c r="AN109" s="1515"/>
      <c r="AO109" s="1515"/>
      <c r="AP109" s="1515"/>
      <c r="AQ109" s="1515"/>
      <c r="AS109" s="1485"/>
    </row>
    <row r="110" spans="1:45" ht="14.5" outlineLevel="2">
      <c r="C110" s="1"/>
      <c r="D110" s="31" t="s">
        <v>843</v>
      </c>
      <c r="E110" s="1"/>
      <c r="F110" s="1"/>
      <c r="G110" s="1"/>
      <c r="H110" s="400">
        <v>31015</v>
      </c>
      <c r="I110" s="412"/>
      <c r="J110" s="400">
        <v>20149</v>
      </c>
      <c r="K110" s="400">
        <v>20835</v>
      </c>
      <c r="L110" s="400">
        <v>25347.957010555936</v>
      </c>
      <c r="M110" s="400">
        <v>14879.643791147999</v>
      </c>
      <c r="N110" s="20">
        <f t="shared" si="147"/>
        <v>27250.125398062159</v>
      </c>
      <c r="O110" s="20">
        <f t="shared" si="147"/>
        <v>28612.631667965266</v>
      </c>
      <c r="P110" s="20">
        <f t="shared" si="147"/>
        <v>30043.263251363533</v>
      </c>
      <c r="Q110" s="20">
        <f t="shared" si="147"/>
        <v>31545.426413931709</v>
      </c>
      <c r="R110" s="20">
        <f t="shared" si="147"/>
        <v>33122.697734628302</v>
      </c>
      <c r="S110" s="32">
        <f t="shared" si="147"/>
        <v>34778.83262135971</v>
      </c>
      <c r="T110" s="1321"/>
      <c r="U110" s="1515"/>
      <c r="V110" s="1515"/>
      <c r="W110" s="1515"/>
      <c r="X110" s="1515"/>
      <c r="Y110" s="1515"/>
      <c r="Z110" s="1515"/>
      <c r="AA110" s="1515"/>
      <c r="AB110" s="1321"/>
      <c r="AC110" s="1"/>
      <c r="AD110" s="1"/>
      <c r="AE110" s="1"/>
      <c r="AF110" s="1"/>
      <c r="AG110" s="1"/>
      <c r="AH110" s="1"/>
      <c r="AI110" s="415"/>
      <c r="AJ110" s="1321"/>
      <c r="AK110" s="1515"/>
      <c r="AL110" s="1515"/>
      <c r="AM110" s="1515"/>
      <c r="AN110" s="1515"/>
      <c r="AO110" s="1515"/>
      <c r="AP110" s="1515"/>
      <c r="AQ110" s="1515"/>
      <c r="AS110" s="1485"/>
    </row>
    <row r="111" spans="1:45" ht="14.5" outlineLevel="2">
      <c r="C111" s="1"/>
      <c r="D111" s="31" t="s">
        <v>844</v>
      </c>
      <c r="E111" s="1"/>
      <c r="F111" s="1"/>
      <c r="G111" s="1"/>
      <c r="H111" s="400">
        <v>104132</v>
      </c>
      <c r="I111" s="412"/>
      <c r="J111" s="400">
        <v>138528.5</v>
      </c>
      <c r="K111" s="400">
        <v>117481.5</v>
      </c>
      <c r="L111" s="400">
        <v>141403.16957436598</v>
      </c>
      <c r="M111" s="400">
        <v>80378.28835695883</v>
      </c>
      <c r="N111" s="20">
        <f t="shared" si="147"/>
        <v>139170.89614773943</v>
      </c>
      <c r="O111" s="20">
        <f t="shared" si="147"/>
        <v>153087.98576251339</v>
      </c>
      <c r="P111" s="20">
        <f t="shared" si="147"/>
        <v>168396.78433876476</v>
      </c>
      <c r="Q111" s="20">
        <f t="shared" si="147"/>
        <v>176816.623555703</v>
      </c>
      <c r="R111" s="20">
        <f t="shared" si="147"/>
        <v>185657.45473348815</v>
      </c>
      <c r="S111" s="32">
        <f t="shared" si="147"/>
        <v>194940.32747016259</v>
      </c>
      <c r="T111" s="1321"/>
      <c r="U111" s="1515"/>
      <c r="V111" s="1515"/>
      <c r="W111" s="1515"/>
      <c r="X111" s="1515"/>
      <c r="Y111" s="1515"/>
      <c r="Z111" s="1515"/>
      <c r="AA111" s="1515"/>
      <c r="AB111" s="1321"/>
      <c r="AC111" s="1"/>
      <c r="AD111" s="1"/>
      <c r="AE111" s="1"/>
      <c r="AF111" s="1"/>
      <c r="AG111" s="1"/>
      <c r="AH111" s="1"/>
      <c r="AI111" s="415"/>
      <c r="AJ111" s="1321"/>
      <c r="AK111" s="1515"/>
      <c r="AL111" s="1515"/>
      <c r="AM111" s="1515"/>
      <c r="AN111" s="1515"/>
      <c r="AO111" s="1515"/>
      <c r="AP111" s="1515"/>
      <c r="AQ111" s="1515"/>
      <c r="AS111" s="1485"/>
    </row>
    <row r="112" spans="1:45" ht="14.5" outlineLevel="2">
      <c r="C112" s="1"/>
      <c r="D112" s="33" t="s">
        <v>665</v>
      </c>
      <c r="E112" s="34"/>
      <c r="F112" s="34"/>
      <c r="G112" s="34"/>
      <c r="H112" s="402">
        <v>4024</v>
      </c>
      <c r="I112" s="413"/>
      <c r="J112" s="402">
        <v>8944.5</v>
      </c>
      <c r="K112" s="402">
        <v>7828.5</v>
      </c>
      <c r="L112" s="402">
        <v>8815.9743006455701</v>
      </c>
      <c r="M112" s="402">
        <v>3446.2677711256915</v>
      </c>
      <c r="N112" s="35">
        <f t="shared" si="147"/>
        <v>7196.6054991863521</v>
      </c>
      <c r="O112" s="35">
        <f t="shared" si="147"/>
        <v>7916.2660491049874</v>
      </c>
      <c r="P112" s="35">
        <f t="shared" si="147"/>
        <v>8707.892654015488</v>
      </c>
      <c r="Q112" s="35">
        <f t="shared" si="147"/>
        <v>9578.6819194170384</v>
      </c>
      <c r="R112" s="35">
        <f t="shared" si="147"/>
        <v>10536.550111358742</v>
      </c>
      <c r="S112" s="36">
        <f t="shared" si="147"/>
        <v>11590.205122494615</v>
      </c>
      <c r="T112" s="1321"/>
      <c r="U112" s="1515"/>
      <c r="V112" s="1515"/>
      <c r="W112" s="1515"/>
      <c r="X112" s="1515"/>
      <c r="Y112" s="1515"/>
      <c r="Z112" s="1515"/>
      <c r="AA112" s="1515"/>
      <c r="AB112" s="1321"/>
      <c r="AC112" s="1"/>
      <c r="AD112" s="1"/>
      <c r="AE112" s="1"/>
      <c r="AF112" s="1"/>
      <c r="AG112" s="1"/>
      <c r="AH112" s="1"/>
      <c r="AI112" s="415"/>
      <c r="AJ112" s="1321"/>
      <c r="AK112" s="1515"/>
      <c r="AL112" s="1515"/>
      <c r="AM112" s="1515"/>
      <c r="AN112" s="1515"/>
      <c r="AO112" s="1515"/>
      <c r="AP112" s="1515"/>
      <c r="AQ112" s="1515"/>
      <c r="AS112" s="1485"/>
    </row>
    <row r="113" spans="1:45" ht="14.5" outlineLevel="2">
      <c r="C113" s="1"/>
      <c r="D113" s="1"/>
      <c r="E113" s="1"/>
      <c r="AI113" s="424"/>
      <c r="AS113" s="1485"/>
    </row>
    <row r="114" spans="1:45" ht="15" outlineLevel="2" thickBot="1">
      <c r="C114" s="37" t="s">
        <v>160</v>
      </c>
      <c r="D114" s="37"/>
      <c r="E114" s="37"/>
      <c r="F114" s="109"/>
      <c r="G114" s="109"/>
      <c r="H114" s="117">
        <f>1-H115/H107</f>
        <v>4.9211885681181844E-2</v>
      </c>
      <c r="I114" s="117">
        <f t="shared" ref="I114:M114" si="148">1-I115/I107</f>
        <v>4.8689933170679933E-2</v>
      </c>
      <c r="J114" s="117">
        <f t="shared" si="148"/>
        <v>2.1665933211204469E-2</v>
      </c>
      <c r="K114" s="117">
        <f t="shared" si="148"/>
        <v>2.1879436836419019E-2</v>
      </c>
      <c r="L114" s="117">
        <f t="shared" si="148"/>
        <v>2.1879436836418908E-2</v>
      </c>
      <c r="M114" s="117">
        <f t="shared" si="148"/>
        <v>2.1879436836419131E-2</v>
      </c>
      <c r="N114" s="160">
        <f>L114</f>
        <v>2.1879436836418908E-2</v>
      </c>
      <c r="O114" s="160">
        <f t="shared" ref="O114:S114" si="149">N114</f>
        <v>2.1879436836418908E-2</v>
      </c>
      <c r="P114" s="160">
        <f t="shared" si="149"/>
        <v>2.1879436836418908E-2</v>
      </c>
      <c r="Q114" s="160">
        <f t="shared" si="149"/>
        <v>2.1879436836418908E-2</v>
      </c>
      <c r="R114" s="160">
        <f t="shared" si="149"/>
        <v>2.1879436836418908E-2</v>
      </c>
      <c r="S114" s="160">
        <f t="shared" si="149"/>
        <v>2.1879436836418908E-2</v>
      </c>
      <c r="AI114" s="424"/>
      <c r="AS114" s="1485"/>
    </row>
    <row r="115" spans="1:45" s="101" customFormat="1" ht="15" outlineLevel="2" thickBot="1">
      <c r="C115" s="76" t="s">
        <v>992</v>
      </c>
      <c r="D115" s="76"/>
      <c r="E115" s="76"/>
      <c r="F115" s="110"/>
      <c r="G115" s="110"/>
      <c r="H115" s="409">
        <v>157557</v>
      </c>
      <c r="I115" s="409">
        <v>179360</v>
      </c>
      <c r="J115" s="409">
        <v>191188</v>
      </c>
      <c r="K115" s="409">
        <v>172919</v>
      </c>
      <c r="L115" s="409">
        <v>208264.66897000023</v>
      </c>
      <c r="M115" s="409">
        <v>120333.44985948007</v>
      </c>
      <c r="N115" s="113">
        <f t="shared" ref="N115:S115" si="150">N107*(1-N114)</f>
        <v>210013.74601281298</v>
      </c>
      <c r="O115" s="113">
        <f t="shared" si="150"/>
        <v>231177.76200214386</v>
      </c>
      <c r="P115" s="113">
        <f t="shared" si="150"/>
        <v>252896.2080323252</v>
      </c>
      <c r="Q115" s="113">
        <f t="shared" si="150"/>
        <v>268480.91428040451</v>
      </c>
      <c r="R115" s="113">
        <f t="shared" si="150"/>
        <v>285138.84542553412</v>
      </c>
      <c r="S115" s="113">
        <f t="shared" si="150"/>
        <v>302953.06167103112</v>
      </c>
      <c r="T115" s="525"/>
      <c r="U115" s="1512"/>
      <c r="V115" s="1512"/>
      <c r="W115" s="1512"/>
      <c r="X115" s="1512"/>
      <c r="Y115" s="1512"/>
      <c r="Z115" s="1512"/>
      <c r="AA115" s="1512"/>
      <c r="AI115" s="473"/>
      <c r="AK115" s="1512"/>
      <c r="AL115" s="1512"/>
      <c r="AM115" s="1512"/>
      <c r="AN115" s="1512"/>
      <c r="AO115" s="1512"/>
      <c r="AP115" s="1512"/>
      <c r="AQ115" s="1512"/>
      <c r="AS115" s="1484"/>
    </row>
    <row r="116" spans="1:45" s="101" customFormat="1" ht="14.5" outlineLevel="2">
      <c r="C116" s="97" t="s">
        <v>659</v>
      </c>
      <c r="H116" s="394">
        <v>-151503</v>
      </c>
      <c r="I116" s="394">
        <v>-167847</v>
      </c>
      <c r="J116" s="394">
        <v>-176212</v>
      </c>
      <c r="K116" s="394">
        <v>-150002</v>
      </c>
      <c r="L116" s="394">
        <v>-177273.67336079021</v>
      </c>
      <c r="M116" s="394">
        <v>-100152.33402242363</v>
      </c>
      <c r="N116" s="20">
        <f>N117*N83</f>
        <v>-174212.87373611011</v>
      </c>
      <c r="O116" s="20">
        <f>O117*O83</f>
        <v>-187521.21820688635</v>
      </c>
      <c r="P116" s="20">
        <f t="shared" ref="P116:S116" si="151">P117*P83</f>
        <v>-202077.8539976278</v>
      </c>
      <c r="Q116" s="20">
        <f t="shared" si="151"/>
        <v>-212014.40580122473</v>
      </c>
      <c r="R116" s="20">
        <f t="shared" si="151"/>
        <v>-222720.17341262891</v>
      </c>
      <c r="S116" s="20">
        <f t="shared" si="151"/>
        <v>-234128.13655022249</v>
      </c>
      <c r="U116" s="1512"/>
      <c r="V116" s="1512"/>
      <c r="W116" s="1512"/>
      <c r="X116" s="1512"/>
      <c r="Y116" s="1512"/>
      <c r="Z116" s="1512"/>
      <c r="AA116" s="1512"/>
      <c r="AI116" s="473"/>
      <c r="AK116" s="1512"/>
      <c r="AL116" s="1512"/>
      <c r="AM116" s="1512"/>
      <c r="AN116" s="1512"/>
      <c r="AO116" s="1512"/>
      <c r="AP116" s="1512"/>
      <c r="AQ116" s="1512"/>
      <c r="AS116" s="1484"/>
    </row>
    <row r="117" spans="1:45" s="101" customFormat="1" ht="14.5" outlineLevel="2">
      <c r="C117" s="97"/>
      <c r="D117" s="1" t="s">
        <v>849</v>
      </c>
      <c r="E117" s="1"/>
      <c r="H117" s="744">
        <f>H116/H83</f>
        <v>-2.5060458192043669</v>
      </c>
      <c r="I117" s="1477"/>
      <c r="J117" s="744">
        <f t="shared" ref="J117:M117" si="152">J116/J83</f>
        <v>-2.9879101314116152</v>
      </c>
      <c r="K117" s="744">
        <f t="shared" si="152"/>
        <v>-2.7246339957132997</v>
      </c>
      <c r="L117" s="744">
        <f t="shared" si="152"/>
        <v>-2.6795652558686958</v>
      </c>
      <c r="M117" s="744">
        <f t="shared" si="152"/>
        <v>-2.5586379141505047</v>
      </c>
      <c r="N117" s="1039">
        <f>M117</f>
        <v>-2.5586379141505047</v>
      </c>
      <c r="O117" s="744">
        <f>N117*(1+O118)</f>
        <v>-2.5000994811263801</v>
      </c>
      <c r="P117" s="744">
        <f t="shared" ref="P117:S117" si="153">O117*(1+P118)</f>
        <v>-2.4601895115499741</v>
      </c>
      <c r="Q117" s="744">
        <f t="shared" si="153"/>
        <v>-2.4375638594133875</v>
      </c>
      <c r="R117" s="744">
        <f t="shared" si="153"/>
        <v>-2.4174037638931005</v>
      </c>
      <c r="S117" s="744">
        <f t="shared" si="153"/>
        <v>-2.3982602207842159</v>
      </c>
      <c r="U117" s="1512"/>
      <c r="V117" s="1512"/>
      <c r="W117" s="1512"/>
      <c r="X117" s="1512"/>
      <c r="Y117" s="1512"/>
      <c r="Z117" s="1512"/>
      <c r="AA117" s="1512"/>
      <c r="AI117" s="473"/>
      <c r="AK117" s="1512"/>
      <c r="AL117" s="1512"/>
      <c r="AM117" s="1512"/>
      <c r="AN117" s="1512"/>
      <c r="AO117" s="1512"/>
      <c r="AP117" s="1512"/>
      <c r="AQ117" s="1512"/>
      <c r="AS117" s="1484"/>
    </row>
    <row r="118" spans="1:45" s="101" customFormat="1" ht="15" outlineLevel="2" thickBot="1">
      <c r="C118" s="97"/>
      <c r="D118" s="74"/>
      <c r="E118" s="74" t="s">
        <v>151</v>
      </c>
      <c r="H118" s="404"/>
      <c r="I118" s="404"/>
      <c r="J118" s="404"/>
      <c r="K118" s="75"/>
      <c r="L118" s="75">
        <f>L117/J117-1</f>
        <v>-0.10319750661216986</v>
      </c>
      <c r="M118" s="75"/>
      <c r="N118" s="75">
        <f>N117/L117-1</f>
        <v>-4.5129463241598611E-2</v>
      </c>
      <c r="O118" s="717">
        <f t="shared" ref="O118" si="154">CHOOSE(case,V118,AD118,AL118)</f>
        <v>-2.2878748376383706E-2</v>
      </c>
      <c r="P118" s="717">
        <f t="shared" ref="P118" si="155">CHOOSE(case,W118,AE118,AM118)</f>
        <v>-1.5963352609642989E-2</v>
      </c>
      <c r="Q118" s="717">
        <f t="shared" ref="Q118" si="156">CHOOSE(case,X118,AF118,AN118)</f>
        <v>-9.1967110787054551E-3</v>
      </c>
      <c r="R118" s="717">
        <f t="shared" ref="R118" si="157">CHOOSE(case,Y118,AG118,AO118)</f>
        <v>-8.2705917395488049E-3</v>
      </c>
      <c r="S118" s="718">
        <f t="shared" ref="S118" si="158">CHOOSE(case,Z118,AH118,AP118)</f>
        <v>-7.9190507580144676E-3</v>
      </c>
      <c r="U118" s="1512"/>
      <c r="V118" s="1512"/>
      <c r="W118" s="1512"/>
      <c r="X118" s="1512"/>
      <c r="Y118" s="1512"/>
      <c r="Z118" s="1512"/>
      <c r="AA118" s="1512"/>
      <c r="AC118" s="829"/>
      <c r="AD118" s="1042">
        <f>(SUMPRODUCT(O96:O99,各区域分剂型成本优化!K$195:K$198)+O100*O106)/(SUMPRODUCT(N96:N99,各区域分剂型成本优化!J$195:J$198)+N100*N106)-1</f>
        <v>-2.2878748376383706E-2</v>
      </c>
      <c r="AE118" s="1042">
        <f>(SUMPRODUCT(P96:P99,各区域分剂型成本优化!L$195:L$198)+P100*P106)/(SUMPRODUCT(O96:O99,各区域分剂型成本优化!K$195:K$198)+O100*O106)-1</f>
        <v>-1.5963352609642989E-2</v>
      </c>
      <c r="AF118" s="1042">
        <f>(SUMPRODUCT(Q96:Q99,各区域分剂型成本优化!M$195:M$198)+Q100*Q106)/(SUMPRODUCT(P96:P99,各区域分剂型成本优化!L$195:L$198)+P100*P106)-1</f>
        <v>-9.1967110787054551E-3</v>
      </c>
      <c r="AG118" s="1042">
        <f>(SUMPRODUCT(R96:R99,各区域分剂型成本优化!N$195:N$198)+R100*R106)/(SUMPRODUCT(Q96:Q99,各区域分剂型成本优化!M$195:M$198)+Q100*Q106)-1</f>
        <v>-8.2705917395488049E-3</v>
      </c>
      <c r="AH118" s="1042">
        <f>(SUMPRODUCT(S96:S99,各区域分剂型成本优化!O$195:O$198)+S100*S106)/(SUMPRODUCT(R96:R99,各区域分剂型成本优化!N$195:N$198)+R100*R106)-1</f>
        <v>-7.9190507580144676E-3</v>
      </c>
      <c r="AI118" s="473"/>
      <c r="AK118" s="1512"/>
      <c r="AL118" s="1512"/>
      <c r="AM118" s="1512"/>
      <c r="AN118" s="1512"/>
      <c r="AO118" s="1512"/>
      <c r="AP118" s="1512"/>
      <c r="AQ118" s="1512"/>
      <c r="AS118" s="1484"/>
    </row>
    <row r="119" spans="1:45" s="101" customFormat="1" ht="15" outlineLevel="2" thickBot="1">
      <c r="C119" s="76" t="s">
        <v>846</v>
      </c>
      <c r="D119" s="76"/>
      <c r="E119" s="76"/>
      <c r="F119" s="110"/>
      <c r="G119" s="110"/>
      <c r="H119" s="113">
        <f>H115+H116</f>
        <v>6054</v>
      </c>
      <c r="I119" s="113">
        <f t="shared" ref="I119:L119" si="159">I115+I116</f>
        <v>11513</v>
      </c>
      <c r="J119" s="113">
        <f t="shared" si="159"/>
        <v>14976</v>
      </c>
      <c r="K119" s="113">
        <f t="shared" si="159"/>
        <v>22917</v>
      </c>
      <c r="L119" s="113">
        <f t="shared" si="159"/>
        <v>30990.995609210018</v>
      </c>
      <c r="M119" s="113">
        <f t="shared" ref="M119:S119" si="160">M115+M116</f>
        <v>20181.115837056437</v>
      </c>
      <c r="N119" s="113">
        <f t="shared" si="160"/>
        <v>35800.872276702867</v>
      </c>
      <c r="O119" s="113">
        <f t="shared" si="160"/>
        <v>43656.543795257516</v>
      </c>
      <c r="P119" s="113">
        <f t="shared" si="160"/>
        <v>50818.354034697404</v>
      </c>
      <c r="Q119" s="113">
        <f t="shared" si="160"/>
        <v>56466.508479179785</v>
      </c>
      <c r="R119" s="113">
        <f t="shared" si="160"/>
        <v>62418.672012905212</v>
      </c>
      <c r="S119" s="113">
        <f t="shared" si="160"/>
        <v>68824.925120808621</v>
      </c>
      <c r="U119" s="1512"/>
      <c r="V119" s="1512"/>
      <c r="W119" s="1512"/>
      <c r="X119" s="1512"/>
      <c r="Y119" s="1512"/>
      <c r="Z119" s="1512"/>
      <c r="AA119" s="1512"/>
      <c r="AI119" s="473"/>
      <c r="AK119" s="1512"/>
      <c r="AL119" s="1512"/>
      <c r="AM119" s="1512"/>
      <c r="AN119" s="1512"/>
      <c r="AO119" s="1512"/>
      <c r="AP119" s="1512"/>
      <c r="AQ119" s="1512"/>
      <c r="AS119" s="1484"/>
    </row>
    <row r="120" spans="1:45" s="101" customFormat="1" ht="14.5" outlineLevel="2">
      <c r="C120" s="22" t="s">
        <v>660</v>
      </c>
      <c r="D120" s="18"/>
      <c r="E120" s="18"/>
      <c r="H120" s="94">
        <f>H119/H115</f>
        <v>3.8424189341000399E-2</v>
      </c>
      <c r="I120" s="94">
        <f t="shared" ref="I120:L120" si="161">I119/I115</f>
        <v>6.4189339875111509E-2</v>
      </c>
      <c r="J120" s="94">
        <f t="shared" si="161"/>
        <v>7.833127602150762E-2</v>
      </c>
      <c r="K120" s="94">
        <f t="shared" si="161"/>
        <v>0.13253025983263841</v>
      </c>
      <c r="L120" s="94">
        <f t="shared" si="161"/>
        <v>0.14880582367849518</v>
      </c>
      <c r="M120" s="94">
        <f t="shared" ref="M120:S120" si="162">M119/M115</f>
        <v>0.16770994150523422</v>
      </c>
      <c r="N120" s="94">
        <f t="shared" si="162"/>
        <v>0.1704691857385309</v>
      </c>
      <c r="O120" s="94">
        <f t="shared" si="162"/>
        <v>0.18884404545300798</v>
      </c>
      <c r="P120" s="94">
        <f t="shared" si="162"/>
        <v>0.20094549629704928</v>
      </c>
      <c r="Q120" s="94">
        <f t="shared" si="162"/>
        <v>0.21031851977457705</v>
      </c>
      <c r="R120" s="94">
        <f t="shared" si="162"/>
        <v>0.21890623818635843</v>
      </c>
      <c r="S120" s="94">
        <f t="shared" si="162"/>
        <v>0.22718016032313226</v>
      </c>
      <c r="T120" s="1321"/>
      <c r="U120" s="1526">
        <f>AC120+0.3%</f>
        <v>3.0000000000000001E-3</v>
      </c>
      <c r="V120" s="1526">
        <f t="shared" ref="V120" si="163">AD120+0.3%</f>
        <v>3.0000000000000001E-3</v>
      </c>
      <c r="W120" s="1526">
        <f t="shared" ref="W120" si="164">AE120+0.3%</f>
        <v>3.0000000000000001E-3</v>
      </c>
      <c r="X120" s="1526">
        <f t="shared" ref="X120" si="165">AF120+0.3%</f>
        <v>3.0000000000000001E-3</v>
      </c>
      <c r="Y120" s="1526">
        <f t="shared" ref="Y120" si="166">AG120+0.3%</f>
        <v>3.0000000000000001E-3</v>
      </c>
      <c r="Z120" s="1526">
        <f t="shared" ref="Z120" si="167">AH120+0.3%</f>
        <v>3.0000000000000001E-3</v>
      </c>
      <c r="AA120" s="1515"/>
      <c r="AB120" s="1321"/>
      <c r="AC120" s="829"/>
      <c r="AD120" s="829"/>
      <c r="AE120" s="829"/>
      <c r="AF120" s="829"/>
      <c r="AG120" s="829"/>
      <c r="AH120" s="829"/>
      <c r="AI120" s="415"/>
      <c r="AJ120" s="1321"/>
      <c r="AK120" s="1526">
        <f>AC120-0.3%</f>
        <v>-3.0000000000000001E-3</v>
      </c>
      <c r="AL120" s="1526">
        <f t="shared" ref="AL120" si="168">AD120-0.3%</f>
        <v>-3.0000000000000001E-3</v>
      </c>
      <c r="AM120" s="1526">
        <f t="shared" ref="AM120" si="169">AE120-0.3%</f>
        <v>-3.0000000000000001E-3</v>
      </c>
      <c r="AN120" s="1526">
        <f t="shared" ref="AN120" si="170">AF120-0.3%</f>
        <v>-3.0000000000000001E-3</v>
      </c>
      <c r="AO120" s="1526">
        <f t="shared" ref="AO120" si="171">AG120-0.3%</f>
        <v>-3.0000000000000001E-3</v>
      </c>
      <c r="AP120" s="1526">
        <f t="shared" ref="AP120" si="172">AH120-0.3%</f>
        <v>-3.0000000000000001E-3</v>
      </c>
      <c r="AQ120" s="1515"/>
      <c r="AS120" s="1484"/>
    </row>
    <row r="121" spans="1:45" ht="14.5" outlineLevel="2">
      <c r="C121" s="101"/>
      <c r="D121" s="101"/>
      <c r="E121" s="101"/>
      <c r="F121" s="101"/>
      <c r="G121" s="101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AC121" s="529"/>
      <c r="AD121" s="529"/>
      <c r="AE121" s="529"/>
      <c r="AF121" s="529"/>
      <c r="AG121" s="529"/>
      <c r="AH121" s="529"/>
      <c r="AI121" s="424"/>
      <c r="AS121" s="1485"/>
    </row>
    <row r="122" spans="1:45" s="1126" customFormat="1" ht="14.5" outlineLevel="2">
      <c r="A122" s="26" t="s">
        <v>8</v>
      </c>
      <c r="B122" s="26"/>
      <c r="C122" s="26" t="s">
        <v>172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U122" s="1518"/>
      <c r="V122" s="1518"/>
      <c r="W122" s="1518"/>
      <c r="X122" s="1518"/>
      <c r="Y122" s="1518"/>
      <c r="Z122" s="1518"/>
      <c r="AA122" s="1518"/>
      <c r="AC122" s="26"/>
      <c r="AD122" s="26"/>
      <c r="AE122" s="26"/>
      <c r="AF122" s="26"/>
      <c r="AG122" s="26"/>
      <c r="AH122" s="26"/>
      <c r="AI122" s="474"/>
      <c r="AK122" s="1518"/>
      <c r="AL122" s="1518"/>
      <c r="AM122" s="1518"/>
      <c r="AN122" s="1518"/>
      <c r="AO122" s="1518"/>
      <c r="AP122" s="1518"/>
      <c r="AQ122" s="1518"/>
      <c r="AS122" s="1481"/>
    </row>
    <row r="123" spans="1:45" ht="14.5" outlineLevel="2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AI123" s="424"/>
      <c r="AS123" s="1485"/>
    </row>
    <row r="124" spans="1:45" s="99" customFormat="1" ht="14.5" outlineLevel="2">
      <c r="C124" s="18" t="s">
        <v>840</v>
      </c>
      <c r="D124" s="18"/>
      <c r="E124" s="18"/>
      <c r="H124" s="99">
        <f>SUM(H125:H129)</f>
        <v>5454</v>
      </c>
      <c r="I124" s="99">
        <f t="shared" ref="I124" si="173">SUM(I125:I129)</f>
        <v>0</v>
      </c>
      <c r="J124" s="99">
        <f t="shared" ref="J124" si="174">SUM(J125:J129)</f>
        <v>4588</v>
      </c>
      <c r="K124" s="99">
        <f t="shared" ref="K124" si="175">SUM(K125:K129)</f>
        <v>4484</v>
      </c>
      <c r="L124" s="23">
        <f>SUM(L125:L129)</f>
        <v>5483.1840000000002</v>
      </c>
      <c r="M124" s="23">
        <f>SUM(M125:M129)</f>
        <v>2853.0810000000001</v>
      </c>
      <c r="N124" s="23">
        <f t="shared" ref="N124:S124" si="176">SUM(N125:N129)</f>
        <v>5970.5771500000001</v>
      </c>
      <c r="O124" s="23">
        <f t="shared" si="176"/>
        <v>6505.4819525000003</v>
      </c>
      <c r="P124" s="23">
        <f t="shared" si="176"/>
        <v>7089.7911576250017</v>
      </c>
      <c r="Q124" s="23">
        <f t="shared" si="176"/>
        <v>7728.5038553562526</v>
      </c>
      <c r="R124" s="23">
        <f t="shared" si="176"/>
        <v>8427.6698990790665</v>
      </c>
      <c r="S124" s="23">
        <f t="shared" si="176"/>
        <v>9193.1780367715219</v>
      </c>
      <c r="T124" s="525"/>
      <c r="U124" s="1519">
        <f>$L124*(1+$AA124)</f>
        <v>5565.4317599999995</v>
      </c>
      <c r="V124" s="1519">
        <f>U124*(1+$AA124)</f>
        <v>5648.9132363999988</v>
      </c>
      <c r="W124" s="1519">
        <f t="shared" ref="W124:Z124" si="177">V124*(1+$AA124)</f>
        <v>5733.6469349459985</v>
      </c>
      <c r="X124" s="1519">
        <f t="shared" si="177"/>
        <v>5819.6516389701883</v>
      </c>
      <c r="Y124" s="1519">
        <f t="shared" si="177"/>
        <v>5906.9464135547405</v>
      </c>
      <c r="Z124" s="1519">
        <f t="shared" si="177"/>
        <v>5995.550609758061</v>
      </c>
      <c r="AA124" s="1520">
        <f>AI124+1.5%</f>
        <v>1.4999999999999999E-2</v>
      </c>
      <c r="AB124" s="1321"/>
      <c r="AC124" s="20"/>
      <c r="AD124" s="20"/>
      <c r="AE124" s="20"/>
      <c r="AF124" s="20"/>
      <c r="AG124" s="20"/>
      <c r="AH124" s="20"/>
      <c r="AI124" s="472"/>
      <c r="AJ124" s="1321"/>
      <c r="AK124" s="1519">
        <f>$L124*(1+$AQ124)</f>
        <v>5647.6795200000006</v>
      </c>
      <c r="AL124" s="1519">
        <f>AK124*(1+$AQ124)</f>
        <v>5817.1099056000012</v>
      </c>
      <c r="AM124" s="1519">
        <f t="shared" ref="AM124:AN124" si="178">AL124*(1+$AQ124)</f>
        <v>5991.6232027680016</v>
      </c>
      <c r="AN124" s="1519">
        <f t="shared" si="178"/>
        <v>6171.3718988510418</v>
      </c>
      <c r="AO124" s="1519">
        <f>AN124*(1+$AQ124)</f>
        <v>6356.5130558165729</v>
      </c>
      <c r="AP124" s="1519">
        <f t="shared" ref="AP124" si="179">AO124*(1+$AQ124)</f>
        <v>6547.2084474910698</v>
      </c>
      <c r="AQ124" s="1520">
        <v>0.03</v>
      </c>
      <c r="AS124" s="1483"/>
    </row>
    <row r="125" spans="1:45" s="101" customFormat="1" ht="14.5" outlineLevel="2">
      <c r="C125" s="1"/>
      <c r="D125" s="27" t="s">
        <v>841</v>
      </c>
      <c r="E125" s="28"/>
      <c r="F125" s="28"/>
      <c r="G125" s="28"/>
      <c r="H125" s="398">
        <v>379</v>
      </c>
      <c r="I125" s="411"/>
      <c r="J125" s="398">
        <v>0</v>
      </c>
      <c r="K125" s="398">
        <v>5</v>
      </c>
      <c r="L125" s="398">
        <v>8.7360000000000007</v>
      </c>
      <c r="M125" s="398">
        <v>9.4079999999999995</v>
      </c>
      <c r="N125" s="703">
        <f>L125*(1+N131)</f>
        <v>12.230399999999999</v>
      </c>
      <c r="O125" s="29">
        <f>N125*(1+O131)</f>
        <v>15.899520000000001</v>
      </c>
      <c r="P125" s="29">
        <f t="shared" ref="P125:P129" si="180">O125*(1+P131)</f>
        <v>19.079423999999999</v>
      </c>
      <c r="Q125" s="29">
        <f t="shared" ref="Q125:Q129" si="181">P125*(1+Q131)</f>
        <v>21.941337599999997</v>
      </c>
      <c r="R125" s="29">
        <f t="shared" ref="R125:R129" si="182">Q125*(1+R131)</f>
        <v>25.232538239999993</v>
      </c>
      <c r="S125" s="30">
        <f t="shared" ref="S125:S129" si="183">R125*(1+S131)</f>
        <v>29.017418975999991</v>
      </c>
      <c r="T125" s="1205"/>
      <c r="U125" s="1515"/>
      <c r="V125" s="1515"/>
      <c r="W125" s="1515"/>
      <c r="X125" s="1515"/>
      <c r="Y125" s="1515"/>
      <c r="Z125" s="1515"/>
      <c r="AA125" s="1515"/>
      <c r="AB125" s="1321"/>
      <c r="AC125" s="1"/>
      <c r="AD125" s="1"/>
      <c r="AE125" s="1"/>
      <c r="AF125" s="1"/>
      <c r="AG125" s="1"/>
      <c r="AH125" s="1"/>
      <c r="AI125" s="415"/>
      <c r="AJ125" s="1321"/>
      <c r="AK125" s="1515"/>
      <c r="AL125" s="1515"/>
      <c r="AM125" s="1515"/>
      <c r="AN125" s="1515"/>
      <c r="AO125" s="1515"/>
      <c r="AP125" s="1515"/>
      <c r="AQ125" s="1515"/>
      <c r="AS125" s="1484"/>
    </row>
    <row r="126" spans="1:45" ht="14.5" outlineLevel="2">
      <c r="C126" s="1"/>
      <c r="D126" s="31" t="s">
        <v>842</v>
      </c>
      <c r="E126" s="1"/>
      <c r="F126" s="1"/>
      <c r="G126" s="1"/>
      <c r="H126" s="400">
        <v>405</v>
      </c>
      <c r="I126" s="412"/>
      <c r="J126" s="400">
        <v>0</v>
      </c>
      <c r="K126" s="400">
        <v>0</v>
      </c>
      <c r="L126" s="400">
        <v>0</v>
      </c>
      <c r="M126" s="400">
        <v>0</v>
      </c>
      <c r="N126" s="704">
        <f t="shared" ref="N126:N129" si="184">L126*(1+N132)</f>
        <v>0</v>
      </c>
      <c r="O126" s="20">
        <f t="shared" ref="O126:O129" si="185">N126*(1+O132)</f>
        <v>0</v>
      </c>
      <c r="P126" s="20">
        <f t="shared" si="180"/>
        <v>0</v>
      </c>
      <c r="Q126" s="20">
        <f t="shared" si="181"/>
        <v>0</v>
      </c>
      <c r="R126" s="20">
        <f t="shared" si="182"/>
        <v>0</v>
      </c>
      <c r="S126" s="32">
        <f t="shared" si="183"/>
        <v>0</v>
      </c>
      <c r="T126" s="675"/>
      <c r="U126" s="1515"/>
      <c r="V126" s="1515"/>
      <c r="W126" s="1515"/>
      <c r="X126" s="1515"/>
      <c r="Y126" s="1515"/>
      <c r="Z126" s="1515"/>
      <c r="AA126" s="1515"/>
      <c r="AB126" s="1321"/>
      <c r="AC126" s="1"/>
      <c r="AD126" s="1"/>
      <c r="AE126" s="1"/>
      <c r="AF126" s="1"/>
      <c r="AG126" s="1"/>
      <c r="AH126" s="1"/>
      <c r="AI126" s="415"/>
      <c r="AJ126" s="1321"/>
      <c r="AK126" s="1515"/>
      <c r="AL126" s="1515"/>
      <c r="AM126" s="1515"/>
      <c r="AN126" s="1515"/>
      <c r="AO126" s="1515"/>
      <c r="AP126" s="1515"/>
      <c r="AQ126" s="1515"/>
      <c r="AS126" s="1485"/>
    </row>
    <row r="127" spans="1:45" ht="14.5" outlineLevel="2">
      <c r="C127" s="1"/>
      <c r="D127" s="31" t="s">
        <v>843</v>
      </c>
      <c r="E127" s="1"/>
      <c r="F127" s="1"/>
      <c r="G127" s="1"/>
      <c r="H127" s="400">
        <v>1204</v>
      </c>
      <c r="I127" s="412"/>
      <c r="J127" s="400">
        <v>1158</v>
      </c>
      <c r="K127" s="400">
        <v>993</v>
      </c>
      <c r="L127" s="400">
        <v>1230.4570000000001</v>
      </c>
      <c r="M127" s="400">
        <v>594.03700000000003</v>
      </c>
      <c r="N127" s="704">
        <f t="shared" si="184"/>
        <v>1291.9798500000002</v>
      </c>
      <c r="O127" s="20">
        <f t="shared" si="185"/>
        <v>1356.5788425000003</v>
      </c>
      <c r="P127" s="20">
        <f t="shared" si="180"/>
        <v>1424.4077846250004</v>
      </c>
      <c r="Q127" s="20">
        <f t="shared" si="181"/>
        <v>1495.6281738562504</v>
      </c>
      <c r="R127" s="20">
        <f t="shared" si="182"/>
        <v>1570.4095825490631</v>
      </c>
      <c r="S127" s="32">
        <f t="shared" si="183"/>
        <v>1648.9300616765163</v>
      </c>
      <c r="T127" s="675"/>
      <c r="U127" s="1515"/>
      <c r="V127" s="1515"/>
      <c r="W127" s="1515"/>
      <c r="X127" s="1515"/>
      <c r="Y127" s="1515"/>
      <c r="Z127" s="1515"/>
      <c r="AA127" s="1515"/>
      <c r="AB127" s="1321"/>
      <c r="AC127" s="1"/>
      <c r="AD127" s="1"/>
      <c r="AE127" s="1"/>
      <c r="AF127" s="1"/>
      <c r="AG127" s="1"/>
      <c r="AH127" s="1"/>
      <c r="AI127" s="415"/>
      <c r="AJ127" s="1321"/>
      <c r="AK127" s="1515"/>
      <c r="AL127" s="1515"/>
      <c r="AM127" s="1515"/>
      <c r="AN127" s="1515"/>
      <c r="AO127" s="1515"/>
      <c r="AP127" s="1515"/>
      <c r="AQ127" s="1515"/>
      <c r="AS127" s="1485"/>
    </row>
    <row r="128" spans="1:45" ht="14.5" outlineLevel="2">
      <c r="C128" s="1"/>
      <c r="D128" s="31" t="s">
        <v>844</v>
      </c>
      <c r="E128" s="1"/>
      <c r="F128" s="1"/>
      <c r="G128" s="1"/>
      <c r="H128" s="400">
        <v>2815</v>
      </c>
      <c r="I128" s="412"/>
      <c r="J128" s="400">
        <v>3395</v>
      </c>
      <c r="K128" s="400">
        <v>3466</v>
      </c>
      <c r="L128" s="400">
        <v>4223.759</v>
      </c>
      <c r="M128" s="400">
        <v>2229.8339999999998</v>
      </c>
      <c r="N128" s="704">
        <f t="shared" si="184"/>
        <v>4646.1349</v>
      </c>
      <c r="O128" s="20">
        <f t="shared" si="185"/>
        <v>5110.7483900000007</v>
      </c>
      <c r="P128" s="20">
        <f t="shared" si="180"/>
        <v>5621.8232290000014</v>
      </c>
      <c r="Q128" s="20">
        <f t="shared" si="181"/>
        <v>6184.0055519000025</v>
      </c>
      <c r="R128" s="20">
        <f t="shared" si="182"/>
        <v>6802.4061070900034</v>
      </c>
      <c r="S128" s="32">
        <f t="shared" si="183"/>
        <v>7482.6467177990044</v>
      </c>
      <c r="T128" s="675"/>
      <c r="U128" s="1515"/>
      <c r="V128" s="1515"/>
      <c r="W128" s="1515"/>
      <c r="X128" s="1515"/>
      <c r="Y128" s="1515"/>
      <c r="Z128" s="1515"/>
      <c r="AA128" s="1515"/>
      <c r="AB128" s="1321"/>
      <c r="AC128" s="1"/>
      <c r="AD128" s="1"/>
      <c r="AE128" s="1"/>
      <c r="AF128" s="1"/>
      <c r="AG128" s="1"/>
      <c r="AH128" s="1"/>
      <c r="AI128" s="415"/>
      <c r="AJ128" s="1321"/>
      <c r="AK128" s="1515"/>
      <c r="AL128" s="1515"/>
      <c r="AM128" s="1515"/>
      <c r="AN128" s="1515"/>
      <c r="AO128" s="1515"/>
      <c r="AP128" s="1515"/>
      <c r="AQ128" s="1515"/>
      <c r="AS128" s="1485"/>
    </row>
    <row r="129" spans="1:45" ht="14.5" outlineLevel="2">
      <c r="C129" s="1"/>
      <c r="D129" s="33" t="s">
        <v>665</v>
      </c>
      <c r="E129" s="34"/>
      <c r="F129" s="34"/>
      <c r="G129" s="34"/>
      <c r="H129" s="402">
        <v>651</v>
      </c>
      <c r="I129" s="413"/>
      <c r="J129" s="402">
        <v>35</v>
      </c>
      <c r="K129" s="402">
        <v>20</v>
      </c>
      <c r="L129" s="402">
        <v>20.231999999999971</v>
      </c>
      <c r="M129" s="402">
        <v>19.802000000000135</v>
      </c>
      <c r="N129" s="705">
        <f t="shared" si="184"/>
        <v>20.231999999999971</v>
      </c>
      <c r="O129" s="35">
        <f t="shared" si="185"/>
        <v>22.25519999999997</v>
      </c>
      <c r="P129" s="35">
        <f t="shared" si="180"/>
        <v>24.48071999999997</v>
      </c>
      <c r="Q129" s="35">
        <f t="shared" si="181"/>
        <v>26.928791999999969</v>
      </c>
      <c r="R129" s="35">
        <f t="shared" si="182"/>
        <v>29.62167119999997</v>
      </c>
      <c r="S129" s="36">
        <f t="shared" si="183"/>
        <v>32.58383831999997</v>
      </c>
      <c r="T129" s="675"/>
      <c r="U129" s="1515"/>
      <c r="V129" s="1515"/>
      <c r="W129" s="1515"/>
      <c r="X129" s="1515"/>
      <c r="Y129" s="1515"/>
      <c r="Z129" s="1515"/>
      <c r="AA129" s="1515"/>
      <c r="AB129" s="1321"/>
      <c r="AC129" s="448"/>
      <c r="AD129" s="448"/>
      <c r="AE129" s="448"/>
      <c r="AF129" s="448"/>
      <c r="AG129" s="448"/>
      <c r="AH129" s="448"/>
      <c r="AI129" s="415"/>
      <c r="AJ129" s="1321"/>
      <c r="AK129" s="1515"/>
      <c r="AL129" s="1515"/>
      <c r="AM129" s="1515"/>
      <c r="AN129" s="1515"/>
      <c r="AO129" s="1515"/>
      <c r="AP129" s="1515"/>
      <c r="AQ129" s="1515"/>
      <c r="AS129" s="1485"/>
    </row>
    <row r="130" spans="1:45" s="1365" customFormat="1" ht="14.5" outlineLevel="3">
      <c r="A130" s="22"/>
      <c r="B130" s="22"/>
      <c r="C130" s="22" t="s">
        <v>847</v>
      </c>
      <c r="D130" s="22"/>
      <c r="E130" s="22"/>
      <c r="F130" s="22"/>
      <c r="G130" s="22"/>
      <c r="H130" s="219"/>
      <c r="I130" s="24"/>
      <c r="J130" s="24"/>
      <c r="K130" s="24"/>
      <c r="L130" s="754">
        <f>L124/J124-1</f>
        <v>0.19511421098517867</v>
      </c>
      <c r="M130" s="24"/>
      <c r="N130" s="24">
        <f>N124/L124-1</f>
        <v>8.8888709552697787E-2</v>
      </c>
      <c r="O130" s="24">
        <f>O124/N124-1</f>
        <v>8.9590133258725224E-2</v>
      </c>
      <c r="P130" s="24">
        <f t="shared" ref="P130" si="186">P124/O124-1</f>
        <v>8.9817973424775488E-2</v>
      </c>
      <c r="Q130" s="24">
        <f t="shared" ref="Q130" si="187">Q124/P124-1</f>
        <v>9.0089070824649342E-2</v>
      </c>
      <c r="R130" s="24">
        <f t="shared" ref="R130" si="188">R124/Q124-1</f>
        <v>9.0465898291330449E-2</v>
      </c>
      <c r="S130" s="24">
        <f t="shared" ref="S130" si="189">S124/R124-1</f>
        <v>9.0832714956729177E-2</v>
      </c>
      <c r="T130" s="726"/>
      <c r="U130" s="1521"/>
      <c r="V130" s="1521"/>
      <c r="W130" s="1521"/>
      <c r="X130" s="1521"/>
      <c r="Y130" s="1521"/>
      <c r="Z130" s="1521"/>
      <c r="AA130" s="1522"/>
      <c r="AC130" s="219"/>
      <c r="AD130" s="219"/>
      <c r="AE130" s="219"/>
      <c r="AF130" s="219"/>
      <c r="AG130" s="219"/>
      <c r="AH130" s="219"/>
      <c r="AI130" s="706"/>
      <c r="AK130" s="1521"/>
      <c r="AL130" s="1521"/>
      <c r="AM130" s="1521"/>
      <c r="AN130" s="1521"/>
      <c r="AO130" s="1521"/>
      <c r="AP130" s="1521"/>
      <c r="AQ130" s="1522"/>
      <c r="AS130" s="1487"/>
    </row>
    <row r="131" spans="1:45" s="1365" customFormat="1" ht="14.5" outlineLevel="3">
      <c r="A131" s="22"/>
      <c r="B131" s="22"/>
      <c r="C131" s="22"/>
      <c r="D131" s="707" t="s">
        <v>841</v>
      </c>
      <c r="E131" s="708"/>
      <c r="F131" s="708"/>
      <c r="G131" s="708"/>
      <c r="H131" s="709"/>
      <c r="I131" s="710"/>
      <c r="J131" s="710"/>
      <c r="K131" s="710"/>
      <c r="L131" s="1040" t="str">
        <f t="shared" ref="L131:L135" si="190">IFERROR(L125/J125-1,"NA")</f>
        <v>NA</v>
      </c>
      <c r="M131" s="710"/>
      <c r="N131" s="711">
        <f t="shared" ref="N131:N135" si="191">CHOOSE(case,U131,AC131,AK131)</f>
        <v>0.4</v>
      </c>
      <c r="O131" s="712">
        <f t="shared" ref="O131:O135" si="192">CHOOSE(case,V131,AD131,AL131)</f>
        <v>0.3</v>
      </c>
      <c r="P131" s="712">
        <f t="shared" ref="P131:P135" si="193">CHOOSE(case,W131,AE131,AM131)</f>
        <v>0.2</v>
      </c>
      <c r="Q131" s="712">
        <f t="shared" ref="Q131:Q135" si="194">CHOOSE(case,X131,AF131,AN131)</f>
        <v>0.15</v>
      </c>
      <c r="R131" s="712">
        <f t="shared" ref="R131:R135" si="195">CHOOSE(case,Y131,AG131,AO131)</f>
        <v>0.15</v>
      </c>
      <c r="S131" s="713">
        <f t="shared" ref="S131:S135" si="196">CHOOSE(case,Z131,AH131,AP131)</f>
        <v>0.15</v>
      </c>
      <c r="T131" s="726"/>
      <c r="U131" s="1521"/>
      <c r="V131" s="1521"/>
      <c r="W131" s="1521"/>
      <c r="X131" s="1521"/>
      <c r="Y131" s="1521"/>
      <c r="Z131" s="1521"/>
      <c r="AA131" s="1523"/>
      <c r="AC131" s="714">
        <v>0.4</v>
      </c>
      <c r="AD131" s="714">
        <v>0.3</v>
      </c>
      <c r="AE131" s="714">
        <v>0.2</v>
      </c>
      <c r="AF131" s="714">
        <v>0.15</v>
      </c>
      <c r="AG131" s="714">
        <v>0.15</v>
      </c>
      <c r="AH131" s="714">
        <v>0.15</v>
      </c>
      <c r="AI131" s="22"/>
      <c r="AK131" s="1521"/>
      <c r="AL131" s="1521"/>
      <c r="AM131" s="1521"/>
      <c r="AN131" s="1521"/>
      <c r="AO131" s="1521"/>
      <c r="AP131" s="1521"/>
      <c r="AQ131" s="1523"/>
      <c r="AS131" s="1487"/>
    </row>
    <row r="132" spans="1:45" s="1365" customFormat="1" ht="14.5" outlineLevel="3">
      <c r="A132" s="22"/>
      <c r="B132" s="22"/>
      <c r="C132" s="22"/>
      <c r="D132" s="715" t="s">
        <v>842</v>
      </c>
      <c r="E132" s="22"/>
      <c r="F132" s="22"/>
      <c r="G132" s="22"/>
      <c r="H132" s="219"/>
      <c r="I132" s="175"/>
      <c r="J132" s="175"/>
      <c r="K132" s="175"/>
      <c r="L132" s="1040" t="str">
        <f>IFERROR(L126/J126-1,"NA")</f>
        <v>NA</v>
      </c>
      <c r="M132" s="175"/>
      <c r="N132" s="716">
        <f t="shared" si="191"/>
        <v>0</v>
      </c>
      <c r="O132" s="717">
        <f t="shared" si="192"/>
        <v>0</v>
      </c>
      <c r="P132" s="717">
        <f t="shared" si="193"/>
        <v>0</v>
      </c>
      <c r="Q132" s="717">
        <f t="shared" si="194"/>
        <v>0</v>
      </c>
      <c r="R132" s="717">
        <f t="shared" si="195"/>
        <v>0</v>
      </c>
      <c r="S132" s="718">
        <f t="shared" si="196"/>
        <v>0</v>
      </c>
      <c r="T132" s="726"/>
      <c r="U132" s="1521"/>
      <c r="V132" s="1521"/>
      <c r="W132" s="1521"/>
      <c r="X132" s="1521"/>
      <c r="Y132" s="1521"/>
      <c r="Z132" s="1521"/>
      <c r="AA132" s="1523"/>
      <c r="AC132" s="714">
        <v>0</v>
      </c>
      <c r="AD132" s="714">
        <v>0</v>
      </c>
      <c r="AE132" s="714">
        <v>0</v>
      </c>
      <c r="AF132" s="714">
        <v>0</v>
      </c>
      <c r="AG132" s="714">
        <v>0</v>
      </c>
      <c r="AH132" s="714">
        <v>0</v>
      </c>
      <c r="AI132" s="22"/>
      <c r="AK132" s="1521"/>
      <c r="AL132" s="1521"/>
      <c r="AM132" s="1521"/>
      <c r="AN132" s="1521"/>
      <c r="AO132" s="1521"/>
      <c r="AP132" s="1521"/>
      <c r="AQ132" s="1523"/>
      <c r="AS132" s="1487"/>
    </row>
    <row r="133" spans="1:45" s="1365" customFormat="1" ht="14.5" outlineLevel="3">
      <c r="A133" s="22"/>
      <c r="B133" s="22"/>
      <c r="C133" s="22"/>
      <c r="D133" s="715" t="s">
        <v>843</v>
      </c>
      <c r="E133" s="22"/>
      <c r="F133" s="22"/>
      <c r="G133" s="22"/>
      <c r="H133" s="219"/>
      <c r="I133" s="175"/>
      <c r="J133" s="175"/>
      <c r="K133" s="175"/>
      <c r="L133" s="1040">
        <f t="shared" si="190"/>
        <v>6.2570811744387056E-2</v>
      </c>
      <c r="M133" s="175"/>
      <c r="N133" s="716">
        <f t="shared" si="191"/>
        <v>0.05</v>
      </c>
      <c r="O133" s="717">
        <f t="shared" si="192"/>
        <v>0.05</v>
      </c>
      <c r="P133" s="717">
        <f t="shared" si="193"/>
        <v>0.05</v>
      </c>
      <c r="Q133" s="717">
        <f t="shared" si="194"/>
        <v>0.05</v>
      </c>
      <c r="R133" s="717">
        <f t="shared" si="195"/>
        <v>0.05</v>
      </c>
      <c r="S133" s="718">
        <f t="shared" si="196"/>
        <v>0.05</v>
      </c>
      <c r="T133" s="726"/>
      <c r="U133" s="1521"/>
      <c r="V133" s="1521"/>
      <c r="W133" s="1521"/>
      <c r="X133" s="1521"/>
      <c r="Y133" s="1521"/>
      <c r="Z133" s="1521"/>
      <c r="AA133" s="1523"/>
      <c r="AC133" s="714">
        <v>0.05</v>
      </c>
      <c r="AD133" s="714">
        <v>0.05</v>
      </c>
      <c r="AE133" s="714">
        <v>0.05</v>
      </c>
      <c r="AF133" s="714">
        <v>0.05</v>
      </c>
      <c r="AG133" s="714">
        <v>0.05</v>
      </c>
      <c r="AH133" s="714">
        <v>0.05</v>
      </c>
      <c r="AI133" s="22"/>
      <c r="AK133" s="1521"/>
      <c r="AL133" s="1521"/>
      <c r="AM133" s="1521"/>
      <c r="AN133" s="1521"/>
      <c r="AO133" s="1521"/>
      <c r="AP133" s="1521"/>
      <c r="AQ133" s="1523"/>
      <c r="AS133" s="1487"/>
    </row>
    <row r="134" spans="1:45" s="1365" customFormat="1" ht="14.5" outlineLevel="3">
      <c r="A134" s="22"/>
      <c r="B134" s="22"/>
      <c r="C134" s="22"/>
      <c r="D134" s="715" t="s">
        <v>844</v>
      </c>
      <c r="E134" s="22"/>
      <c r="F134" s="22"/>
      <c r="G134" s="22"/>
      <c r="H134" s="219"/>
      <c r="I134" s="175"/>
      <c r="J134" s="175"/>
      <c r="K134" s="175"/>
      <c r="L134" s="1040">
        <f t="shared" si="190"/>
        <v>0.2441116347569956</v>
      </c>
      <c r="M134" s="175"/>
      <c r="N134" s="716">
        <f t="shared" si="191"/>
        <v>0.1</v>
      </c>
      <c r="O134" s="717">
        <f t="shared" si="192"/>
        <v>0.1</v>
      </c>
      <c r="P134" s="717">
        <f t="shared" si="193"/>
        <v>0.1</v>
      </c>
      <c r="Q134" s="717">
        <f t="shared" si="194"/>
        <v>0.1</v>
      </c>
      <c r="R134" s="717">
        <f t="shared" si="195"/>
        <v>0.1</v>
      </c>
      <c r="S134" s="718">
        <f t="shared" si="196"/>
        <v>0.1</v>
      </c>
      <c r="T134" s="726"/>
      <c r="U134" s="1521"/>
      <c r="V134" s="1521"/>
      <c r="W134" s="1521"/>
      <c r="X134" s="1521"/>
      <c r="Y134" s="1521"/>
      <c r="Z134" s="1521"/>
      <c r="AA134" s="1523"/>
      <c r="AC134" s="714">
        <v>0.1</v>
      </c>
      <c r="AD134" s="714">
        <v>0.1</v>
      </c>
      <c r="AE134" s="714">
        <v>0.1</v>
      </c>
      <c r="AF134" s="714">
        <v>0.1</v>
      </c>
      <c r="AG134" s="714">
        <v>0.1</v>
      </c>
      <c r="AH134" s="714">
        <v>0.1</v>
      </c>
      <c r="AI134" s="22"/>
      <c r="AK134" s="1521"/>
      <c r="AL134" s="1521"/>
      <c r="AM134" s="1521"/>
      <c r="AN134" s="1521"/>
      <c r="AO134" s="1521"/>
      <c r="AP134" s="1521"/>
      <c r="AQ134" s="1523"/>
      <c r="AS134" s="1487"/>
    </row>
    <row r="135" spans="1:45" s="1365" customFormat="1" ht="14.5" outlineLevel="3">
      <c r="A135" s="22"/>
      <c r="B135" s="22"/>
      <c r="C135" s="22"/>
      <c r="D135" s="719" t="s">
        <v>665</v>
      </c>
      <c r="E135" s="720"/>
      <c r="F135" s="720"/>
      <c r="G135" s="720"/>
      <c r="H135" s="721"/>
      <c r="I135" s="722"/>
      <c r="J135" s="722"/>
      <c r="K135" s="722"/>
      <c r="L135" s="1041">
        <f t="shared" si="190"/>
        <v>-0.42194285714285795</v>
      </c>
      <c r="M135" s="722"/>
      <c r="N135" s="723">
        <f t="shared" si="191"/>
        <v>0</v>
      </c>
      <c r="O135" s="724">
        <f t="shared" si="192"/>
        <v>0.1</v>
      </c>
      <c r="P135" s="724">
        <f t="shared" si="193"/>
        <v>0.1</v>
      </c>
      <c r="Q135" s="724">
        <f t="shared" si="194"/>
        <v>0.1</v>
      </c>
      <c r="R135" s="724">
        <f t="shared" si="195"/>
        <v>0.1</v>
      </c>
      <c r="S135" s="725">
        <f t="shared" si="196"/>
        <v>0.1</v>
      </c>
      <c r="T135" s="726"/>
      <c r="U135" s="1521"/>
      <c r="V135" s="1521"/>
      <c r="W135" s="1521"/>
      <c r="X135" s="1521"/>
      <c r="Y135" s="1521"/>
      <c r="Z135" s="1521"/>
      <c r="AA135" s="1523"/>
      <c r="AC135" s="714">
        <v>0</v>
      </c>
      <c r="AD135" s="714">
        <v>0.1</v>
      </c>
      <c r="AE135" s="714">
        <v>0.1</v>
      </c>
      <c r="AF135" s="714">
        <v>0.1</v>
      </c>
      <c r="AG135" s="714">
        <v>0.1</v>
      </c>
      <c r="AH135" s="714">
        <v>0.1</v>
      </c>
      <c r="AI135" s="22"/>
      <c r="AK135" s="1521"/>
      <c r="AL135" s="1521"/>
      <c r="AM135" s="1521"/>
      <c r="AN135" s="1521"/>
      <c r="AO135" s="1521"/>
      <c r="AP135" s="1521"/>
      <c r="AQ135" s="1523"/>
      <c r="AS135" s="1487"/>
    </row>
    <row r="136" spans="1:45" s="1365" customFormat="1" ht="14.5" outlineLevel="3">
      <c r="A136" s="22"/>
      <c r="B136" s="22"/>
      <c r="C136" s="22" t="s">
        <v>848</v>
      </c>
      <c r="D136" s="22"/>
      <c r="E136" s="22"/>
      <c r="F136" s="22"/>
      <c r="G136" s="22"/>
      <c r="H136" s="24">
        <f>H124/H$124</f>
        <v>1</v>
      </c>
      <c r="I136" s="24"/>
      <c r="J136" s="24">
        <f t="shared" ref="J136:S136" si="197">J124/J$124</f>
        <v>1</v>
      </c>
      <c r="K136" s="24">
        <f t="shared" si="197"/>
        <v>1</v>
      </c>
      <c r="L136" s="24">
        <f t="shared" si="197"/>
        <v>1</v>
      </c>
      <c r="M136" s="24">
        <f t="shared" si="197"/>
        <v>1</v>
      </c>
      <c r="N136" s="24">
        <f t="shared" si="197"/>
        <v>1</v>
      </c>
      <c r="O136" s="24">
        <f t="shared" si="197"/>
        <v>1</v>
      </c>
      <c r="P136" s="24">
        <f t="shared" si="197"/>
        <v>1</v>
      </c>
      <c r="Q136" s="24">
        <f t="shared" si="197"/>
        <v>1</v>
      </c>
      <c r="R136" s="24">
        <f t="shared" si="197"/>
        <v>1</v>
      </c>
      <c r="S136" s="24">
        <f t="shared" si="197"/>
        <v>1</v>
      </c>
      <c r="T136" s="726"/>
      <c r="U136" s="1521"/>
      <c r="V136" s="1521"/>
      <c r="W136" s="1521"/>
      <c r="X136" s="1521"/>
      <c r="Y136" s="1521"/>
      <c r="Z136" s="1521"/>
      <c r="AA136" s="1522"/>
      <c r="AC136" s="219"/>
      <c r="AD136" s="219"/>
      <c r="AE136" s="219"/>
      <c r="AF136" s="219"/>
      <c r="AG136" s="219"/>
      <c r="AH136" s="219"/>
      <c r="AI136" s="706"/>
      <c r="AK136" s="1521"/>
      <c r="AL136" s="1521"/>
      <c r="AM136" s="1521"/>
      <c r="AN136" s="1521"/>
      <c r="AO136" s="1521"/>
      <c r="AP136" s="1521"/>
      <c r="AQ136" s="1522"/>
      <c r="AS136" s="1487"/>
    </row>
    <row r="137" spans="1:45" s="1365" customFormat="1" ht="14.5" outlineLevel="3">
      <c r="A137" s="22"/>
      <c r="B137" s="22"/>
      <c r="C137" s="22"/>
      <c r="D137" s="707" t="s">
        <v>841</v>
      </c>
      <c r="E137" s="708"/>
      <c r="F137" s="708"/>
      <c r="G137" s="708"/>
      <c r="H137" s="793">
        <f>H125/H$124</f>
        <v>6.9490282361569497E-2</v>
      </c>
      <c r="I137" s="793"/>
      <c r="J137" s="793">
        <f t="shared" ref="J137:S137" si="198">J125/J$124</f>
        <v>0</v>
      </c>
      <c r="K137" s="793">
        <f t="shared" si="198"/>
        <v>1.1150758251561106E-3</v>
      </c>
      <c r="L137" s="793">
        <f t="shared" si="198"/>
        <v>1.5932348795882102E-3</v>
      </c>
      <c r="M137" s="793">
        <f t="shared" si="198"/>
        <v>3.2974878736355536E-3</v>
      </c>
      <c r="N137" s="793">
        <f t="shared" si="198"/>
        <v>2.0484451825565973E-3</v>
      </c>
      <c r="O137" s="793">
        <f t="shared" si="198"/>
        <v>2.4440187700297831E-3</v>
      </c>
      <c r="P137" s="793">
        <f t="shared" si="198"/>
        <v>2.6911122733820252E-3</v>
      </c>
      <c r="Q137" s="793">
        <f t="shared" si="198"/>
        <v>2.8390148999917386E-3</v>
      </c>
      <c r="R137" s="793">
        <f t="shared" si="198"/>
        <v>2.9940112204391487E-3</v>
      </c>
      <c r="S137" s="803">
        <f t="shared" si="198"/>
        <v>3.1564078123945899E-3</v>
      </c>
      <c r="T137" s="726"/>
      <c r="U137" s="1521"/>
      <c r="V137" s="1521"/>
      <c r="W137" s="1521"/>
      <c r="X137" s="1521"/>
      <c r="Y137" s="1521"/>
      <c r="Z137" s="1521"/>
      <c r="AA137" s="1523"/>
      <c r="AC137" s="728"/>
      <c r="AD137" s="728"/>
      <c r="AE137" s="728"/>
      <c r="AF137" s="728"/>
      <c r="AG137" s="728"/>
      <c r="AH137" s="728"/>
      <c r="AI137" s="22"/>
      <c r="AK137" s="1521"/>
      <c r="AL137" s="1521"/>
      <c r="AM137" s="1521"/>
      <c r="AN137" s="1521"/>
      <c r="AO137" s="1521"/>
      <c r="AP137" s="1521"/>
      <c r="AQ137" s="1523"/>
      <c r="AS137" s="1487"/>
    </row>
    <row r="138" spans="1:45" s="1365" customFormat="1" ht="14.5" outlineLevel="3">
      <c r="A138" s="22"/>
      <c r="B138" s="22"/>
      <c r="C138" s="22"/>
      <c r="D138" s="715" t="s">
        <v>842</v>
      </c>
      <c r="E138" s="22"/>
      <c r="F138" s="22"/>
      <c r="G138" s="22"/>
      <c r="H138" s="91">
        <f t="shared" ref="H138:S141" si="199">H126/H$124</f>
        <v>7.4257425742574254E-2</v>
      </c>
      <c r="I138" s="91"/>
      <c r="J138" s="91">
        <f t="shared" si="199"/>
        <v>0</v>
      </c>
      <c r="K138" s="91">
        <f t="shared" si="199"/>
        <v>0</v>
      </c>
      <c r="L138" s="91">
        <f t="shared" si="199"/>
        <v>0</v>
      </c>
      <c r="M138" s="91">
        <f t="shared" si="199"/>
        <v>0</v>
      </c>
      <c r="N138" s="91">
        <f t="shared" si="199"/>
        <v>0</v>
      </c>
      <c r="O138" s="91">
        <f t="shared" si="199"/>
        <v>0</v>
      </c>
      <c r="P138" s="91">
        <f t="shared" si="199"/>
        <v>0</v>
      </c>
      <c r="Q138" s="91">
        <f t="shared" si="199"/>
        <v>0</v>
      </c>
      <c r="R138" s="91">
        <f t="shared" si="199"/>
        <v>0</v>
      </c>
      <c r="S138" s="804">
        <f t="shared" si="199"/>
        <v>0</v>
      </c>
      <c r="T138" s="726"/>
      <c r="U138" s="1521"/>
      <c r="V138" s="1521"/>
      <c r="W138" s="1521"/>
      <c r="X138" s="1521"/>
      <c r="Y138" s="1521"/>
      <c r="Z138" s="1521"/>
      <c r="AA138" s="1523"/>
      <c r="AC138" s="728"/>
      <c r="AD138" s="728"/>
      <c r="AE138" s="728"/>
      <c r="AF138" s="728"/>
      <c r="AG138" s="728"/>
      <c r="AH138" s="728"/>
      <c r="AI138" s="22"/>
      <c r="AK138" s="1521"/>
      <c r="AL138" s="1521"/>
      <c r="AM138" s="1521"/>
      <c r="AN138" s="1521"/>
      <c r="AO138" s="1521"/>
      <c r="AP138" s="1521"/>
      <c r="AQ138" s="1523"/>
      <c r="AS138" s="1487"/>
    </row>
    <row r="139" spans="1:45" s="1365" customFormat="1" ht="14.5" outlineLevel="3">
      <c r="A139" s="22"/>
      <c r="B139" s="22"/>
      <c r="C139" s="22"/>
      <c r="D139" s="715" t="s">
        <v>843</v>
      </c>
      <c r="E139" s="22"/>
      <c r="F139" s="22"/>
      <c r="G139" s="22"/>
      <c r="H139" s="91">
        <f t="shared" si="199"/>
        <v>0.22075540887422077</v>
      </c>
      <c r="I139" s="91"/>
      <c r="J139" s="91">
        <f t="shared" si="199"/>
        <v>0.25239755884917175</v>
      </c>
      <c r="K139" s="91">
        <f t="shared" si="199"/>
        <v>0.22145405887600356</v>
      </c>
      <c r="L139" s="91">
        <f t="shared" si="199"/>
        <v>0.22440556435822692</v>
      </c>
      <c r="M139" s="91">
        <f t="shared" si="199"/>
        <v>0.20820895025412878</v>
      </c>
      <c r="N139" s="91">
        <f t="shared" si="199"/>
        <v>0.21639111555572146</v>
      </c>
      <c r="O139" s="91">
        <f t="shared" si="199"/>
        <v>0.20852856904455461</v>
      </c>
      <c r="P139" s="91">
        <f t="shared" si="199"/>
        <v>0.2009096957803988</v>
      </c>
      <c r="Q139" s="91">
        <f t="shared" si="199"/>
        <v>0.19352104907338602</v>
      </c>
      <c r="R139" s="91">
        <f t="shared" si="199"/>
        <v>0.18633971208586012</v>
      </c>
      <c r="S139" s="804">
        <f t="shared" si="199"/>
        <v>0.17936453042473555</v>
      </c>
      <c r="T139" s="726"/>
      <c r="U139" s="1521"/>
      <c r="V139" s="1521"/>
      <c r="W139" s="1521"/>
      <c r="X139" s="1521"/>
      <c r="Y139" s="1521"/>
      <c r="Z139" s="1521"/>
      <c r="AA139" s="1523"/>
      <c r="AC139" s="728"/>
      <c r="AD139" s="728"/>
      <c r="AE139" s="728"/>
      <c r="AF139" s="728"/>
      <c r="AG139" s="728"/>
      <c r="AH139" s="728"/>
      <c r="AI139" s="22"/>
      <c r="AK139" s="1521"/>
      <c r="AL139" s="1521"/>
      <c r="AM139" s="1521"/>
      <c r="AN139" s="1521"/>
      <c r="AO139" s="1521"/>
      <c r="AP139" s="1521"/>
      <c r="AQ139" s="1523"/>
      <c r="AS139" s="1487"/>
    </row>
    <row r="140" spans="1:45" s="1365" customFormat="1" ht="14.5" outlineLevel="3">
      <c r="A140" s="22"/>
      <c r="B140" s="22"/>
      <c r="C140" s="22"/>
      <c r="D140" s="715" t="s">
        <v>844</v>
      </c>
      <c r="E140" s="22"/>
      <c r="F140" s="22"/>
      <c r="G140" s="22"/>
      <c r="H140" s="91">
        <f t="shared" si="199"/>
        <v>0.51613494682801608</v>
      </c>
      <c r="I140" s="91"/>
      <c r="J140" s="91">
        <f t="shared" si="199"/>
        <v>0.73997384481255446</v>
      </c>
      <c r="K140" s="91">
        <f t="shared" si="199"/>
        <v>0.7729705619982159</v>
      </c>
      <c r="L140" s="91">
        <f t="shared" si="199"/>
        <v>0.7703113738295122</v>
      </c>
      <c r="M140" s="91">
        <f t="shared" si="199"/>
        <v>0.78155299481507878</v>
      </c>
      <c r="N140" s="91">
        <f t="shared" si="199"/>
        <v>0.77817182213280667</v>
      </c>
      <c r="O140" s="91">
        <f t="shared" si="199"/>
        <v>0.78560642044913898</v>
      </c>
      <c r="P140" s="91">
        <f t="shared" si="199"/>
        <v>0.7929462383322512</v>
      </c>
      <c r="Q140" s="91">
        <f t="shared" si="199"/>
        <v>0.80015558866728997</v>
      </c>
      <c r="R140" s="91">
        <f t="shared" si="199"/>
        <v>0.80715146517940106</v>
      </c>
      <c r="S140" s="804">
        <f t="shared" si="199"/>
        <v>0.81393471200812018</v>
      </c>
      <c r="T140" s="726"/>
      <c r="U140" s="1521"/>
      <c r="V140" s="1521"/>
      <c r="W140" s="1521"/>
      <c r="X140" s="1521"/>
      <c r="Y140" s="1521"/>
      <c r="Z140" s="1521"/>
      <c r="AA140" s="1523"/>
      <c r="AC140" s="728"/>
      <c r="AD140" s="728"/>
      <c r="AE140" s="728"/>
      <c r="AF140" s="728"/>
      <c r="AG140" s="728"/>
      <c r="AH140" s="728"/>
      <c r="AI140" s="22"/>
      <c r="AK140" s="1521"/>
      <c r="AL140" s="1521"/>
      <c r="AM140" s="1521"/>
      <c r="AN140" s="1521"/>
      <c r="AO140" s="1521"/>
      <c r="AP140" s="1521"/>
      <c r="AQ140" s="1523"/>
      <c r="AS140" s="1487"/>
    </row>
    <row r="141" spans="1:45" s="1365" customFormat="1" ht="14.5" outlineLevel="3">
      <c r="A141" s="22"/>
      <c r="B141" s="22"/>
      <c r="C141" s="22"/>
      <c r="D141" s="719" t="s">
        <v>665</v>
      </c>
      <c r="E141" s="720"/>
      <c r="F141" s="720"/>
      <c r="G141" s="720"/>
      <c r="H141" s="794">
        <f t="shared" si="199"/>
        <v>0.11936193619361936</v>
      </c>
      <c r="I141" s="794"/>
      <c r="J141" s="794">
        <f t="shared" si="199"/>
        <v>7.6285963382737576E-3</v>
      </c>
      <c r="K141" s="794">
        <f t="shared" si="199"/>
        <v>4.4603033006244425E-3</v>
      </c>
      <c r="L141" s="794">
        <f t="shared" si="199"/>
        <v>3.6898269326726897E-3</v>
      </c>
      <c r="M141" s="794">
        <f t="shared" si="199"/>
        <v>6.9405670571568538E-3</v>
      </c>
      <c r="N141" s="794">
        <f t="shared" si="199"/>
        <v>3.3886171289152457E-3</v>
      </c>
      <c r="O141" s="794">
        <f t="shared" si="199"/>
        <v>3.4209917362767396E-3</v>
      </c>
      <c r="P141" s="794">
        <f t="shared" si="199"/>
        <v>3.4529536139680495E-3</v>
      </c>
      <c r="Q141" s="794">
        <f t="shared" si="199"/>
        <v>3.4843473593322884E-3</v>
      </c>
      <c r="R141" s="794">
        <f t="shared" si="199"/>
        <v>3.5148115142996854E-3</v>
      </c>
      <c r="S141" s="805">
        <f t="shared" si="199"/>
        <v>3.5443497547495368E-3</v>
      </c>
      <c r="T141" s="726"/>
      <c r="U141" s="1521"/>
      <c r="V141" s="1521"/>
      <c r="W141" s="1521"/>
      <c r="X141" s="1521"/>
      <c r="Y141" s="1521"/>
      <c r="Z141" s="1521"/>
      <c r="AA141" s="1523"/>
      <c r="AC141" s="728"/>
      <c r="AD141" s="728"/>
      <c r="AE141" s="728"/>
      <c r="AF141" s="728"/>
      <c r="AG141" s="728"/>
      <c r="AH141" s="728"/>
      <c r="AI141" s="22"/>
      <c r="AK141" s="1521"/>
      <c r="AL141" s="1521"/>
      <c r="AM141" s="1521"/>
      <c r="AN141" s="1521"/>
      <c r="AO141" s="1521"/>
      <c r="AP141" s="1521"/>
      <c r="AQ141" s="1523"/>
      <c r="AS141" s="1487"/>
    </row>
    <row r="142" spans="1:45" ht="14.5" outlineLevel="2">
      <c r="C142" s="18" t="s">
        <v>31</v>
      </c>
      <c r="D142" s="1"/>
      <c r="E142" s="1"/>
      <c r="H142" s="764">
        <f>IFERROR(H148/H124,"NA")</f>
        <v>16.120828749541619</v>
      </c>
      <c r="I142" s="764" t="str">
        <f t="shared" ref="I142:K142" si="200">IFERROR(I148/I124,"NA")</f>
        <v>NA</v>
      </c>
      <c r="J142" s="764">
        <f t="shared" si="200"/>
        <v>18.719921534437663</v>
      </c>
      <c r="K142" s="764">
        <f t="shared" si="200"/>
        <v>15.979036574487065</v>
      </c>
      <c r="L142" s="764">
        <f t="shared" ref="L142:S142" si="201">IFERROR(L148/L124,"NA")</f>
        <v>17.998455019352086</v>
      </c>
      <c r="M142" s="764">
        <f t="shared" si="201"/>
        <v>18.399706002039476</v>
      </c>
      <c r="N142" s="764">
        <f t="shared" si="201"/>
        <v>18.501878159061423</v>
      </c>
      <c r="O142" s="764">
        <f t="shared" si="201"/>
        <v>18.40126706132941</v>
      </c>
      <c r="P142" s="764">
        <f t="shared" si="201"/>
        <v>18.303235951092521</v>
      </c>
      <c r="Q142" s="764">
        <f t="shared" si="201"/>
        <v>18.207804797165675</v>
      </c>
      <c r="R142" s="764">
        <f t="shared" si="201"/>
        <v>18.115095654150149</v>
      </c>
      <c r="S142" s="764">
        <f t="shared" si="201"/>
        <v>18.025094731796955</v>
      </c>
      <c r="T142" s="408"/>
      <c r="U142" s="1524">
        <f>$L142*(1+$AA142)</f>
        <v>18.358424119739126</v>
      </c>
      <c r="V142" s="1524">
        <f>U142*(1+$AA142)</f>
        <v>18.725592602133908</v>
      </c>
      <c r="W142" s="1524">
        <f t="shared" ref="W142" si="202">V142*(1+$AA142)</f>
        <v>19.100104454176588</v>
      </c>
      <c r="X142" s="1524">
        <f t="shared" ref="X142" si="203">W142*(1+$AA142)</f>
        <v>19.482106543260119</v>
      </c>
      <c r="Y142" s="1524">
        <f t="shared" ref="Y142" si="204">X142*(1+$AA142)</f>
        <v>19.871748674125321</v>
      </c>
      <c r="Z142" s="1524">
        <f t="shared" ref="Z142" si="205">Y142*(1+$AA142)</f>
        <v>20.269183647607829</v>
      </c>
      <c r="AA142" s="1525">
        <v>0.02</v>
      </c>
      <c r="AB142" s="1126"/>
      <c r="AC142" s="733"/>
      <c r="AD142" s="733"/>
      <c r="AE142" s="733"/>
      <c r="AF142" s="733"/>
      <c r="AG142" s="733"/>
      <c r="AH142" s="733"/>
      <c r="AI142" s="472"/>
      <c r="AJ142" s="1321"/>
      <c r="AK142" s="1529">
        <f>$L142*(1+$AQ142)</f>
        <v>17.998455019352086</v>
      </c>
      <c r="AL142" s="1529">
        <f>AK142*(1+$AQ142)</f>
        <v>17.998455019352086</v>
      </c>
      <c r="AM142" s="1529">
        <f t="shared" ref="AM142:AN142" si="206">AL142*(1+$AQ142)</f>
        <v>17.998455019352086</v>
      </c>
      <c r="AN142" s="1529">
        <f t="shared" si="206"/>
        <v>17.998455019352086</v>
      </c>
      <c r="AO142" s="1529">
        <f>AN142*(1+$AQ142)</f>
        <v>17.998455019352086</v>
      </c>
      <c r="AP142" s="1529">
        <f t="shared" ref="AP142" si="207">AO142*(1+$AQ142)</f>
        <v>17.998455019352086</v>
      </c>
      <c r="AQ142" s="1520">
        <v>0</v>
      </c>
      <c r="AS142" s="1485"/>
    </row>
    <row r="143" spans="1:45" ht="14.5" outlineLevel="2">
      <c r="C143" s="1"/>
      <c r="D143" s="27" t="s">
        <v>841</v>
      </c>
      <c r="E143" s="28"/>
      <c r="F143" s="28"/>
      <c r="G143" s="28"/>
      <c r="H143" s="759">
        <f>IFERROR(H149/H125,"NA")</f>
        <v>10.350923482849604</v>
      </c>
      <c r="I143" s="759" t="str">
        <f t="shared" ref="I143" si="208">IFERROR(I149/I125,"NA")</f>
        <v>NA</v>
      </c>
      <c r="J143" s="759" t="str">
        <f t="shared" ref="J143:M143" si="209">IFERROR(J149/J125,"NA")</f>
        <v>NA</v>
      </c>
      <c r="K143" s="759">
        <f t="shared" si="209"/>
        <v>17.8</v>
      </c>
      <c r="L143" s="759">
        <f t="shared" si="209"/>
        <v>19.27712721111428</v>
      </c>
      <c r="M143" s="759">
        <f t="shared" si="209"/>
        <v>19.632111509799206</v>
      </c>
      <c r="N143" s="780">
        <f>CHOOSE(case,U143,AC143,AK143)</f>
        <v>19.632111509799206</v>
      </c>
      <c r="O143" s="781">
        <f t="shared" ref="O143:O147" si="210">CHOOSE(case,V143,AD143,AL143)</f>
        <v>19.632111509799206</v>
      </c>
      <c r="P143" s="781">
        <f t="shared" ref="P143:P147" si="211">CHOOSE(case,W143,AE143,AM143)</f>
        <v>19.632111509799206</v>
      </c>
      <c r="Q143" s="781">
        <f t="shared" ref="Q143:Q147" si="212">CHOOSE(case,X143,AF143,AN143)</f>
        <v>19.632111509799206</v>
      </c>
      <c r="R143" s="781">
        <f t="shared" ref="R143:R147" si="213">CHOOSE(case,Y143,AG143,AO143)</f>
        <v>19.632111509799206</v>
      </c>
      <c r="S143" s="782">
        <f t="shared" ref="S143:S147" si="214">CHOOSE(case,Z143,AH143,AP143)</f>
        <v>19.632111509799206</v>
      </c>
      <c r="T143" s="675"/>
      <c r="U143" s="1515"/>
      <c r="V143" s="1515"/>
      <c r="W143" s="1515"/>
      <c r="X143" s="1515"/>
      <c r="Y143" s="1515"/>
      <c r="Z143" s="1515"/>
      <c r="AA143" s="1515"/>
      <c r="AB143" s="1321"/>
      <c r="AC143" s="737">
        <f>M143</f>
        <v>19.632111509799206</v>
      </c>
      <c r="AD143" s="737">
        <f t="shared" ref="AD143:AD147" si="215">N143</f>
        <v>19.632111509799206</v>
      </c>
      <c r="AE143" s="737">
        <f t="shared" ref="AE143:AE147" si="216">O143</f>
        <v>19.632111509799206</v>
      </c>
      <c r="AF143" s="737">
        <f t="shared" ref="AF143:AF147" si="217">P143</f>
        <v>19.632111509799206</v>
      </c>
      <c r="AG143" s="737">
        <f t="shared" ref="AG143:AG147" si="218">Q143</f>
        <v>19.632111509799206</v>
      </c>
      <c r="AH143" s="737">
        <f t="shared" ref="AH143:AH147" si="219">R143</f>
        <v>19.632111509799206</v>
      </c>
      <c r="AI143" s="415"/>
      <c r="AJ143" s="1321"/>
      <c r="AK143" s="1515"/>
      <c r="AL143" s="1515"/>
      <c r="AM143" s="1515"/>
      <c r="AN143" s="1515"/>
      <c r="AO143" s="1515"/>
      <c r="AP143" s="1515"/>
      <c r="AQ143" s="1515"/>
      <c r="AS143" s="1485"/>
    </row>
    <row r="144" spans="1:45" ht="14.5" outlineLevel="2">
      <c r="C144" s="1"/>
      <c r="D144" s="31" t="s">
        <v>842</v>
      </c>
      <c r="E144" s="1"/>
      <c r="F144" s="1"/>
      <c r="G144" s="1"/>
      <c r="H144" s="764">
        <f t="shared" ref="H144:I144" si="220">IFERROR(H150/H126,"NA")</f>
        <v>12.874074074074073</v>
      </c>
      <c r="I144" s="764" t="str">
        <f t="shared" si="220"/>
        <v>NA</v>
      </c>
      <c r="J144" s="764" t="str">
        <f t="shared" ref="J144:M144" si="221">IFERROR(J150/J126,"NA")</f>
        <v>NA</v>
      </c>
      <c r="K144" s="764" t="str">
        <f t="shared" si="221"/>
        <v>NA</v>
      </c>
      <c r="L144" s="764" t="str">
        <f t="shared" si="221"/>
        <v>NA</v>
      </c>
      <c r="M144" s="764" t="str">
        <f t="shared" si="221"/>
        <v>NA</v>
      </c>
      <c r="N144" s="785">
        <f>CHOOSE(case,U144,AC144,AK144)</f>
        <v>0</v>
      </c>
      <c r="O144" s="786">
        <f t="shared" si="210"/>
        <v>0</v>
      </c>
      <c r="P144" s="786">
        <f t="shared" si="211"/>
        <v>0</v>
      </c>
      <c r="Q144" s="786">
        <f t="shared" si="212"/>
        <v>0</v>
      </c>
      <c r="R144" s="786">
        <f t="shared" si="213"/>
        <v>0</v>
      </c>
      <c r="S144" s="787">
        <f t="shared" si="214"/>
        <v>0</v>
      </c>
      <c r="T144" s="675"/>
      <c r="U144" s="1515"/>
      <c r="V144" s="1515"/>
      <c r="W144" s="1515"/>
      <c r="X144" s="1515"/>
      <c r="Y144" s="1515"/>
      <c r="Z144" s="1515"/>
      <c r="AA144" s="1515"/>
      <c r="AB144" s="1321"/>
      <c r="AC144" s="737"/>
      <c r="AD144" s="737"/>
      <c r="AE144" s="737"/>
      <c r="AF144" s="737"/>
      <c r="AG144" s="737"/>
      <c r="AH144" s="737"/>
      <c r="AI144" s="415"/>
      <c r="AJ144" s="1321"/>
      <c r="AK144" s="1515"/>
      <c r="AL144" s="1515"/>
      <c r="AM144" s="1515"/>
      <c r="AN144" s="1515"/>
      <c r="AO144" s="1515"/>
      <c r="AP144" s="1515"/>
      <c r="AQ144" s="1515"/>
      <c r="AS144" s="1485"/>
    </row>
    <row r="145" spans="3:45" ht="14.5" outlineLevel="2">
      <c r="C145" s="1"/>
      <c r="D145" s="31" t="s">
        <v>843</v>
      </c>
      <c r="E145" s="1"/>
      <c r="F145" s="1"/>
      <c r="G145" s="1"/>
      <c r="H145" s="764">
        <f t="shared" ref="H145:I145" si="222">IFERROR(H151/H127,"NA")</f>
        <v>14.562292358803987</v>
      </c>
      <c r="I145" s="764" t="str">
        <f t="shared" si="222"/>
        <v>NA</v>
      </c>
      <c r="J145" s="764">
        <f t="shared" ref="J145:M145" si="223">IFERROR(J151/J127,"NA")</f>
        <v>26.826424870466322</v>
      </c>
      <c r="K145" s="764">
        <f t="shared" si="223"/>
        <v>24.82477341389728</v>
      </c>
      <c r="L145" s="764">
        <f t="shared" si="223"/>
        <v>25.852099421484517</v>
      </c>
      <c r="M145" s="764">
        <f t="shared" si="223"/>
        <v>28.676778668715706</v>
      </c>
      <c r="N145" s="785">
        <f>CHOOSE(case,U145,AC145,AK145)</f>
        <v>28.676778668715706</v>
      </c>
      <c r="O145" s="786">
        <f t="shared" si="210"/>
        <v>28.676778668715706</v>
      </c>
      <c r="P145" s="786">
        <f t="shared" si="211"/>
        <v>28.676778668715706</v>
      </c>
      <c r="Q145" s="786">
        <f t="shared" si="212"/>
        <v>28.676778668715706</v>
      </c>
      <c r="R145" s="786">
        <f t="shared" si="213"/>
        <v>28.676778668715706</v>
      </c>
      <c r="S145" s="787">
        <f t="shared" si="214"/>
        <v>28.676778668715706</v>
      </c>
      <c r="T145" s="675"/>
      <c r="U145" s="1515"/>
      <c r="V145" s="1515"/>
      <c r="W145" s="1515"/>
      <c r="X145" s="1515"/>
      <c r="Y145" s="1515"/>
      <c r="Z145" s="1515"/>
      <c r="AA145" s="1515"/>
      <c r="AB145" s="1321"/>
      <c r="AC145" s="737">
        <f t="shared" ref="AC145:AC147" si="224">M145</f>
        <v>28.676778668715706</v>
      </c>
      <c r="AD145" s="737">
        <f t="shared" si="215"/>
        <v>28.676778668715706</v>
      </c>
      <c r="AE145" s="737">
        <f t="shared" si="216"/>
        <v>28.676778668715706</v>
      </c>
      <c r="AF145" s="737">
        <f t="shared" si="217"/>
        <v>28.676778668715706</v>
      </c>
      <c r="AG145" s="737">
        <f t="shared" si="218"/>
        <v>28.676778668715706</v>
      </c>
      <c r="AH145" s="737">
        <f t="shared" si="219"/>
        <v>28.676778668715706</v>
      </c>
      <c r="AI145" s="415"/>
      <c r="AJ145" s="1321"/>
      <c r="AK145" s="1515"/>
      <c r="AL145" s="1515"/>
      <c r="AM145" s="1515"/>
      <c r="AN145" s="1515"/>
      <c r="AO145" s="1515"/>
      <c r="AP145" s="1515"/>
      <c r="AQ145" s="1515"/>
      <c r="AS145" s="1485"/>
    </row>
    <row r="146" spans="3:45" ht="14.5" outlineLevel="2">
      <c r="C146" s="1"/>
      <c r="D146" s="31" t="s">
        <v>844</v>
      </c>
      <c r="E146" s="1"/>
      <c r="F146" s="1"/>
      <c r="G146" s="1"/>
      <c r="H146" s="764">
        <f t="shared" ref="H146:I146" si="225">IFERROR(H152/H128,"NA")</f>
        <v>17.968383658969806</v>
      </c>
      <c r="I146" s="764" t="str">
        <f t="shared" si="225"/>
        <v>NA</v>
      </c>
      <c r="J146" s="764">
        <f t="shared" ref="J146:M146" si="226">IFERROR(J152/J128,"NA")</f>
        <v>15.994698085419735</v>
      </c>
      <c r="K146" s="764">
        <f t="shared" si="226"/>
        <v>13.4466243508367</v>
      </c>
      <c r="L146" s="764">
        <f t="shared" si="226"/>
        <v>15.739246867925898</v>
      </c>
      <c r="M146" s="764">
        <f t="shared" si="226"/>
        <v>15.68274406838845</v>
      </c>
      <c r="N146" s="785">
        <f>CHOOSE(case,U146,AC146,AK146)</f>
        <v>15.68274406838845</v>
      </c>
      <c r="O146" s="786">
        <f t="shared" si="210"/>
        <v>15.68274406838845</v>
      </c>
      <c r="P146" s="786">
        <f t="shared" si="211"/>
        <v>15.68274406838845</v>
      </c>
      <c r="Q146" s="786">
        <f t="shared" si="212"/>
        <v>15.68274406838845</v>
      </c>
      <c r="R146" s="786">
        <f t="shared" si="213"/>
        <v>15.68274406838845</v>
      </c>
      <c r="S146" s="787">
        <f t="shared" si="214"/>
        <v>15.68274406838845</v>
      </c>
      <c r="T146" s="675"/>
      <c r="U146" s="1515"/>
      <c r="V146" s="1515"/>
      <c r="W146" s="1515"/>
      <c r="X146" s="1515"/>
      <c r="Y146" s="1515"/>
      <c r="Z146" s="1515"/>
      <c r="AA146" s="1515"/>
      <c r="AB146" s="1321"/>
      <c r="AC146" s="737">
        <f t="shared" si="224"/>
        <v>15.68274406838845</v>
      </c>
      <c r="AD146" s="737">
        <f t="shared" si="215"/>
        <v>15.68274406838845</v>
      </c>
      <c r="AE146" s="737">
        <f t="shared" si="216"/>
        <v>15.68274406838845</v>
      </c>
      <c r="AF146" s="737">
        <f t="shared" si="217"/>
        <v>15.68274406838845</v>
      </c>
      <c r="AG146" s="737">
        <f t="shared" si="218"/>
        <v>15.68274406838845</v>
      </c>
      <c r="AH146" s="737">
        <f t="shared" si="219"/>
        <v>15.68274406838845</v>
      </c>
      <c r="AI146" s="415"/>
      <c r="AJ146" s="1321"/>
      <c r="AK146" s="1515"/>
      <c r="AL146" s="1515"/>
      <c r="AM146" s="1515"/>
      <c r="AN146" s="1515"/>
      <c r="AO146" s="1515"/>
      <c r="AP146" s="1515"/>
      <c r="AQ146" s="1515"/>
      <c r="AS146" s="1485"/>
    </row>
    <row r="147" spans="3:45" ht="15" outlineLevel="2" thickBot="1">
      <c r="C147" s="37"/>
      <c r="D147" s="33" t="s">
        <v>665</v>
      </c>
      <c r="E147" s="37"/>
      <c r="F147" s="37"/>
      <c r="G147" s="37"/>
      <c r="H147" s="774">
        <f t="shared" ref="H147:I147" si="227">IFERROR(H153/H129,"NA")</f>
        <v>16.393241167434716</v>
      </c>
      <c r="I147" s="774" t="str">
        <f t="shared" si="227"/>
        <v>NA</v>
      </c>
      <c r="J147" s="774">
        <f t="shared" ref="J147:M147" si="228">IFERROR(J153/J129,"NA")</f>
        <v>14.857142857142858</v>
      </c>
      <c r="K147" s="774">
        <f t="shared" si="228"/>
        <v>15.2</v>
      </c>
      <c r="L147" s="774">
        <f t="shared" si="228"/>
        <v>11.454789147357623</v>
      </c>
      <c r="M147" s="774">
        <f t="shared" si="228"/>
        <v>15.461528527514231</v>
      </c>
      <c r="N147" s="789">
        <f>CHOOSE(case,U147,AC147,AK147)</f>
        <v>15.461528527514231</v>
      </c>
      <c r="O147" s="790">
        <f t="shared" si="210"/>
        <v>15.461528527514231</v>
      </c>
      <c r="P147" s="790">
        <f t="shared" si="211"/>
        <v>15.461528527514231</v>
      </c>
      <c r="Q147" s="790">
        <f t="shared" si="212"/>
        <v>15.461528527514231</v>
      </c>
      <c r="R147" s="790">
        <f t="shared" si="213"/>
        <v>15.461528527514231</v>
      </c>
      <c r="S147" s="791">
        <f t="shared" si="214"/>
        <v>15.461528527514231</v>
      </c>
      <c r="T147" s="675"/>
      <c r="U147" s="1515"/>
      <c r="V147" s="1515"/>
      <c r="W147" s="1515"/>
      <c r="X147" s="1515"/>
      <c r="Y147" s="1515"/>
      <c r="Z147" s="1515"/>
      <c r="AA147" s="1515"/>
      <c r="AB147" s="1321"/>
      <c r="AC147" s="737">
        <f t="shared" si="224"/>
        <v>15.461528527514231</v>
      </c>
      <c r="AD147" s="737">
        <f t="shared" si="215"/>
        <v>15.461528527514231</v>
      </c>
      <c r="AE147" s="737">
        <f t="shared" si="216"/>
        <v>15.461528527514231</v>
      </c>
      <c r="AF147" s="737">
        <f t="shared" si="217"/>
        <v>15.461528527514231</v>
      </c>
      <c r="AG147" s="737">
        <f t="shared" si="218"/>
        <v>15.461528527514231</v>
      </c>
      <c r="AH147" s="737">
        <f t="shared" si="219"/>
        <v>15.461528527514231</v>
      </c>
      <c r="AI147" s="415"/>
      <c r="AJ147" s="1321"/>
      <c r="AK147" s="1515"/>
      <c r="AL147" s="1515"/>
      <c r="AM147" s="1515"/>
      <c r="AN147" s="1515"/>
      <c r="AO147" s="1515"/>
      <c r="AP147" s="1515"/>
      <c r="AQ147" s="1515"/>
      <c r="AS147" s="1485"/>
    </row>
    <row r="148" spans="3:45" ht="14.5" outlineLevel="2">
      <c r="C148" s="18" t="s">
        <v>991</v>
      </c>
      <c r="D148" s="1"/>
      <c r="E148" s="1"/>
      <c r="H148" s="99">
        <f>SUM(H149:H153)</f>
        <v>87923</v>
      </c>
      <c r="I148" s="414">
        <v>96747</v>
      </c>
      <c r="J148" s="99">
        <f t="shared" ref="J148" si="229">SUM(J149:J153)</f>
        <v>85887</v>
      </c>
      <c r="K148" s="99">
        <f t="shared" ref="K148" si="230">SUM(K149:K153)</f>
        <v>71650</v>
      </c>
      <c r="L148" s="23">
        <f>SUM(L149:L153)</f>
        <v>98688.840586831051</v>
      </c>
      <c r="M148" s="23">
        <f>SUM(M149:M153)</f>
        <v>52495.851600004789</v>
      </c>
      <c r="N148" s="23">
        <f>SUM(N149:N153)</f>
        <v>110466.8909685762</v>
      </c>
      <c r="O148" s="23">
        <f t="shared" ref="O148:S148" si="231">SUM(O149:O153)</f>
        <v>119709.11077061119</v>
      </c>
      <c r="P148" s="23">
        <f t="shared" si="231"/>
        <v>129766.1204019798</v>
      </c>
      <c r="Q148" s="23">
        <f t="shared" si="231"/>
        <v>140719.08957246901</v>
      </c>
      <c r="R148" s="23">
        <f t="shared" si="231"/>
        <v>152668.04636341921</v>
      </c>
      <c r="S148" s="23">
        <f t="shared" si="231"/>
        <v>165707.90499908183</v>
      </c>
      <c r="T148" s="1321"/>
      <c r="U148" s="1515"/>
      <c r="V148" s="1515"/>
      <c r="W148" s="1515"/>
      <c r="X148" s="1515"/>
      <c r="Y148" s="1515"/>
      <c r="Z148" s="1515"/>
      <c r="AA148" s="1515"/>
      <c r="AB148" s="1321"/>
      <c r="AC148" s="1"/>
      <c r="AD148" s="1"/>
      <c r="AE148" s="1"/>
      <c r="AF148" s="1"/>
      <c r="AG148" s="1"/>
      <c r="AH148" s="1"/>
      <c r="AI148" s="415"/>
      <c r="AJ148" s="1321"/>
      <c r="AK148" s="1515"/>
      <c r="AL148" s="1515"/>
      <c r="AM148" s="1515"/>
      <c r="AN148" s="1515"/>
      <c r="AO148" s="1515"/>
      <c r="AP148" s="1515"/>
      <c r="AQ148" s="1515"/>
      <c r="AS148" s="1485"/>
    </row>
    <row r="149" spans="3:45" ht="14.5" outlineLevel="2">
      <c r="C149" s="1"/>
      <c r="D149" s="27" t="s">
        <v>841</v>
      </c>
      <c r="E149" s="28"/>
      <c r="F149" s="28"/>
      <c r="G149" s="28"/>
      <c r="H149" s="398">
        <v>3923</v>
      </c>
      <c r="I149" s="411"/>
      <c r="J149" s="398">
        <v>0</v>
      </c>
      <c r="K149" s="398">
        <v>89</v>
      </c>
      <c r="L149" s="398">
        <v>168.40498331629436</v>
      </c>
      <c r="M149" s="398">
        <v>184.69890508419093</v>
      </c>
      <c r="N149" s="29">
        <f>N125*N143</f>
        <v>240.10857660944819</v>
      </c>
      <c r="O149" s="29">
        <f t="shared" ref="O149:R149" si="232">O125*O143</f>
        <v>312.14114959228266</v>
      </c>
      <c r="P149" s="29">
        <f t="shared" si="232"/>
        <v>374.56937951073917</v>
      </c>
      <c r="Q149" s="29">
        <f t="shared" si="232"/>
        <v>430.75478643735005</v>
      </c>
      <c r="R149" s="29">
        <f t="shared" si="232"/>
        <v>495.36800440295247</v>
      </c>
      <c r="S149" s="30">
        <f>S125*S143</f>
        <v>569.67320506339536</v>
      </c>
      <c r="T149" s="1321"/>
      <c r="U149" s="1515"/>
      <c r="V149" s="1515"/>
      <c r="W149" s="1515"/>
      <c r="X149" s="1515"/>
      <c r="Y149" s="1515"/>
      <c r="Z149" s="1515"/>
      <c r="AA149" s="1515"/>
      <c r="AB149" s="1321"/>
      <c r="AC149" s="1"/>
      <c r="AD149" s="1"/>
      <c r="AE149" s="1"/>
      <c r="AF149" s="1"/>
      <c r="AG149" s="1"/>
      <c r="AH149" s="1"/>
      <c r="AI149" s="415"/>
      <c r="AJ149" s="1321"/>
      <c r="AK149" s="1515"/>
      <c r="AL149" s="1515"/>
      <c r="AM149" s="1515"/>
      <c r="AN149" s="1515"/>
      <c r="AO149" s="1515"/>
      <c r="AP149" s="1515"/>
      <c r="AQ149" s="1515"/>
      <c r="AS149" s="1485"/>
    </row>
    <row r="150" spans="3:45" ht="14.5" outlineLevel="2">
      <c r="C150" s="1"/>
      <c r="D150" s="31" t="s">
        <v>842</v>
      </c>
      <c r="E150" s="1"/>
      <c r="F150" s="1"/>
      <c r="G150" s="1"/>
      <c r="H150" s="400">
        <v>5214</v>
      </c>
      <c r="I150" s="412"/>
      <c r="J150" s="400">
        <v>0</v>
      </c>
      <c r="K150" s="400">
        <v>0</v>
      </c>
      <c r="L150" s="400">
        <v>0</v>
      </c>
      <c r="M150" s="400">
        <v>0</v>
      </c>
      <c r="N150" s="20">
        <f t="shared" ref="N150:S150" si="233">N126*N144</f>
        <v>0</v>
      </c>
      <c r="O150" s="20">
        <f t="shared" si="233"/>
        <v>0</v>
      </c>
      <c r="P150" s="20">
        <f t="shared" si="233"/>
        <v>0</v>
      </c>
      <c r="Q150" s="20">
        <f t="shared" si="233"/>
        <v>0</v>
      </c>
      <c r="R150" s="20">
        <f t="shared" si="233"/>
        <v>0</v>
      </c>
      <c r="S150" s="32">
        <f t="shared" si="233"/>
        <v>0</v>
      </c>
      <c r="T150" s="1321"/>
      <c r="U150" s="1515"/>
      <c r="V150" s="1515"/>
      <c r="W150" s="1515"/>
      <c r="X150" s="1515"/>
      <c r="Y150" s="1515"/>
      <c r="Z150" s="1515"/>
      <c r="AA150" s="1515"/>
      <c r="AB150" s="1321"/>
      <c r="AC150" s="1"/>
      <c r="AD150" s="1"/>
      <c r="AE150" s="1"/>
      <c r="AF150" s="1"/>
      <c r="AG150" s="1"/>
      <c r="AH150" s="1"/>
      <c r="AI150" s="415"/>
      <c r="AJ150" s="1321"/>
      <c r="AK150" s="1515"/>
      <c r="AL150" s="1515"/>
      <c r="AM150" s="1515"/>
      <c r="AN150" s="1515"/>
      <c r="AO150" s="1515"/>
      <c r="AP150" s="1515"/>
      <c r="AQ150" s="1515"/>
      <c r="AS150" s="1485"/>
    </row>
    <row r="151" spans="3:45" ht="14.5" outlineLevel="2">
      <c r="C151" s="1"/>
      <c r="D151" s="31" t="s">
        <v>843</v>
      </c>
      <c r="E151" s="1"/>
      <c r="F151" s="1"/>
      <c r="G151" s="1"/>
      <c r="H151" s="400">
        <v>17533</v>
      </c>
      <c r="I151" s="412"/>
      <c r="J151" s="400">
        <v>31065</v>
      </c>
      <c r="K151" s="400">
        <v>24651</v>
      </c>
      <c r="L151" s="400">
        <v>31809.896697861579</v>
      </c>
      <c r="M151" s="400">
        <v>17035.067570027873</v>
      </c>
      <c r="N151" s="20">
        <f t="shared" ref="N151:S151" si="234">N127*N145</f>
        <v>37049.820202890522</v>
      </c>
      <c r="O151" s="20">
        <f t="shared" si="234"/>
        <v>38902.311213035049</v>
      </c>
      <c r="P151" s="20">
        <f t="shared" si="234"/>
        <v>40847.426773686806</v>
      </c>
      <c r="Q151" s="20">
        <f t="shared" si="234"/>
        <v>42889.798112371151</v>
      </c>
      <c r="R151" s="20">
        <f t="shared" si="234"/>
        <v>45034.288017989711</v>
      </c>
      <c r="S151" s="32">
        <f t="shared" si="234"/>
        <v>47286.002418889198</v>
      </c>
      <c r="T151" s="1321"/>
      <c r="U151" s="1515"/>
      <c r="V151" s="1515"/>
      <c r="W151" s="1515"/>
      <c r="X151" s="1515"/>
      <c r="Y151" s="1515"/>
      <c r="Z151" s="1515"/>
      <c r="AA151" s="1515"/>
      <c r="AB151" s="1321"/>
      <c r="AC151" s="1"/>
      <c r="AD151" s="1"/>
      <c r="AE151" s="1"/>
      <c r="AF151" s="1"/>
      <c r="AG151" s="1"/>
      <c r="AH151" s="1"/>
      <c r="AI151" s="415"/>
      <c r="AJ151" s="1321"/>
      <c r="AK151" s="1515"/>
      <c r="AL151" s="1515"/>
      <c r="AM151" s="1515"/>
      <c r="AN151" s="1515"/>
      <c r="AO151" s="1515"/>
      <c r="AP151" s="1515"/>
      <c r="AQ151" s="1515"/>
      <c r="AS151" s="1485"/>
    </row>
    <row r="152" spans="3:45" ht="14.5" outlineLevel="2">
      <c r="C152" s="1"/>
      <c r="D152" s="31" t="s">
        <v>844</v>
      </c>
      <c r="E152" s="1"/>
      <c r="F152" s="1"/>
      <c r="G152" s="1"/>
      <c r="H152" s="400">
        <v>50581</v>
      </c>
      <c r="I152" s="412"/>
      <c r="J152" s="400">
        <v>54302</v>
      </c>
      <c r="K152" s="400">
        <v>46606</v>
      </c>
      <c r="L152" s="400">
        <v>66478.785611623825</v>
      </c>
      <c r="M152" s="400">
        <v>34969.915936990888</v>
      </c>
      <c r="N152" s="20">
        <f t="shared" ref="N152:S152" si="235">N128*N146</f>
        <v>72864.144543907561</v>
      </c>
      <c r="O152" s="20">
        <f t="shared" si="235"/>
        <v>80150.558998298337</v>
      </c>
      <c r="P152" s="20">
        <f t="shared" si="235"/>
        <v>88165.614898128173</v>
      </c>
      <c r="Q152" s="20">
        <f t="shared" si="235"/>
        <v>96982.176387941014</v>
      </c>
      <c r="R152" s="20">
        <f t="shared" si="235"/>
        <v>106680.39402673511</v>
      </c>
      <c r="S152" s="32">
        <f t="shared" si="235"/>
        <v>117348.43342940864</v>
      </c>
      <c r="T152" s="1321"/>
      <c r="U152" s="1515"/>
      <c r="V152" s="1515"/>
      <c r="W152" s="1515"/>
      <c r="X152" s="1515"/>
      <c r="Y152" s="1515"/>
      <c r="Z152" s="1515"/>
      <c r="AA152" s="1515"/>
      <c r="AB152" s="1321"/>
      <c r="AC152" s="1"/>
      <c r="AD152" s="1"/>
      <c r="AE152" s="1"/>
      <c r="AF152" s="1"/>
      <c r="AG152" s="1"/>
      <c r="AH152" s="1"/>
      <c r="AI152" s="415"/>
      <c r="AJ152" s="1321"/>
      <c r="AK152" s="1515"/>
      <c r="AL152" s="1515"/>
      <c r="AM152" s="1515"/>
      <c r="AN152" s="1515"/>
      <c r="AO152" s="1515"/>
      <c r="AP152" s="1515"/>
      <c r="AQ152" s="1515"/>
      <c r="AS152" s="1485"/>
    </row>
    <row r="153" spans="3:45" ht="14.5" outlineLevel="2">
      <c r="C153" s="1"/>
      <c r="D153" s="33" t="s">
        <v>665</v>
      </c>
      <c r="E153" s="34"/>
      <c r="F153" s="34"/>
      <c r="G153" s="34"/>
      <c r="H153" s="402">
        <v>10672</v>
      </c>
      <c r="I153" s="413"/>
      <c r="J153" s="402">
        <v>520</v>
      </c>
      <c r="K153" s="402">
        <v>304</v>
      </c>
      <c r="L153" s="402">
        <v>231.75329402933909</v>
      </c>
      <c r="M153" s="402">
        <v>306.16918790183888</v>
      </c>
      <c r="N153" s="35">
        <f t="shared" ref="N153:S153" si="236">N129*N147</f>
        <v>312.81764516866747</v>
      </c>
      <c r="O153" s="35">
        <f t="shared" si="236"/>
        <v>344.09940968553423</v>
      </c>
      <c r="P153" s="35">
        <f t="shared" si="236"/>
        <v>378.50935065408771</v>
      </c>
      <c r="Q153" s="35">
        <f t="shared" si="236"/>
        <v>416.36028571949652</v>
      </c>
      <c r="R153" s="35">
        <f t="shared" si="236"/>
        <v>457.99631429144625</v>
      </c>
      <c r="S153" s="36">
        <f t="shared" si="236"/>
        <v>503.79594572059091</v>
      </c>
      <c r="T153" s="1321"/>
      <c r="U153" s="1515"/>
      <c r="V153" s="1515"/>
      <c r="W153" s="1515"/>
      <c r="X153" s="1515"/>
      <c r="Y153" s="1515"/>
      <c r="Z153" s="1515"/>
      <c r="AA153" s="1515"/>
      <c r="AB153" s="1321"/>
      <c r="AC153" s="1"/>
      <c r="AD153" s="1"/>
      <c r="AE153" s="1"/>
      <c r="AF153" s="1"/>
      <c r="AG153" s="1"/>
      <c r="AH153" s="1"/>
      <c r="AI153" s="415"/>
      <c r="AJ153" s="1321"/>
      <c r="AK153" s="1515"/>
      <c r="AL153" s="1515"/>
      <c r="AM153" s="1515"/>
      <c r="AN153" s="1515"/>
      <c r="AO153" s="1515"/>
      <c r="AP153" s="1515"/>
      <c r="AQ153" s="1515"/>
      <c r="AS153" s="1485"/>
    </row>
    <row r="154" spans="3:45" ht="14.5" outlineLevel="2">
      <c r="C154" s="1"/>
      <c r="D154" s="1"/>
      <c r="E154" s="1"/>
      <c r="AI154" s="424"/>
      <c r="AS154" s="1485"/>
    </row>
    <row r="155" spans="3:45" ht="15" outlineLevel="2" thickBot="1">
      <c r="C155" s="37" t="s">
        <v>160</v>
      </c>
      <c r="D155" s="37"/>
      <c r="E155" s="37"/>
      <c r="F155" s="109"/>
      <c r="G155" s="109"/>
      <c r="H155" s="117">
        <f>1-H156/H148</f>
        <v>0.2624682961227438</v>
      </c>
      <c r="I155" s="117">
        <f t="shared" ref="I155" si="237">1-I156/I148</f>
        <v>0.15963285683276995</v>
      </c>
      <c r="J155" s="117">
        <f t="shared" ref="J155" si="238">1-J156/J148</f>
        <v>0.18331062908239892</v>
      </c>
      <c r="K155" s="117">
        <f t="shared" ref="K155:M155" si="239">1-K156/K148</f>
        <v>0.22188415910676906</v>
      </c>
      <c r="L155" s="117">
        <f t="shared" si="239"/>
        <v>0.22188415910676917</v>
      </c>
      <c r="M155" s="117">
        <f t="shared" si="239"/>
        <v>0.22188415910676895</v>
      </c>
      <c r="N155" s="160">
        <f t="shared" ref="N155" si="240">L155</f>
        <v>0.22188415910676917</v>
      </c>
      <c r="O155" s="160">
        <f t="shared" ref="O155" si="241">N155</f>
        <v>0.22188415910676917</v>
      </c>
      <c r="P155" s="160">
        <f t="shared" ref="P155" si="242">O155</f>
        <v>0.22188415910676917</v>
      </c>
      <c r="Q155" s="160">
        <f t="shared" ref="Q155" si="243">P155</f>
        <v>0.22188415910676917</v>
      </c>
      <c r="R155" s="160">
        <f t="shared" ref="R155" si="244">Q155</f>
        <v>0.22188415910676917</v>
      </c>
      <c r="S155" s="160">
        <f t="shared" ref="S155" si="245">R155</f>
        <v>0.22188415910676917</v>
      </c>
      <c r="AI155" s="424"/>
      <c r="AS155" s="1485"/>
    </row>
    <row r="156" spans="3:45" s="101" customFormat="1" ht="15" outlineLevel="2" thickBot="1">
      <c r="C156" s="76" t="s">
        <v>992</v>
      </c>
      <c r="D156" s="76"/>
      <c r="E156" s="76"/>
      <c r="F156" s="110"/>
      <c r="G156" s="110"/>
      <c r="H156" s="409">
        <v>64846</v>
      </c>
      <c r="I156" s="409">
        <v>81303</v>
      </c>
      <c r="J156" s="409">
        <v>70143</v>
      </c>
      <c r="K156" s="409">
        <v>55752</v>
      </c>
      <c r="L156" s="409">
        <v>76791.350180000052</v>
      </c>
      <c r="M156" s="409">
        <v>40847.853711143995</v>
      </c>
      <c r="N156" s="113">
        <f t="shared" ref="N156:S156" si="246">N148*(1-N155)</f>
        <v>85956.037756874517</v>
      </c>
      <c r="O156" s="113">
        <f t="shared" si="246"/>
        <v>93147.555389855042</v>
      </c>
      <c r="P156" s="113">
        <f t="shared" si="246"/>
        <v>100973.07389603875</v>
      </c>
      <c r="Q156" s="113">
        <f t="shared" si="246"/>
        <v>109495.75271241159</v>
      </c>
      <c r="R156" s="113">
        <f t="shared" si="246"/>
        <v>118793.4252735987</v>
      </c>
      <c r="S156" s="113">
        <f t="shared" si="246"/>
        <v>128939.94584101616</v>
      </c>
      <c r="T156" s="525"/>
      <c r="U156" s="1512"/>
      <c r="V156" s="1512"/>
      <c r="W156" s="1512"/>
      <c r="X156" s="1512"/>
      <c r="Y156" s="1512"/>
      <c r="Z156" s="1512"/>
      <c r="AA156" s="1512"/>
      <c r="AI156" s="473"/>
      <c r="AK156" s="1512"/>
      <c r="AL156" s="1512"/>
      <c r="AM156" s="1512"/>
      <c r="AN156" s="1512"/>
      <c r="AO156" s="1512"/>
      <c r="AP156" s="1512"/>
      <c r="AQ156" s="1512"/>
      <c r="AS156" s="1484"/>
    </row>
    <row r="157" spans="3:45" s="101" customFormat="1" ht="14.5" outlineLevel="2">
      <c r="C157" s="97" t="s">
        <v>659</v>
      </c>
      <c r="H157" s="394">
        <v>-66494</v>
      </c>
      <c r="I157" s="394">
        <v>-71806</v>
      </c>
      <c r="J157" s="394">
        <v>-55284</v>
      </c>
      <c r="K157" s="394">
        <v>-41616</v>
      </c>
      <c r="L157" s="394">
        <v>-55207.538097231998</v>
      </c>
      <c r="M157" s="394">
        <v>-32350.393887951606</v>
      </c>
      <c r="N157" s="20">
        <f>N158*N124</f>
        <v>-67698.927068983845</v>
      </c>
      <c r="O157" s="20">
        <f>O158*O124</f>
        <v>-71975.31407906524</v>
      </c>
      <c r="P157" s="20">
        <f t="shared" ref="P157" si="247">P158*P124</f>
        <v>-77143.902603901675</v>
      </c>
      <c r="Q157" s="20">
        <f t="shared" ref="Q157" si="248">Q158*Q124</f>
        <v>-83021.561438651726</v>
      </c>
      <c r="R157" s="20">
        <f t="shared" ref="R157" si="249">R158*R124</f>
        <v>-89430.90327369755</v>
      </c>
      <c r="S157" s="20">
        <f t="shared" ref="S157" si="250">S158*S124</f>
        <v>-96404.972796856571</v>
      </c>
      <c r="U157" s="1512"/>
      <c r="V157" s="1512"/>
      <c r="W157" s="1512"/>
      <c r="X157" s="1512"/>
      <c r="Y157" s="1512"/>
      <c r="Z157" s="1512"/>
      <c r="AA157" s="1512"/>
      <c r="AI157" s="473"/>
      <c r="AK157" s="1512"/>
      <c r="AL157" s="1512"/>
      <c r="AM157" s="1512"/>
      <c r="AN157" s="1512"/>
      <c r="AO157" s="1512"/>
      <c r="AP157" s="1512"/>
      <c r="AQ157" s="1512"/>
      <c r="AS157" s="1484"/>
    </row>
    <row r="158" spans="3:45" s="101" customFormat="1" ht="14.5" outlineLevel="2">
      <c r="C158" s="97"/>
      <c r="D158" s="1" t="s">
        <v>849</v>
      </c>
      <c r="E158" s="1"/>
      <c r="H158" s="744">
        <f>H157/H124</f>
        <v>-12.191785845251191</v>
      </c>
      <c r="I158" s="1037"/>
      <c r="J158" s="744">
        <f t="shared" ref="J158:M158" si="251">J157/J124</f>
        <v>-12.04969485614647</v>
      </c>
      <c r="K158" s="744">
        <f t="shared" si="251"/>
        <v>-9.2809991079393406</v>
      </c>
      <c r="L158" s="744">
        <f t="shared" si="251"/>
        <v>-10.068518236344429</v>
      </c>
      <c r="M158" s="744">
        <f t="shared" si="251"/>
        <v>-11.338757605532967</v>
      </c>
      <c r="N158" s="1039">
        <f>M158</f>
        <v>-11.338757605532967</v>
      </c>
      <c r="O158" s="744">
        <f>N158*(1+O159)</f>
        <v>-11.063794289892042</v>
      </c>
      <c r="P158" s="744">
        <f t="shared" ref="P158:S158" si="252">O158*(1+P159)</f>
        <v>-10.880983782002401</v>
      </c>
      <c r="Q158" s="744">
        <f t="shared" si="252"/>
        <v>-10.742255291897603</v>
      </c>
      <c r="R158" s="744">
        <f t="shared" si="252"/>
        <v>-10.611581177790329</v>
      </c>
      <c r="S158" s="744">
        <f t="shared" si="252"/>
        <v>-10.48657737414082</v>
      </c>
      <c r="U158" s="1512"/>
      <c r="V158" s="1512"/>
      <c r="W158" s="1512"/>
      <c r="X158" s="1512"/>
      <c r="Y158" s="1512"/>
      <c r="Z158" s="1512"/>
      <c r="AA158" s="1512"/>
      <c r="AI158" s="473"/>
      <c r="AK158" s="1512"/>
      <c r="AL158" s="1512"/>
      <c r="AM158" s="1512"/>
      <c r="AN158" s="1512"/>
      <c r="AO158" s="1512"/>
      <c r="AP158" s="1512"/>
      <c r="AQ158" s="1512"/>
      <c r="AS158" s="1484"/>
    </row>
    <row r="159" spans="3:45" s="101" customFormat="1" ht="15" outlineLevel="2" thickBot="1">
      <c r="C159" s="97"/>
      <c r="D159" s="74"/>
      <c r="E159" s="74" t="s">
        <v>151</v>
      </c>
      <c r="H159" s="404"/>
      <c r="I159" s="404"/>
      <c r="J159" s="404"/>
      <c r="K159" s="404"/>
      <c r="L159" s="75">
        <f>L158/J158-1</f>
        <v>-0.16441716105295856</v>
      </c>
      <c r="M159" s="75"/>
      <c r="N159" s="75">
        <f>N158/L158-1</f>
        <v>0.12615951417789972</v>
      </c>
      <c r="O159" s="717">
        <f t="shared" ref="O159" si="253">CHOOSE(case,V159,AD159,AL159)</f>
        <v>-2.4249862745698958E-2</v>
      </c>
      <c r="P159" s="717">
        <f t="shared" ref="P159" si="254">CHOOSE(case,W159,AE159,AM159)</f>
        <v>-1.6523310457485452E-2</v>
      </c>
      <c r="Q159" s="717">
        <f t="shared" ref="Q159" si="255">CHOOSE(case,X159,AF159,AN159)</f>
        <v>-1.2749627504661909E-2</v>
      </c>
      <c r="R159" s="717">
        <f t="shared" ref="R159" si="256">CHOOSE(case,Y159,AG159,AO159)</f>
        <v>-1.2164495309084256E-2</v>
      </c>
      <c r="S159" s="718">
        <f t="shared" ref="S159" si="257">CHOOSE(case,Z159,AH159,AP159)</f>
        <v>-1.1779941325910759E-2</v>
      </c>
      <c r="U159" s="1512"/>
      <c r="V159" s="1512"/>
      <c r="W159" s="1512"/>
      <c r="X159" s="1512"/>
      <c r="Y159" s="1512"/>
      <c r="Z159" s="1512"/>
      <c r="AA159" s="1512"/>
      <c r="AC159" s="829"/>
      <c r="AD159" s="1042">
        <f>(SUMPRODUCT(O137:O140,各区域分剂型成本优化!K$195:K$198)+O141*O147)/(SUMPRODUCT(N137:N140,各区域分剂型成本优化!J$195:J$198)+N141*N147)-1</f>
        <v>-2.4249862745698958E-2</v>
      </c>
      <c r="AE159" s="1042">
        <f>(SUMPRODUCT(P137:P140,各区域分剂型成本优化!L$195:L$198)+P141*P147)/(SUMPRODUCT(O137:O140,各区域分剂型成本优化!K$195:K$198)+O141*O147)-1</f>
        <v>-1.6523310457485452E-2</v>
      </c>
      <c r="AF159" s="1042">
        <f>(SUMPRODUCT(Q137:Q140,各区域分剂型成本优化!M$195:M$198)+Q141*Q147)/(SUMPRODUCT(P137:P140,各区域分剂型成本优化!L$195:L$198)+P141*P147)-1</f>
        <v>-1.2749627504661909E-2</v>
      </c>
      <c r="AG159" s="1042">
        <f>(SUMPRODUCT(R137:R140,各区域分剂型成本优化!N$195:N$198)+R141*R147)/(SUMPRODUCT(Q137:Q140,各区域分剂型成本优化!M$195:M$198)+Q141*Q147)-1</f>
        <v>-1.2164495309084256E-2</v>
      </c>
      <c r="AH159" s="1042">
        <f>(SUMPRODUCT(S137:S140,各区域分剂型成本优化!O$195:O$198)+S141*S147)/(SUMPRODUCT(R137:R140,各区域分剂型成本优化!N$195:N$198)+R141*R147)-1</f>
        <v>-1.1779941325910759E-2</v>
      </c>
      <c r="AI159" s="473"/>
      <c r="AK159" s="1512"/>
      <c r="AL159" s="1512"/>
      <c r="AM159" s="1512"/>
      <c r="AN159" s="1512"/>
      <c r="AO159" s="1512"/>
      <c r="AP159" s="1512"/>
      <c r="AQ159" s="1512"/>
      <c r="AS159" s="1484"/>
    </row>
    <row r="160" spans="3:45" s="101" customFormat="1" ht="15" outlineLevel="2" thickBot="1">
      <c r="C160" s="76" t="s">
        <v>846</v>
      </c>
      <c r="D160" s="76"/>
      <c r="E160" s="76"/>
      <c r="F160" s="110"/>
      <c r="G160" s="110"/>
      <c r="H160" s="77">
        <f>H156+H157</f>
        <v>-1648</v>
      </c>
      <c r="I160" s="77">
        <f t="shared" ref="I160:K160" si="258">I156+I157</f>
        <v>9497</v>
      </c>
      <c r="J160" s="77">
        <f t="shared" si="258"/>
        <v>14859</v>
      </c>
      <c r="K160" s="77">
        <f t="shared" si="258"/>
        <v>14136</v>
      </c>
      <c r="L160" s="77">
        <f t="shared" ref="L160:M160" si="259">L156+L157</f>
        <v>21583.812082768054</v>
      </c>
      <c r="M160" s="77">
        <f t="shared" si="259"/>
        <v>8497.4598231923883</v>
      </c>
      <c r="N160" s="77">
        <f t="shared" ref="N160:S160" si="260">N156+N157</f>
        <v>18257.110687890672</v>
      </c>
      <c r="O160" s="77">
        <f t="shared" si="260"/>
        <v>21172.241310789803</v>
      </c>
      <c r="P160" s="77">
        <f t="shared" si="260"/>
        <v>23829.171292137078</v>
      </c>
      <c r="Q160" s="77">
        <f t="shared" si="260"/>
        <v>26474.191273759861</v>
      </c>
      <c r="R160" s="77">
        <f t="shared" si="260"/>
        <v>29362.521999901146</v>
      </c>
      <c r="S160" s="77">
        <f t="shared" si="260"/>
        <v>32534.973044159589</v>
      </c>
      <c r="U160" s="1512"/>
      <c r="V160" s="1512"/>
      <c r="W160" s="1512"/>
      <c r="X160" s="1512"/>
      <c r="Y160" s="1512"/>
      <c r="Z160" s="1512"/>
      <c r="AA160" s="1512"/>
      <c r="AI160" s="473"/>
      <c r="AK160" s="1512"/>
      <c r="AL160" s="1512"/>
      <c r="AM160" s="1512"/>
      <c r="AN160" s="1512"/>
      <c r="AO160" s="1512"/>
      <c r="AP160" s="1512"/>
      <c r="AQ160" s="1512"/>
      <c r="AS160" s="1484"/>
    </row>
    <row r="161" spans="1:45" s="101" customFormat="1" ht="14.5" outlineLevel="2">
      <c r="C161" s="22" t="s">
        <v>660</v>
      </c>
      <c r="D161" s="18"/>
      <c r="E161" s="18"/>
      <c r="H161" s="94">
        <f>H160/H156</f>
        <v>-2.5414057921845604E-2</v>
      </c>
      <c r="I161" s="94">
        <f t="shared" ref="I161" si="261">I160/I156</f>
        <v>0.11680995781213485</v>
      </c>
      <c r="J161" s="94">
        <f t="shared" ref="J161" si="262">J160/J156</f>
        <v>0.21183867242632906</v>
      </c>
      <c r="K161" s="94">
        <f t="shared" ref="K161:L161" si="263">K160/K156</f>
        <v>0.25355144210073183</v>
      </c>
      <c r="L161" s="94">
        <f t="shared" si="263"/>
        <v>0.28107087624029636</v>
      </c>
      <c r="M161" s="94">
        <f t="shared" ref="M161:S161" si="264">M160/M156</f>
        <v>0.20802708223747227</v>
      </c>
      <c r="N161" s="94">
        <f t="shared" si="264"/>
        <v>0.21240056154671369</v>
      </c>
      <c r="O161" s="94">
        <f t="shared" si="264"/>
        <v>0.22729787402553486</v>
      </c>
      <c r="P161" s="94">
        <f t="shared" si="264"/>
        <v>0.23599530422012749</v>
      </c>
      <c r="Q161" s="94">
        <f t="shared" si="264"/>
        <v>0.24178281456536307</v>
      </c>
      <c r="R161" s="94">
        <f t="shared" si="264"/>
        <v>0.24717295534054134</v>
      </c>
      <c r="S161" s="94">
        <f t="shared" si="264"/>
        <v>0.25232656049255237</v>
      </c>
      <c r="T161" s="1321"/>
      <c r="U161" s="1526">
        <f>AC161+0.3%</f>
        <v>3.0000000000000001E-3</v>
      </c>
      <c r="V161" s="1526">
        <f t="shared" ref="V161" si="265">AD161+0.3%</f>
        <v>3.0000000000000001E-3</v>
      </c>
      <c r="W161" s="1526">
        <f t="shared" ref="W161" si="266">AE161+0.3%</f>
        <v>3.0000000000000001E-3</v>
      </c>
      <c r="X161" s="1526">
        <f t="shared" ref="X161" si="267">AF161+0.3%</f>
        <v>3.0000000000000001E-3</v>
      </c>
      <c r="Y161" s="1526">
        <f t="shared" ref="Y161" si="268">AG161+0.3%</f>
        <v>3.0000000000000001E-3</v>
      </c>
      <c r="Z161" s="1526">
        <f t="shared" ref="Z161" si="269">AH161+0.3%</f>
        <v>3.0000000000000001E-3</v>
      </c>
      <c r="AA161" s="1515"/>
      <c r="AB161" s="1321"/>
      <c r="AC161" s="829"/>
      <c r="AD161" s="829"/>
      <c r="AE161" s="829"/>
      <c r="AF161" s="829"/>
      <c r="AG161" s="829"/>
      <c r="AH161" s="829"/>
      <c r="AI161" s="415"/>
      <c r="AJ161" s="1321"/>
      <c r="AK161" s="1526">
        <f>AC161-0.3%</f>
        <v>-3.0000000000000001E-3</v>
      </c>
      <c r="AL161" s="1526">
        <f t="shared" ref="AL161" si="270">AD161-0.3%</f>
        <v>-3.0000000000000001E-3</v>
      </c>
      <c r="AM161" s="1526">
        <f t="shared" ref="AM161" si="271">AE161-0.3%</f>
        <v>-3.0000000000000001E-3</v>
      </c>
      <c r="AN161" s="1526">
        <f t="shared" ref="AN161" si="272">AF161-0.3%</f>
        <v>-3.0000000000000001E-3</v>
      </c>
      <c r="AO161" s="1526">
        <f t="shared" ref="AO161" si="273">AG161-0.3%</f>
        <v>-3.0000000000000001E-3</v>
      </c>
      <c r="AP161" s="1526">
        <f t="shared" ref="AP161" si="274">AH161-0.3%</f>
        <v>-3.0000000000000001E-3</v>
      </c>
      <c r="AQ161" s="1515"/>
      <c r="AS161" s="1484"/>
    </row>
    <row r="162" spans="1:45" s="99" customFormat="1" ht="14.5" outlineLevel="2">
      <c r="U162" s="1511"/>
      <c r="V162" s="1511"/>
      <c r="W162" s="1511"/>
      <c r="X162" s="1511"/>
      <c r="Y162" s="1511"/>
      <c r="Z162" s="1511"/>
      <c r="AA162" s="1511"/>
      <c r="AI162" s="414"/>
      <c r="AK162" s="1511"/>
      <c r="AL162" s="1511"/>
      <c r="AM162" s="1511"/>
      <c r="AN162" s="1511"/>
      <c r="AO162" s="1511"/>
      <c r="AP162" s="1511"/>
      <c r="AQ162" s="1511"/>
      <c r="AS162" s="1483"/>
    </row>
    <row r="163" spans="1:45" s="1126" customFormat="1" ht="14.5" outlineLevel="2">
      <c r="A163" s="26" t="s">
        <v>8</v>
      </c>
      <c r="B163" s="26"/>
      <c r="C163" s="26" t="s">
        <v>173</v>
      </c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U163" s="1518"/>
      <c r="V163" s="1518"/>
      <c r="W163" s="1518"/>
      <c r="X163" s="1518"/>
      <c r="Y163" s="1518"/>
      <c r="Z163" s="1518"/>
      <c r="AA163" s="1518"/>
      <c r="AC163" s="26"/>
      <c r="AD163" s="26"/>
      <c r="AE163" s="26"/>
      <c r="AF163" s="26"/>
      <c r="AG163" s="26"/>
      <c r="AH163" s="26"/>
      <c r="AI163" s="474"/>
      <c r="AK163" s="1518"/>
      <c r="AL163" s="1518"/>
      <c r="AM163" s="1518"/>
      <c r="AN163" s="1518"/>
      <c r="AO163" s="1518"/>
      <c r="AP163" s="1518"/>
      <c r="AQ163" s="1518"/>
      <c r="AS163" s="1481"/>
    </row>
    <row r="164" spans="1:45" ht="14.5" outlineLevel="2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AI164" s="424"/>
      <c r="AS164" s="1485"/>
    </row>
    <row r="165" spans="1:45" s="99" customFormat="1" ht="14.5" outlineLevel="2">
      <c r="C165" s="18" t="s">
        <v>840</v>
      </c>
      <c r="D165" s="18"/>
      <c r="E165" s="18"/>
      <c r="H165" s="99">
        <f>SUM(H166:H170)</f>
        <v>6339</v>
      </c>
      <c r="I165" s="99">
        <f t="shared" ref="I165" si="275">SUM(I166:I170)</f>
        <v>0</v>
      </c>
      <c r="J165" s="99">
        <f>SUM(J166:J170)</f>
        <v>6090</v>
      </c>
      <c r="K165" s="99">
        <f t="shared" ref="K165" si="276">SUM(K166:K170)</f>
        <v>6036</v>
      </c>
      <c r="L165" s="23">
        <f>SUM(L166:L170)</f>
        <v>7347.0169999999998</v>
      </c>
      <c r="M165" s="23">
        <f>SUM(M166:M170)</f>
        <v>4966.0720000000001</v>
      </c>
      <c r="N165" s="23">
        <f t="shared" ref="N165:S165" si="277">SUM(N166:N170)</f>
        <v>9335.244999999999</v>
      </c>
      <c r="O165" s="23">
        <f t="shared" si="277"/>
        <v>10741.13975</v>
      </c>
      <c r="P165" s="23">
        <f t="shared" si="277"/>
        <v>11605.282950000001</v>
      </c>
      <c r="Q165" s="23">
        <f t="shared" si="277"/>
        <v>12276.368347500002</v>
      </c>
      <c r="R165" s="23">
        <f t="shared" si="277"/>
        <v>12942.408983625002</v>
      </c>
      <c r="S165" s="23">
        <f t="shared" si="277"/>
        <v>13589.529432806252</v>
      </c>
      <c r="T165" s="525"/>
      <c r="U165" s="1519">
        <f>$L165*(1+$AA165)</f>
        <v>8008.2485300000008</v>
      </c>
      <c r="V165" s="1519">
        <f>U165*(1+$AA165)</f>
        <v>8728.9908977000014</v>
      </c>
      <c r="W165" s="1519">
        <f t="shared" ref="W165:Z165" si="278">V165*(1+$AA165)</f>
        <v>9514.600078493002</v>
      </c>
      <c r="X165" s="1519">
        <f t="shared" si="278"/>
        <v>10370.914085557373</v>
      </c>
      <c r="Y165" s="1519">
        <f t="shared" si="278"/>
        <v>11304.296353257538</v>
      </c>
      <c r="Z165" s="1519">
        <f t="shared" si="278"/>
        <v>12321.683025050717</v>
      </c>
      <c r="AA165" s="1520">
        <v>0.09</v>
      </c>
      <c r="AB165" s="1321"/>
      <c r="AC165" s="20"/>
      <c r="AD165" s="20"/>
      <c r="AE165" s="20"/>
      <c r="AF165" s="20"/>
      <c r="AG165" s="20"/>
      <c r="AH165" s="20"/>
      <c r="AI165" s="472"/>
      <c r="AJ165" s="1321"/>
      <c r="AK165" s="1519">
        <f>$L165*(1+$AQ165)</f>
        <v>7053.1363199999996</v>
      </c>
      <c r="AL165" s="1519">
        <f>AK165*(1+$AQ165)</f>
        <v>6771.0108671999997</v>
      </c>
      <c r="AM165" s="1519">
        <f t="shared" ref="AM165:AN165" si="279">AL165*(1+$AQ165)</f>
        <v>6500.170432511999</v>
      </c>
      <c r="AN165" s="1519">
        <f t="shared" si="279"/>
        <v>6240.1636152115188</v>
      </c>
      <c r="AO165" s="1519">
        <f>AN165*(1+$AQ165)</f>
        <v>5990.5570706030576</v>
      </c>
      <c r="AP165" s="1519">
        <f t="shared" ref="AP165" si="280">AO165*(1+$AQ165)</f>
        <v>5750.9347877789351</v>
      </c>
      <c r="AQ165" s="1520">
        <f>AI165-4%</f>
        <v>-0.04</v>
      </c>
      <c r="AS165" s="1483"/>
    </row>
    <row r="166" spans="1:45" s="101" customFormat="1" ht="14.5" outlineLevel="2">
      <c r="C166" s="1"/>
      <c r="D166" s="27" t="s">
        <v>841</v>
      </c>
      <c r="E166" s="28"/>
      <c r="F166" s="28"/>
      <c r="G166" s="28"/>
      <c r="H166" s="398">
        <v>1052</v>
      </c>
      <c r="I166" s="411"/>
      <c r="J166" s="398">
        <v>313</v>
      </c>
      <c r="K166" s="398">
        <v>16</v>
      </c>
      <c r="L166" s="398">
        <v>17.916</v>
      </c>
      <c r="M166" s="398">
        <v>14.688000000000001</v>
      </c>
      <c r="N166" s="703">
        <f>L166*(1+N172)</f>
        <v>26.874000000000002</v>
      </c>
      <c r="O166" s="29">
        <f>N166*(1+O172)</f>
        <v>34.936200000000007</v>
      </c>
      <c r="P166" s="29">
        <f t="shared" ref="P166:P170" si="281">O166*(1+P172)</f>
        <v>41.923440000000006</v>
      </c>
      <c r="Q166" s="29">
        <f t="shared" ref="Q166:Q170" si="282">P166*(1+Q172)</f>
        <v>48.211956000000001</v>
      </c>
      <c r="R166" s="29">
        <f t="shared" ref="R166:R170" si="283">Q166*(1+R172)</f>
        <v>53.033151600000004</v>
      </c>
      <c r="S166" s="30">
        <f t="shared" ref="S166:S170" si="284">R166*(1+S172)</f>
        <v>55.684809180000009</v>
      </c>
      <c r="T166" s="1205"/>
      <c r="U166" s="1515"/>
      <c r="V166" s="1515"/>
      <c r="W166" s="1515"/>
      <c r="X166" s="1515"/>
      <c r="Y166" s="1515"/>
      <c r="Z166" s="1515"/>
      <c r="AA166" s="1515"/>
      <c r="AB166" s="1321"/>
      <c r="AC166" s="1"/>
      <c r="AD166" s="1"/>
      <c r="AE166" s="1"/>
      <c r="AF166" s="1"/>
      <c r="AG166" s="1"/>
      <c r="AH166" s="1"/>
      <c r="AI166" s="415"/>
      <c r="AJ166" s="1321"/>
      <c r="AK166" s="1515"/>
      <c r="AL166" s="1515"/>
      <c r="AM166" s="1515"/>
      <c r="AN166" s="1515"/>
      <c r="AO166" s="1515"/>
      <c r="AP166" s="1515"/>
      <c r="AQ166" s="1515"/>
      <c r="AS166" s="1484"/>
    </row>
    <row r="167" spans="1:45" ht="14.5" outlineLevel="2">
      <c r="C167" s="1"/>
      <c r="D167" s="31" t="s">
        <v>842</v>
      </c>
      <c r="E167" s="1"/>
      <c r="F167" s="1"/>
      <c r="G167" s="1"/>
      <c r="H167" s="400">
        <v>13</v>
      </c>
      <c r="I167" s="412"/>
      <c r="J167" s="400">
        <v>0</v>
      </c>
      <c r="K167" s="400">
        <v>253</v>
      </c>
      <c r="L167" s="400">
        <v>326.65499999999997</v>
      </c>
      <c r="M167" s="400">
        <v>317.37</v>
      </c>
      <c r="N167" s="704">
        <f t="shared" ref="N167:N170" si="285">L167*(1+N173)</f>
        <v>555.31349999999998</v>
      </c>
      <c r="O167" s="20">
        <f t="shared" ref="O167:O170" si="286">N167*(1+O173)</f>
        <v>721.90755000000001</v>
      </c>
      <c r="P167" s="20">
        <f t="shared" si="281"/>
        <v>866.28905999999995</v>
      </c>
      <c r="Q167" s="20">
        <f t="shared" si="282"/>
        <v>996.23241899999982</v>
      </c>
      <c r="R167" s="20">
        <f t="shared" si="283"/>
        <v>1095.8556609</v>
      </c>
      <c r="S167" s="32">
        <f t="shared" si="284"/>
        <v>1150.6484439450001</v>
      </c>
      <c r="T167" s="675"/>
      <c r="U167" s="1515"/>
      <c r="V167" s="1515"/>
      <c r="W167" s="1515"/>
      <c r="X167" s="1515"/>
      <c r="Y167" s="1515"/>
      <c r="Z167" s="1515"/>
      <c r="AA167" s="1515"/>
      <c r="AB167" s="1321"/>
      <c r="AC167" s="1"/>
      <c r="AD167" s="1"/>
      <c r="AE167" s="1"/>
      <c r="AF167" s="1"/>
      <c r="AG167" s="1"/>
      <c r="AH167" s="1"/>
      <c r="AI167" s="415"/>
      <c r="AJ167" s="1321"/>
      <c r="AK167" s="1515"/>
      <c r="AL167" s="1515"/>
      <c r="AM167" s="1515"/>
      <c r="AN167" s="1515"/>
      <c r="AO167" s="1515"/>
      <c r="AP167" s="1515"/>
      <c r="AQ167" s="1515"/>
      <c r="AS167" s="1485"/>
    </row>
    <row r="168" spans="1:45" ht="14.5" outlineLevel="2">
      <c r="C168" s="1"/>
      <c r="D168" s="31" t="s">
        <v>843</v>
      </c>
      <c r="E168" s="1"/>
      <c r="F168" s="1"/>
      <c r="G168" s="1"/>
      <c r="H168" s="400">
        <v>1447</v>
      </c>
      <c r="I168" s="412"/>
      <c r="J168" s="400">
        <v>2083</v>
      </c>
      <c r="K168" s="400">
        <v>2279</v>
      </c>
      <c r="L168" s="400">
        <v>2847.462</v>
      </c>
      <c r="M168" s="400">
        <v>1953.52</v>
      </c>
      <c r="N168" s="704">
        <f t="shared" si="285"/>
        <v>3559.3274999999999</v>
      </c>
      <c r="O168" s="20">
        <f t="shared" si="286"/>
        <v>4271.1929999999993</v>
      </c>
      <c r="P168" s="20">
        <f t="shared" si="281"/>
        <v>4698.3122999999996</v>
      </c>
      <c r="Q168" s="20">
        <f t="shared" si="282"/>
        <v>4933.2279149999995</v>
      </c>
      <c r="R168" s="20">
        <f t="shared" si="283"/>
        <v>5179.8893107499998</v>
      </c>
      <c r="S168" s="32">
        <f t="shared" si="284"/>
        <v>5438.8837762875</v>
      </c>
      <c r="T168" s="675"/>
      <c r="U168" s="1515"/>
      <c r="V168" s="1515"/>
      <c r="W168" s="1515"/>
      <c r="X168" s="1515"/>
      <c r="Y168" s="1515"/>
      <c r="Z168" s="1515"/>
      <c r="AA168" s="1515"/>
      <c r="AB168" s="1321"/>
      <c r="AC168" s="1"/>
      <c r="AD168" s="1"/>
      <c r="AE168" s="1"/>
      <c r="AF168" s="1"/>
      <c r="AG168" s="1"/>
      <c r="AH168" s="1"/>
      <c r="AI168" s="415"/>
      <c r="AJ168" s="1321"/>
      <c r="AK168" s="1515"/>
      <c r="AL168" s="1515"/>
      <c r="AM168" s="1515"/>
      <c r="AN168" s="1515"/>
      <c r="AO168" s="1515"/>
      <c r="AP168" s="1515"/>
      <c r="AQ168" s="1515"/>
      <c r="AS168" s="1485"/>
    </row>
    <row r="169" spans="1:45" ht="14.5" outlineLevel="2">
      <c r="C169" s="1"/>
      <c r="D169" s="31" t="s">
        <v>844</v>
      </c>
      <c r="E169" s="1"/>
      <c r="F169" s="1"/>
      <c r="G169" s="1"/>
      <c r="H169" s="400">
        <v>3730</v>
      </c>
      <c r="I169" s="412"/>
      <c r="J169" s="400">
        <v>3684</v>
      </c>
      <c r="K169" s="400">
        <v>3488</v>
      </c>
      <c r="L169" s="400">
        <v>4154.9840000000004</v>
      </c>
      <c r="M169" s="400">
        <v>2680.4940000000001</v>
      </c>
      <c r="N169" s="704">
        <f t="shared" si="285"/>
        <v>5193.7300000000005</v>
      </c>
      <c r="O169" s="20">
        <f t="shared" si="286"/>
        <v>5713.103000000001</v>
      </c>
      <c r="P169" s="20">
        <f t="shared" si="281"/>
        <v>5998.7581500000015</v>
      </c>
      <c r="Q169" s="20">
        <f t="shared" si="282"/>
        <v>6298.6960575000021</v>
      </c>
      <c r="R169" s="20">
        <f t="shared" si="283"/>
        <v>6613.6308603750022</v>
      </c>
      <c r="S169" s="32">
        <f t="shared" si="284"/>
        <v>6944.3124033937529</v>
      </c>
      <c r="T169" s="675"/>
      <c r="U169" s="1515"/>
      <c r="V169" s="1515"/>
      <c r="W169" s="1515"/>
      <c r="X169" s="1515"/>
      <c r="Y169" s="1515"/>
      <c r="Z169" s="1515"/>
      <c r="AA169" s="1515"/>
      <c r="AB169" s="1321"/>
      <c r="AC169" s="1"/>
      <c r="AD169" s="1"/>
      <c r="AE169" s="1"/>
      <c r="AF169" s="1"/>
      <c r="AG169" s="1"/>
      <c r="AH169" s="1"/>
      <c r="AI169" s="415"/>
      <c r="AJ169" s="1321"/>
      <c r="AK169" s="1515"/>
      <c r="AL169" s="1515"/>
      <c r="AM169" s="1515"/>
      <c r="AN169" s="1515"/>
      <c r="AO169" s="1515"/>
      <c r="AP169" s="1515"/>
      <c r="AQ169" s="1515"/>
      <c r="AS169" s="1485"/>
    </row>
    <row r="170" spans="1:45" ht="14.5" outlineLevel="2">
      <c r="C170" s="1"/>
      <c r="D170" s="33" t="s">
        <v>665</v>
      </c>
      <c r="E170" s="34"/>
      <c r="F170" s="34"/>
      <c r="G170" s="34"/>
      <c r="H170" s="402">
        <v>97</v>
      </c>
      <c r="I170" s="413"/>
      <c r="J170" s="402">
        <v>10</v>
      </c>
      <c r="K170" s="402">
        <v>0</v>
      </c>
      <c r="L170" s="402">
        <v>0</v>
      </c>
      <c r="M170" s="402">
        <v>0</v>
      </c>
      <c r="N170" s="705">
        <f t="shared" si="285"/>
        <v>0</v>
      </c>
      <c r="O170" s="35">
        <f t="shared" si="286"/>
        <v>0</v>
      </c>
      <c r="P170" s="35">
        <f t="shared" si="281"/>
        <v>0</v>
      </c>
      <c r="Q170" s="35">
        <f t="shared" si="282"/>
        <v>0</v>
      </c>
      <c r="R170" s="35">
        <f t="shared" si="283"/>
        <v>0</v>
      </c>
      <c r="S170" s="36">
        <f t="shared" si="284"/>
        <v>0</v>
      </c>
      <c r="T170" s="675"/>
      <c r="U170" s="1515"/>
      <c r="V170" s="1515"/>
      <c r="W170" s="1515"/>
      <c r="X170" s="1515"/>
      <c r="Y170" s="1515"/>
      <c r="Z170" s="1515"/>
      <c r="AA170" s="1515"/>
      <c r="AB170" s="1321"/>
      <c r="AC170" s="448"/>
      <c r="AD170" s="448"/>
      <c r="AE170" s="448"/>
      <c r="AF170" s="448"/>
      <c r="AG170" s="448"/>
      <c r="AH170" s="448"/>
      <c r="AI170" s="415"/>
      <c r="AJ170" s="1321"/>
      <c r="AK170" s="1515"/>
      <c r="AL170" s="1515"/>
      <c r="AM170" s="1515"/>
      <c r="AN170" s="1515"/>
      <c r="AO170" s="1515"/>
      <c r="AP170" s="1515"/>
      <c r="AQ170" s="1515"/>
      <c r="AS170" s="1485"/>
    </row>
    <row r="171" spans="1:45" s="1365" customFormat="1" ht="14.5" outlineLevel="3">
      <c r="A171" s="22"/>
      <c r="B171" s="22"/>
      <c r="C171" s="22" t="s">
        <v>847</v>
      </c>
      <c r="D171" s="22"/>
      <c r="E171" s="22"/>
      <c r="F171" s="22"/>
      <c r="G171" s="22"/>
      <c r="H171" s="219"/>
      <c r="I171" s="24"/>
      <c r="J171" s="24"/>
      <c r="K171" s="24"/>
      <c r="L171" s="754">
        <f>L165/J165-1</f>
        <v>0.20640673234811158</v>
      </c>
      <c r="M171" s="24"/>
      <c r="N171" s="24">
        <f>N165/L165-1</f>
        <v>0.27061704090245042</v>
      </c>
      <c r="O171" s="24">
        <f>O165/N165-1</f>
        <v>0.15060073409964092</v>
      </c>
      <c r="P171" s="24">
        <f t="shared" ref="P171" si="287">P165/O165-1</f>
        <v>8.0451723011983001E-2</v>
      </c>
      <c r="Q171" s="24">
        <f t="shared" ref="Q171" si="288">Q165/P165-1</f>
        <v>5.7825854000397303E-2</v>
      </c>
      <c r="R171" s="24">
        <f t="shared" ref="R171" si="289">R165/Q165-1</f>
        <v>5.4253881707666096E-2</v>
      </c>
      <c r="S171" s="24">
        <f t="shared" ref="S171" si="290">S165/R165-1</f>
        <v>5.0000000000000044E-2</v>
      </c>
      <c r="T171" s="726"/>
      <c r="U171" s="1521"/>
      <c r="V171" s="1521"/>
      <c r="W171" s="1521"/>
      <c r="X171" s="1521"/>
      <c r="Y171" s="1521"/>
      <c r="Z171" s="1521"/>
      <c r="AA171" s="1522"/>
      <c r="AC171" s="219"/>
      <c r="AD171" s="219"/>
      <c r="AE171" s="219"/>
      <c r="AF171" s="219"/>
      <c r="AG171" s="219"/>
      <c r="AH171" s="219"/>
      <c r="AI171" s="706"/>
      <c r="AK171" s="1521"/>
      <c r="AL171" s="1521"/>
      <c r="AM171" s="1521"/>
      <c r="AN171" s="1521"/>
      <c r="AO171" s="1521"/>
      <c r="AP171" s="1521"/>
      <c r="AQ171" s="1522"/>
      <c r="AS171" s="1487"/>
    </row>
    <row r="172" spans="1:45" s="1365" customFormat="1" ht="14.5" outlineLevel="3">
      <c r="A172" s="22"/>
      <c r="B172" s="22"/>
      <c r="C172" s="22"/>
      <c r="D172" s="707" t="s">
        <v>841</v>
      </c>
      <c r="E172" s="708"/>
      <c r="F172" s="708"/>
      <c r="G172" s="708"/>
      <c r="H172" s="709"/>
      <c r="I172" s="710"/>
      <c r="J172" s="710"/>
      <c r="K172" s="710"/>
      <c r="L172" s="1040">
        <f t="shared" ref="L172" si="291">IFERROR(L166/J166-1,"NA")</f>
        <v>-0.94276038338658141</v>
      </c>
      <c r="M172" s="710"/>
      <c r="N172" s="711">
        <f t="shared" ref="N172:N176" si="292">CHOOSE(case,U172,AC172,AK172)</f>
        <v>0.5</v>
      </c>
      <c r="O172" s="712">
        <f t="shared" ref="O172:O176" si="293">CHOOSE(case,V172,AD172,AL172)</f>
        <v>0.3</v>
      </c>
      <c r="P172" s="712">
        <f t="shared" ref="P172:P176" si="294">CHOOSE(case,W172,AE172,AM172)</f>
        <v>0.2</v>
      </c>
      <c r="Q172" s="712">
        <f t="shared" ref="Q172:Q176" si="295">CHOOSE(case,X172,AF172,AN172)</f>
        <v>0.15</v>
      </c>
      <c r="R172" s="712">
        <f t="shared" ref="R172:R176" si="296">CHOOSE(case,Y172,AG172,AO172)</f>
        <v>0.1</v>
      </c>
      <c r="S172" s="713">
        <f t="shared" ref="S172:S176" si="297">CHOOSE(case,Z172,AH172,AP172)</f>
        <v>0.05</v>
      </c>
      <c r="T172" s="726"/>
      <c r="U172" s="1521"/>
      <c r="V172" s="1521"/>
      <c r="W172" s="1521"/>
      <c r="X172" s="1521"/>
      <c r="Y172" s="1521"/>
      <c r="Z172" s="1521"/>
      <c r="AA172" s="1523"/>
      <c r="AC172" s="714">
        <v>0.5</v>
      </c>
      <c r="AD172" s="714">
        <v>0.3</v>
      </c>
      <c r="AE172" s="714">
        <v>0.2</v>
      </c>
      <c r="AF172" s="714">
        <v>0.15</v>
      </c>
      <c r="AG172" s="714">
        <v>0.1</v>
      </c>
      <c r="AH172" s="714">
        <v>0.05</v>
      </c>
      <c r="AI172" s="22"/>
      <c r="AK172" s="1521"/>
      <c r="AL172" s="1521"/>
      <c r="AM172" s="1521"/>
      <c r="AN172" s="1521"/>
      <c r="AO172" s="1521"/>
      <c r="AP172" s="1521"/>
      <c r="AQ172" s="1523"/>
      <c r="AS172" s="1487"/>
    </row>
    <row r="173" spans="1:45" s="1365" customFormat="1" ht="14.5" outlineLevel="3">
      <c r="A173" s="22"/>
      <c r="B173" s="22"/>
      <c r="C173" s="22"/>
      <c r="D173" s="715" t="s">
        <v>842</v>
      </c>
      <c r="E173" s="22"/>
      <c r="F173" s="22"/>
      <c r="G173" s="22"/>
      <c r="H173" s="219"/>
      <c r="I173" s="175"/>
      <c r="J173" s="175"/>
      <c r="K173" s="175"/>
      <c r="L173" s="1040" t="str">
        <f>IFERROR(L167/J167-1,"NA")</f>
        <v>NA</v>
      </c>
      <c r="M173" s="175"/>
      <c r="N173" s="716">
        <f t="shared" si="292"/>
        <v>0.7</v>
      </c>
      <c r="O173" s="717">
        <f t="shared" si="293"/>
        <v>0.3</v>
      </c>
      <c r="P173" s="717">
        <f t="shared" si="294"/>
        <v>0.2</v>
      </c>
      <c r="Q173" s="717">
        <f t="shared" si="295"/>
        <v>0.15</v>
      </c>
      <c r="R173" s="717">
        <f t="shared" si="296"/>
        <v>0.1</v>
      </c>
      <c r="S173" s="718">
        <f t="shared" si="297"/>
        <v>0.05</v>
      </c>
      <c r="T173" s="726"/>
      <c r="U173" s="1521"/>
      <c r="V173" s="1521"/>
      <c r="W173" s="1521"/>
      <c r="X173" s="1521"/>
      <c r="Y173" s="1521"/>
      <c r="Z173" s="1521"/>
      <c r="AA173" s="1523"/>
      <c r="AC173" s="714">
        <v>0.7</v>
      </c>
      <c r="AD173" s="714">
        <v>0.3</v>
      </c>
      <c r="AE173" s="714">
        <v>0.2</v>
      </c>
      <c r="AF173" s="714">
        <v>0.15</v>
      </c>
      <c r="AG173" s="714">
        <v>0.1</v>
      </c>
      <c r="AH173" s="714">
        <v>0.05</v>
      </c>
      <c r="AI173" s="22"/>
      <c r="AK173" s="1521"/>
      <c r="AL173" s="1521"/>
      <c r="AM173" s="1521"/>
      <c r="AN173" s="1521"/>
      <c r="AO173" s="1521"/>
      <c r="AP173" s="1521"/>
      <c r="AQ173" s="1523"/>
      <c r="AS173" s="1487"/>
    </row>
    <row r="174" spans="1:45" s="1365" customFormat="1" ht="14.5" outlineLevel="3">
      <c r="A174" s="22"/>
      <c r="B174" s="22"/>
      <c r="C174" s="22"/>
      <c r="D174" s="715" t="s">
        <v>843</v>
      </c>
      <c r="E174" s="22"/>
      <c r="F174" s="22"/>
      <c r="G174" s="22"/>
      <c r="H174" s="219"/>
      <c r="I174" s="175"/>
      <c r="J174" s="175"/>
      <c r="K174" s="175"/>
      <c r="L174" s="1040">
        <f t="shared" ref="L174:L176" si="298">IFERROR(L168/J168-1,"NA")</f>
        <v>0.3670004800768123</v>
      </c>
      <c r="M174" s="175"/>
      <c r="N174" s="716">
        <f t="shared" si="292"/>
        <v>0.25</v>
      </c>
      <c r="O174" s="717">
        <f t="shared" si="293"/>
        <v>0.2</v>
      </c>
      <c r="P174" s="717">
        <f t="shared" si="294"/>
        <v>0.1</v>
      </c>
      <c r="Q174" s="717">
        <f t="shared" si="295"/>
        <v>0.05</v>
      </c>
      <c r="R174" s="717">
        <f t="shared" si="296"/>
        <v>0.05</v>
      </c>
      <c r="S174" s="718">
        <f t="shared" si="297"/>
        <v>0.05</v>
      </c>
      <c r="T174" s="726"/>
      <c r="U174" s="1521"/>
      <c r="V174" s="1521"/>
      <c r="W174" s="1521"/>
      <c r="X174" s="1521"/>
      <c r="Y174" s="1521"/>
      <c r="Z174" s="1521"/>
      <c r="AA174" s="1523"/>
      <c r="AC174" s="714">
        <v>0.25</v>
      </c>
      <c r="AD174" s="714">
        <v>0.2</v>
      </c>
      <c r="AE174" s="714">
        <v>0.1</v>
      </c>
      <c r="AF174" s="714">
        <v>0.05</v>
      </c>
      <c r="AG174" s="714">
        <v>0.05</v>
      </c>
      <c r="AH174" s="714">
        <v>0.05</v>
      </c>
      <c r="AI174" s="22"/>
      <c r="AK174" s="1521"/>
      <c r="AL174" s="1521"/>
      <c r="AM174" s="1521"/>
      <c r="AN174" s="1521"/>
      <c r="AO174" s="1521"/>
      <c r="AP174" s="1521"/>
      <c r="AQ174" s="1523"/>
      <c r="AS174" s="1487"/>
    </row>
    <row r="175" spans="1:45" s="1365" customFormat="1" ht="14.5" outlineLevel="3">
      <c r="A175" s="22"/>
      <c r="B175" s="22"/>
      <c r="C175" s="22"/>
      <c r="D175" s="715" t="s">
        <v>844</v>
      </c>
      <c r="E175" s="22"/>
      <c r="F175" s="22"/>
      <c r="G175" s="22"/>
      <c r="H175" s="219"/>
      <c r="I175" s="175"/>
      <c r="J175" s="175"/>
      <c r="K175" s="175"/>
      <c r="L175" s="1040">
        <f t="shared" si="298"/>
        <v>0.12784581976112941</v>
      </c>
      <c r="M175" s="175"/>
      <c r="N175" s="716">
        <f t="shared" si="292"/>
        <v>0.25</v>
      </c>
      <c r="O175" s="717">
        <f t="shared" si="293"/>
        <v>0.1</v>
      </c>
      <c r="P175" s="717">
        <f t="shared" si="294"/>
        <v>0.05</v>
      </c>
      <c r="Q175" s="717">
        <f t="shared" si="295"/>
        <v>0.05</v>
      </c>
      <c r="R175" s="717">
        <f t="shared" si="296"/>
        <v>0.05</v>
      </c>
      <c r="S175" s="718">
        <f t="shared" si="297"/>
        <v>0.05</v>
      </c>
      <c r="T175" s="726"/>
      <c r="U175" s="1521"/>
      <c r="V175" s="1521"/>
      <c r="W175" s="1521"/>
      <c r="X175" s="1521"/>
      <c r="Y175" s="1521"/>
      <c r="Z175" s="1521"/>
      <c r="AA175" s="1523"/>
      <c r="AC175" s="714">
        <v>0.25</v>
      </c>
      <c r="AD175" s="714">
        <v>0.1</v>
      </c>
      <c r="AE175" s="714">
        <v>0.05</v>
      </c>
      <c r="AF175" s="714">
        <v>0.05</v>
      </c>
      <c r="AG175" s="714">
        <v>0.05</v>
      </c>
      <c r="AH175" s="714">
        <v>0.05</v>
      </c>
      <c r="AI175" s="22"/>
      <c r="AK175" s="1521"/>
      <c r="AL175" s="1521"/>
      <c r="AM175" s="1521"/>
      <c r="AN175" s="1521"/>
      <c r="AO175" s="1521"/>
      <c r="AP175" s="1521"/>
      <c r="AQ175" s="1523"/>
      <c r="AS175" s="1487"/>
    </row>
    <row r="176" spans="1:45" s="1365" customFormat="1" ht="14.5" outlineLevel="3">
      <c r="A176" s="22"/>
      <c r="B176" s="22"/>
      <c r="C176" s="22"/>
      <c r="D176" s="719" t="s">
        <v>665</v>
      </c>
      <c r="E176" s="720"/>
      <c r="F176" s="720"/>
      <c r="G176" s="720"/>
      <c r="H176" s="721"/>
      <c r="I176" s="722"/>
      <c r="J176" s="722"/>
      <c r="K176" s="722"/>
      <c r="L176" s="1041">
        <f t="shared" si="298"/>
        <v>-1</v>
      </c>
      <c r="M176" s="722"/>
      <c r="N176" s="723">
        <f t="shared" si="292"/>
        <v>0</v>
      </c>
      <c r="O176" s="724">
        <f t="shared" si="293"/>
        <v>0</v>
      </c>
      <c r="P176" s="724">
        <f t="shared" si="294"/>
        <v>0</v>
      </c>
      <c r="Q176" s="724">
        <f t="shared" si="295"/>
        <v>0</v>
      </c>
      <c r="R176" s="724">
        <f t="shared" si="296"/>
        <v>0</v>
      </c>
      <c r="S176" s="725">
        <f t="shared" si="297"/>
        <v>0</v>
      </c>
      <c r="T176" s="726"/>
      <c r="U176" s="1521"/>
      <c r="V176" s="1521"/>
      <c r="W176" s="1521"/>
      <c r="X176" s="1521"/>
      <c r="Y176" s="1521"/>
      <c r="Z176" s="1521"/>
      <c r="AA176" s="1523"/>
      <c r="AC176" s="714">
        <v>0</v>
      </c>
      <c r="AD176" s="714">
        <v>0</v>
      </c>
      <c r="AE176" s="714">
        <v>0</v>
      </c>
      <c r="AF176" s="714">
        <v>0</v>
      </c>
      <c r="AG176" s="714">
        <v>0</v>
      </c>
      <c r="AH176" s="714">
        <v>0</v>
      </c>
      <c r="AI176" s="22"/>
      <c r="AK176" s="1521"/>
      <c r="AL176" s="1521"/>
      <c r="AM176" s="1521"/>
      <c r="AN176" s="1521"/>
      <c r="AO176" s="1521"/>
      <c r="AP176" s="1521"/>
      <c r="AQ176" s="1523"/>
      <c r="AS176" s="1487"/>
    </row>
    <row r="177" spans="1:45" s="1365" customFormat="1" ht="14.5" outlineLevel="3">
      <c r="A177" s="22"/>
      <c r="B177" s="22"/>
      <c r="C177" s="22" t="s">
        <v>848</v>
      </c>
      <c r="D177" s="22"/>
      <c r="E177" s="22"/>
      <c r="F177" s="22"/>
      <c r="G177" s="22"/>
      <c r="H177" s="24">
        <f>H165/H$165</f>
        <v>1</v>
      </c>
      <c r="I177" s="24"/>
      <c r="J177" s="24">
        <f>J165/J$165</f>
        <v>1</v>
      </c>
      <c r="K177" s="24">
        <f t="shared" ref="K177:S177" si="299">K165/K$165</f>
        <v>1</v>
      </c>
      <c r="L177" s="24">
        <f t="shared" si="299"/>
        <v>1</v>
      </c>
      <c r="M177" s="24">
        <f t="shared" si="299"/>
        <v>1</v>
      </c>
      <c r="N177" s="24">
        <f t="shared" si="299"/>
        <v>1</v>
      </c>
      <c r="O177" s="24">
        <f t="shared" si="299"/>
        <v>1</v>
      </c>
      <c r="P177" s="24">
        <f t="shared" si="299"/>
        <v>1</v>
      </c>
      <c r="Q177" s="24">
        <f t="shared" si="299"/>
        <v>1</v>
      </c>
      <c r="R177" s="24">
        <f t="shared" si="299"/>
        <v>1</v>
      </c>
      <c r="S177" s="24">
        <f t="shared" si="299"/>
        <v>1</v>
      </c>
      <c r="T177" s="726"/>
      <c r="U177" s="1521"/>
      <c r="V177" s="1521"/>
      <c r="W177" s="1521"/>
      <c r="X177" s="1521"/>
      <c r="Y177" s="1521"/>
      <c r="Z177" s="1521"/>
      <c r="AA177" s="1522"/>
      <c r="AC177" s="219"/>
      <c r="AD177" s="219"/>
      <c r="AE177" s="219"/>
      <c r="AF177" s="219"/>
      <c r="AG177" s="219"/>
      <c r="AH177" s="219"/>
      <c r="AI177" s="706"/>
      <c r="AK177" s="1521"/>
      <c r="AL177" s="1521"/>
      <c r="AM177" s="1521"/>
      <c r="AN177" s="1521"/>
      <c r="AO177" s="1521"/>
      <c r="AP177" s="1521"/>
      <c r="AQ177" s="1522"/>
      <c r="AS177" s="1487"/>
    </row>
    <row r="178" spans="1:45" s="1365" customFormat="1" ht="14.5" outlineLevel="3">
      <c r="A178" s="22"/>
      <c r="B178" s="22"/>
      <c r="C178" s="22"/>
      <c r="D178" s="707" t="s">
        <v>841</v>
      </c>
      <c r="E178" s="708"/>
      <c r="F178" s="708"/>
      <c r="G178" s="708"/>
      <c r="H178" s="793">
        <f>H166/H$165</f>
        <v>0.16595677551664301</v>
      </c>
      <c r="I178" s="793"/>
      <c r="J178" s="793">
        <f>J166/J$165</f>
        <v>5.1395730706075532E-2</v>
      </c>
      <c r="K178" s="793">
        <f t="shared" ref="K178:S178" si="300">K166/K$165</f>
        <v>2.6507620941020544E-3</v>
      </c>
      <c r="L178" s="793">
        <f t="shared" si="300"/>
        <v>2.4385407029819044E-3</v>
      </c>
      <c r="M178" s="793">
        <f t="shared" si="300"/>
        <v>2.9576695625838693E-3</v>
      </c>
      <c r="N178" s="793">
        <f>N166/N$165</f>
        <v>2.8787675095833056E-3</v>
      </c>
      <c r="O178" s="793">
        <f t="shared" si="300"/>
        <v>3.25255985986031E-3</v>
      </c>
      <c r="P178" s="793">
        <f t="shared" si="300"/>
        <v>3.6124444514297692E-3</v>
      </c>
      <c r="Q178" s="793">
        <f t="shared" si="300"/>
        <v>3.9272164727623239E-3</v>
      </c>
      <c r="R178" s="793">
        <f t="shared" si="300"/>
        <v>4.0976260035591999E-3</v>
      </c>
      <c r="S178" s="793">
        <f t="shared" si="300"/>
        <v>4.0976260035592007E-3</v>
      </c>
      <c r="T178" s="726"/>
      <c r="U178" s="1521"/>
      <c r="V178" s="1521"/>
      <c r="W178" s="1521"/>
      <c r="X178" s="1521"/>
      <c r="Y178" s="1521"/>
      <c r="Z178" s="1521"/>
      <c r="AA178" s="1523"/>
      <c r="AC178" s="728"/>
      <c r="AD178" s="728"/>
      <c r="AE178" s="728"/>
      <c r="AF178" s="728"/>
      <c r="AG178" s="728"/>
      <c r="AH178" s="728"/>
      <c r="AI178" s="22"/>
      <c r="AK178" s="1521"/>
      <c r="AL178" s="1521"/>
      <c r="AM178" s="1521"/>
      <c r="AN178" s="1521"/>
      <c r="AO178" s="1521"/>
      <c r="AP178" s="1521"/>
      <c r="AQ178" s="1523"/>
      <c r="AS178" s="1487"/>
    </row>
    <row r="179" spans="1:45" s="1365" customFormat="1" ht="14.5" outlineLevel="3">
      <c r="A179" s="22"/>
      <c r="B179" s="22"/>
      <c r="C179" s="22"/>
      <c r="D179" s="715" t="s">
        <v>842</v>
      </c>
      <c r="E179" s="22"/>
      <c r="F179" s="22"/>
      <c r="G179" s="22"/>
      <c r="H179" s="91">
        <f t="shared" ref="H179:J182" si="301">H167/H$165</f>
        <v>2.0507966556239155E-3</v>
      </c>
      <c r="I179" s="91"/>
      <c r="J179" s="91">
        <f t="shared" si="301"/>
        <v>0</v>
      </c>
      <c r="K179" s="91">
        <f t="shared" ref="K179:S179" si="302">K167/K$165</f>
        <v>4.1915175612988735E-2</v>
      </c>
      <c r="L179" s="91">
        <f t="shared" si="302"/>
        <v>4.4460901614900301E-2</v>
      </c>
      <c r="M179" s="91">
        <f t="shared" si="302"/>
        <v>6.3907651761794831E-2</v>
      </c>
      <c r="N179" s="91">
        <f t="shared" si="302"/>
        <v>5.9485691055778403E-2</v>
      </c>
      <c r="O179" s="91">
        <f t="shared" si="302"/>
        <v>6.7209585463218646E-2</v>
      </c>
      <c r="P179" s="91">
        <f t="shared" si="302"/>
        <v>7.464609555254316E-2</v>
      </c>
      <c r="Q179" s="91">
        <f t="shared" si="302"/>
        <v>8.1150417680557432E-2</v>
      </c>
      <c r="R179" s="91">
        <f t="shared" si="302"/>
        <v>8.4671691513264549E-2</v>
      </c>
      <c r="S179" s="91">
        <f t="shared" si="302"/>
        <v>8.4671691513264563E-2</v>
      </c>
      <c r="T179" s="726"/>
      <c r="U179" s="1521"/>
      <c r="V179" s="1521"/>
      <c r="W179" s="1521"/>
      <c r="X179" s="1521"/>
      <c r="Y179" s="1521"/>
      <c r="Z179" s="1521"/>
      <c r="AA179" s="1523"/>
      <c r="AC179" s="728"/>
      <c r="AD179" s="728"/>
      <c r="AE179" s="728"/>
      <c r="AF179" s="728"/>
      <c r="AG179" s="728"/>
      <c r="AH179" s="728"/>
      <c r="AI179" s="22"/>
      <c r="AK179" s="1521"/>
      <c r="AL179" s="1521"/>
      <c r="AM179" s="1521"/>
      <c r="AN179" s="1521"/>
      <c r="AO179" s="1521"/>
      <c r="AP179" s="1521"/>
      <c r="AQ179" s="1523"/>
      <c r="AS179" s="1487"/>
    </row>
    <row r="180" spans="1:45" s="1365" customFormat="1" ht="14.5" outlineLevel="3">
      <c r="A180" s="22"/>
      <c r="B180" s="22"/>
      <c r="C180" s="22"/>
      <c r="D180" s="715" t="s">
        <v>843</v>
      </c>
      <c r="E180" s="22"/>
      <c r="F180" s="22"/>
      <c r="G180" s="22"/>
      <c r="H180" s="91">
        <f t="shared" si="301"/>
        <v>0.22826944312983119</v>
      </c>
      <c r="I180" s="91"/>
      <c r="J180" s="91">
        <f t="shared" si="301"/>
        <v>0.34203612479474549</v>
      </c>
      <c r="K180" s="91">
        <f t="shared" ref="K180:S180" si="303">K168/K$165</f>
        <v>0.37756792577866138</v>
      </c>
      <c r="L180" s="91">
        <f t="shared" si="303"/>
        <v>0.38756709015373181</v>
      </c>
      <c r="M180" s="91">
        <f t="shared" si="303"/>
        <v>0.39337327368592317</v>
      </c>
      <c r="N180" s="91">
        <f t="shared" si="303"/>
        <v>0.38127842386568328</v>
      </c>
      <c r="O180" s="91">
        <f t="shared" si="303"/>
        <v>0.39764802427042245</v>
      </c>
      <c r="P180" s="91">
        <f t="shared" si="303"/>
        <v>0.40484254629914035</v>
      </c>
      <c r="Q180" s="91">
        <f t="shared" si="303"/>
        <v>0.40184749881707627</v>
      </c>
      <c r="R180" s="91">
        <f t="shared" si="303"/>
        <v>0.40022605662544741</v>
      </c>
      <c r="S180" s="91">
        <f t="shared" si="303"/>
        <v>0.40022605662544747</v>
      </c>
      <c r="T180" s="726"/>
      <c r="U180" s="1521"/>
      <c r="V180" s="1521"/>
      <c r="W180" s="1521"/>
      <c r="X180" s="1521"/>
      <c r="Y180" s="1521"/>
      <c r="Z180" s="1521"/>
      <c r="AA180" s="1523"/>
      <c r="AC180" s="728"/>
      <c r="AD180" s="728"/>
      <c r="AE180" s="728"/>
      <c r="AF180" s="728"/>
      <c r="AG180" s="728"/>
      <c r="AH180" s="728"/>
      <c r="AI180" s="22"/>
      <c r="AK180" s="1521"/>
      <c r="AL180" s="1521"/>
      <c r="AM180" s="1521"/>
      <c r="AN180" s="1521"/>
      <c r="AO180" s="1521"/>
      <c r="AP180" s="1521"/>
      <c r="AQ180" s="1523"/>
      <c r="AS180" s="1487"/>
    </row>
    <row r="181" spans="1:45" s="1365" customFormat="1" ht="14.5" outlineLevel="3">
      <c r="A181" s="22"/>
      <c r="B181" s="22"/>
      <c r="C181" s="22"/>
      <c r="D181" s="715" t="s">
        <v>844</v>
      </c>
      <c r="E181" s="22"/>
      <c r="F181" s="22"/>
      <c r="G181" s="22"/>
      <c r="H181" s="91">
        <f t="shared" si="301"/>
        <v>0.58842088657516955</v>
      </c>
      <c r="I181" s="91"/>
      <c r="J181" s="91">
        <f t="shared" si="301"/>
        <v>0.60492610837438421</v>
      </c>
      <c r="K181" s="91">
        <f t="shared" ref="K181:S181" si="304">K169/K$165</f>
        <v>0.5778661365142479</v>
      </c>
      <c r="L181" s="91">
        <f t="shared" si="304"/>
        <v>0.56553346752838607</v>
      </c>
      <c r="M181" s="91">
        <f t="shared" si="304"/>
        <v>0.53976140498969816</v>
      </c>
      <c r="N181" s="91">
        <f t="shared" si="304"/>
        <v>0.55635711756895523</v>
      </c>
      <c r="O181" s="91">
        <f t="shared" si="304"/>
        <v>0.53188983040649862</v>
      </c>
      <c r="P181" s="91">
        <f t="shared" si="304"/>
        <v>0.51689891369688679</v>
      </c>
      <c r="Q181" s="91">
        <f t="shared" si="304"/>
        <v>0.51307486702960392</v>
      </c>
      <c r="R181" s="91">
        <f t="shared" si="304"/>
        <v>0.51100462585772877</v>
      </c>
      <c r="S181" s="91">
        <f t="shared" si="304"/>
        <v>0.51100462585772888</v>
      </c>
      <c r="T181" s="726"/>
      <c r="U181" s="1521"/>
      <c r="V181" s="1521"/>
      <c r="W181" s="1521"/>
      <c r="X181" s="1521"/>
      <c r="Y181" s="1521"/>
      <c r="Z181" s="1521"/>
      <c r="AA181" s="1523"/>
      <c r="AC181" s="728"/>
      <c r="AD181" s="728"/>
      <c r="AE181" s="728"/>
      <c r="AF181" s="728"/>
      <c r="AG181" s="728"/>
      <c r="AH181" s="728"/>
      <c r="AI181" s="22"/>
      <c r="AK181" s="1521"/>
      <c r="AL181" s="1521"/>
      <c r="AM181" s="1521"/>
      <c r="AN181" s="1521"/>
      <c r="AO181" s="1521"/>
      <c r="AP181" s="1521"/>
      <c r="AQ181" s="1523"/>
      <c r="AS181" s="1487"/>
    </row>
    <row r="182" spans="1:45" s="1365" customFormat="1" ht="14.5" outlineLevel="3">
      <c r="A182" s="22"/>
      <c r="B182" s="22"/>
      <c r="C182" s="22"/>
      <c r="D182" s="719" t="s">
        <v>665</v>
      </c>
      <c r="E182" s="720"/>
      <c r="F182" s="720"/>
      <c r="G182" s="720"/>
      <c r="H182" s="794">
        <f t="shared" si="301"/>
        <v>1.5302098122732291E-2</v>
      </c>
      <c r="I182" s="794"/>
      <c r="J182" s="794">
        <f t="shared" si="301"/>
        <v>1.6420361247947454E-3</v>
      </c>
      <c r="K182" s="794">
        <f t="shared" ref="K182:S182" si="305">K170/K$165</f>
        <v>0</v>
      </c>
      <c r="L182" s="794">
        <f t="shared" si="305"/>
        <v>0</v>
      </c>
      <c r="M182" s="794">
        <f t="shared" si="305"/>
        <v>0</v>
      </c>
      <c r="N182" s="794">
        <f t="shared" si="305"/>
        <v>0</v>
      </c>
      <c r="O182" s="794">
        <f t="shared" si="305"/>
        <v>0</v>
      </c>
      <c r="P182" s="794">
        <f t="shared" si="305"/>
        <v>0</v>
      </c>
      <c r="Q182" s="794">
        <f t="shared" si="305"/>
        <v>0</v>
      </c>
      <c r="R182" s="794">
        <f t="shared" si="305"/>
        <v>0</v>
      </c>
      <c r="S182" s="794">
        <f t="shared" si="305"/>
        <v>0</v>
      </c>
      <c r="T182" s="726"/>
      <c r="U182" s="1521"/>
      <c r="V182" s="1521"/>
      <c r="W182" s="1521"/>
      <c r="X182" s="1521"/>
      <c r="Y182" s="1521"/>
      <c r="Z182" s="1521"/>
      <c r="AA182" s="1523"/>
      <c r="AC182" s="728"/>
      <c r="AD182" s="728"/>
      <c r="AE182" s="728"/>
      <c r="AF182" s="728"/>
      <c r="AG182" s="728"/>
      <c r="AH182" s="728"/>
      <c r="AI182" s="22"/>
      <c r="AK182" s="1521"/>
      <c r="AL182" s="1521"/>
      <c r="AM182" s="1521"/>
      <c r="AN182" s="1521"/>
      <c r="AO182" s="1521"/>
      <c r="AP182" s="1521"/>
      <c r="AQ182" s="1523"/>
      <c r="AS182" s="1487"/>
    </row>
    <row r="183" spans="1:45" ht="14.5" outlineLevel="2">
      <c r="C183" s="18" t="s">
        <v>31</v>
      </c>
      <c r="D183" s="1"/>
      <c r="E183" s="1"/>
      <c r="H183" s="52">
        <f>IFERROR(H189/H165,"NA")</f>
        <v>7.7983909133932796</v>
      </c>
      <c r="I183" s="759" t="str">
        <f t="shared" ref="I183:J183" si="306">IFERROR(I189/I165,"NA")</f>
        <v>NA</v>
      </c>
      <c r="J183" s="759">
        <f t="shared" si="306"/>
        <v>8.2558292282430212</v>
      </c>
      <c r="K183" s="759">
        <f t="shared" ref="K183:S183" si="307">IFERROR(K189/K165,"NA")</f>
        <v>8.1971504307488399</v>
      </c>
      <c r="L183" s="759">
        <f t="shared" si="307"/>
        <v>8.2801554266452602</v>
      </c>
      <c r="M183" s="759">
        <f t="shared" si="307"/>
        <v>8.3008720727423118</v>
      </c>
      <c r="N183" s="764">
        <f t="shared" si="307"/>
        <v>8.316601423572088</v>
      </c>
      <c r="O183" s="764">
        <f t="shared" si="307"/>
        <v>8.2914036279146792</v>
      </c>
      <c r="P183" s="764">
        <f t="shared" si="307"/>
        <v>8.2706893985874235</v>
      </c>
      <c r="Q183" s="764">
        <f t="shared" si="307"/>
        <v>8.2564165449697136</v>
      </c>
      <c r="R183" s="764">
        <f t="shared" si="307"/>
        <v>8.2486895866529295</v>
      </c>
      <c r="S183" s="764">
        <f t="shared" si="307"/>
        <v>8.2486895866529313</v>
      </c>
      <c r="T183" s="408"/>
      <c r="U183" s="1524">
        <f>$L183*(1+$AA183)</f>
        <v>8.4457585351781663</v>
      </c>
      <c r="V183" s="1524">
        <f>U183*(1+$AA183)</f>
        <v>8.6146737058817298</v>
      </c>
      <c r="W183" s="1524">
        <f t="shared" ref="W183" si="308">V183*(1+$AA183)</f>
        <v>8.7869671799993654</v>
      </c>
      <c r="X183" s="1524">
        <f t="shared" ref="X183" si="309">W183*(1+$AA183)</f>
        <v>8.962706523599353</v>
      </c>
      <c r="Y183" s="1524">
        <f t="shared" ref="Y183" si="310">X183*(1+$AA183)</f>
        <v>9.1419606540713403</v>
      </c>
      <c r="Z183" s="1524">
        <f t="shared" ref="Z183" si="311">Y183*(1+$AA183)</f>
        <v>9.3247998671527679</v>
      </c>
      <c r="AA183" s="1525">
        <v>0.02</v>
      </c>
      <c r="AB183" s="1126"/>
      <c r="AC183" s="733"/>
      <c r="AD183" s="733"/>
      <c r="AE183" s="733"/>
      <c r="AF183" s="733"/>
      <c r="AG183" s="733"/>
      <c r="AH183" s="733"/>
      <c r="AI183" s="472"/>
      <c r="AJ183" s="1321"/>
      <c r="AK183" s="1529">
        <f>$L183*(1+$AQ183)</f>
        <v>8.2801554266452602</v>
      </c>
      <c r="AL183" s="1529">
        <f>AK183*(1+$AQ183)</f>
        <v>8.2801554266452602</v>
      </c>
      <c r="AM183" s="1529">
        <f t="shared" ref="AM183:AN183" si="312">AL183*(1+$AQ183)</f>
        <v>8.2801554266452602</v>
      </c>
      <c r="AN183" s="1529">
        <f t="shared" si="312"/>
        <v>8.2801554266452602</v>
      </c>
      <c r="AO183" s="1529">
        <f>AN183*(1+$AQ183)</f>
        <v>8.2801554266452602</v>
      </c>
      <c r="AP183" s="1529">
        <f t="shared" ref="AP183" si="313">AO183*(1+$AQ183)</f>
        <v>8.2801554266452602</v>
      </c>
      <c r="AQ183" s="1520">
        <v>0</v>
      </c>
      <c r="AS183" s="1485"/>
    </row>
    <row r="184" spans="1:45" ht="14.5" outlineLevel="2">
      <c r="C184" s="1"/>
      <c r="D184" s="27" t="s">
        <v>841</v>
      </c>
      <c r="E184" s="28"/>
      <c r="F184" s="28"/>
      <c r="G184" s="28"/>
      <c r="H184" s="50">
        <f>IFERROR(H190/H166,"NA")</f>
        <v>5.9125475285171101</v>
      </c>
      <c r="I184" s="759" t="str">
        <f t="shared" ref="I184:J184" si="314">IFERROR(I190/I166,"NA")</f>
        <v>NA</v>
      </c>
      <c r="J184" s="759">
        <f t="shared" si="314"/>
        <v>9.9808306709265171</v>
      </c>
      <c r="K184" s="759">
        <f t="shared" ref="K184:M184" si="315">IFERROR(K190/K166,"NA")</f>
        <v>9.75</v>
      </c>
      <c r="L184" s="759">
        <f t="shared" si="315"/>
        <v>9.9857079508271429</v>
      </c>
      <c r="M184" s="759">
        <f t="shared" si="315"/>
        <v>9.9206257929659465</v>
      </c>
      <c r="N184" s="780">
        <f>CHOOSE(case,U184,AC184,AK184)</f>
        <v>9.9206257929659465</v>
      </c>
      <c r="O184" s="781">
        <f t="shared" ref="O184:O188" si="316">CHOOSE(case,V184,AD184,AL184)</f>
        <v>9.9206257929659465</v>
      </c>
      <c r="P184" s="781">
        <f t="shared" ref="P184:P188" si="317">CHOOSE(case,W184,AE184,AM184)</f>
        <v>9.9206257929659465</v>
      </c>
      <c r="Q184" s="781">
        <f t="shared" ref="Q184:Q188" si="318">CHOOSE(case,X184,AF184,AN184)</f>
        <v>9.9206257929659465</v>
      </c>
      <c r="R184" s="781">
        <f t="shared" ref="R184:R188" si="319">CHOOSE(case,Y184,AG184,AO184)</f>
        <v>9.9206257929659465</v>
      </c>
      <c r="S184" s="782">
        <f t="shared" ref="S184:S188" si="320">CHOOSE(case,Z184,AH184,AP184)</f>
        <v>9.9206257929659465</v>
      </c>
      <c r="T184" s="675"/>
      <c r="U184" s="1515"/>
      <c r="V184" s="1515"/>
      <c r="W184" s="1515"/>
      <c r="X184" s="1515"/>
      <c r="Y184" s="1515"/>
      <c r="Z184" s="1515"/>
      <c r="AA184" s="1515"/>
      <c r="AB184" s="1321"/>
      <c r="AC184" s="737">
        <f>M184</f>
        <v>9.9206257929659465</v>
      </c>
      <c r="AD184" s="737">
        <f t="shared" ref="AD184:AD185" si="321">N184</f>
        <v>9.9206257929659465</v>
      </c>
      <c r="AE184" s="737">
        <f t="shared" ref="AE184:AE185" si="322">O184</f>
        <v>9.9206257929659465</v>
      </c>
      <c r="AF184" s="737">
        <f t="shared" ref="AF184:AF185" si="323">P184</f>
        <v>9.9206257929659465</v>
      </c>
      <c r="AG184" s="737">
        <f t="shared" ref="AG184:AG185" si="324">Q184</f>
        <v>9.9206257929659465</v>
      </c>
      <c r="AH184" s="737">
        <f t="shared" ref="AH184:AH185" si="325">R184</f>
        <v>9.9206257929659465</v>
      </c>
      <c r="AI184" s="415"/>
      <c r="AJ184" s="1321"/>
      <c r="AK184" s="1515"/>
      <c r="AL184" s="1515"/>
      <c r="AM184" s="1515"/>
      <c r="AN184" s="1515"/>
      <c r="AO184" s="1515"/>
      <c r="AP184" s="1515"/>
      <c r="AQ184" s="1515"/>
      <c r="AS184" s="1485"/>
    </row>
    <row r="185" spans="1:45" ht="14.5" outlineLevel="2">
      <c r="C185" s="1"/>
      <c r="D185" s="31" t="s">
        <v>842</v>
      </c>
      <c r="E185" s="1"/>
      <c r="F185" s="1"/>
      <c r="G185" s="1"/>
      <c r="H185" s="52">
        <f t="shared" ref="H185:J185" si="326">IFERROR(H191/H167,"NA")</f>
        <v>11.923076923076923</v>
      </c>
      <c r="I185" s="764" t="str">
        <f t="shared" si="326"/>
        <v>NA</v>
      </c>
      <c r="J185" s="764" t="str">
        <f t="shared" si="326"/>
        <v>NA</v>
      </c>
      <c r="K185" s="764">
        <f t="shared" ref="K185:M185" si="327">IFERROR(K191/K167,"NA")</f>
        <v>6.0810276679841895</v>
      </c>
      <c r="L185" s="764">
        <f t="shared" si="327"/>
        <v>6.0902227403013711</v>
      </c>
      <c r="M185" s="764">
        <f t="shared" si="327"/>
        <v>6.1682051616943419</v>
      </c>
      <c r="N185" s="785">
        <f>CHOOSE(case,U185,AC185,AK185)</f>
        <v>6.1682051616943419</v>
      </c>
      <c r="O185" s="786">
        <f t="shared" si="316"/>
        <v>6.1682051616943419</v>
      </c>
      <c r="P185" s="786">
        <f t="shared" si="317"/>
        <v>6.1682051616943419</v>
      </c>
      <c r="Q185" s="786">
        <f t="shared" si="318"/>
        <v>6.1682051616943419</v>
      </c>
      <c r="R185" s="786">
        <f t="shared" si="319"/>
        <v>6.1682051616943419</v>
      </c>
      <c r="S185" s="787">
        <f t="shared" si="320"/>
        <v>6.1682051616943419</v>
      </c>
      <c r="T185" s="675"/>
      <c r="U185" s="1515"/>
      <c r="V185" s="1515"/>
      <c r="W185" s="1515"/>
      <c r="X185" s="1515"/>
      <c r="Y185" s="1515"/>
      <c r="Z185" s="1515"/>
      <c r="AA185" s="1515"/>
      <c r="AB185" s="1321"/>
      <c r="AC185" s="737">
        <f>M185</f>
        <v>6.1682051616943419</v>
      </c>
      <c r="AD185" s="737">
        <f t="shared" si="321"/>
        <v>6.1682051616943419</v>
      </c>
      <c r="AE185" s="737">
        <f t="shared" si="322"/>
        <v>6.1682051616943419</v>
      </c>
      <c r="AF185" s="737">
        <f t="shared" si="323"/>
        <v>6.1682051616943419</v>
      </c>
      <c r="AG185" s="737">
        <f t="shared" si="324"/>
        <v>6.1682051616943419</v>
      </c>
      <c r="AH185" s="737">
        <f t="shared" si="325"/>
        <v>6.1682051616943419</v>
      </c>
      <c r="AI185" s="415"/>
      <c r="AJ185" s="1321"/>
      <c r="AK185" s="1515"/>
      <c r="AL185" s="1515"/>
      <c r="AM185" s="1515"/>
      <c r="AN185" s="1515"/>
      <c r="AO185" s="1515"/>
      <c r="AP185" s="1515"/>
      <c r="AQ185" s="1515"/>
      <c r="AS185" s="1485"/>
    </row>
    <row r="186" spans="1:45" ht="14.5" outlineLevel="2">
      <c r="C186" s="1"/>
      <c r="D186" s="31" t="s">
        <v>843</v>
      </c>
      <c r="E186" s="1"/>
      <c r="F186" s="1"/>
      <c r="G186" s="1"/>
      <c r="H186" s="52">
        <f t="shared" ref="H186:J186" si="328">IFERROR(H192/H168,"NA")</f>
        <v>7.6019350380096755</v>
      </c>
      <c r="I186" s="764" t="str">
        <f t="shared" si="328"/>
        <v>NA</v>
      </c>
      <c r="J186" s="764">
        <f t="shared" si="328"/>
        <v>8.6012962073931831</v>
      </c>
      <c r="K186" s="764">
        <f t="shared" ref="K186:M186" si="329">IFERROR(K192/K168,"NA")</f>
        <v>8.1443615620886352</v>
      </c>
      <c r="L186" s="764">
        <f t="shared" si="329"/>
        <v>8.227790570745098</v>
      </c>
      <c r="M186" s="764">
        <f t="shared" si="329"/>
        <v>8.2023448253390523</v>
      </c>
      <c r="N186" s="785">
        <f>CHOOSE(case,U186,AC186,AK186)</f>
        <v>8.2023448253390523</v>
      </c>
      <c r="O186" s="786">
        <f t="shared" si="316"/>
        <v>8.2023448253390523</v>
      </c>
      <c r="P186" s="786">
        <f t="shared" si="317"/>
        <v>8.2023448253390523</v>
      </c>
      <c r="Q186" s="786">
        <f t="shared" si="318"/>
        <v>8.2023448253390523</v>
      </c>
      <c r="R186" s="786">
        <f t="shared" si="319"/>
        <v>8.2023448253390523</v>
      </c>
      <c r="S186" s="787">
        <f t="shared" si="320"/>
        <v>8.2023448253390523</v>
      </c>
      <c r="T186" s="675"/>
      <c r="U186" s="1515"/>
      <c r="V186" s="1515"/>
      <c r="W186" s="1515"/>
      <c r="X186" s="1515"/>
      <c r="Y186" s="1515"/>
      <c r="Z186" s="1515"/>
      <c r="AA186" s="1515"/>
      <c r="AB186" s="1321"/>
      <c r="AC186" s="737">
        <f t="shared" ref="AC186:AC187" si="330">M186</f>
        <v>8.2023448253390523</v>
      </c>
      <c r="AD186" s="737">
        <f t="shared" ref="AD186:AD187" si="331">N186</f>
        <v>8.2023448253390523</v>
      </c>
      <c r="AE186" s="737">
        <f t="shared" ref="AE186:AE187" si="332">O186</f>
        <v>8.2023448253390523</v>
      </c>
      <c r="AF186" s="737">
        <f t="shared" ref="AF186:AF187" si="333">P186</f>
        <v>8.2023448253390523</v>
      </c>
      <c r="AG186" s="737">
        <f t="shared" ref="AG186:AG187" si="334">Q186</f>
        <v>8.2023448253390523</v>
      </c>
      <c r="AH186" s="737">
        <f t="shared" ref="AH186:AH187" si="335">R186</f>
        <v>8.2023448253390523</v>
      </c>
      <c r="AI186" s="415"/>
      <c r="AJ186" s="1321"/>
      <c r="AK186" s="1515"/>
      <c r="AL186" s="1515"/>
      <c r="AM186" s="1515"/>
      <c r="AN186" s="1515"/>
      <c r="AO186" s="1515"/>
      <c r="AP186" s="1515"/>
      <c r="AQ186" s="1515"/>
      <c r="AS186" s="1485"/>
    </row>
    <row r="187" spans="1:45" ht="14.5" outlineLevel="2">
      <c r="C187" s="1"/>
      <c r="D187" s="31" t="s">
        <v>844</v>
      </c>
      <c r="E187" s="1"/>
      <c r="F187" s="1"/>
      <c r="G187" s="1"/>
      <c r="H187" s="52">
        <f t="shared" ref="H187:J187" si="336">IFERROR(H193/H169,"NA")</f>
        <v>8.4048257372654156</v>
      </c>
      <c r="I187" s="764" t="str">
        <f t="shared" si="336"/>
        <v>NA</v>
      </c>
      <c r="J187" s="764">
        <f t="shared" si="336"/>
        <v>7.9086590662323557</v>
      </c>
      <c r="K187" s="764">
        <f t="shared" ref="K187:M187" si="337">IFERROR(K193/K169,"NA")</f>
        <v>8.378010321100918</v>
      </c>
      <c r="L187" s="764">
        <f t="shared" si="337"/>
        <v>8.4808548083867041</v>
      </c>
      <c r="M187" s="764">
        <f t="shared" si="337"/>
        <v>8.6163096388267206</v>
      </c>
      <c r="N187" s="785">
        <f>CHOOSE(case,U187,AC187,AK187)</f>
        <v>8.6163096388267206</v>
      </c>
      <c r="O187" s="786">
        <f t="shared" si="316"/>
        <v>8.6163096388267206</v>
      </c>
      <c r="P187" s="786">
        <f t="shared" si="317"/>
        <v>8.6163096388267206</v>
      </c>
      <c r="Q187" s="786">
        <f t="shared" si="318"/>
        <v>8.6163096388267206</v>
      </c>
      <c r="R187" s="786">
        <f t="shared" si="319"/>
        <v>8.6163096388267206</v>
      </c>
      <c r="S187" s="787">
        <f t="shared" si="320"/>
        <v>8.6163096388267206</v>
      </c>
      <c r="T187" s="675"/>
      <c r="U187" s="1515"/>
      <c r="V187" s="1515"/>
      <c r="W187" s="1515"/>
      <c r="X187" s="1515"/>
      <c r="Y187" s="1515"/>
      <c r="Z187" s="1515"/>
      <c r="AA187" s="1515"/>
      <c r="AB187" s="1321"/>
      <c r="AC187" s="737">
        <f t="shared" si="330"/>
        <v>8.6163096388267206</v>
      </c>
      <c r="AD187" s="737">
        <f t="shared" si="331"/>
        <v>8.6163096388267206</v>
      </c>
      <c r="AE187" s="737">
        <f t="shared" si="332"/>
        <v>8.6163096388267206</v>
      </c>
      <c r="AF187" s="737">
        <f t="shared" si="333"/>
        <v>8.6163096388267206</v>
      </c>
      <c r="AG187" s="737">
        <f t="shared" si="334"/>
        <v>8.6163096388267206</v>
      </c>
      <c r="AH187" s="737">
        <f t="shared" si="335"/>
        <v>8.6163096388267206</v>
      </c>
      <c r="AI187" s="415"/>
      <c r="AJ187" s="1321"/>
      <c r="AK187" s="1515"/>
      <c r="AL187" s="1515"/>
      <c r="AM187" s="1515"/>
      <c r="AN187" s="1515"/>
      <c r="AO187" s="1515"/>
      <c r="AP187" s="1515"/>
      <c r="AQ187" s="1515"/>
      <c r="AS187" s="1485"/>
    </row>
    <row r="188" spans="1:45" ht="15" outlineLevel="2" thickBot="1">
      <c r="C188" s="37"/>
      <c r="D188" s="33" t="s">
        <v>665</v>
      </c>
      <c r="E188" s="37"/>
      <c r="F188" s="37"/>
      <c r="G188" s="37"/>
      <c r="H188" s="54">
        <f t="shared" ref="H188:J188" si="338">IFERROR(H194/H170,"NA")</f>
        <v>7.3092783505154637</v>
      </c>
      <c r="I188" s="774" t="str">
        <f t="shared" si="338"/>
        <v>NA</v>
      </c>
      <c r="J188" s="774">
        <f t="shared" si="338"/>
        <v>10.199999999999999</v>
      </c>
      <c r="K188" s="774" t="str">
        <f t="shared" ref="K188:M188" si="339">IFERROR(K194/K170,"NA")</f>
        <v>NA</v>
      </c>
      <c r="L188" s="774" t="str">
        <f t="shared" si="339"/>
        <v>NA</v>
      </c>
      <c r="M188" s="774" t="str">
        <f t="shared" si="339"/>
        <v>NA</v>
      </c>
      <c r="N188" s="789">
        <f>CHOOSE(case,U188,AC188,AK188)</f>
        <v>0</v>
      </c>
      <c r="O188" s="790">
        <f t="shared" si="316"/>
        <v>0</v>
      </c>
      <c r="P188" s="790">
        <f t="shared" si="317"/>
        <v>0</v>
      </c>
      <c r="Q188" s="790">
        <f t="shared" si="318"/>
        <v>0</v>
      </c>
      <c r="R188" s="790">
        <f t="shared" si="319"/>
        <v>0</v>
      </c>
      <c r="S188" s="791">
        <f t="shared" si="320"/>
        <v>0</v>
      </c>
      <c r="T188" s="675"/>
      <c r="U188" s="1515"/>
      <c r="V188" s="1515"/>
      <c r="W188" s="1515"/>
      <c r="X188" s="1515"/>
      <c r="Y188" s="1515"/>
      <c r="Z188" s="1515"/>
      <c r="AA188" s="1515"/>
      <c r="AB188" s="1321"/>
      <c r="AC188" s="783"/>
      <c r="AD188" s="783"/>
      <c r="AE188" s="783"/>
      <c r="AF188" s="783"/>
      <c r="AG188" s="783"/>
      <c r="AH188" s="783"/>
      <c r="AI188" s="415"/>
      <c r="AJ188" s="1321"/>
      <c r="AK188" s="1515"/>
      <c r="AL188" s="1515"/>
      <c r="AM188" s="1515"/>
      <c r="AN188" s="1515"/>
      <c r="AO188" s="1515"/>
      <c r="AP188" s="1515"/>
      <c r="AQ188" s="1515"/>
      <c r="AS188" s="1485"/>
    </row>
    <row r="189" spans="1:45" ht="14.5" outlineLevel="2">
      <c r="C189" s="18" t="s">
        <v>991</v>
      </c>
      <c r="D189" s="1"/>
      <c r="E189" s="1"/>
      <c r="H189" s="99">
        <f>SUM(H190:H194)</f>
        <v>49434</v>
      </c>
      <c r="I189" s="414">
        <v>43732</v>
      </c>
      <c r="J189" s="99">
        <f t="shared" ref="J189" si="340">SUM(J190:J194)</f>
        <v>50278</v>
      </c>
      <c r="K189" s="99">
        <f t="shared" ref="K189" si="341">SUM(K190:K194)</f>
        <v>49478</v>
      </c>
      <c r="L189" s="23">
        <f>SUM(L190:L194)</f>
        <v>60834.442682204972</v>
      </c>
      <c r="M189" s="23">
        <f>SUM(M190:M194)</f>
        <v>41222.72837602756</v>
      </c>
      <c r="N189" s="23">
        <f>SUM(N190:N194)</f>
        <v>77637.511856394209</v>
      </c>
      <c r="O189" s="23">
        <f t="shared" ref="O189:S189" si="342">SUM(O190:O194)</f>
        <v>89059.125091088572</v>
      </c>
      <c r="P189" s="23">
        <f t="shared" si="342"/>
        <v>95983.690662172376</v>
      </c>
      <c r="Q189" s="23">
        <f t="shared" si="342"/>
        <v>101358.81073644152</v>
      </c>
      <c r="R189" s="23">
        <f t="shared" si="342"/>
        <v>106757.91420943089</v>
      </c>
      <c r="S189" s="23">
        <f t="shared" si="342"/>
        <v>112095.80991990244</v>
      </c>
      <c r="T189" s="1321"/>
      <c r="U189" s="1515"/>
      <c r="V189" s="1515"/>
      <c r="W189" s="1515"/>
      <c r="X189" s="1515"/>
      <c r="Y189" s="1515"/>
      <c r="Z189" s="1515"/>
      <c r="AA189" s="1515"/>
      <c r="AB189" s="1321"/>
      <c r="AC189" s="1"/>
      <c r="AD189" s="1"/>
      <c r="AE189" s="1"/>
      <c r="AF189" s="1"/>
      <c r="AG189" s="1"/>
      <c r="AH189" s="1"/>
      <c r="AI189" s="415"/>
      <c r="AJ189" s="1321"/>
      <c r="AK189" s="1515"/>
      <c r="AL189" s="1515"/>
      <c r="AM189" s="1515"/>
      <c r="AN189" s="1515"/>
      <c r="AO189" s="1515"/>
      <c r="AP189" s="1515"/>
      <c r="AQ189" s="1515"/>
      <c r="AS189" s="1485"/>
    </row>
    <row r="190" spans="1:45" ht="14.5" outlineLevel="2">
      <c r="C190" s="1"/>
      <c r="D190" s="27" t="s">
        <v>841</v>
      </c>
      <c r="E190" s="28"/>
      <c r="F190" s="28"/>
      <c r="G190" s="28"/>
      <c r="H190" s="398">
        <v>6220</v>
      </c>
      <c r="I190" s="411"/>
      <c r="J190" s="398">
        <v>3124</v>
      </c>
      <c r="K190" s="398">
        <v>156</v>
      </c>
      <c r="L190" s="398">
        <v>178.9039436470191</v>
      </c>
      <c r="M190" s="398">
        <v>145.71415164708384</v>
      </c>
      <c r="N190" s="29">
        <f>N166*N184</f>
        <v>266.60689756016689</v>
      </c>
      <c r="O190" s="29">
        <f t="shared" ref="O190:R190" si="343">O166*O184</f>
        <v>346.58896682821694</v>
      </c>
      <c r="P190" s="29">
        <f t="shared" si="343"/>
        <v>415.90676019386035</v>
      </c>
      <c r="Q190" s="29">
        <f t="shared" si="343"/>
        <v>478.29277422293933</v>
      </c>
      <c r="R190" s="29">
        <f t="shared" si="343"/>
        <v>526.12205164523334</v>
      </c>
      <c r="S190" s="30">
        <f>S166*S184</f>
        <v>552.42815422749504</v>
      </c>
      <c r="T190" s="1321"/>
      <c r="U190" s="1515"/>
      <c r="V190" s="1515"/>
      <c r="W190" s="1515"/>
      <c r="X190" s="1515"/>
      <c r="Y190" s="1515"/>
      <c r="Z190" s="1515"/>
      <c r="AA190" s="1515"/>
      <c r="AB190" s="1321"/>
      <c r="AC190" s="1"/>
      <c r="AD190" s="1"/>
      <c r="AE190" s="1"/>
      <c r="AF190" s="1"/>
      <c r="AG190" s="1"/>
      <c r="AH190" s="1"/>
      <c r="AI190" s="415"/>
      <c r="AJ190" s="1321"/>
      <c r="AK190" s="1515"/>
      <c r="AL190" s="1515"/>
      <c r="AM190" s="1515"/>
      <c r="AN190" s="1515"/>
      <c r="AO190" s="1515"/>
      <c r="AP190" s="1515"/>
      <c r="AQ190" s="1515"/>
      <c r="AS190" s="1485"/>
    </row>
    <row r="191" spans="1:45" ht="14.5" outlineLevel="2">
      <c r="C191" s="1"/>
      <c r="D191" s="31" t="s">
        <v>842</v>
      </c>
      <c r="E191" s="1"/>
      <c r="F191" s="1"/>
      <c r="G191" s="1"/>
      <c r="H191" s="400">
        <v>155</v>
      </c>
      <c r="I191" s="412"/>
      <c r="J191" s="400">
        <v>0</v>
      </c>
      <c r="K191" s="400">
        <v>1538.5</v>
      </c>
      <c r="L191" s="400">
        <v>1989.4017092331442</v>
      </c>
      <c r="M191" s="400">
        <v>1957.6032721669333</v>
      </c>
      <c r="N191" s="20">
        <f t="shared" ref="N191:S191" si="344">N167*N185</f>
        <v>3425.2875970585505</v>
      </c>
      <c r="O191" s="20">
        <f t="shared" si="344"/>
        <v>4452.873876176116</v>
      </c>
      <c r="P191" s="20">
        <f t="shared" si="344"/>
        <v>5343.4486514113387</v>
      </c>
      <c r="Q191" s="20">
        <f t="shared" si="344"/>
        <v>6144.9659491230395</v>
      </c>
      <c r="R191" s="20">
        <f t="shared" si="344"/>
        <v>6759.4625440353439</v>
      </c>
      <c r="S191" s="32">
        <f t="shared" si="344"/>
        <v>7097.4356712371118</v>
      </c>
      <c r="T191" s="1321"/>
      <c r="U191" s="1515"/>
      <c r="V191" s="1515"/>
      <c r="W191" s="1515"/>
      <c r="X191" s="1515"/>
      <c r="Y191" s="1515"/>
      <c r="Z191" s="1515"/>
      <c r="AA191" s="1515"/>
      <c r="AB191" s="1321"/>
      <c r="AC191" s="1"/>
      <c r="AD191" s="1"/>
      <c r="AE191" s="1"/>
      <c r="AF191" s="1"/>
      <c r="AG191" s="1"/>
      <c r="AH191" s="1"/>
      <c r="AI191" s="415"/>
      <c r="AJ191" s="1321"/>
      <c r="AK191" s="1515"/>
      <c r="AL191" s="1515"/>
      <c r="AM191" s="1515"/>
      <c r="AN191" s="1515"/>
      <c r="AO191" s="1515"/>
      <c r="AP191" s="1515"/>
      <c r="AQ191" s="1515"/>
      <c r="AS191" s="1485"/>
    </row>
    <row r="192" spans="1:45" ht="14.5" outlineLevel="2">
      <c r="C192" s="1"/>
      <c r="D192" s="31" t="s">
        <v>843</v>
      </c>
      <c r="E192" s="1"/>
      <c r="F192" s="1"/>
      <c r="G192" s="1"/>
      <c r="H192" s="400">
        <v>11000</v>
      </c>
      <c r="I192" s="412"/>
      <c r="J192" s="400">
        <v>17916.5</v>
      </c>
      <c r="K192" s="400">
        <v>18561</v>
      </c>
      <c r="L192" s="400">
        <v>23428.320994154979</v>
      </c>
      <c r="M192" s="400">
        <v>16023.444663196346</v>
      </c>
      <c r="N192" s="20">
        <f t="shared" ref="N192:S192" si="345">N168*N186</f>
        <v>29194.831501311986</v>
      </c>
      <c r="O192" s="20">
        <f t="shared" si="345"/>
        <v>35033.797801574379</v>
      </c>
      <c r="P192" s="20">
        <f t="shared" si="345"/>
        <v>38537.177581731819</v>
      </c>
      <c r="Q192" s="20">
        <f t="shared" si="345"/>
        <v>40464.03646081841</v>
      </c>
      <c r="R192" s="20">
        <f t="shared" si="345"/>
        <v>42487.238283859333</v>
      </c>
      <c r="S192" s="32">
        <f t="shared" si="345"/>
        <v>44611.6001980523</v>
      </c>
      <c r="T192" s="1321"/>
      <c r="U192" s="1515"/>
      <c r="V192" s="1515"/>
      <c r="W192" s="1515"/>
      <c r="X192" s="1515"/>
      <c r="Y192" s="1515"/>
      <c r="Z192" s="1515"/>
      <c r="AA192" s="1515"/>
      <c r="AB192" s="1321"/>
      <c r="AC192" s="1"/>
      <c r="AD192" s="1"/>
      <c r="AE192" s="1"/>
      <c r="AF192" s="1"/>
      <c r="AG192" s="1"/>
      <c r="AH192" s="1"/>
      <c r="AI192" s="415"/>
      <c r="AJ192" s="1321"/>
      <c r="AK192" s="1515"/>
      <c r="AL192" s="1515"/>
      <c r="AM192" s="1515"/>
      <c r="AN192" s="1515"/>
      <c r="AO192" s="1515"/>
      <c r="AP192" s="1515"/>
      <c r="AQ192" s="1515"/>
      <c r="AS192" s="1485"/>
    </row>
    <row r="193" spans="1:45" ht="14.5" outlineLevel="2">
      <c r="C193" s="1"/>
      <c r="D193" s="31" t="s">
        <v>844</v>
      </c>
      <c r="E193" s="1"/>
      <c r="F193" s="1"/>
      <c r="G193" s="1"/>
      <c r="H193" s="400">
        <v>31350</v>
      </c>
      <c r="I193" s="412"/>
      <c r="J193" s="400">
        <v>29135.5</v>
      </c>
      <c r="K193" s="400">
        <v>29222.5</v>
      </c>
      <c r="L193" s="400">
        <v>35237.816035169824</v>
      </c>
      <c r="M193" s="400">
        <v>23095.966289017193</v>
      </c>
      <c r="N193" s="20">
        <f t="shared" ref="N193:S193" si="346">N169*N187</f>
        <v>44750.785860463511</v>
      </c>
      <c r="O193" s="20">
        <f t="shared" si="346"/>
        <v>49225.864446509862</v>
      </c>
      <c r="P193" s="20">
        <f t="shared" si="346"/>
        <v>51687.15766883536</v>
      </c>
      <c r="Q193" s="20">
        <f t="shared" si="346"/>
        <v>54271.515552277131</v>
      </c>
      <c r="R193" s="20">
        <f t="shared" si="346"/>
        <v>56985.091329890987</v>
      </c>
      <c r="S193" s="32">
        <f t="shared" si="346"/>
        <v>59834.345896385545</v>
      </c>
      <c r="T193" s="1321"/>
      <c r="U193" s="1515"/>
      <c r="V193" s="1515"/>
      <c r="W193" s="1515"/>
      <c r="X193" s="1515"/>
      <c r="Y193" s="1515"/>
      <c r="Z193" s="1515"/>
      <c r="AA193" s="1515"/>
      <c r="AB193" s="1321"/>
      <c r="AC193" s="1"/>
      <c r="AD193" s="1"/>
      <c r="AE193" s="1"/>
      <c r="AF193" s="1"/>
      <c r="AG193" s="1"/>
      <c r="AH193" s="1"/>
      <c r="AI193" s="415"/>
      <c r="AJ193" s="1321"/>
      <c r="AK193" s="1515"/>
      <c r="AL193" s="1515"/>
      <c r="AM193" s="1515"/>
      <c r="AN193" s="1515"/>
      <c r="AO193" s="1515"/>
      <c r="AP193" s="1515"/>
      <c r="AQ193" s="1515"/>
      <c r="AS193" s="1485"/>
    </row>
    <row r="194" spans="1:45" ht="14.5" outlineLevel="2">
      <c r="C194" s="1"/>
      <c r="D194" s="33" t="s">
        <v>665</v>
      </c>
      <c r="E194" s="34"/>
      <c r="F194" s="34"/>
      <c r="G194" s="34"/>
      <c r="H194" s="402">
        <v>709</v>
      </c>
      <c r="I194" s="413"/>
      <c r="J194" s="402">
        <v>102</v>
      </c>
      <c r="K194" s="402">
        <v>0</v>
      </c>
      <c r="L194" s="402">
        <v>0</v>
      </c>
      <c r="M194" s="402">
        <v>0</v>
      </c>
      <c r="N194" s="35">
        <f t="shared" ref="N194:S194" si="347">N170*N188</f>
        <v>0</v>
      </c>
      <c r="O194" s="35">
        <f t="shared" si="347"/>
        <v>0</v>
      </c>
      <c r="P194" s="35">
        <f t="shared" si="347"/>
        <v>0</v>
      </c>
      <c r="Q194" s="35">
        <f t="shared" si="347"/>
        <v>0</v>
      </c>
      <c r="R194" s="35">
        <f t="shared" si="347"/>
        <v>0</v>
      </c>
      <c r="S194" s="36">
        <f t="shared" si="347"/>
        <v>0</v>
      </c>
      <c r="T194" s="1321"/>
      <c r="U194" s="1515"/>
      <c r="V194" s="1515"/>
      <c r="W194" s="1515"/>
      <c r="X194" s="1515"/>
      <c r="Y194" s="1515"/>
      <c r="Z194" s="1515"/>
      <c r="AA194" s="1515"/>
      <c r="AB194" s="1321"/>
      <c r="AC194" s="1"/>
      <c r="AD194" s="1"/>
      <c r="AE194" s="1"/>
      <c r="AF194" s="1"/>
      <c r="AG194" s="1"/>
      <c r="AH194" s="1"/>
      <c r="AI194" s="415"/>
      <c r="AJ194" s="1321"/>
      <c r="AK194" s="1515"/>
      <c r="AL194" s="1515"/>
      <c r="AM194" s="1515"/>
      <c r="AN194" s="1515"/>
      <c r="AO194" s="1515"/>
      <c r="AP194" s="1515"/>
      <c r="AQ194" s="1515"/>
      <c r="AS194" s="1485"/>
    </row>
    <row r="195" spans="1:45" ht="14.5" outlineLevel="2">
      <c r="C195" s="1"/>
      <c r="D195" s="1"/>
      <c r="E195" s="1"/>
      <c r="AI195" s="424"/>
      <c r="AS195" s="1485"/>
    </row>
    <row r="196" spans="1:45" ht="15" outlineLevel="2" thickBot="1">
      <c r="C196" s="37" t="s">
        <v>160</v>
      </c>
      <c r="D196" s="37"/>
      <c r="E196" s="37"/>
      <c r="F196" s="109"/>
      <c r="G196" s="109"/>
      <c r="H196" s="117">
        <f>1-H197/H189</f>
        <v>6.5137354856981133E-3</v>
      </c>
      <c r="I196" s="117">
        <f t="shared" ref="I196" si="348">1-I197/I189</f>
        <v>6.4483673282722531E-3</v>
      </c>
      <c r="J196" s="117">
        <f t="shared" ref="J196" si="349">1-J197/J189</f>
        <v>-1.2935302726839737E-3</v>
      </c>
      <c r="K196" s="117">
        <f t="shared" ref="K196:M196" si="350">1-K197/K189</f>
        <v>7.8620801164154264E-3</v>
      </c>
      <c r="L196" s="117">
        <f t="shared" si="350"/>
        <v>7.8620801164155374E-3</v>
      </c>
      <c r="M196" s="117">
        <f t="shared" si="350"/>
        <v>7.8620801164156484E-3</v>
      </c>
      <c r="N196" s="160">
        <f t="shared" ref="N196" si="351">L196</f>
        <v>7.8620801164155374E-3</v>
      </c>
      <c r="O196" s="160">
        <f t="shared" ref="O196" si="352">N196</f>
        <v>7.8620801164155374E-3</v>
      </c>
      <c r="P196" s="160">
        <f t="shared" ref="P196" si="353">O196</f>
        <v>7.8620801164155374E-3</v>
      </c>
      <c r="Q196" s="160">
        <f t="shared" ref="Q196" si="354">P196</f>
        <v>7.8620801164155374E-3</v>
      </c>
      <c r="R196" s="160">
        <f t="shared" ref="R196" si="355">Q196</f>
        <v>7.8620801164155374E-3</v>
      </c>
      <c r="S196" s="160">
        <f t="shared" ref="S196" si="356">R196</f>
        <v>7.8620801164155374E-3</v>
      </c>
      <c r="AI196" s="424"/>
      <c r="AS196" s="1485"/>
    </row>
    <row r="197" spans="1:45" s="101" customFormat="1" ht="15" outlineLevel="2" thickBot="1">
      <c r="C197" s="76" t="s">
        <v>992</v>
      </c>
      <c r="D197" s="76"/>
      <c r="E197" s="76"/>
      <c r="F197" s="110"/>
      <c r="G197" s="110"/>
      <c r="H197" s="409">
        <v>49112</v>
      </c>
      <c r="I197" s="409">
        <v>43450</v>
      </c>
      <c r="J197" s="409">
        <v>50343.03611505001</v>
      </c>
      <c r="K197" s="409">
        <v>49089</v>
      </c>
      <c r="L197" s="409">
        <v>60356.157419999989</v>
      </c>
      <c r="M197" s="409">
        <v>40898.631982917992</v>
      </c>
      <c r="N197" s="113">
        <f t="shared" ref="N197:S197" si="357">N189*(1-N196)</f>
        <v>77027.119518140084</v>
      </c>
      <c r="O197" s="113">
        <f t="shared" si="357"/>
        <v>88358.93511452456</v>
      </c>
      <c r="P197" s="113">
        <f t="shared" si="357"/>
        <v>95229.059196317132</v>
      </c>
      <c r="Q197" s="113">
        <f t="shared" si="357"/>
        <v>100561.91964592702</v>
      </c>
      <c r="R197" s="113">
        <f t="shared" si="357"/>
        <v>105918.57493485493</v>
      </c>
      <c r="S197" s="113">
        <f t="shared" si="357"/>
        <v>111214.50368159768</v>
      </c>
      <c r="T197" s="525"/>
      <c r="U197" s="1512"/>
      <c r="V197" s="1512"/>
      <c r="W197" s="1512"/>
      <c r="X197" s="1512"/>
      <c r="Y197" s="1512"/>
      <c r="Z197" s="1512"/>
      <c r="AA197" s="1512"/>
      <c r="AI197" s="473"/>
      <c r="AK197" s="1512"/>
      <c r="AL197" s="1512"/>
      <c r="AM197" s="1512"/>
      <c r="AN197" s="1512"/>
      <c r="AO197" s="1512"/>
      <c r="AP197" s="1512"/>
      <c r="AQ197" s="1512"/>
      <c r="AS197" s="1484"/>
    </row>
    <row r="198" spans="1:45" s="101" customFormat="1" ht="14.5" outlineLevel="2">
      <c r="C198" s="97" t="s">
        <v>659</v>
      </c>
      <c r="H198" s="394">
        <v>-47441</v>
      </c>
      <c r="I198" s="394">
        <v>-44146</v>
      </c>
      <c r="J198" s="394">
        <v>-56015</v>
      </c>
      <c r="K198" s="394">
        <v>-48037</v>
      </c>
      <c r="L198" s="394">
        <v>-58821.543326503292</v>
      </c>
      <c r="M198" s="394">
        <v>-37993.060032172092</v>
      </c>
      <c r="N198" s="20">
        <f>N199*N165</f>
        <v>-71419.529096645056</v>
      </c>
      <c r="O198" s="20">
        <f t="shared" ref="O198:S198" si="358">O199*O165</f>
        <v>-81212.181198111677</v>
      </c>
      <c r="P198" s="20">
        <f t="shared" si="358"/>
        <v>-86862.362569515171</v>
      </c>
      <c r="Q198" s="20">
        <f t="shared" si="358"/>
        <v>-90882.647660782284</v>
      </c>
      <c r="R198" s="20">
        <f t="shared" si="358"/>
        <v>-94907.01890359458</v>
      </c>
      <c r="S198" s="20">
        <f t="shared" si="358"/>
        <v>-98829.367613628492</v>
      </c>
      <c r="U198" s="1512"/>
      <c r="V198" s="1512"/>
      <c r="W198" s="1512"/>
      <c r="X198" s="1512"/>
      <c r="Y198" s="1512"/>
      <c r="Z198" s="1512"/>
      <c r="AA198" s="1512"/>
      <c r="AI198" s="473"/>
      <c r="AK198" s="1512"/>
      <c r="AL198" s="1512"/>
      <c r="AM198" s="1512"/>
      <c r="AN198" s="1512"/>
      <c r="AO198" s="1512"/>
      <c r="AP198" s="1512"/>
      <c r="AQ198" s="1512"/>
      <c r="AS198" s="1484"/>
    </row>
    <row r="199" spans="1:45" s="101" customFormat="1" ht="14.5" outlineLevel="2">
      <c r="C199" s="97"/>
      <c r="D199" s="1" t="s">
        <v>849</v>
      </c>
      <c r="E199" s="1"/>
      <c r="H199" s="744">
        <f>H198/H165</f>
        <v>-7.4839880107272441</v>
      </c>
      <c r="I199" s="1037"/>
      <c r="J199" s="744">
        <f t="shared" ref="J199" si="359">J198/J165</f>
        <v>-9.1978653530377663</v>
      </c>
      <c r="K199" s="744">
        <f t="shared" ref="K199" si="360">K198/K165</f>
        <v>-7.9584161696487739</v>
      </c>
      <c r="L199" s="744">
        <f t="shared" ref="L199" si="361">L198/L165</f>
        <v>-8.0061803758591132</v>
      </c>
      <c r="M199" s="744">
        <f t="shared" ref="M199" si="362">M198/M165</f>
        <v>-7.6505254116678314</v>
      </c>
      <c r="N199" s="1039">
        <f>M199</f>
        <v>-7.6505254116678314</v>
      </c>
      <c r="O199" s="744">
        <f>N199*(1+O200)</f>
        <v>-7.5608532323687223</v>
      </c>
      <c r="P199" s="744">
        <f t="shared" ref="P199" si="363">O199*(1+P200)</f>
        <v>-7.4847259600434954</v>
      </c>
      <c r="Q199" s="744">
        <f t="shared" ref="Q199" si="364">P199*(1+Q200)</f>
        <v>-7.4030564323438464</v>
      </c>
      <c r="R199" s="744">
        <f t="shared" ref="R199" si="365">Q199*(1+R200)</f>
        <v>-7.3330257932408767</v>
      </c>
      <c r="S199" s="744">
        <f t="shared" ref="S199" si="366">R199*(1+S200)</f>
        <v>-7.2724642970378497</v>
      </c>
      <c r="U199" s="1512"/>
      <c r="V199" s="1512"/>
      <c r="W199" s="1512"/>
      <c r="X199" s="1512"/>
      <c r="Y199" s="1512"/>
      <c r="Z199" s="1512"/>
      <c r="AA199" s="1512"/>
      <c r="AI199" s="473"/>
      <c r="AK199" s="1512"/>
      <c r="AL199" s="1512"/>
      <c r="AM199" s="1512"/>
      <c r="AN199" s="1512"/>
      <c r="AO199" s="1512"/>
      <c r="AP199" s="1512"/>
      <c r="AQ199" s="1512"/>
      <c r="AS199" s="1484"/>
    </row>
    <row r="200" spans="1:45" s="101" customFormat="1" ht="15" outlineLevel="2" thickBot="1">
      <c r="C200" s="97"/>
      <c r="D200" s="74"/>
      <c r="E200" s="74" t="s">
        <v>151</v>
      </c>
      <c r="H200" s="404"/>
      <c r="I200" s="404"/>
      <c r="J200" s="404"/>
      <c r="K200" s="404"/>
      <c r="L200" s="75">
        <f>L199/J199-1</f>
        <v>-0.12956103741886993</v>
      </c>
      <c r="M200" s="75"/>
      <c r="N200" s="75">
        <f>N199/L199-1</f>
        <v>-4.4422552015400685E-2</v>
      </c>
      <c r="O200" s="161">
        <f t="shared" ref="O200" si="367">CHOOSE(case,V200,AD200,AL200)</f>
        <v>-1.1721048486728725E-2</v>
      </c>
      <c r="P200" s="161">
        <f t="shared" ref="P200" si="368">CHOOSE(case,W200,AE200,AM200)</f>
        <v>-1.0068608659049016E-2</v>
      </c>
      <c r="Q200" s="161">
        <f t="shared" ref="Q200" si="369">CHOOSE(case,X200,AF200,AN200)</f>
        <v>-1.0911492035330927E-2</v>
      </c>
      <c r="R200" s="161">
        <f t="shared" ref="R200" si="370">CHOOSE(case,Y200,AG200,AO200)</f>
        <v>-9.4596927286690891E-3</v>
      </c>
      <c r="S200" s="1044">
        <f t="shared" ref="S200" si="371">CHOOSE(case,Z200,AH200,AP200)</f>
        <v>-8.2587321946758774E-3</v>
      </c>
      <c r="T200" s="525"/>
      <c r="U200" s="1513"/>
      <c r="V200" s="1513"/>
      <c r="W200" s="1513"/>
      <c r="X200" s="1513"/>
      <c r="Y200" s="1513"/>
      <c r="Z200" s="1513"/>
      <c r="AA200" s="1513"/>
      <c r="AB200" s="525"/>
      <c r="AC200" s="829"/>
      <c r="AD200" s="1042">
        <f>(SUMPRODUCT(O178:O181,各区域分剂型成本优化!K$195:K$198)+O182*O188)/(SUMPRODUCT(N178:N181,各区域分剂型成本优化!J$195:J$198)+N182*N188)-1</f>
        <v>-1.1721048486728725E-2</v>
      </c>
      <c r="AE200" s="1042">
        <f>(SUMPRODUCT(P178:P181,各区域分剂型成本优化!L$195:L$198)+P182*P188)/(SUMPRODUCT(O178:O181,各区域分剂型成本优化!K$195:K$198)+O182*O188)-1</f>
        <v>-1.0068608659049016E-2</v>
      </c>
      <c r="AF200" s="1042">
        <f>(SUMPRODUCT(Q178:Q181,各区域分剂型成本优化!M$195:M$198)+Q182*Q188)/(SUMPRODUCT(P178:P181,各区域分剂型成本优化!L$195:L$198)+P182*P188)-1</f>
        <v>-1.0911492035330927E-2</v>
      </c>
      <c r="AG200" s="1042">
        <f>(SUMPRODUCT(R178:R181,各区域分剂型成本优化!N$195:N$198)+R182*R188)/(SUMPRODUCT(Q178:Q181,各区域分剂型成本优化!M$195:M$198)+Q182*Q188)-1</f>
        <v>-9.4596927286690891E-3</v>
      </c>
      <c r="AH200" s="1042">
        <f>(SUMPRODUCT(S178:S181,各区域分剂型成本优化!O$195:O$198)+S182*S188)/(SUMPRODUCT(R178:R181,各区域分剂型成本优化!N$195:N$198)+R182*R188)-1</f>
        <v>-8.2587321946758774E-3</v>
      </c>
      <c r="AI200" s="473"/>
      <c r="AK200" s="1512"/>
      <c r="AL200" s="1512"/>
      <c r="AM200" s="1512"/>
      <c r="AN200" s="1512"/>
      <c r="AO200" s="1512"/>
      <c r="AP200" s="1512"/>
      <c r="AQ200" s="1512"/>
      <c r="AS200" s="1484"/>
    </row>
    <row r="201" spans="1:45" s="101" customFormat="1" ht="15" outlineLevel="2" thickBot="1">
      <c r="C201" s="76" t="s">
        <v>846</v>
      </c>
      <c r="D201" s="76"/>
      <c r="E201" s="76"/>
      <c r="F201" s="110"/>
      <c r="G201" s="110"/>
      <c r="H201" s="77">
        <f>H197+H198</f>
        <v>1671</v>
      </c>
      <c r="I201" s="77">
        <f t="shared" ref="I201" si="372">I197+I198</f>
        <v>-696</v>
      </c>
      <c r="J201" s="77">
        <f t="shared" ref="J201" si="373">J197+J198</f>
        <v>-5671.9638849499897</v>
      </c>
      <c r="K201" s="77">
        <f t="shared" ref="K201:S201" si="374">K197+K198</f>
        <v>1052</v>
      </c>
      <c r="L201" s="77">
        <f t="shared" si="374"/>
        <v>1534.614093496697</v>
      </c>
      <c r="M201" s="77">
        <f t="shared" si="374"/>
        <v>2905.5719507458998</v>
      </c>
      <c r="N201" s="77">
        <f t="shared" si="374"/>
        <v>5607.5904214950278</v>
      </c>
      <c r="O201" s="77">
        <f t="shared" si="374"/>
        <v>7146.753916412883</v>
      </c>
      <c r="P201" s="77">
        <f t="shared" si="374"/>
        <v>8366.6966268019605</v>
      </c>
      <c r="Q201" s="77">
        <f t="shared" si="374"/>
        <v>9679.2719851447328</v>
      </c>
      <c r="R201" s="77">
        <f t="shared" si="374"/>
        <v>11011.556031260348</v>
      </c>
      <c r="S201" s="77">
        <f t="shared" si="374"/>
        <v>12385.136067969186</v>
      </c>
      <c r="U201" s="1512"/>
      <c r="V201" s="1512"/>
      <c r="W201" s="1512"/>
      <c r="X201" s="1512"/>
      <c r="Y201" s="1512"/>
      <c r="Z201" s="1512"/>
      <c r="AA201" s="1512"/>
      <c r="AI201" s="473"/>
      <c r="AK201" s="1512"/>
      <c r="AL201" s="1512"/>
      <c r="AM201" s="1512"/>
      <c r="AN201" s="1512"/>
      <c r="AO201" s="1512"/>
      <c r="AP201" s="1512"/>
      <c r="AQ201" s="1512"/>
      <c r="AS201" s="1484"/>
    </row>
    <row r="202" spans="1:45" s="101" customFormat="1" ht="14.5" outlineLevel="2">
      <c r="C202" s="22" t="s">
        <v>660</v>
      </c>
      <c r="D202" s="18"/>
      <c r="E202" s="18"/>
      <c r="H202" s="94">
        <f>H201/H197</f>
        <v>3.4024271053917574E-2</v>
      </c>
      <c r="I202" s="94">
        <f t="shared" ref="I202" si="375">I201/I197</f>
        <v>-1.6018411967779058E-2</v>
      </c>
      <c r="J202" s="94">
        <f t="shared" ref="J202" si="376">J201/J197</f>
        <v>-0.11266630546452801</v>
      </c>
      <c r="K202" s="94">
        <f t="shared" ref="K202:L202" si="377">K201/K197</f>
        <v>2.1430463036525495E-2</v>
      </c>
      <c r="L202" s="94">
        <f t="shared" si="377"/>
        <v>2.5425974069518513E-2</v>
      </c>
      <c r="M202" s="94">
        <f t="shared" ref="M202:S202" si="378">M201/M197</f>
        <v>7.1043255235516467E-2</v>
      </c>
      <c r="N202" s="94">
        <f>N201/N197</f>
        <v>7.2800209284399189E-2</v>
      </c>
      <c r="O202" s="94">
        <f t="shared" si="378"/>
        <v>8.0883205610725956E-2</v>
      </c>
      <c r="P202" s="94">
        <f t="shared" si="378"/>
        <v>8.7858650473001121E-2</v>
      </c>
      <c r="Q202" s="94">
        <f t="shared" si="378"/>
        <v>9.6251861730811392E-2</v>
      </c>
      <c r="R202" s="94">
        <f t="shared" si="378"/>
        <v>0.10396246397794712</v>
      </c>
      <c r="S202" s="94">
        <f t="shared" si="378"/>
        <v>0.11136259802433049</v>
      </c>
      <c r="T202" s="1321"/>
      <c r="U202" s="1526">
        <f>AC202+0.3%</f>
        <v>3.0000000000000001E-3</v>
      </c>
      <c r="V202" s="1526">
        <f t="shared" ref="V202" si="379">AD202+0.3%</f>
        <v>3.0000000000000001E-3</v>
      </c>
      <c r="W202" s="1526">
        <f t="shared" ref="W202" si="380">AE202+0.3%</f>
        <v>3.0000000000000001E-3</v>
      </c>
      <c r="X202" s="1526">
        <f t="shared" ref="X202" si="381">AF202+0.3%</f>
        <v>3.0000000000000001E-3</v>
      </c>
      <c r="Y202" s="1526">
        <f t="shared" ref="Y202" si="382">AG202+0.3%</f>
        <v>3.0000000000000001E-3</v>
      </c>
      <c r="Z202" s="1526">
        <f t="shared" ref="Z202" si="383">AH202+0.3%</f>
        <v>3.0000000000000001E-3</v>
      </c>
      <c r="AA202" s="1515"/>
      <c r="AB202" s="1321"/>
      <c r="AC202" s="829"/>
      <c r="AD202" s="829"/>
      <c r="AE202" s="829"/>
      <c r="AF202" s="829"/>
      <c r="AG202" s="829"/>
      <c r="AH202" s="829"/>
      <c r="AI202" s="415"/>
      <c r="AJ202" s="1321"/>
      <c r="AK202" s="1526">
        <f>AC202-0.3%</f>
        <v>-3.0000000000000001E-3</v>
      </c>
      <c r="AL202" s="1526">
        <f t="shared" ref="AL202" si="384">AD202-0.3%</f>
        <v>-3.0000000000000001E-3</v>
      </c>
      <c r="AM202" s="1526">
        <f t="shared" ref="AM202" si="385">AE202-0.3%</f>
        <v>-3.0000000000000001E-3</v>
      </c>
      <c r="AN202" s="1526">
        <f t="shared" ref="AN202" si="386">AF202-0.3%</f>
        <v>-3.0000000000000001E-3</v>
      </c>
      <c r="AO202" s="1526">
        <f t="shared" ref="AO202" si="387">AG202-0.3%</f>
        <v>-3.0000000000000001E-3</v>
      </c>
      <c r="AP202" s="1526">
        <f t="shared" ref="AP202" si="388">AH202-0.3%</f>
        <v>-3.0000000000000001E-3</v>
      </c>
      <c r="AQ202" s="1515"/>
      <c r="AS202" s="1484"/>
    </row>
    <row r="203" spans="1:45" s="99" customFormat="1" ht="14.5" outlineLevel="2">
      <c r="U203" s="1511"/>
      <c r="V203" s="1511"/>
      <c r="W203" s="1511"/>
      <c r="X203" s="1511"/>
      <c r="Y203" s="1511"/>
      <c r="Z203" s="1511"/>
      <c r="AA203" s="1511"/>
      <c r="AI203" s="414"/>
      <c r="AK203" s="1511"/>
      <c r="AL203" s="1511"/>
      <c r="AM203" s="1511"/>
      <c r="AN203" s="1511"/>
      <c r="AO203" s="1511"/>
      <c r="AP203" s="1511"/>
      <c r="AQ203" s="1511"/>
    </row>
    <row r="204" spans="1:45" s="1126" customFormat="1" ht="14.5" outlineLevel="2">
      <c r="A204" s="26" t="s">
        <v>8</v>
      </c>
      <c r="B204" s="26"/>
      <c r="C204" s="26" t="s">
        <v>174</v>
      </c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U204" s="1518"/>
      <c r="V204" s="1518"/>
      <c r="W204" s="1518"/>
      <c r="X204" s="1518"/>
      <c r="Y204" s="1518"/>
      <c r="Z204" s="1518"/>
      <c r="AA204" s="1518"/>
      <c r="AC204" s="26"/>
      <c r="AD204" s="26"/>
      <c r="AE204" s="26"/>
      <c r="AF204" s="26"/>
      <c r="AG204" s="26"/>
      <c r="AH204" s="26"/>
      <c r="AI204" s="474"/>
      <c r="AK204" s="1518"/>
      <c r="AL204" s="1518"/>
      <c r="AM204" s="1518"/>
      <c r="AN204" s="1518"/>
      <c r="AO204" s="1518"/>
      <c r="AP204" s="1518"/>
      <c r="AQ204" s="1518"/>
    </row>
    <row r="205" spans="1:45" ht="14.5" outlineLevel="2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AI205" s="424"/>
    </row>
    <row r="206" spans="1:45" s="99" customFormat="1" ht="14.5" outlineLevel="2">
      <c r="C206" s="18" t="s">
        <v>840</v>
      </c>
      <c r="D206" s="18"/>
      <c r="E206" s="18"/>
      <c r="H206" s="99">
        <f>SUM(H207:H211)</f>
        <v>17023</v>
      </c>
      <c r="I206" s="99">
        <f t="shared" ref="I206" si="389">SUM(I207:I211)</f>
        <v>0</v>
      </c>
      <c r="J206" s="99">
        <f t="shared" ref="J206" si="390">SUM(J207:J211)</f>
        <v>11571</v>
      </c>
      <c r="K206" s="99">
        <f t="shared" ref="K206" si="391">SUM(K207:K211)</f>
        <v>12586</v>
      </c>
      <c r="L206" s="23">
        <f>SUM(L207:L211)</f>
        <v>15472.955</v>
      </c>
      <c r="M206" s="23">
        <f>SUM(M207:M211)</f>
        <v>8753.4940000000006</v>
      </c>
      <c r="N206" s="23">
        <f t="shared" ref="N206:S206" si="392">SUM(N207:N211)</f>
        <v>16770.768500000002</v>
      </c>
      <c r="O206" s="23">
        <f t="shared" si="392"/>
        <v>18209.735380000002</v>
      </c>
      <c r="P206" s="23">
        <f t="shared" si="392"/>
        <v>19780.693449500006</v>
      </c>
      <c r="Q206" s="23">
        <f t="shared" si="392"/>
        <v>21496.246552525005</v>
      </c>
      <c r="R206" s="23">
        <f t="shared" si="392"/>
        <v>23370.229153756256</v>
      </c>
      <c r="S206" s="23">
        <f t="shared" si="392"/>
        <v>25417.827912409572</v>
      </c>
      <c r="T206" s="525"/>
      <c r="U206" s="1519"/>
      <c r="V206" s="1519"/>
      <c r="W206" s="1519"/>
      <c r="X206" s="1519"/>
      <c r="Y206" s="1519"/>
      <c r="Z206" s="1519"/>
      <c r="AA206" s="1520"/>
      <c r="AB206" s="1321"/>
      <c r="AC206" s="20"/>
      <c r="AD206" s="20"/>
      <c r="AE206" s="20"/>
      <c r="AF206" s="20"/>
      <c r="AG206" s="20"/>
      <c r="AH206" s="20"/>
      <c r="AI206" s="472"/>
      <c r="AJ206" s="1321"/>
      <c r="AK206" s="1519">
        <f>$L206*(1+$AQ206)</f>
        <v>15627.68455</v>
      </c>
      <c r="AL206" s="1519">
        <f>AK206*(1+$AQ206)</f>
        <v>15783.9613955</v>
      </c>
      <c r="AM206" s="1519">
        <f t="shared" ref="AM206:AN206" si="393">AL206*(1+$AQ206)</f>
        <v>15941.801009455001</v>
      </c>
      <c r="AN206" s="1519">
        <f t="shared" si="393"/>
        <v>16101.219019549551</v>
      </c>
      <c r="AO206" s="1519">
        <f>AN206*(1+$AQ206)</f>
        <v>16262.231209745047</v>
      </c>
      <c r="AP206" s="1519">
        <f t="shared" ref="AP206" si="394">AO206*(1+$AQ206)</f>
        <v>16424.853521842499</v>
      </c>
      <c r="AQ206" s="1520">
        <v>0.01</v>
      </c>
    </row>
    <row r="207" spans="1:45" s="101" customFormat="1" ht="14.5" outlineLevel="2">
      <c r="C207" s="1"/>
      <c r="D207" s="27" t="s">
        <v>841</v>
      </c>
      <c r="E207" s="28"/>
      <c r="F207" s="28"/>
      <c r="G207" s="28"/>
      <c r="H207" s="398">
        <v>2122</v>
      </c>
      <c r="I207" s="411"/>
      <c r="J207" s="398">
        <v>1099</v>
      </c>
      <c r="K207" s="398">
        <v>1184</v>
      </c>
      <c r="L207" s="398">
        <v>1401.2380000000001</v>
      </c>
      <c r="M207" s="398">
        <v>828.32399999999996</v>
      </c>
      <c r="N207" s="703">
        <f>L207*(1+N213)</f>
        <v>1471.2999000000002</v>
      </c>
      <c r="O207" s="29">
        <f>N207*(1+O213)</f>
        <v>1544.8648950000004</v>
      </c>
      <c r="P207" s="29">
        <f t="shared" ref="P207:P211" si="395">O207*(1+P213)</f>
        <v>1622.1081397500004</v>
      </c>
      <c r="Q207" s="29">
        <f t="shared" ref="Q207:Q211" si="396">P207*(1+Q213)</f>
        <v>1703.2135467375006</v>
      </c>
      <c r="R207" s="29">
        <f t="shared" ref="R207:R211" si="397">Q207*(1+R213)</f>
        <v>1788.3742240743757</v>
      </c>
      <c r="S207" s="30">
        <f t="shared" ref="S207:S211" si="398">R207*(1+S213)</f>
        <v>1877.7929352780945</v>
      </c>
      <c r="T207" s="1205"/>
      <c r="U207" s="1515"/>
      <c r="V207" s="1515"/>
      <c r="W207" s="1515"/>
      <c r="X207" s="1515"/>
      <c r="Y207" s="1515"/>
      <c r="Z207" s="1515"/>
      <c r="AA207" s="1515"/>
      <c r="AB207" s="1321"/>
      <c r="AC207" s="1"/>
      <c r="AD207" s="1"/>
      <c r="AE207" s="1"/>
      <c r="AF207" s="1"/>
      <c r="AG207" s="1"/>
      <c r="AH207" s="1"/>
      <c r="AI207" s="415"/>
      <c r="AJ207" s="1321"/>
      <c r="AK207" s="1515"/>
      <c r="AL207" s="1515"/>
      <c r="AM207" s="1515"/>
      <c r="AN207" s="1515"/>
      <c r="AO207" s="1515"/>
      <c r="AP207" s="1515"/>
      <c r="AQ207" s="1515"/>
    </row>
    <row r="208" spans="1:45" ht="14.5" outlineLevel="2">
      <c r="C208" s="1"/>
      <c r="D208" s="31" t="s">
        <v>842</v>
      </c>
      <c r="E208" s="1"/>
      <c r="F208" s="1"/>
      <c r="G208" s="1"/>
      <c r="H208" s="400">
        <v>1303</v>
      </c>
      <c r="I208" s="412"/>
      <c r="J208" s="400">
        <v>2456</v>
      </c>
      <c r="K208" s="400">
        <v>2497</v>
      </c>
      <c r="L208" s="400">
        <v>3134.19</v>
      </c>
      <c r="M208" s="400">
        <v>1803.912</v>
      </c>
      <c r="N208" s="704">
        <f t="shared" ref="N208:N211" si="399">L208*(1+N214)</f>
        <v>3290.8995</v>
      </c>
      <c r="O208" s="20">
        <f t="shared" ref="O208:O211" si="400">N208*(1+O214)</f>
        <v>3455.4444750000002</v>
      </c>
      <c r="P208" s="20">
        <f t="shared" si="395"/>
        <v>3628.2166987500004</v>
      </c>
      <c r="Q208" s="20">
        <f t="shared" si="396"/>
        <v>3809.6275336875005</v>
      </c>
      <c r="R208" s="20">
        <f t="shared" si="397"/>
        <v>4000.1089103718759</v>
      </c>
      <c r="S208" s="32">
        <f t="shared" si="398"/>
        <v>4200.1143558904696</v>
      </c>
      <c r="T208" s="675"/>
      <c r="U208" s="1515"/>
      <c r="V208" s="1515"/>
      <c r="W208" s="1515"/>
      <c r="X208" s="1515"/>
      <c r="Y208" s="1515"/>
      <c r="Z208" s="1515"/>
      <c r="AA208" s="1515"/>
      <c r="AB208" s="1321"/>
      <c r="AC208" s="1"/>
      <c r="AD208" s="1"/>
      <c r="AE208" s="1"/>
      <c r="AF208" s="1"/>
      <c r="AG208" s="1"/>
      <c r="AH208" s="1"/>
      <c r="AI208" s="415"/>
      <c r="AJ208" s="1321"/>
      <c r="AK208" s="1515"/>
      <c r="AL208" s="1515"/>
      <c r="AM208" s="1515"/>
      <c r="AN208" s="1515"/>
      <c r="AO208" s="1515"/>
      <c r="AP208" s="1515"/>
      <c r="AQ208" s="1515"/>
    </row>
    <row r="209" spans="1:43" ht="14.5" outlineLevel="2">
      <c r="C209" s="1"/>
      <c r="D209" s="31" t="s">
        <v>843</v>
      </c>
      <c r="E209" s="1"/>
      <c r="F209" s="1"/>
      <c r="G209" s="1"/>
      <c r="H209" s="400">
        <v>3737</v>
      </c>
      <c r="I209" s="412"/>
      <c r="J209" s="400">
        <v>1824</v>
      </c>
      <c r="K209" s="400">
        <v>1964</v>
      </c>
      <c r="L209" s="400">
        <v>2410.0650000000001</v>
      </c>
      <c r="M209" s="400">
        <v>1400.472</v>
      </c>
      <c r="N209" s="704">
        <f t="shared" si="399"/>
        <v>2651.0715000000005</v>
      </c>
      <c r="O209" s="20">
        <f t="shared" si="400"/>
        <v>2916.1786500000007</v>
      </c>
      <c r="P209" s="20">
        <f t="shared" si="395"/>
        <v>3207.7965150000009</v>
      </c>
      <c r="Q209" s="20">
        <f t="shared" si="396"/>
        <v>3528.5761665000014</v>
      </c>
      <c r="R209" s="20">
        <f t="shared" si="397"/>
        <v>3881.433783150002</v>
      </c>
      <c r="S209" s="32">
        <f t="shared" si="398"/>
        <v>4269.577161465003</v>
      </c>
      <c r="T209" s="675"/>
      <c r="U209" s="1515"/>
      <c r="V209" s="1515"/>
      <c r="W209" s="1515"/>
      <c r="X209" s="1515"/>
      <c r="Y209" s="1515"/>
      <c r="Z209" s="1515"/>
      <c r="AA209" s="1515"/>
      <c r="AB209" s="1321"/>
      <c r="AC209" s="1"/>
      <c r="AD209" s="1"/>
      <c r="AE209" s="1"/>
      <c r="AF209" s="1"/>
      <c r="AG209" s="1"/>
      <c r="AH209" s="1"/>
      <c r="AI209" s="415"/>
      <c r="AJ209" s="1321"/>
      <c r="AK209" s="1515"/>
      <c r="AL209" s="1515"/>
      <c r="AM209" s="1515"/>
      <c r="AN209" s="1515"/>
      <c r="AO209" s="1515"/>
      <c r="AP209" s="1515"/>
      <c r="AQ209" s="1515"/>
    </row>
    <row r="210" spans="1:43" ht="14.5" outlineLevel="2">
      <c r="C210" s="1"/>
      <c r="D210" s="31" t="s">
        <v>844</v>
      </c>
      <c r="E210" s="1"/>
      <c r="F210" s="1"/>
      <c r="G210" s="1"/>
      <c r="H210" s="400">
        <v>8928</v>
      </c>
      <c r="I210" s="412"/>
      <c r="J210" s="400">
        <v>6184</v>
      </c>
      <c r="K210" s="400">
        <v>6750</v>
      </c>
      <c r="L210" s="400">
        <v>8300.3559999999998</v>
      </c>
      <c r="M210" s="400">
        <v>4657.9380000000001</v>
      </c>
      <c r="N210" s="704">
        <f t="shared" si="399"/>
        <v>9130.3916000000008</v>
      </c>
      <c r="O210" s="20">
        <f t="shared" si="400"/>
        <v>10043.430760000001</v>
      </c>
      <c r="P210" s="20">
        <f t="shared" si="395"/>
        <v>11047.773836000002</v>
      </c>
      <c r="Q210" s="20">
        <f t="shared" si="396"/>
        <v>12152.551219600004</v>
      </c>
      <c r="R210" s="20">
        <f t="shared" si="397"/>
        <v>13367.806341560005</v>
      </c>
      <c r="S210" s="32">
        <f t="shared" si="398"/>
        <v>14704.586975716005</v>
      </c>
      <c r="T210" s="675"/>
      <c r="U210" s="1515"/>
      <c r="V210" s="1515"/>
      <c r="W210" s="1515"/>
      <c r="X210" s="1515"/>
      <c r="Y210" s="1515"/>
      <c r="Z210" s="1515"/>
      <c r="AA210" s="1515"/>
      <c r="AB210" s="1321"/>
      <c r="AC210" s="1"/>
      <c r="AD210" s="1"/>
      <c r="AE210" s="1"/>
      <c r="AF210" s="1"/>
      <c r="AG210" s="1"/>
      <c r="AH210" s="1"/>
      <c r="AI210" s="415"/>
      <c r="AJ210" s="1321"/>
      <c r="AK210" s="1515"/>
      <c r="AL210" s="1515"/>
      <c r="AM210" s="1515"/>
      <c r="AN210" s="1515"/>
      <c r="AO210" s="1515"/>
      <c r="AP210" s="1515"/>
      <c r="AQ210" s="1515"/>
    </row>
    <row r="211" spans="1:43" ht="14.5" outlineLevel="2">
      <c r="C211" s="1"/>
      <c r="D211" s="33" t="s">
        <v>665</v>
      </c>
      <c r="E211" s="34"/>
      <c r="F211" s="34"/>
      <c r="G211" s="34"/>
      <c r="H211" s="402">
        <v>933</v>
      </c>
      <c r="I211" s="413"/>
      <c r="J211" s="402">
        <v>8</v>
      </c>
      <c r="K211" s="402">
        <v>191</v>
      </c>
      <c r="L211" s="402">
        <v>227.10599999999977</v>
      </c>
      <c r="M211" s="402">
        <v>62.847999999999956</v>
      </c>
      <c r="N211" s="705">
        <f t="shared" si="399"/>
        <v>227.10599999999977</v>
      </c>
      <c r="O211" s="35">
        <f t="shared" si="400"/>
        <v>249.81659999999977</v>
      </c>
      <c r="P211" s="35">
        <f t="shared" si="395"/>
        <v>274.79825999999974</v>
      </c>
      <c r="Q211" s="35">
        <f t="shared" si="396"/>
        <v>302.27808599999975</v>
      </c>
      <c r="R211" s="35">
        <f t="shared" si="397"/>
        <v>332.50589459999975</v>
      </c>
      <c r="S211" s="36">
        <f t="shared" si="398"/>
        <v>365.75648405999976</v>
      </c>
      <c r="T211" s="675"/>
      <c r="U211" s="1515"/>
      <c r="V211" s="1515"/>
      <c r="W211" s="1515"/>
      <c r="X211" s="1515"/>
      <c r="Y211" s="1515"/>
      <c r="Z211" s="1515"/>
      <c r="AA211" s="1515"/>
      <c r="AB211" s="1321"/>
      <c r="AC211" s="448"/>
      <c r="AD211" s="448"/>
      <c r="AE211" s="448"/>
      <c r="AF211" s="448"/>
      <c r="AG211" s="448"/>
      <c r="AH211" s="448"/>
      <c r="AI211" s="415"/>
      <c r="AJ211" s="1321"/>
      <c r="AK211" s="1515"/>
      <c r="AL211" s="1515"/>
      <c r="AM211" s="1515"/>
      <c r="AN211" s="1515"/>
      <c r="AO211" s="1515"/>
      <c r="AP211" s="1515"/>
      <c r="AQ211" s="1515"/>
    </row>
    <row r="212" spans="1:43" s="1365" customFormat="1" ht="14.5" outlineLevel="3">
      <c r="A212" s="22"/>
      <c r="B212" s="22"/>
      <c r="C212" s="22" t="s">
        <v>847</v>
      </c>
      <c r="D212" s="22"/>
      <c r="E212" s="22"/>
      <c r="F212" s="22"/>
      <c r="G212" s="22"/>
      <c r="H212" s="219"/>
      <c r="I212" s="24"/>
      <c r="J212" s="24"/>
      <c r="K212" s="24"/>
      <c r="L212" s="754">
        <f>L206/J206-1</f>
        <v>0.33721847722755172</v>
      </c>
      <c r="M212" s="24"/>
      <c r="N212" s="24">
        <f>N206/L206-1</f>
        <v>8.3876253760190034E-2</v>
      </c>
      <c r="O212" s="24">
        <f>O206/N206-1</f>
        <v>8.5802083547930508E-2</v>
      </c>
      <c r="P212" s="24">
        <f t="shared" ref="P212" si="401">P206/O206-1</f>
        <v>8.6270230550709037E-2</v>
      </c>
      <c r="Q212" s="24">
        <f t="shared" ref="Q212" si="402">Q206/P206-1</f>
        <v>8.6728663350695845E-2</v>
      </c>
      <c r="R212" s="24">
        <f t="shared" ref="R212" si="403">R206/Q206-1</f>
        <v>8.7177200756991091E-2</v>
      </c>
      <c r="S212" s="24">
        <f t="shared" ref="S212" si="404">S206/R206-1</f>
        <v>8.7615690251980682E-2</v>
      </c>
      <c r="T212" s="726"/>
      <c r="U212" s="1521"/>
      <c r="V212" s="1521"/>
      <c r="W212" s="1521"/>
      <c r="X212" s="1521"/>
      <c r="Y212" s="1521"/>
      <c r="Z212" s="1521"/>
      <c r="AA212" s="1522"/>
      <c r="AC212" s="219"/>
      <c r="AD212" s="219"/>
      <c r="AE212" s="219"/>
      <c r="AF212" s="219"/>
      <c r="AG212" s="219"/>
      <c r="AH212" s="219"/>
      <c r="AI212" s="706"/>
      <c r="AK212" s="1521"/>
      <c r="AL212" s="1521"/>
      <c r="AM212" s="1521"/>
      <c r="AN212" s="1521"/>
      <c r="AO212" s="1521"/>
      <c r="AP212" s="1521"/>
      <c r="AQ212" s="1522"/>
    </row>
    <row r="213" spans="1:43" s="1365" customFormat="1" ht="14.5" outlineLevel="3">
      <c r="A213" s="22"/>
      <c r="B213" s="22"/>
      <c r="C213" s="22"/>
      <c r="D213" s="707" t="s">
        <v>841</v>
      </c>
      <c r="E213" s="708"/>
      <c r="F213" s="708"/>
      <c r="G213" s="708"/>
      <c r="H213" s="709"/>
      <c r="I213" s="710"/>
      <c r="J213" s="710"/>
      <c r="K213" s="710"/>
      <c r="L213" s="1040">
        <f t="shared" ref="L213" si="405">IFERROR(L207/J207-1,"NA")</f>
        <v>0.27501182893539577</v>
      </c>
      <c r="M213" s="710"/>
      <c r="N213" s="711">
        <f t="shared" ref="N213:N217" si="406">CHOOSE(case,U213,AC213,AK213)</f>
        <v>0.05</v>
      </c>
      <c r="O213" s="712">
        <f t="shared" ref="O213:O217" si="407">CHOOSE(case,V213,AD213,AL213)</f>
        <v>0.05</v>
      </c>
      <c r="P213" s="712">
        <f t="shared" ref="P213:P217" si="408">CHOOSE(case,W213,AE213,AM213)</f>
        <v>0.05</v>
      </c>
      <c r="Q213" s="712">
        <f t="shared" ref="Q213:Q217" si="409">CHOOSE(case,X213,AF213,AN213)</f>
        <v>0.05</v>
      </c>
      <c r="R213" s="712">
        <f t="shared" ref="R213:R217" si="410">CHOOSE(case,Y213,AG213,AO213)</f>
        <v>0.05</v>
      </c>
      <c r="S213" s="713">
        <f t="shared" ref="S213:S217" si="411">CHOOSE(case,Z213,AH213,AP213)</f>
        <v>0.05</v>
      </c>
      <c r="T213" s="726"/>
      <c r="U213" s="1521"/>
      <c r="V213" s="1521"/>
      <c r="W213" s="1521"/>
      <c r="X213" s="1521"/>
      <c r="Y213" s="1521"/>
      <c r="Z213" s="1521"/>
      <c r="AA213" s="1523"/>
      <c r="AC213" s="714">
        <v>0.05</v>
      </c>
      <c r="AD213" s="714">
        <v>0.05</v>
      </c>
      <c r="AE213" s="714">
        <v>0.05</v>
      </c>
      <c r="AF213" s="714">
        <v>0.05</v>
      </c>
      <c r="AG213" s="714">
        <v>0.05</v>
      </c>
      <c r="AH213" s="714">
        <v>0.05</v>
      </c>
      <c r="AI213" s="22"/>
      <c r="AK213" s="1521"/>
      <c r="AL213" s="1521"/>
      <c r="AM213" s="1521"/>
      <c r="AN213" s="1521"/>
      <c r="AO213" s="1521"/>
      <c r="AP213" s="1521"/>
      <c r="AQ213" s="1523"/>
    </row>
    <row r="214" spans="1:43" s="1365" customFormat="1" ht="14.5" outlineLevel="3">
      <c r="A214" s="22"/>
      <c r="B214" s="22"/>
      <c r="C214" s="22"/>
      <c r="D214" s="715" t="s">
        <v>842</v>
      </c>
      <c r="E214" s="22"/>
      <c r="F214" s="22"/>
      <c r="G214" s="22"/>
      <c r="H214" s="219"/>
      <c r="I214" s="175"/>
      <c r="J214" s="175"/>
      <c r="K214" s="175"/>
      <c r="L214" s="1040">
        <f>IFERROR(L208/J208-1,"NA")</f>
        <v>0.27613599348534201</v>
      </c>
      <c r="M214" s="175"/>
      <c r="N214" s="716">
        <f t="shared" si="406"/>
        <v>0.05</v>
      </c>
      <c r="O214" s="717">
        <f t="shared" si="407"/>
        <v>0.05</v>
      </c>
      <c r="P214" s="717">
        <f t="shared" si="408"/>
        <v>0.05</v>
      </c>
      <c r="Q214" s="717">
        <f t="shared" si="409"/>
        <v>0.05</v>
      </c>
      <c r="R214" s="717">
        <f t="shared" si="410"/>
        <v>0.05</v>
      </c>
      <c r="S214" s="718">
        <f t="shared" si="411"/>
        <v>0.05</v>
      </c>
      <c r="T214" s="726"/>
      <c r="U214" s="1521"/>
      <c r="V214" s="1521"/>
      <c r="W214" s="1521"/>
      <c r="X214" s="1521"/>
      <c r="Y214" s="1521"/>
      <c r="Z214" s="1521"/>
      <c r="AA214" s="1523"/>
      <c r="AC214" s="714">
        <v>0.05</v>
      </c>
      <c r="AD214" s="714">
        <v>0.05</v>
      </c>
      <c r="AE214" s="714">
        <v>0.05</v>
      </c>
      <c r="AF214" s="714">
        <v>0.05</v>
      </c>
      <c r="AG214" s="714">
        <v>0.05</v>
      </c>
      <c r="AH214" s="714">
        <v>0.05</v>
      </c>
      <c r="AI214" s="22"/>
      <c r="AK214" s="1521"/>
      <c r="AL214" s="1521"/>
      <c r="AM214" s="1521"/>
      <c r="AN214" s="1521"/>
      <c r="AO214" s="1521"/>
      <c r="AP214" s="1521"/>
      <c r="AQ214" s="1523"/>
    </row>
    <row r="215" spans="1:43" s="1365" customFormat="1" ht="14.5" outlineLevel="3">
      <c r="A215" s="22"/>
      <c r="B215" s="22"/>
      <c r="C215" s="22"/>
      <c r="D215" s="715" t="s">
        <v>843</v>
      </c>
      <c r="E215" s="22"/>
      <c r="F215" s="22"/>
      <c r="G215" s="22"/>
      <c r="H215" s="219"/>
      <c r="I215" s="175"/>
      <c r="J215" s="175"/>
      <c r="K215" s="175"/>
      <c r="L215" s="1040">
        <f t="shared" ref="L215:L217" si="412">IFERROR(L209/J209-1,"NA")</f>
        <v>0.32130756578947373</v>
      </c>
      <c r="M215" s="175"/>
      <c r="N215" s="716">
        <f t="shared" si="406"/>
        <v>0.1</v>
      </c>
      <c r="O215" s="717">
        <f t="shared" si="407"/>
        <v>0.1</v>
      </c>
      <c r="P215" s="717">
        <f t="shared" si="408"/>
        <v>0.1</v>
      </c>
      <c r="Q215" s="717">
        <f t="shared" si="409"/>
        <v>0.1</v>
      </c>
      <c r="R215" s="717">
        <f t="shared" si="410"/>
        <v>0.1</v>
      </c>
      <c r="S215" s="718">
        <f t="shared" si="411"/>
        <v>0.1</v>
      </c>
      <c r="T215" s="726"/>
      <c r="U215" s="1521"/>
      <c r="V215" s="1521"/>
      <c r="W215" s="1521"/>
      <c r="X215" s="1521"/>
      <c r="Y215" s="1521"/>
      <c r="Z215" s="1521"/>
      <c r="AA215" s="1523"/>
      <c r="AC215" s="714">
        <v>0.1</v>
      </c>
      <c r="AD215" s="714">
        <v>0.1</v>
      </c>
      <c r="AE215" s="714">
        <v>0.1</v>
      </c>
      <c r="AF215" s="714">
        <v>0.1</v>
      </c>
      <c r="AG215" s="714">
        <v>0.1</v>
      </c>
      <c r="AH215" s="714">
        <v>0.1</v>
      </c>
      <c r="AI215" s="22"/>
      <c r="AK215" s="1521"/>
      <c r="AL215" s="1521"/>
      <c r="AM215" s="1521"/>
      <c r="AN215" s="1521"/>
      <c r="AO215" s="1521"/>
      <c r="AP215" s="1521"/>
      <c r="AQ215" s="1523"/>
    </row>
    <row r="216" spans="1:43" s="1365" customFormat="1" ht="14.5" outlineLevel="3">
      <c r="A216" s="22"/>
      <c r="B216" s="22"/>
      <c r="C216" s="22"/>
      <c r="D216" s="715" t="s">
        <v>844</v>
      </c>
      <c r="E216" s="22"/>
      <c r="F216" s="22"/>
      <c r="G216" s="22"/>
      <c r="H216" s="219"/>
      <c r="I216" s="175"/>
      <c r="J216" s="175"/>
      <c r="K216" s="175"/>
      <c r="L216" s="1040">
        <f t="shared" si="412"/>
        <v>0.34223091849935305</v>
      </c>
      <c r="M216" s="175"/>
      <c r="N216" s="716">
        <f t="shared" si="406"/>
        <v>0.1</v>
      </c>
      <c r="O216" s="717">
        <f t="shared" si="407"/>
        <v>0.1</v>
      </c>
      <c r="P216" s="717">
        <f t="shared" si="408"/>
        <v>0.1</v>
      </c>
      <c r="Q216" s="717">
        <f t="shared" si="409"/>
        <v>0.1</v>
      </c>
      <c r="R216" s="717">
        <f t="shared" si="410"/>
        <v>0.1</v>
      </c>
      <c r="S216" s="718">
        <f t="shared" si="411"/>
        <v>0.1</v>
      </c>
      <c r="T216" s="726"/>
      <c r="U216" s="1521"/>
      <c r="V216" s="1521"/>
      <c r="W216" s="1521"/>
      <c r="X216" s="1521"/>
      <c r="Y216" s="1521"/>
      <c r="Z216" s="1521"/>
      <c r="AA216" s="1523"/>
      <c r="AC216" s="714">
        <v>0.1</v>
      </c>
      <c r="AD216" s="714">
        <v>0.1</v>
      </c>
      <c r="AE216" s="714">
        <v>0.1</v>
      </c>
      <c r="AF216" s="714">
        <v>0.1</v>
      </c>
      <c r="AG216" s="714">
        <v>0.1</v>
      </c>
      <c r="AH216" s="714">
        <v>0.1</v>
      </c>
      <c r="AI216" s="22"/>
      <c r="AK216" s="1521"/>
      <c r="AL216" s="1521"/>
      <c r="AM216" s="1521"/>
      <c r="AN216" s="1521"/>
      <c r="AO216" s="1521"/>
      <c r="AP216" s="1521"/>
      <c r="AQ216" s="1523"/>
    </row>
    <row r="217" spans="1:43" s="1365" customFormat="1" ht="14.5" outlineLevel="3">
      <c r="A217" s="22"/>
      <c r="B217" s="22"/>
      <c r="C217" s="22"/>
      <c r="D217" s="719" t="s">
        <v>665</v>
      </c>
      <c r="E217" s="720"/>
      <c r="F217" s="720"/>
      <c r="G217" s="720"/>
      <c r="H217" s="721"/>
      <c r="I217" s="722"/>
      <c r="J217" s="722"/>
      <c r="K217" s="722"/>
      <c r="L217" s="1041">
        <f t="shared" si="412"/>
        <v>27.388249999999971</v>
      </c>
      <c r="M217" s="722"/>
      <c r="N217" s="723">
        <f t="shared" si="406"/>
        <v>0</v>
      </c>
      <c r="O217" s="724">
        <f t="shared" si="407"/>
        <v>0.1</v>
      </c>
      <c r="P217" s="724">
        <f t="shared" si="408"/>
        <v>0.1</v>
      </c>
      <c r="Q217" s="724">
        <f t="shared" si="409"/>
        <v>0.1</v>
      </c>
      <c r="R217" s="724">
        <f t="shared" si="410"/>
        <v>0.1</v>
      </c>
      <c r="S217" s="725">
        <f t="shared" si="411"/>
        <v>0.1</v>
      </c>
      <c r="T217" s="726"/>
      <c r="U217" s="1521"/>
      <c r="V217" s="1521"/>
      <c r="W217" s="1521"/>
      <c r="X217" s="1521"/>
      <c r="Y217" s="1521"/>
      <c r="Z217" s="1521"/>
      <c r="AA217" s="1523"/>
      <c r="AC217" s="714">
        <v>0</v>
      </c>
      <c r="AD217" s="714">
        <v>0.1</v>
      </c>
      <c r="AE217" s="714">
        <v>0.1</v>
      </c>
      <c r="AF217" s="714">
        <v>0.1</v>
      </c>
      <c r="AG217" s="714">
        <v>0.1</v>
      </c>
      <c r="AH217" s="714">
        <v>0.1</v>
      </c>
      <c r="AI217" s="22"/>
      <c r="AK217" s="1521"/>
      <c r="AL217" s="1521"/>
      <c r="AM217" s="1521"/>
      <c r="AN217" s="1521"/>
      <c r="AO217" s="1521"/>
      <c r="AP217" s="1521"/>
      <c r="AQ217" s="1523"/>
    </row>
    <row r="218" spans="1:43" s="1365" customFormat="1" ht="14.5" outlineLevel="3">
      <c r="A218" s="22"/>
      <c r="B218" s="22"/>
      <c r="C218" s="22" t="s">
        <v>848</v>
      </c>
      <c r="D218" s="22"/>
      <c r="E218" s="22"/>
      <c r="F218" s="22"/>
      <c r="G218" s="22"/>
      <c r="H218" s="24">
        <f>H206/H$206</f>
        <v>1</v>
      </c>
      <c r="I218" s="24"/>
      <c r="J218" s="24">
        <f t="shared" ref="J218:S218" si="413">J206/J$206</f>
        <v>1</v>
      </c>
      <c r="K218" s="24">
        <f t="shared" si="413"/>
        <v>1</v>
      </c>
      <c r="L218" s="24">
        <f t="shared" si="413"/>
        <v>1</v>
      </c>
      <c r="M218" s="24">
        <f t="shared" si="413"/>
        <v>1</v>
      </c>
      <c r="N218" s="24">
        <f t="shared" si="413"/>
        <v>1</v>
      </c>
      <c r="O218" s="24">
        <f t="shared" si="413"/>
        <v>1</v>
      </c>
      <c r="P218" s="24">
        <f t="shared" si="413"/>
        <v>1</v>
      </c>
      <c r="Q218" s="24">
        <f t="shared" si="413"/>
        <v>1</v>
      </c>
      <c r="R218" s="24">
        <f t="shared" si="413"/>
        <v>1</v>
      </c>
      <c r="S218" s="24">
        <f t="shared" si="413"/>
        <v>1</v>
      </c>
      <c r="T218" s="726"/>
      <c r="U218" s="1521"/>
      <c r="V218" s="1521"/>
      <c r="W218" s="1521"/>
      <c r="X218" s="1521"/>
      <c r="Y218" s="1521"/>
      <c r="Z218" s="1521"/>
      <c r="AA218" s="1522"/>
      <c r="AC218" s="219"/>
      <c r="AD218" s="219"/>
      <c r="AE218" s="219"/>
      <c r="AF218" s="219"/>
      <c r="AG218" s="219"/>
      <c r="AH218" s="219"/>
      <c r="AI218" s="706"/>
      <c r="AK218" s="1521"/>
      <c r="AL218" s="1521"/>
      <c r="AM218" s="1521"/>
      <c r="AN218" s="1521"/>
      <c r="AO218" s="1521"/>
      <c r="AP218" s="1521"/>
      <c r="AQ218" s="1522"/>
    </row>
    <row r="219" spans="1:43" s="1365" customFormat="1" ht="14.5" outlineLevel="3">
      <c r="A219" s="22"/>
      <c r="B219" s="22"/>
      <c r="C219" s="22"/>
      <c r="D219" s="707" t="s">
        <v>841</v>
      </c>
      <c r="E219" s="708"/>
      <c r="F219" s="708"/>
      <c r="G219" s="708"/>
      <c r="H219" s="793">
        <f>H207/H$206</f>
        <v>0.12465487869353228</v>
      </c>
      <c r="I219" s="793"/>
      <c r="J219" s="793">
        <f t="shared" ref="J219:S219" si="414">J207/J$206</f>
        <v>9.4978826376285547E-2</v>
      </c>
      <c r="K219" s="793">
        <f t="shared" si="414"/>
        <v>9.4072779278563487E-2</v>
      </c>
      <c r="L219" s="793">
        <f t="shared" si="414"/>
        <v>9.0560465017832728E-2</v>
      </c>
      <c r="M219" s="793">
        <f t="shared" si="414"/>
        <v>9.4627813762138857E-2</v>
      </c>
      <c r="N219" s="793">
        <f t="shared" si="414"/>
        <v>8.7730022628360771E-2</v>
      </c>
      <c r="O219" s="793">
        <f t="shared" si="414"/>
        <v>8.4837306131133924E-2</v>
      </c>
      <c r="P219" s="793">
        <f t="shared" si="414"/>
        <v>8.2004614443433585E-2</v>
      </c>
      <c r="Q219" s="793">
        <f t="shared" si="414"/>
        <v>7.9233067157830711E-2</v>
      </c>
      <c r="R219" s="793">
        <f t="shared" si="414"/>
        <v>7.6523606692445859E-2</v>
      </c>
      <c r="S219" s="803">
        <f t="shared" si="414"/>
        <v>7.3877002462563401E-2</v>
      </c>
      <c r="T219" s="726"/>
      <c r="U219" s="1521"/>
      <c r="V219" s="1521"/>
      <c r="W219" s="1521"/>
      <c r="X219" s="1521"/>
      <c r="Y219" s="1521"/>
      <c r="Z219" s="1521"/>
      <c r="AA219" s="1523"/>
      <c r="AC219" s="728"/>
      <c r="AD219" s="728"/>
      <c r="AE219" s="728"/>
      <c r="AF219" s="728"/>
      <c r="AG219" s="728"/>
      <c r="AH219" s="728"/>
      <c r="AI219" s="22"/>
      <c r="AK219" s="1521"/>
      <c r="AL219" s="1521"/>
      <c r="AM219" s="1521"/>
      <c r="AN219" s="1521"/>
      <c r="AO219" s="1521"/>
      <c r="AP219" s="1521"/>
      <c r="AQ219" s="1523"/>
    </row>
    <row r="220" spans="1:43" s="1365" customFormat="1" ht="14.5" outlineLevel="3">
      <c r="A220" s="22"/>
      <c r="B220" s="22"/>
      <c r="C220" s="22"/>
      <c r="D220" s="715" t="s">
        <v>842</v>
      </c>
      <c r="E220" s="22"/>
      <c r="F220" s="22"/>
      <c r="G220" s="22"/>
      <c r="H220" s="91">
        <f t="shared" ref="H220:S223" si="415">H208/H$206</f>
        <v>7.6543499970627968E-2</v>
      </c>
      <c r="I220" s="91"/>
      <c r="J220" s="91">
        <f t="shared" si="415"/>
        <v>0.21225477486820499</v>
      </c>
      <c r="K220" s="91">
        <f t="shared" si="415"/>
        <v>0.19839504211028128</v>
      </c>
      <c r="L220" s="91">
        <f t="shared" si="415"/>
        <v>0.20255923965396397</v>
      </c>
      <c r="M220" s="91">
        <f t="shared" si="415"/>
        <v>0.20607908110749831</v>
      </c>
      <c r="N220" s="91">
        <f t="shared" si="415"/>
        <v>0.19622830641303049</v>
      </c>
      <c r="O220" s="91">
        <f t="shared" si="415"/>
        <v>0.1897580828546889</v>
      </c>
      <c r="P220" s="91">
        <f t="shared" si="415"/>
        <v>0.1834221185426495</v>
      </c>
      <c r="Q220" s="91">
        <f t="shared" si="415"/>
        <v>0.17722291770234705</v>
      </c>
      <c r="R220" s="91">
        <f t="shared" si="415"/>
        <v>0.17116258826794367</v>
      </c>
      <c r="S220" s="804">
        <f t="shared" si="415"/>
        <v>0.16524285121309978</v>
      </c>
      <c r="T220" s="726"/>
      <c r="U220" s="1521"/>
      <c r="V220" s="1521"/>
      <c r="W220" s="1521"/>
      <c r="X220" s="1521"/>
      <c r="Y220" s="1521"/>
      <c r="Z220" s="1521"/>
      <c r="AA220" s="1523"/>
      <c r="AC220" s="728"/>
      <c r="AD220" s="728"/>
      <c r="AE220" s="728"/>
      <c r="AF220" s="728"/>
      <c r="AG220" s="728"/>
      <c r="AH220" s="728"/>
      <c r="AI220" s="22"/>
      <c r="AK220" s="1521"/>
      <c r="AL220" s="1521"/>
      <c r="AM220" s="1521"/>
      <c r="AN220" s="1521"/>
      <c r="AO220" s="1521"/>
      <c r="AP220" s="1521"/>
      <c r="AQ220" s="1523"/>
    </row>
    <row r="221" spans="1:43" s="1365" customFormat="1" ht="14.5" outlineLevel="3">
      <c r="A221" s="22"/>
      <c r="B221" s="22"/>
      <c r="C221" s="22"/>
      <c r="D221" s="715" t="s">
        <v>843</v>
      </c>
      <c r="E221" s="22"/>
      <c r="F221" s="22"/>
      <c r="G221" s="22"/>
      <c r="H221" s="91">
        <f t="shared" si="415"/>
        <v>0.21952652293955238</v>
      </c>
      <c r="I221" s="91"/>
      <c r="J221" s="91">
        <f t="shared" si="415"/>
        <v>0.15763546798029557</v>
      </c>
      <c r="K221" s="91">
        <f t="shared" si="415"/>
        <v>0.15604640076275225</v>
      </c>
      <c r="L221" s="91">
        <f t="shared" si="415"/>
        <v>0.15575984031492368</v>
      </c>
      <c r="M221" s="91">
        <f t="shared" si="415"/>
        <v>0.15999005654199339</v>
      </c>
      <c r="N221" s="91">
        <f t="shared" si="415"/>
        <v>0.15807692414333907</v>
      </c>
      <c r="O221" s="91">
        <f t="shared" si="415"/>
        <v>0.1601439334040449</v>
      </c>
      <c r="P221" s="91">
        <f t="shared" si="415"/>
        <v>0.16216805154932948</v>
      </c>
      <c r="Q221" s="91">
        <f t="shared" si="415"/>
        <v>0.16414847856708853</v>
      </c>
      <c r="R221" s="91">
        <f t="shared" si="415"/>
        <v>0.16608454104636564</v>
      </c>
      <c r="S221" s="804">
        <f t="shared" si="415"/>
        <v>0.16797568919649883</v>
      </c>
      <c r="T221" s="726"/>
      <c r="U221" s="1521"/>
      <c r="V221" s="1521"/>
      <c r="W221" s="1521"/>
      <c r="X221" s="1521"/>
      <c r="Y221" s="1521"/>
      <c r="Z221" s="1521"/>
      <c r="AA221" s="1523"/>
      <c r="AC221" s="728"/>
      <c r="AD221" s="728"/>
      <c r="AE221" s="728"/>
      <c r="AF221" s="728"/>
      <c r="AG221" s="728"/>
      <c r="AH221" s="728"/>
      <c r="AI221" s="22"/>
      <c r="AK221" s="1521"/>
      <c r="AL221" s="1521"/>
      <c r="AM221" s="1521"/>
      <c r="AN221" s="1521"/>
      <c r="AO221" s="1521"/>
      <c r="AP221" s="1521"/>
      <c r="AQ221" s="1523"/>
    </row>
    <row r="222" spans="1:43" s="1365" customFormat="1" ht="14.5" outlineLevel="3">
      <c r="A222" s="22"/>
      <c r="B222" s="22"/>
      <c r="C222" s="22"/>
      <c r="D222" s="715" t="s">
        <v>844</v>
      </c>
      <c r="E222" s="22"/>
      <c r="F222" s="22"/>
      <c r="G222" s="22"/>
      <c r="H222" s="91">
        <f t="shared" si="415"/>
        <v>0.52446689772660515</v>
      </c>
      <c r="I222" s="91"/>
      <c r="J222" s="91">
        <f t="shared" si="415"/>
        <v>0.53443954714372133</v>
      </c>
      <c r="K222" s="91">
        <f t="shared" si="415"/>
        <v>0.53631018592086444</v>
      </c>
      <c r="L222" s="91">
        <f t="shared" si="415"/>
        <v>0.53644284495107752</v>
      </c>
      <c r="M222" s="91">
        <f t="shared" si="415"/>
        <v>0.53212328699831168</v>
      </c>
      <c r="N222" s="91">
        <f t="shared" si="415"/>
        <v>0.54442297024134578</v>
      </c>
      <c r="O222" s="91">
        <f t="shared" si="415"/>
        <v>0.55154182915973815</v>
      </c>
      <c r="P222" s="91">
        <f t="shared" si="415"/>
        <v>0.55851296943683515</v>
      </c>
      <c r="Q222" s="91">
        <f t="shared" si="415"/>
        <v>0.56533363580036411</v>
      </c>
      <c r="R222" s="91">
        <f t="shared" si="415"/>
        <v>0.57200150899724578</v>
      </c>
      <c r="S222" s="804">
        <f t="shared" si="415"/>
        <v>0.57851469552742096</v>
      </c>
      <c r="T222" s="726"/>
      <c r="U222" s="1521"/>
      <c r="V222" s="1521"/>
      <c r="W222" s="1521"/>
      <c r="X222" s="1521"/>
      <c r="Y222" s="1521"/>
      <c r="Z222" s="1521"/>
      <c r="AA222" s="1523"/>
      <c r="AC222" s="728"/>
      <c r="AD222" s="728"/>
      <c r="AE222" s="728"/>
      <c r="AF222" s="728"/>
      <c r="AG222" s="728"/>
      <c r="AH222" s="728"/>
      <c r="AI222" s="22"/>
      <c r="AK222" s="1521"/>
      <c r="AL222" s="1521"/>
      <c r="AM222" s="1521"/>
      <c r="AN222" s="1521"/>
      <c r="AO222" s="1521"/>
      <c r="AP222" s="1521"/>
      <c r="AQ222" s="1523"/>
    </row>
    <row r="223" spans="1:43" s="1365" customFormat="1" ht="14.5" outlineLevel="3">
      <c r="A223" s="22"/>
      <c r="B223" s="22"/>
      <c r="C223" s="22"/>
      <c r="D223" s="719" t="s">
        <v>665</v>
      </c>
      <c r="E223" s="720"/>
      <c r="F223" s="720"/>
      <c r="G223" s="720"/>
      <c r="H223" s="794">
        <f t="shared" si="415"/>
        <v>5.4808200669682193E-2</v>
      </c>
      <c r="I223" s="794"/>
      <c r="J223" s="794">
        <f t="shared" si="415"/>
        <v>6.9138363149252445E-4</v>
      </c>
      <c r="K223" s="794">
        <f t="shared" si="415"/>
        <v>1.5175591927538534E-2</v>
      </c>
      <c r="L223" s="794">
        <f t="shared" si="415"/>
        <v>1.4677610062202065E-2</v>
      </c>
      <c r="M223" s="794">
        <f t="shared" si="415"/>
        <v>7.1797615900576336E-3</v>
      </c>
      <c r="N223" s="794">
        <f t="shared" si="415"/>
        <v>1.3541776573923832E-2</v>
      </c>
      <c r="O223" s="794">
        <f t="shared" si="415"/>
        <v>1.3718848450394106E-2</v>
      </c>
      <c r="P223" s="794">
        <f t="shared" si="415"/>
        <v>1.3892246027752166E-2</v>
      </c>
      <c r="Q223" s="794">
        <f t="shared" si="415"/>
        <v>1.4061900772369648E-2</v>
      </c>
      <c r="R223" s="794">
        <f t="shared" si="415"/>
        <v>1.4227754995999115E-2</v>
      </c>
      <c r="S223" s="805">
        <f t="shared" si="415"/>
        <v>1.4389761600417043E-2</v>
      </c>
      <c r="T223" s="726"/>
      <c r="U223" s="1521"/>
      <c r="V223" s="1521"/>
      <c r="W223" s="1521"/>
      <c r="X223" s="1521"/>
      <c r="Y223" s="1521"/>
      <c r="Z223" s="1521"/>
      <c r="AA223" s="1523"/>
      <c r="AC223" s="728"/>
      <c r="AD223" s="728"/>
      <c r="AE223" s="728"/>
      <c r="AF223" s="728"/>
      <c r="AG223" s="728"/>
      <c r="AH223" s="728"/>
      <c r="AI223" s="22"/>
      <c r="AK223" s="1521"/>
      <c r="AL223" s="1521"/>
      <c r="AM223" s="1521"/>
      <c r="AN223" s="1521"/>
      <c r="AO223" s="1521"/>
      <c r="AP223" s="1521"/>
      <c r="AQ223" s="1523"/>
    </row>
    <row r="224" spans="1:43" ht="14.5" outlineLevel="2">
      <c r="C224" s="18" t="s">
        <v>31</v>
      </c>
      <c r="D224" s="1"/>
      <c r="E224" s="1"/>
      <c r="H224" s="764">
        <f>IFERROR(H230/H206,"NA")</f>
        <v>2.9317394113845974</v>
      </c>
      <c r="I224" s="764" t="str">
        <f t="shared" ref="I224:J224" si="416">IFERROR(I230/I206,"NA")</f>
        <v>NA</v>
      </c>
      <c r="J224" s="764">
        <f t="shared" si="416"/>
        <v>3.8542736150721635</v>
      </c>
      <c r="K224" s="764">
        <f t="shared" ref="K224:S224" si="417">IFERROR(K230/K206,"NA")</f>
        <v>3.6606546956936277</v>
      </c>
      <c r="L224" s="764">
        <f t="shared" si="417"/>
        <v>3.7650888006821912</v>
      </c>
      <c r="M224" s="764">
        <f t="shared" si="417"/>
        <v>3.559212094865186</v>
      </c>
      <c r="N224" s="764">
        <f t="shared" si="417"/>
        <v>3.7126667982934012</v>
      </c>
      <c r="O224" s="764">
        <f t="shared" si="417"/>
        <v>3.7097581027560897</v>
      </c>
      <c r="P224" s="764">
        <f t="shared" si="417"/>
        <v>3.7069097635985906</v>
      </c>
      <c r="Q224" s="764">
        <f t="shared" si="417"/>
        <v>3.7041229065979797</v>
      </c>
      <c r="R224" s="764">
        <f t="shared" si="417"/>
        <v>3.7013984793781871</v>
      </c>
      <c r="S224" s="764">
        <f t="shared" si="417"/>
        <v>3.6987372556046618</v>
      </c>
      <c r="T224" s="408"/>
      <c r="U224" s="1524">
        <f>$L224*(1+$AA224)</f>
        <v>3.8403905766958353</v>
      </c>
      <c r="V224" s="1524">
        <f>U224*(1+$AA224)</f>
        <v>3.9171983882297519</v>
      </c>
      <c r="W224" s="1524">
        <f t="shared" ref="W224" si="418">V224*(1+$AA224)</f>
        <v>3.9955423559943468</v>
      </c>
      <c r="X224" s="1524">
        <f t="shared" ref="X224" si="419">W224*(1+$AA224)</f>
        <v>4.0754532031142334</v>
      </c>
      <c r="Y224" s="1524">
        <f t="shared" ref="Y224" si="420">X224*(1+$AA224)</f>
        <v>4.1569622671765183</v>
      </c>
      <c r="Z224" s="1524">
        <f t="shared" ref="Z224" si="421">Y224*(1+$AA224)</f>
        <v>4.2401015125200487</v>
      </c>
      <c r="AA224" s="1525">
        <v>0.02</v>
      </c>
      <c r="AB224" s="1126"/>
      <c r="AC224" s="733"/>
      <c r="AD224" s="733"/>
      <c r="AE224" s="733"/>
      <c r="AF224" s="733"/>
      <c r="AG224" s="733"/>
      <c r="AH224" s="733"/>
      <c r="AI224" s="472"/>
      <c r="AJ224" s="1321"/>
      <c r="AK224" s="1529">
        <f>$L224*(1+$AQ224)</f>
        <v>3.7650888006821912</v>
      </c>
      <c r="AL224" s="1529">
        <f>AK224*(1+$AQ224)</f>
        <v>3.7650888006821912</v>
      </c>
      <c r="AM224" s="1529">
        <f t="shared" ref="AM224:AN224" si="422">AL224*(1+$AQ224)</f>
        <v>3.7650888006821912</v>
      </c>
      <c r="AN224" s="1529">
        <f t="shared" si="422"/>
        <v>3.7650888006821912</v>
      </c>
      <c r="AO224" s="1529">
        <f>AN224*(1+$AQ224)</f>
        <v>3.7650888006821912</v>
      </c>
      <c r="AP224" s="1529">
        <f t="shared" ref="AP224" si="423">AO224*(1+$AQ224)</f>
        <v>3.7650888006821912</v>
      </c>
      <c r="AQ224" s="1520">
        <v>0</v>
      </c>
    </row>
    <row r="225" spans="3:43" ht="14.5" outlineLevel="2">
      <c r="C225" s="1"/>
      <c r="D225" s="27" t="s">
        <v>841</v>
      </c>
      <c r="E225" s="28"/>
      <c r="F225" s="28"/>
      <c r="G225" s="28"/>
      <c r="H225" s="759">
        <f>IFERROR(H231/H207,"NA")</f>
        <v>2.8081998114985862</v>
      </c>
      <c r="I225" s="759" t="str">
        <f t="shared" ref="I225:J225" si="424">IFERROR(I231/I207,"NA")</f>
        <v>NA</v>
      </c>
      <c r="J225" s="759">
        <f t="shared" si="424"/>
        <v>4.3666969972702461</v>
      </c>
      <c r="K225" s="759">
        <f t="shared" ref="K225:M225" si="425">IFERROR(K231/K207,"NA")</f>
        <v>4.8429054054054053</v>
      </c>
      <c r="L225" s="759">
        <f t="shared" si="425"/>
        <v>4.7722976803663704</v>
      </c>
      <c r="M225" s="759">
        <f t="shared" si="425"/>
        <v>4.3651142073390892</v>
      </c>
      <c r="N225" s="780">
        <f>CHOOSE(case,U225,AC225,AK225)</f>
        <v>4.3651142073390892</v>
      </c>
      <c r="O225" s="781">
        <f t="shared" ref="O225:O229" si="426">CHOOSE(case,V225,AD225,AL225)</f>
        <v>4.3651142073390892</v>
      </c>
      <c r="P225" s="781">
        <f t="shared" ref="P225:P229" si="427">CHOOSE(case,W225,AE225,AM225)</f>
        <v>4.3651142073390892</v>
      </c>
      <c r="Q225" s="781">
        <f t="shared" ref="Q225:Q229" si="428">CHOOSE(case,X225,AF225,AN225)</f>
        <v>4.3651142073390892</v>
      </c>
      <c r="R225" s="781">
        <f t="shared" ref="R225:R229" si="429">CHOOSE(case,Y225,AG225,AO225)</f>
        <v>4.3651142073390892</v>
      </c>
      <c r="S225" s="782">
        <f t="shared" ref="S225:S229" si="430">CHOOSE(case,Z225,AH225,AP225)</f>
        <v>4.3651142073390892</v>
      </c>
      <c r="T225" s="675"/>
      <c r="U225" s="1515"/>
      <c r="V225" s="1515"/>
      <c r="W225" s="1515"/>
      <c r="X225" s="1515"/>
      <c r="Y225" s="1515"/>
      <c r="Z225" s="1515"/>
      <c r="AA225" s="1515"/>
      <c r="AB225" s="1321"/>
      <c r="AC225" s="737">
        <f>M225</f>
        <v>4.3651142073390892</v>
      </c>
      <c r="AD225" s="737">
        <f t="shared" ref="AD225:AD228" si="431">N225</f>
        <v>4.3651142073390892</v>
      </c>
      <c r="AE225" s="737">
        <f t="shared" ref="AE225:AE228" si="432">O225</f>
        <v>4.3651142073390892</v>
      </c>
      <c r="AF225" s="737">
        <f t="shared" ref="AF225:AF228" si="433">P225</f>
        <v>4.3651142073390892</v>
      </c>
      <c r="AG225" s="737">
        <f t="shared" ref="AG225:AG228" si="434">Q225</f>
        <v>4.3651142073390892</v>
      </c>
      <c r="AH225" s="737">
        <f t="shared" ref="AH225:AH228" si="435">R225</f>
        <v>4.3651142073390892</v>
      </c>
      <c r="AI225" s="415"/>
      <c r="AJ225" s="1321"/>
      <c r="AK225" s="1515"/>
      <c r="AL225" s="1515"/>
      <c r="AM225" s="1515"/>
      <c r="AN225" s="1515"/>
      <c r="AO225" s="1515"/>
      <c r="AP225" s="1515"/>
      <c r="AQ225" s="1515"/>
    </row>
    <row r="226" spans="3:43" ht="14.5" outlineLevel="2">
      <c r="C226" s="1"/>
      <c r="D226" s="31" t="s">
        <v>842</v>
      </c>
      <c r="E226" s="1"/>
      <c r="F226" s="1"/>
      <c r="G226" s="1"/>
      <c r="H226" s="764">
        <f t="shared" ref="H226:J226" si="436">IFERROR(H232/H208,"NA")</f>
        <v>3.0283960092095166</v>
      </c>
      <c r="I226" s="764" t="str">
        <f t="shared" si="436"/>
        <v>NA</v>
      </c>
      <c r="J226" s="764">
        <f t="shared" si="436"/>
        <v>3.3611563517915308</v>
      </c>
      <c r="K226" s="764">
        <f t="shared" ref="K226:M226" si="437">IFERROR(K232/K208,"NA")</f>
        <v>3.3588305967160594</v>
      </c>
      <c r="L226" s="764">
        <f t="shared" si="437"/>
        <v>3.476175616289519</v>
      </c>
      <c r="M226" s="764">
        <f t="shared" si="437"/>
        <v>3.7428669648510469</v>
      </c>
      <c r="N226" s="785">
        <f>CHOOSE(case,U226,AC226,AK226)</f>
        <v>3.7428669648510469</v>
      </c>
      <c r="O226" s="786">
        <f t="shared" si="426"/>
        <v>3.7428669648510469</v>
      </c>
      <c r="P226" s="786">
        <f t="shared" si="427"/>
        <v>3.7428669648510469</v>
      </c>
      <c r="Q226" s="786">
        <f t="shared" si="428"/>
        <v>3.7428669648510469</v>
      </c>
      <c r="R226" s="786">
        <f t="shared" si="429"/>
        <v>3.7428669648510469</v>
      </c>
      <c r="S226" s="787">
        <f t="shared" si="430"/>
        <v>3.7428669648510469</v>
      </c>
      <c r="T226" s="675"/>
      <c r="U226" s="1515"/>
      <c r="V226" s="1515"/>
      <c r="W226" s="1515"/>
      <c r="X226" s="1515"/>
      <c r="Y226" s="1515"/>
      <c r="Z226" s="1515"/>
      <c r="AA226" s="1515"/>
      <c r="AB226" s="1321"/>
      <c r="AC226" s="737">
        <f>M226</f>
        <v>3.7428669648510469</v>
      </c>
      <c r="AD226" s="737">
        <f t="shared" si="431"/>
        <v>3.7428669648510469</v>
      </c>
      <c r="AE226" s="737">
        <f t="shared" si="432"/>
        <v>3.7428669648510469</v>
      </c>
      <c r="AF226" s="737">
        <f t="shared" si="433"/>
        <v>3.7428669648510469</v>
      </c>
      <c r="AG226" s="737">
        <f t="shared" si="434"/>
        <v>3.7428669648510469</v>
      </c>
      <c r="AH226" s="737">
        <f t="shared" si="435"/>
        <v>3.7428669648510469</v>
      </c>
      <c r="AI226" s="415"/>
      <c r="AJ226" s="1321"/>
      <c r="AK226" s="1515"/>
      <c r="AL226" s="1515"/>
      <c r="AM226" s="1515"/>
      <c r="AN226" s="1515"/>
      <c r="AO226" s="1515"/>
      <c r="AP226" s="1515"/>
      <c r="AQ226" s="1515"/>
    </row>
    <row r="227" spans="3:43" ht="14.5" outlineLevel="2">
      <c r="C227" s="1"/>
      <c r="D227" s="31" t="s">
        <v>843</v>
      </c>
      <c r="E227" s="1"/>
      <c r="F227" s="1"/>
      <c r="G227" s="1"/>
      <c r="H227" s="764">
        <f t="shared" ref="H227:J227" si="438">IFERROR(H233/H209,"NA")</f>
        <v>2.8846668450628847</v>
      </c>
      <c r="I227" s="764" t="str">
        <f t="shared" si="438"/>
        <v>NA</v>
      </c>
      <c r="J227" s="764">
        <f t="shared" si="438"/>
        <v>3.1285087719298246</v>
      </c>
      <c r="K227" s="764">
        <f t="shared" ref="K227:M227" si="439">IFERROR(K233/K209,"NA")</f>
        <v>3.5824847250509166</v>
      </c>
      <c r="L227" s="764">
        <f t="shared" si="439"/>
        <v>3.6238049363358873</v>
      </c>
      <c r="M227" s="764">
        <f t="shared" si="439"/>
        <v>3.4863779486817665</v>
      </c>
      <c r="N227" s="785">
        <f>CHOOSE(case,U227,AC227,AK227)</f>
        <v>3.4863779486817665</v>
      </c>
      <c r="O227" s="786">
        <f t="shared" si="426"/>
        <v>3.4863779486817665</v>
      </c>
      <c r="P227" s="786">
        <f t="shared" si="427"/>
        <v>3.4863779486817665</v>
      </c>
      <c r="Q227" s="786">
        <f t="shared" si="428"/>
        <v>3.4863779486817665</v>
      </c>
      <c r="R227" s="786">
        <f t="shared" si="429"/>
        <v>3.4863779486817665</v>
      </c>
      <c r="S227" s="787">
        <f t="shared" si="430"/>
        <v>3.4863779486817665</v>
      </c>
      <c r="T227" s="675"/>
      <c r="U227" s="1515"/>
      <c r="V227" s="1515"/>
      <c r="W227" s="1515"/>
      <c r="X227" s="1515"/>
      <c r="Y227" s="1515"/>
      <c r="Z227" s="1515"/>
      <c r="AA227" s="1515"/>
      <c r="AB227" s="1321"/>
      <c r="AC227" s="737">
        <f t="shared" ref="AC227:AC228" si="440">M227</f>
        <v>3.4863779486817665</v>
      </c>
      <c r="AD227" s="737">
        <f t="shared" si="431"/>
        <v>3.4863779486817665</v>
      </c>
      <c r="AE227" s="737">
        <f t="shared" si="432"/>
        <v>3.4863779486817665</v>
      </c>
      <c r="AF227" s="737">
        <f t="shared" si="433"/>
        <v>3.4863779486817665</v>
      </c>
      <c r="AG227" s="737">
        <f t="shared" si="434"/>
        <v>3.4863779486817665</v>
      </c>
      <c r="AH227" s="737">
        <f t="shared" si="435"/>
        <v>3.4863779486817665</v>
      </c>
      <c r="AI227" s="415"/>
      <c r="AJ227" s="1321"/>
      <c r="AK227" s="1515"/>
      <c r="AL227" s="1515"/>
      <c r="AM227" s="1515"/>
      <c r="AN227" s="1515"/>
      <c r="AO227" s="1515"/>
      <c r="AP227" s="1515"/>
      <c r="AQ227" s="1515"/>
    </row>
    <row r="228" spans="3:43" ht="14.5" outlineLevel="2">
      <c r="C228" s="1"/>
      <c r="D228" s="31" t="s">
        <v>844</v>
      </c>
      <c r="E228" s="1"/>
      <c r="F228" s="1"/>
      <c r="G228" s="1"/>
      <c r="H228" s="764">
        <f t="shared" ref="H228:J228" si="441">IFERROR(H234/H210,"NA")</f>
        <v>3.0181451612903225</v>
      </c>
      <c r="I228" s="764" t="str">
        <f t="shared" si="441"/>
        <v>NA</v>
      </c>
      <c r="J228" s="764">
        <f t="shared" si="441"/>
        <v>4.1700194049159123</v>
      </c>
      <c r="K228" s="764">
        <f t="shared" ref="K228:M228" si="442">IFERROR(K234/K210,"NA")</f>
        <v>3.3177777777777777</v>
      </c>
      <c r="L228" s="764">
        <f t="shared" si="442"/>
        <v>3.3686435117573841</v>
      </c>
      <c r="M228" s="764">
        <f t="shared" si="442"/>
        <v>3.0116067148504775</v>
      </c>
      <c r="N228" s="785">
        <f>CHOOSE(case,U228,AC228,AK228)</f>
        <v>3.0116067148504775</v>
      </c>
      <c r="O228" s="786">
        <f t="shared" si="426"/>
        <v>3.0116067148504775</v>
      </c>
      <c r="P228" s="786">
        <f t="shared" si="427"/>
        <v>3.0116067148504775</v>
      </c>
      <c r="Q228" s="786">
        <f t="shared" si="428"/>
        <v>3.0116067148504775</v>
      </c>
      <c r="R228" s="786">
        <f t="shared" si="429"/>
        <v>3.0116067148504775</v>
      </c>
      <c r="S228" s="787">
        <f t="shared" si="430"/>
        <v>3.0116067148504775</v>
      </c>
      <c r="T228" s="675"/>
      <c r="U228" s="1515"/>
      <c r="V228" s="1515"/>
      <c r="W228" s="1515"/>
      <c r="X228" s="1515"/>
      <c r="Y228" s="1515"/>
      <c r="Z228" s="1515"/>
      <c r="AA228" s="1515"/>
      <c r="AB228" s="1321"/>
      <c r="AC228" s="737">
        <f t="shared" si="440"/>
        <v>3.0116067148504775</v>
      </c>
      <c r="AD228" s="737">
        <f t="shared" si="431"/>
        <v>3.0116067148504775</v>
      </c>
      <c r="AE228" s="737">
        <f t="shared" si="432"/>
        <v>3.0116067148504775</v>
      </c>
      <c r="AF228" s="737">
        <f t="shared" si="433"/>
        <v>3.0116067148504775</v>
      </c>
      <c r="AG228" s="737">
        <f t="shared" si="434"/>
        <v>3.0116067148504775</v>
      </c>
      <c r="AH228" s="737">
        <f t="shared" si="435"/>
        <v>3.0116067148504775</v>
      </c>
      <c r="AI228" s="415"/>
      <c r="AJ228" s="1321"/>
      <c r="AK228" s="1515"/>
      <c r="AL228" s="1515"/>
      <c r="AM228" s="1515"/>
      <c r="AN228" s="1515"/>
      <c r="AO228" s="1515"/>
      <c r="AP228" s="1515"/>
      <c r="AQ228" s="1515"/>
    </row>
    <row r="229" spans="3:43" ht="15" outlineLevel="2" thickBot="1">
      <c r="C229" s="37"/>
      <c r="D229" s="33" t="s">
        <v>665</v>
      </c>
      <c r="E229" s="37"/>
      <c r="F229" s="37"/>
      <c r="G229" s="37"/>
      <c r="H229" s="774">
        <f t="shared" ref="H229:J229" si="443">IFERROR(H235/H211,"NA")</f>
        <v>2.439442658092176</v>
      </c>
      <c r="I229" s="774" t="str">
        <f t="shared" si="443"/>
        <v>NA</v>
      </c>
      <c r="J229" s="774">
        <f t="shared" si="443"/>
        <v>6.25</v>
      </c>
      <c r="K229" s="774">
        <f t="shared" ref="K229:M229" si="444">IFERROR(K235/K211,"NA")</f>
        <v>13.198952879581151</v>
      </c>
      <c r="L229" s="774">
        <f t="shared" si="444"/>
        <v>17.526547266620131</v>
      </c>
      <c r="M229" s="774">
        <f t="shared" si="444"/>
        <v>29.87458896779626</v>
      </c>
      <c r="N229" s="789">
        <f>CHOOSE(case,U229,AC229,AK229)</f>
        <v>29.87458896779626</v>
      </c>
      <c r="O229" s="790">
        <f t="shared" si="426"/>
        <v>29.87458896779626</v>
      </c>
      <c r="P229" s="790">
        <f t="shared" si="427"/>
        <v>29.87458896779626</v>
      </c>
      <c r="Q229" s="790">
        <f t="shared" si="428"/>
        <v>29.87458896779626</v>
      </c>
      <c r="R229" s="790">
        <f t="shared" si="429"/>
        <v>29.87458896779626</v>
      </c>
      <c r="S229" s="791">
        <f t="shared" si="430"/>
        <v>29.87458896779626</v>
      </c>
      <c r="T229" s="675"/>
      <c r="U229" s="1515"/>
      <c r="V229" s="1515"/>
      <c r="W229" s="1515"/>
      <c r="X229" s="1515"/>
      <c r="Y229" s="1515"/>
      <c r="Z229" s="1515"/>
      <c r="AA229" s="1515"/>
      <c r="AB229" s="1321"/>
      <c r="AC229" s="783">
        <f>M229</f>
        <v>29.87458896779626</v>
      </c>
      <c r="AD229" s="783">
        <f>AC229</f>
        <v>29.87458896779626</v>
      </c>
      <c r="AE229" s="783">
        <f t="shared" ref="AE229:AH229" si="445">AD229</f>
        <v>29.87458896779626</v>
      </c>
      <c r="AF229" s="783">
        <f t="shared" si="445"/>
        <v>29.87458896779626</v>
      </c>
      <c r="AG229" s="783">
        <f t="shared" si="445"/>
        <v>29.87458896779626</v>
      </c>
      <c r="AH229" s="783">
        <f t="shared" si="445"/>
        <v>29.87458896779626</v>
      </c>
      <c r="AI229" s="415"/>
      <c r="AJ229" s="1321"/>
      <c r="AK229" s="1515"/>
      <c r="AL229" s="1515"/>
      <c r="AM229" s="1515"/>
      <c r="AN229" s="1515"/>
      <c r="AO229" s="1515"/>
      <c r="AP229" s="1515"/>
      <c r="AQ229" s="1515"/>
    </row>
    <row r="230" spans="3:43" ht="14.5" outlineLevel="2">
      <c r="C230" s="18" t="s">
        <v>991</v>
      </c>
      <c r="D230" s="1"/>
      <c r="E230" s="1"/>
      <c r="H230" s="99">
        <f>SUM(H231:H235)</f>
        <v>49907</v>
      </c>
      <c r="I230" s="414">
        <v>47624</v>
      </c>
      <c r="J230" s="99">
        <f t="shared" ref="J230" si="446">SUM(J231:J235)</f>
        <v>44597.8</v>
      </c>
      <c r="K230" s="99">
        <f t="shared" ref="K230" si="447">SUM(K231:K235)</f>
        <v>46073</v>
      </c>
      <c r="L230" s="23">
        <f>SUM(L231:L235)</f>
        <v>58257.049583959517</v>
      </c>
      <c r="M230" s="23">
        <f>SUM(M231:M235)</f>
        <v>31155.54171712984</v>
      </c>
      <c r="N230" s="23">
        <f>SUM(N231:N235)</f>
        <v>62264.27539181483</v>
      </c>
      <c r="O230" s="23">
        <f t="shared" ref="O230:S230" si="448">SUM(O231:O235)</f>
        <v>67553.71337499925</v>
      </c>
      <c r="P230" s="23">
        <f t="shared" si="448"/>
        <v>73325.245678702253</v>
      </c>
      <c r="Q230" s="23">
        <f t="shared" si="448"/>
        <v>79624.73926108572</v>
      </c>
      <c r="R230" s="23">
        <f t="shared" si="448"/>
        <v>86502.530652433183</v>
      </c>
      <c r="S230" s="23">
        <f t="shared" si="448"/>
        <v>94013.867056177347</v>
      </c>
      <c r="T230" s="525"/>
      <c r="U230" s="1515"/>
      <c r="V230" s="1515"/>
      <c r="W230" s="1515"/>
      <c r="X230" s="1515"/>
      <c r="Y230" s="1515"/>
      <c r="Z230" s="1515"/>
      <c r="AA230" s="1515"/>
      <c r="AB230" s="1321"/>
      <c r="AC230" s="1"/>
      <c r="AD230" s="1"/>
      <c r="AE230" s="1"/>
      <c r="AF230" s="1"/>
      <c r="AG230" s="1"/>
      <c r="AH230" s="1"/>
      <c r="AI230" s="415"/>
      <c r="AJ230" s="1321"/>
      <c r="AK230" s="1515"/>
      <c r="AL230" s="1515"/>
      <c r="AM230" s="1515"/>
      <c r="AN230" s="1515"/>
      <c r="AO230" s="1515"/>
      <c r="AP230" s="1515"/>
      <c r="AQ230" s="1515"/>
    </row>
    <row r="231" spans="3:43" ht="14.5" outlineLevel="2">
      <c r="C231" s="1"/>
      <c r="D231" s="27" t="s">
        <v>841</v>
      </c>
      <c r="E231" s="28"/>
      <c r="F231" s="28"/>
      <c r="G231" s="28"/>
      <c r="H231" s="398">
        <v>5959</v>
      </c>
      <c r="I231" s="411"/>
      <c r="J231" s="398">
        <v>4799</v>
      </c>
      <c r="K231" s="398">
        <v>5734</v>
      </c>
      <c r="L231" s="398">
        <v>6687.1248570412126</v>
      </c>
      <c r="M231" s="398">
        <v>3615.7288606799434</v>
      </c>
      <c r="N231" s="29">
        <f>N207*N225</f>
        <v>6422.392096746582</v>
      </c>
      <c r="O231" s="29">
        <f t="shared" ref="O231:R231" si="449">O207*O225</f>
        <v>6743.5117015839123</v>
      </c>
      <c r="P231" s="29">
        <f t="shared" si="449"/>
        <v>7080.6872866631074</v>
      </c>
      <c r="Q231" s="29">
        <f t="shared" si="449"/>
        <v>7434.7216509962636</v>
      </c>
      <c r="R231" s="29">
        <f t="shared" si="449"/>
        <v>7806.4577335460772</v>
      </c>
      <c r="S231" s="30">
        <f>S207*S225</f>
        <v>8196.7806202233805</v>
      </c>
      <c r="T231" s="1321"/>
      <c r="U231" s="1515"/>
      <c r="V231" s="1515"/>
      <c r="W231" s="1515"/>
      <c r="X231" s="1515"/>
      <c r="Y231" s="1515"/>
      <c r="Z231" s="1515"/>
      <c r="AA231" s="1515"/>
      <c r="AB231" s="1321"/>
      <c r="AC231" s="1"/>
      <c r="AD231" s="1"/>
      <c r="AE231" s="1"/>
      <c r="AF231" s="1"/>
      <c r="AG231" s="1"/>
      <c r="AH231" s="1"/>
      <c r="AI231" s="415"/>
      <c r="AJ231" s="1321"/>
      <c r="AK231" s="1515"/>
      <c r="AL231" s="1515"/>
      <c r="AM231" s="1515"/>
      <c r="AN231" s="1515"/>
      <c r="AO231" s="1515"/>
      <c r="AP231" s="1515"/>
      <c r="AQ231" s="1515"/>
    </row>
    <row r="232" spans="3:43" ht="14.5" outlineLevel="2">
      <c r="C232" s="1"/>
      <c r="D232" s="31" t="s">
        <v>842</v>
      </c>
      <c r="E232" s="1"/>
      <c r="F232" s="1"/>
      <c r="G232" s="1"/>
      <c r="H232" s="400">
        <v>3946</v>
      </c>
      <c r="I232" s="412"/>
      <c r="J232" s="400">
        <v>8255</v>
      </c>
      <c r="K232" s="400">
        <v>8387</v>
      </c>
      <c r="L232" s="400">
        <v>10894.994854818447</v>
      </c>
      <c r="M232" s="400">
        <v>6751.8026322983815</v>
      </c>
      <c r="N232" s="20">
        <f t="shared" ref="N232:S232" si="450">N208*N226</f>
        <v>12317.399023194828</v>
      </c>
      <c r="O232" s="20">
        <f t="shared" si="450"/>
        <v>12933.268974354571</v>
      </c>
      <c r="P232" s="20">
        <f t="shared" si="450"/>
        <v>13579.9324230723</v>
      </c>
      <c r="Q232" s="20">
        <f t="shared" si="450"/>
        <v>14258.929044225915</v>
      </c>
      <c r="R232" s="20">
        <f t="shared" si="450"/>
        <v>14971.875496437211</v>
      </c>
      <c r="S232" s="32">
        <f t="shared" si="450"/>
        <v>15720.469271259071</v>
      </c>
      <c r="T232" s="1321"/>
      <c r="U232" s="1515"/>
      <c r="V232" s="1515"/>
      <c r="W232" s="1515"/>
      <c r="X232" s="1515"/>
      <c r="Y232" s="1515"/>
      <c r="Z232" s="1515"/>
      <c r="AA232" s="1515"/>
      <c r="AB232" s="1321"/>
      <c r="AC232" s="1"/>
      <c r="AD232" s="1"/>
      <c r="AE232" s="1"/>
      <c r="AF232" s="1"/>
      <c r="AG232" s="1"/>
      <c r="AH232" s="1"/>
      <c r="AI232" s="415"/>
      <c r="AJ232" s="1321"/>
      <c r="AK232" s="1515"/>
      <c r="AL232" s="1515"/>
      <c r="AM232" s="1515"/>
      <c r="AN232" s="1515"/>
      <c r="AO232" s="1515"/>
      <c r="AP232" s="1515"/>
      <c r="AQ232" s="1515"/>
    </row>
    <row r="233" spans="3:43" ht="14.5" outlineLevel="2">
      <c r="C233" s="1"/>
      <c r="D233" s="31" t="s">
        <v>843</v>
      </c>
      <c r="E233" s="1"/>
      <c r="F233" s="1"/>
      <c r="G233" s="1"/>
      <c r="H233" s="400">
        <v>10780</v>
      </c>
      <c r="I233" s="412"/>
      <c r="J233" s="400">
        <v>5706.4</v>
      </c>
      <c r="K233" s="400">
        <v>7036</v>
      </c>
      <c r="L233" s="400">
        <v>8733.6054438903502</v>
      </c>
      <c r="M233" s="400">
        <v>4882.5746985462511</v>
      </c>
      <c r="N233" s="20">
        <f t="shared" ref="N233:S233" si="451">N209*N227</f>
        <v>9242.6372179786958</v>
      </c>
      <c r="O233" s="20">
        <f t="shared" si="451"/>
        <v>10166.900939776566</v>
      </c>
      <c r="P233" s="20">
        <f t="shared" si="451"/>
        <v>11183.591033754223</v>
      </c>
      <c r="Q233" s="20">
        <f t="shared" si="451"/>
        <v>12301.950137129646</v>
      </c>
      <c r="R233" s="20">
        <f t="shared" si="451"/>
        <v>13532.145150842613</v>
      </c>
      <c r="S233" s="32">
        <f t="shared" si="451"/>
        <v>14885.359665926877</v>
      </c>
      <c r="T233" s="1321"/>
      <c r="U233" s="1515"/>
      <c r="V233" s="1515"/>
      <c r="W233" s="1515"/>
      <c r="X233" s="1515"/>
      <c r="Y233" s="1515"/>
      <c r="Z233" s="1515"/>
      <c r="AA233" s="1515"/>
      <c r="AB233" s="1321"/>
      <c r="AC233" s="1"/>
      <c r="AD233" s="1"/>
      <c r="AE233" s="1"/>
      <c r="AF233" s="1"/>
      <c r="AG233" s="1"/>
      <c r="AH233" s="1"/>
      <c r="AI233" s="415"/>
      <c r="AJ233" s="1321"/>
      <c r="AK233" s="1515"/>
      <c r="AL233" s="1515"/>
      <c r="AM233" s="1515"/>
      <c r="AN233" s="1515"/>
      <c r="AO233" s="1515"/>
      <c r="AP233" s="1515"/>
      <c r="AQ233" s="1515"/>
    </row>
    <row r="234" spans="3:43" ht="14.5" outlineLevel="2">
      <c r="C234" s="1"/>
      <c r="D234" s="31" t="s">
        <v>844</v>
      </c>
      <c r="E234" s="1"/>
      <c r="F234" s="1"/>
      <c r="G234" s="1"/>
      <c r="H234" s="400">
        <v>26946</v>
      </c>
      <c r="I234" s="412"/>
      <c r="J234" s="400">
        <v>25787.4</v>
      </c>
      <c r="K234" s="400">
        <v>22395</v>
      </c>
      <c r="L234" s="400">
        <v>27960.940384676473</v>
      </c>
      <c r="M234" s="400">
        <v>14027.877358157204</v>
      </c>
      <c r="N234" s="20">
        <f t="shared" ref="N234:S234" si="452">N210*N228</f>
        <v>27497.148651774398</v>
      </c>
      <c r="O234" s="20">
        <f t="shared" si="452"/>
        <v>30246.863516951838</v>
      </c>
      <c r="P234" s="20">
        <f t="shared" si="452"/>
        <v>33271.549868647024</v>
      </c>
      <c r="Q234" s="20">
        <f t="shared" si="452"/>
        <v>36598.704855511729</v>
      </c>
      <c r="R234" s="20">
        <f t="shared" si="452"/>
        <v>40258.575341062904</v>
      </c>
      <c r="S234" s="32">
        <f t="shared" si="452"/>
        <v>44284.432875169194</v>
      </c>
      <c r="T234" s="1321"/>
      <c r="U234" s="1515"/>
      <c r="V234" s="1515"/>
      <c r="W234" s="1515"/>
      <c r="X234" s="1515"/>
      <c r="Y234" s="1515"/>
      <c r="Z234" s="1515"/>
      <c r="AA234" s="1515"/>
      <c r="AB234" s="1321"/>
      <c r="AC234" s="1"/>
      <c r="AD234" s="1"/>
      <c r="AE234" s="1"/>
      <c r="AF234" s="1"/>
      <c r="AG234" s="1"/>
      <c r="AH234" s="1"/>
      <c r="AI234" s="415"/>
      <c r="AJ234" s="1321"/>
      <c r="AK234" s="1515"/>
      <c r="AL234" s="1515"/>
      <c r="AM234" s="1515"/>
      <c r="AN234" s="1515"/>
      <c r="AO234" s="1515"/>
      <c r="AP234" s="1515"/>
      <c r="AQ234" s="1515"/>
    </row>
    <row r="235" spans="3:43" ht="14.5" outlineLevel="2">
      <c r="C235" s="1"/>
      <c r="D235" s="33" t="s">
        <v>665</v>
      </c>
      <c r="E235" s="34"/>
      <c r="F235" s="34"/>
      <c r="G235" s="34"/>
      <c r="H235" s="402">
        <v>2276</v>
      </c>
      <c r="I235" s="413"/>
      <c r="J235" s="402">
        <v>50</v>
      </c>
      <c r="K235" s="402">
        <v>2521</v>
      </c>
      <c r="L235" s="402">
        <v>3980.3840435330276</v>
      </c>
      <c r="M235" s="402">
        <v>1877.5581674480582</v>
      </c>
      <c r="N235" s="35">
        <f t="shared" ref="N235:S235" si="453">N211*N229</f>
        <v>6784.6984021203307</v>
      </c>
      <c r="O235" s="35">
        <f t="shared" si="453"/>
        <v>7463.1682423323646</v>
      </c>
      <c r="P235" s="35">
        <f t="shared" si="453"/>
        <v>8209.4850665656013</v>
      </c>
      <c r="Q235" s="35">
        <f t="shared" si="453"/>
        <v>9030.4335732221607</v>
      </c>
      <c r="R235" s="35">
        <f t="shared" si="453"/>
        <v>9933.4769305443788</v>
      </c>
      <c r="S235" s="36">
        <f t="shared" si="453"/>
        <v>10926.824623598817</v>
      </c>
      <c r="T235" s="1321"/>
      <c r="U235" s="1515"/>
      <c r="V235" s="1515"/>
      <c r="W235" s="1515"/>
      <c r="X235" s="1515"/>
      <c r="Y235" s="1515"/>
      <c r="Z235" s="1515"/>
      <c r="AA235" s="1515"/>
      <c r="AB235" s="1321"/>
      <c r="AC235" s="1"/>
      <c r="AD235" s="1"/>
      <c r="AE235" s="1"/>
      <c r="AF235" s="1"/>
      <c r="AG235" s="1"/>
      <c r="AH235" s="1"/>
      <c r="AI235" s="415"/>
      <c r="AJ235" s="1321"/>
      <c r="AK235" s="1515"/>
      <c r="AL235" s="1515"/>
      <c r="AM235" s="1515"/>
      <c r="AN235" s="1515"/>
      <c r="AO235" s="1515"/>
      <c r="AP235" s="1515"/>
      <c r="AQ235" s="1515"/>
    </row>
    <row r="236" spans="3:43" ht="14.5" outlineLevel="2">
      <c r="C236" s="1"/>
      <c r="D236" s="1"/>
      <c r="E236" s="1"/>
      <c r="AI236" s="424"/>
    </row>
    <row r="237" spans="3:43" ht="15" outlineLevel="2" thickBot="1">
      <c r="C237" s="37" t="s">
        <v>160</v>
      </c>
      <c r="D237" s="37"/>
      <c r="E237" s="37"/>
      <c r="F237" s="109"/>
      <c r="G237" s="109"/>
      <c r="H237" s="117">
        <f>1-H238/H230</f>
        <v>0.16857354679704251</v>
      </c>
      <c r="I237" s="117">
        <f t="shared" ref="I237" si="454">1-I238/I230</f>
        <v>9.8500755921384187E-2</v>
      </c>
      <c r="J237" s="117">
        <f t="shared" ref="J237" si="455">1-J238/J230</f>
        <v>0.10993367385835184</v>
      </c>
      <c r="K237" s="117">
        <f t="shared" ref="K237:M237" si="456">1-K238/K230</f>
        <v>0.16059297202265965</v>
      </c>
      <c r="L237" s="117">
        <f t="shared" si="456"/>
        <v>0.16059297202265965</v>
      </c>
      <c r="M237" s="117">
        <f t="shared" si="456"/>
        <v>0.16059297202265976</v>
      </c>
      <c r="N237" s="160">
        <f t="shared" ref="N237" si="457">L237</f>
        <v>0.16059297202265965</v>
      </c>
      <c r="O237" s="160">
        <f t="shared" ref="O237" si="458">N237</f>
        <v>0.16059297202265965</v>
      </c>
      <c r="P237" s="160">
        <f t="shared" ref="P237" si="459">O237</f>
        <v>0.16059297202265965</v>
      </c>
      <c r="Q237" s="160">
        <f t="shared" ref="Q237" si="460">P237</f>
        <v>0.16059297202265965</v>
      </c>
      <c r="R237" s="160">
        <f t="shared" ref="R237" si="461">Q237</f>
        <v>0.16059297202265965</v>
      </c>
      <c r="S237" s="160">
        <f t="shared" ref="S237" si="462">R237</f>
        <v>0.16059297202265965</v>
      </c>
      <c r="AI237" s="424"/>
    </row>
    <row r="238" spans="3:43" s="101" customFormat="1" ht="15" outlineLevel="2" thickBot="1">
      <c r="C238" s="76" t="s">
        <v>992</v>
      </c>
      <c r="D238" s="76"/>
      <c r="E238" s="76"/>
      <c r="F238" s="110"/>
      <c r="G238" s="110"/>
      <c r="H238" s="409">
        <v>41494</v>
      </c>
      <c r="I238" s="409">
        <v>42933</v>
      </c>
      <c r="J238" s="409">
        <v>39695</v>
      </c>
      <c r="K238" s="409">
        <v>38674</v>
      </c>
      <c r="L238" s="409">
        <v>48901.376850000008</v>
      </c>
      <c r="M238" s="409">
        <v>26152.180677799999</v>
      </c>
      <c r="N238" s="113">
        <f t="shared" ref="N238:S238" si="463">N230*(1-N237)</f>
        <v>52265.070355805932</v>
      </c>
      <c r="O238" s="113">
        <f t="shared" si="463"/>
        <v>56705.061772941226</v>
      </c>
      <c r="P238" s="113">
        <f t="shared" si="463"/>
        <v>61549.726550867774</v>
      </c>
      <c r="Q238" s="113">
        <f t="shared" si="463"/>
        <v>66837.565736618606</v>
      </c>
      <c r="R238" s="113">
        <f t="shared" si="463"/>
        <v>72610.832167477725</v>
      </c>
      <c r="S238" s="113">
        <f t="shared" si="463"/>
        <v>78915.900734282608</v>
      </c>
      <c r="T238" s="525"/>
      <c r="U238" s="1512"/>
      <c r="V238" s="1512"/>
      <c r="W238" s="1512"/>
      <c r="X238" s="1512"/>
      <c r="Y238" s="1512"/>
      <c r="Z238" s="1512"/>
      <c r="AA238" s="1512"/>
      <c r="AI238" s="473"/>
      <c r="AK238" s="1512"/>
      <c r="AL238" s="1512"/>
      <c r="AM238" s="1512"/>
      <c r="AN238" s="1512"/>
      <c r="AO238" s="1512"/>
      <c r="AP238" s="1512"/>
      <c r="AQ238" s="1512"/>
    </row>
    <row r="239" spans="3:43" s="101" customFormat="1" ht="14.5" outlineLevel="2">
      <c r="C239" s="97" t="s">
        <v>659</v>
      </c>
      <c r="H239" s="394">
        <v>-45756</v>
      </c>
      <c r="I239" s="394">
        <v>-38247</v>
      </c>
      <c r="J239" s="394">
        <v>-38216</v>
      </c>
      <c r="K239" s="394">
        <v>-39607</v>
      </c>
      <c r="L239" s="394">
        <v>-48679.520848116736</v>
      </c>
      <c r="M239" s="394">
        <v>-22757.150802762477</v>
      </c>
      <c r="N239" s="20">
        <f>N240*N206</f>
        <v>-43600.293532241943</v>
      </c>
      <c r="O239" s="20">
        <f>O240*O206</f>
        <v>-46600.487681082952</v>
      </c>
      <c r="P239" s="20">
        <f t="shared" ref="P239" si="464">P240*P206</f>
        <v>-50055.353313412212</v>
      </c>
      <c r="Q239" s="20">
        <f t="shared" ref="Q239" si="465">Q240*Q206</f>
        <v>-54051.821209614027</v>
      </c>
      <c r="R239" s="20">
        <f t="shared" ref="R239" si="466">R240*R206</f>
        <v>-58452.028488227603</v>
      </c>
      <c r="S239" s="20">
        <f t="shared" ref="S239" si="467">S240*S206</f>
        <v>-63249.762467888169</v>
      </c>
      <c r="U239" s="1512"/>
      <c r="V239" s="1512"/>
      <c r="W239" s="1512"/>
      <c r="X239" s="1512"/>
      <c r="Y239" s="1512"/>
      <c r="Z239" s="1512"/>
      <c r="AA239" s="1512"/>
      <c r="AI239" s="473"/>
      <c r="AK239" s="1512"/>
      <c r="AL239" s="1512"/>
      <c r="AM239" s="1512"/>
      <c r="AN239" s="1512"/>
      <c r="AO239" s="1512"/>
      <c r="AP239" s="1512"/>
      <c r="AQ239" s="1512"/>
    </row>
    <row r="240" spans="3:43" s="101" customFormat="1" ht="14.5" outlineLevel="2">
      <c r="C240" s="97"/>
      <c r="D240" s="1" t="s">
        <v>849</v>
      </c>
      <c r="E240" s="1"/>
      <c r="H240" s="1045">
        <f>H239/H206</f>
        <v>-2.6878928508488515</v>
      </c>
      <c r="I240" s="1045"/>
      <c r="J240" s="1045">
        <f t="shared" ref="J240:M240" si="468">J239/J206</f>
        <v>-3.302739607639789</v>
      </c>
      <c r="K240" s="1045">
        <f t="shared" si="468"/>
        <v>-3.1469092642618781</v>
      </c>
      <c r="L240" s="1045">
        <f t="shared" si="468"/>
        <v>-3.1461036917716583</v>
      </c>
      <c r="M240" s="1045">
        <f t="shared" si="468"/>
        <v>-2.5997791056648323</v>
      </c>
      <c r="N240" s="1039">
        <f>M240</f>
        <v>-2.5997791056648323</v>
      </c>
      <c r="O240" s="744">
        <f>N240*(1+O241)</f>
        <v>-2.5590974667465458</v>
      </c>
      <c r="P240" s="744">
        <f t="shared" ref="P240" si="469">O240*(1+P241)</f>
        <v>-2.5305155980099099</v>
      </c>
      <c r="Q240" s="744">
        <f t="shared" ref="Q240" si="470">P240*(1+Q241)</f>
        <v>-2.5144771705860882</v>
      </c>
      <c r="R240" s="744">
        <f t="shared" ref="R240" si="471">Q240*(1+R241)</f>
        <v>-2.5011320215845085</v>
      </c>
      <c r="S240" s="744">
        <f t="shared" ref="S240" si="472">R240*(1+S241)</f>
        <v>-2.4884015536594366</v>
      </c>
      <c r="U240" s="1512"/>
      <c r="V240" s="1512"/>
      <c r="W240" s="1512"/>
      <c r="X240" s="1512"/>
      <c r="Y240" s="1512"/>
      <c r="Z240" s="1512"/>
      <c r="AA240" s="1512"/>
      <c r="AI240" s="473"/>
      <c r="AK240" s="1512"/>
      <c r="AL240" s="1512"/>
      <c r="AM240" s="1512"/>
      <c r="AN240" s="1512"/>
      <c r="AO240" s="1512"/>
      <c r="AP240" s="1512"/>
      <c r="AQ240" s="1512"/>
    </row>
    <row r="241" spans="1:43" s="101" customFormat="1" ht="15" outlineLevel="2" thickBot="1">
      <c r="C241" s="109"/>
      <c r="D241" s="74"/>
      <c r="E241" s="74" t="s">
        <v>151</v>
      </c>
      <c r="F241" s="135"/>
      <c r="G241" s="135"/>
      <c r="H241" s="404"/>
      <c r="I241" s="404"/>
      <c r="J241" s="404"/>
      <c r="K241" s="404"/>
      <c r="L241" s="75">
        <f>L240/J240-1</f>
        <v>-4.7426056691180163E-2</v>
      </c>
      <c r="M241" s="404"/>
      <c r="N241" s="75">
        <f>N240/L240-1</f>
        <v>-0.17365116971054928</v>
      </c>
      <c r="O241" s="717">
        <f>CHOOSE(case,V241,AD241,AL241)</f>
        <v>-1.5648113653057072E-2</v>
      </c>
      <c r="P241" s="717">
        <f t="shared" ref="P241" si="473">CHOOSE(case,W241,AE241,AM241)</f>
        <v>-1.1168730033941587E-2</v>
      </c>
      <c r="Q241" s="717">
        <f t="shared" ref="Q241" si="474">CHOOSE(case,X241,AF241,AN241)</f>
        <v>-6.3380077310863925E-3</v>
      </c>
      <c r="R241" s="717">
        <f t="shared" ref="R241" si="475">CHOOSE(case,Y241,AG241,AO241)</f>
        <v>-5.3073255775351047E-3</v>
      </c>
      <c r="S241" s="718">
        <f t="shared" ref="S241" si="476">CHOOSE(case,Z241,AH241,AP241)</f>
        <v>-5.0898824273205578E-3</v>
      </c>
      <c r="U241" s="1512"/>
      <c r="V241" s="1512"/>
      <c r="W241" s="1512"/>
      <c r="X241" s="1512"/>
      <c r="Y241" s="1512"/>
      <c r="Z241" s="1512"/>
      <c r="AA241" s="1512"/>
      <c r="AC241" s="829"/>
      <c r="AD241" s="1042">
        <f>(SUMPRODUCT(O219:O222,各区域分剂型成本优化!K$195:K$198)+O223*O229)/(SUMPRODUCT(N219:N222,各区域分剂型成本优化!J$195:J$198)+N223*N229)-1</f>
        <v>-1.5648113653057072E-2</v>
      </c>
      <c r="AE241" s="1042">
        <f>(SUMPRODUCT(P219:P222,各区域分剂型成本优化!L$195:L$198)+P223*P229)/(SUMPRODUCT(O219:O222,各区域分剂型成本优化!K$195:K$198)+O223*O229)-1</f>
        <v>-1.1168730033941587E-2</v>
      </c>
      <c r="AF241" s="1042">
        <f>(SUMPRODUCT(Q219:Q222,各区域分剂型成本优化!M$195:M$198)+Q223*Q229)/(SUMPRODUCT(P219:P222,各区域分剂型成本优化!L$195:L$198)+P223*P229)-1</f>
        <v>-6.3380077310863925E-3</v>
      </c>
      <c r="AG241" s="1042">
        <f>(SUMPRODUCT(R219:R222,各区域分剂型成本优化!N$195:N$198)+R223*R229)/(SUMPRODUCT(Q219:Q222,各区域分剂型成本优化!M$195:M$198)+Q223*Q229)-1</f>
        <v>-5.3073255775351047E-3</v>
      </c>
      <c r="AH241" s="1042">
        <f>(SUMPRODUCT(S219:S222,各区域分剂型成本优化!O$195:O$198)+S223*S229)/(SUMPRODUCT(R219:R222,各区域分剂型成本优化!N$195:N$198)+R223*R229)-1</f>
        <v>-5.0898824273205578E-3</v>
      </c>
      <c r="AI241" s="473"/>
      <c r="AK241" s="1512"/>
      <c r="AL241" s="1512"/>
      <c r="AM241" s="1512"/>
      <c r="AN241" s="1512"/>
      <c r="AO241" s="1512"/>
      <c r="AP241" s="1512"/>
      <c r="AQ241" s="1512"/>
    </row>
    <row r="242" spans="1:43" s="101" customFormat="1" ht="15" outlineLevel="2" thickBot="1">
      <c r="C242" s="63" t="s">
        <v>846</v>
      </c>
      <c r="D242" s="63"/>
      <c r="E242" s="63"/>
      <c r="F242" s="135"/>
      <c r="G242" s="135"/>
      <c r="H242" s="64">
        <f>H238+H239</f>
        <v>-4262</v>
      </c>
      <c r="I242" s="64">
        <f t="shared" ref="I242" si="477">I238+I239</f>
        <v>4686</v>
      </c>
      <c r="J242" s="64">
        <f t="shared" ref="J242" si="478">J238+J239</f>
        <v>1479</v>
      </c>
      <c r="K242" s="64">
        <f t="shared" ref="K242:L242" si="479">K238+K239</f>
        <v>-933</v>
      </c>
      <c r="L242" s="64">
        <f t="shared" si="479"/>
        <v>221.85600188327226</v>
      </c>
      <c r="M242" s="64">
        <f t="shared" ref="M242:S242" si="480">M238+M239</f>
        <v>3395.0298750375223</v>
      </c>
      <c r="N242" s="77">
        <f t="shared" si="480"/>
        <v>8664.7768235639887</v>
      </c>
      <c r="O242" s="77">
        <f t="shared" si="480"/>
        <v>10104.574091858274</v>
      </c>
      <c r="P242" s="77">
        <f t="shared" si="480"/>
        <v>11494.373237455562</v>
      </c>
      <c r="Q242" s="77">
        <f t="shared" si="480"/>
        <v>12785.744527004579</v>
      </c>
      <c r="R242" s="77">
        <f t="shared" si="480"/>
        <v>14158.803679250123</v>
      </c>
      <c r="S242" s="77">
        <f t="shared" si="480"/>
        <v>15666.138266394439</v>
      </c>
      <c r="U242" s="1512"/>
      <c r="V242" s="1512"/>
      <c r="W242" s="1512"/>
      <c r="X242" s="1512"/>
      <c r="Y242" s="1512"/>
      <c r="Z242" s="1512"/>
      <c r="AA242" s="1512"/>
      <c r="AI242" s="473"/>
      <c r="AK242" s="1512"/>
      <c r="AL242" s="1512"/>
      <c r="AM242" s="1512"/>
      <c r="AN242" s="1512"/>
      <c r="AO242" s="1512"/>
      <c r="AP242" s="1512"/>
      <c r="AQ242" s="1512"/>
    </row>
    <row r="243" spans="1:43" s="101" customFormat="1" ht="14.5" outlineLevel="2">
      <c r="C243" s="22" t="s">
        <v>660</v>
      </c>
      <c r="D243" s="18"/>
      <c r="E243" s="18"/>
      <c r="H243" s="94">
        <f>H242/H238</f>
        <v>-0.10271364534631514</v>
      </c>
      <c r="I243" s="94">
        <f t="shared" ref="I243" si="481">I242/I238</f>
        <v>0.10914681014604151</v>
      </c>
      <c r="J243" s="94">
        <f t="shared" ref="J243" si="482">J242/J238</f>
        <v>3.7259100642398284E-2</v>
      </c>
      <c r="K243" s="94">
        <f t="shared" ref="K243:L243" si="483">K242/K238</f>
        <v>-2.412473496405854E-2</v>
      </c>
      <c r="L243" s="94">
        <f t="shared" si="483"/>
        <v>4.5368048135698297E-3</v>
      </c>
      <c r="M243" s="94">
        <f t="shared" ref="M243:S243" si="484">M242/M238</f>
        <v>0.12981823263095943</v>
      </c>
      <c r="N243" s="94">
        <f t="shared" si="484"/>
        <v>0.16578523217469374</v>
      </c>
      <c r="O243" s="94">
        <f>O242/O238</f>
        <v>0.17819527527047013</v>
      </c>
      <c r="P243" s="94">
        <f t="shared" si="484"/>
        <v>0.18674937942991571</v>
      </c>
      <c r="Q243" s="94">
        <f t="shared" si="484"/>
        <v>0.19129578383192963</v>
      </c>
      <c r="R243" s="94">
        <f t="shared" si="484"/>
        <v>0.19499575003620229</v>
      </c>
      <c r="S243" s="94">
        <f t="shared" si="484"/>
        <v>0.1985168783556539</v>
      </c>
      <c r="T243" s="1321"/>
      <c r="U243" s="1526">
        <f>AC243+0.3%</f>
        <v>3.0000000000000001E-3</v>
      </c>
      <c r="V243" s="1526">
        <f t="shared" ref="V243" si="485">AD243+0.3%</f>
        <v>3.0000000000000001E-3</v>
      </c>
      <c r="W243" s="1526">
        <f t="shared" ref="W243" si="486">AE243+0.3%</f>
        <v>3.0000000000000001E-3</v>
      </c>
      <c r="X243" s="1526">
        <f t="shared" ref="X243" si="487">AF243+0.3%</f>
        <v>3.0000000000000001E-3</v>
      </c>
      <c r="Y243" s="1526">
        <f t="shared" ref="Y243" si="488">AG243+0.3%</f>
        <v>3.0000000000000001E-3</v>
      </c>
      <c r="Z243" s="1526">
        <f t="shared" ref="Z243" si="489">AH243+0.3%</f>
        <v>3.0000000000000001E-3</v>
      </c>
      <c r="AA243" s="1515"/>
      <c r="AB243" s="1321"/>
      <c r="AC243" s="829"/>
      <c r="AD243" s="829"/>
      <c r="AE243" s="829"/>
      <c r="AF243" s="829"/>
      <c r="AG243" s="829"/>
      <c r="AH243" s="829"/>
      <c r="AI243" s="415"/>
      <c r="AJ243" s="1321"/>
      <c r="AK243" s="1526">
        <f>AC243-0.3%</f>
        <v>-3.0000000000000001E-3</v>
      </c>
      <c r="AL243" s="1526">
        <f t="shared" ref="AL243" si="490">AD243-0.3%</f>
        <v>-3.0000000000000001E-3</v>
      </c>
      <c r="AM243" s="1526">
        <f t="shared" ref="AM243" si="491">AE243-0.3%</f>
        <v>-3.0000000000000001E-3</v>
      </c>
      <c r="AN243" s="1526">
        <f t="shared" ref="AN243" si="492">AF243-0.3%</f>
        <v>-3.0000000000000001E-3</v>
      </c>
      <c r="AO243" s="1526">
        <f t="shared" ref="AO243" si="493">AG243-0.3%</f>
        <v>-3.0000000000000001E-3</v>
      </c>
      <c r="AP243" s="1526">
        <f t="shared" ref="AP243" si="494">AH243-0.3%</f>
        <v>-3.0000000000000001E-3</v>
      </c>
      <c r="AQ243" s="1515"/>
    </row>
    <row r="244" spans="1:43" ht="14.5" outlineLevel="2">
      <c r="AI244" s="424"/>
    </row>
    <row r="245" spans="1:43" s="1126" customFormat="1" ht="14.5" outlineLevel="2">
      <c r="A245" s="26" t="s">
        <v>8</v>
      </c>
      <c r="B245" s="26"/>
      <c r="C245" s="26" t="s">
        <v>175</v>
      </c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U245" s="1518"/>
      <c r="V245" s="1518"/>
      <c r="W245" s="1518"/>
      <c r="X245" s="1518"/>
      <c r="Y245" s="1518"/>
      <c r="Z245" s="1518"/>
      <c r="AA245" s="1518"/>
      <c r="AC245" s="26"/>
      <c r="AD245" s="26"/>
      <c r="AE245" s="26"/>
      <c r="AF245" s="26"/>
      <c r="AG245" s="26"/>
      <c r="AH245" s="26"/>
      <c r="AI245" s="474"/>
      <c r="AK245" s="1518"/>
      <c r="AL245" s="1518"/>
      <c r="AM245" s="1518"/>
      <c r="AN245" s="1518"/>
      <c r="AO245" s="1518"/>
      <c r="AP245" s="1518"/>
      <c r="AQ245" s="1518"/>
    </row>
    <row r="246" spans="1:43" ht="14.5" outlineLevel="2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AI246" s="424"/>
    </row>
    <row r="247" spans="1:43" s="99" customFormat="1" ht="14.5" outlineLevel="2">
      <c r="C247" s="18" t="s">
        <v>840</v>
      </c>
      <c r="D247" s="18"/>
      <c r="E247" s="18"/>
      <c r="H247" s="99">
        <f>SUM(H248:H252)</f>
        <v>5281</v>
      </c>
      <c r="I247" s="99">
        <f t="shared" ref="I247" si="495">SUM(I248:I252)</f>
        <v>0</v>
      </c>
      <c r="J247" s="99">
        <f t="shared" ref="J247" si="496">SUM(J248:J252)</f>
        <v>4861</v>
      </c>
      <c r="K247" s="99">
        <f t="shared" ref="K247:M247" si="497">SUM(K248:K252)</f>
        <v>3991</v>
      </c>
      <c r="L247" s="99">
        <f t="shared" si="497"/>
        <v>4604.6939999999995</v>
      </c>
      <c r="M247" s="99">
        <f t="shared" si="497"/>
        <v>2464.6080000000002</v>
      </c>
      <c r="N247" s="23">
        <f t="shared" ref="N247:S247" si="498">SUM(N248:N252)</f>
        <v>4632.0887999999995</v>
      </c>
      <c r="O247" s="23">
        <f t="shared" si="498"/>
        <v>4650.444888</v>
      </c>
      <c r="P247" s="23">
        <f t="shared" si="498"/>
        <v>4657.8756422400002</v>
      </c>
      <c r="Q247" s="23">
        <f t="shared" si="498"/>
        <v>4662.9780934848004</v>
      </c>
      <c r="R247" s="23">
        <f t="shared" si="498"/>
        <v>4665.5803436196475</v>
      </c>
      <c r="S247" s="23">
        <f t="shared" si="498"/>
        <v>4668.2086162558444</v>
      </c>
      <c r="T247" s="525"/>
      <c r="U247" s="1519"/>
      <c r="V247" s="1519"/>
      <c r="W247" s="1519"/>
      <c r="X247" s="1519"/>
      <c r="Y247" s="1519"/>
      <c r="Z247" s="1519"/>
      <c r="AA247" s="1520"/>
      <c r="AB247" s="1321"/>
      <c r="AC247" s="20"/>
      <c r="AD247" s="20"/>
      <c r="AE247" s="20"/>
      <c r="AF247" s="20"/>
      <c r="AG247" s="20"/>
      <c r="AH247" s="20"/>
      <c r="AI247" s="472"/>
      <c r="AJ247" s="1321"/>
      <c r="AK247" s="1519">
        <f>$L247*(1+$AQ247)</f>
        <v>4627.7174699999987</v>
      </c>
      <c r="AL247" s="1519">
        <f>AK247*(1+$AQ247)</f>
        <v>4650.8560573499981</v>
      </c>
      <c r="AM247" s="1519">
        <f t="shared" ref="AM247:AN247" si="499">AL247*(1+$AQ247)</f>
        <v>4674.1103376367473</v>
      </c>
      <c r="AN247" s="1519">
        <f t="shared" si="499"/>
        <v>4697.4808893249301</v>
      </c>
      <c r="AO247" s="1519">
        <f>AN247*(1+$AQ247)</f>
        <v>4720.9682937715543</v>
      </c>
      <c r="AP247" s="1519">
        <f t="shared" ref="AP247" si="500">AO247*(1+$AQ247)</f>
        <v>4744.5731352404118</v>
      </c>
      <c r="AQ247" s="1520">
        <v>5.0000000000000001E-3</v>
      </c>
    </row>
    <row r="248" spans="1:43" s="101" customFormat="1" ht="14.5" outlineLevel="2">
      <c r="C248" s="1"/>
      <c r="D248" s="27" t="s">
        <v>841</v>
      </c>
      <c r="E248" s="28"/>
      <c r="F248" s="28"/>
      <c r="G248" s="28"/>
      <c r="H248" s="398">
        <v>391</v>
      </c>
      <c r="I248" s="411"/>
      <c r="J248" s="398">
        <v>138</v>
      </c>
      <c r="K248" s="398">
        <v>130</v>
      </c>
      <c r="L248" s="398">
        <v>160.536</v>
      </c>
      <c r="M248" s="398">
        <v>132.27600000000001</v>
      </c>
      <c r="N248" s="703">
        <f>L248*(1+N254)</f>
        <v>176.58960000000002</v>
      </c>
      <c r="O248" s="29">
        <f>N248*(1+O254)</f>
        <v>185.41908000000004</v>
      </c>
      <c r="P248" s="29">
        <f t="shared" ref="P248:P252" si="501">O248*(1+P254)</f>
        <v>185.41908000000004</v>
      </c>
      <c r="Q248" s="29">
        <f t="shared" ref="Q248:Q252" si="502">P248*(1+Q254)</f>
        <v>185.41908000000004</v>
      </c>
      <c r="R248" s="29">
        <f t="shared" ref="R248:R252" si="503">Q248*(1+R254)</f>
        <v>185.41908000000004</v>
      </c>
      <c r="S248" s="30">
        <f t="shared" ref="S248:S252" si="504">R248*(1+S254)</f>
        <v>185.41908000000004</v>
      </c>
      <c r="T248" s="1205"/>
      <c r="U248" s="1515"/>
      <c r="V248" s="1515"/>
      <c r="W248" s="1515"/>
      <c r="X248" s="1515"/>
      <c r="Y248" s="1515"/>
      <c r="Z248" s="1515"/>
      <c r="AA248" s="1515"/>
      <c r="AB248" s="1321"/>
      <c r="AC248" s="1"/>
      <c r="AD248" s="1"/>
      <c r="AE248" s="1"/>
      <c r="AF248" s="1"/>
      <c r="AG248" s="1"/>
      <c r="AH248" s="1"/>
      <c r="AI248" s="415"/>
      <c r="AJ248" s="1321"/>
      <c r="AK248" s="1515"/>
      <c r="AL248" s="1515"/>
      <c r="AM248" s="1515"/>
      <c r="AN248" s="1515"/>
      <c r="AO248" s="1515"/>
      <c r="AP248" s="1515"/>
      <c r="AQ248" s="1515"/>
    </row>
    <row r="249" spans="1:43" ht="14.5" outlineLevel="2">
      <c r="C249" s="1"/>
      <c r="D249" s="31" t="s">
        <v>842</v>
      </c>
      <c r="E249" s="1"/>
      <c r="F249" s="1"/>
      <c r="G249" s="1"/>
      <c r="H249" s="400">
        <v>351</v>
      </c>
      <c r="I249" s="412"/>
      <c r="J249" s="400">
        <v>0</v>
      </c>
      <c r="K249" s="400">
        <v>0</v>
      </c>
      <c r="L249" s="400">
        <v>0</v>
      </c>
      <c r="M249" s="400">
        <v>0</v>
      </c>
      <c r="N249" s="704">
        <f t="shared" ref="N249:N252" si="505">L249*(1+N255)</f>
        <v>0</v>
      </c>
      <c r="O249" s="20">
        <f t="shared" ref="O249:O252" si="506">N249*(1+O255)</f>
        <v>0</v>
      </c>
      <c r="P249" s="20">
        <f t="shared" si="501"/>
        <v>0</v>
      </c>
      <c r="Q249" s="20">
        <f t="shared" si="502"/>
        <v>0</v>
      </c>
      <c r="R249" s="20">
        <f t="shared" si="503"/>
        <v>0</v>
      </c>
      <c r="S249" s="32">
        <f t="shared" si="504"/>
        <v>0</v>
      </c>
      <c r="T249" s="1321"/>
      <c r="U249" s="1515"/>
      <c r="V249" s="1515"/>
      <c r="W249" s="1515"/>
      <c r="X249" s="1515"/>
      <c r="Y249" s="1515"/>
      <c r="Z249" s="1515"/>
      <c r="AA249" s="1515"/>
      <c r="AB249" s="1321"/>
      <c r="AC249" s="1"/>
      <c r="AD249" s="1"/>
      <c r="AE249" s="1"/>
      <c r="AF249" s="1"/>
      <c r="AG249" s="1"/>
      <c r="AH249" s="1"/>
      <c r="AI249" s="415"/>
      <c r="AJ249" s="1321"/>
      <c r="AK249" s="1515"/>
      <c r="AL249" s="1515"/>
      <c r="AM249" s="1515"/>
      <c r="AN249" s="1515"/>
      <c r="AO249" s="1515"/>
      <c r="AP249" s="1515"/>
      <c r="AQ249" s="1515"/>
    </row>
    <row r="250" spans="1:43" ht="14.5" outlineLevel="2">
      <c r="C250" s="1"/>
      <c r="D250" s="31" t="s">
        <v>843</v>
      </c>
      <c r="E250" s="1"/>
      <c r="F250" s="1"/>
      <c r="G250" s="1"/>
      <c r="H250" s="400">
        <v>677</v>
      </c>
      <c r="I250" s="412"/>
      <c r="J250" s="400">
        <v>242</v>
      </c>
      <c r="K250" s="400">
        <v>191</v>
      </c>
      <c r="L250" s="400">
        <v>226.82400000000001</v>
      </c>
      <c r="M250" s="400">
        <v>110.568</v>
      </c>
      <c r="N250" s="704">
        <f t="shared" si="505"/>
        <v>238.16520000000003</v>
      </c>
      <c r="O250" s="20">
        <f t="shared" si="506"/>
        <v>247.69180800000004</v>
      </c>
      <c r="P250" s="20">
        <f t="shared" si="501"/>
        <v>255.12256224000004</v>
      </c>
      <c r="Q250" s="20">
        <f t="shared" si="502"/>
        <v>260.22501348480006</v>
      </c>
      <c r="R250" s="20">
        <f t="shared" si="503"/>
        <v>262.82726361964808</v>
      </c>
      <c r="S250" s="32">
        <f t="shared" si="504"/>
        <v>265.45553625584455</v>
      </c>
      <c r="T250" s="1321"/>
      <c r="U250" s="1515"/>
      <c r="V250" s="1515"/>
      <c r="W250" s="1515"/>
      <c r="X250" s="1515"/>
      <c r="Y250" s="1515"/>
      <c r="Z250" s="1515"/>
      <c r="AA250" s="1515"/>
      <c r="AB250" s="1321"/>
      <c r="AC250" s="1"/>
      <c r="AD250" s="1"/>
      <c r="AE250" s="1"/>
      <c r="AF250" s="1"/>
      <c r="AG250" s="1"/>
      <c r="AH250" s="1"/>
      <c r="AI250" s="415"/>
      <c r="AJ250" s="1321"/>
      <c r="AK250" s="1515"/>
      <c r="AL250" s="1515"/>
      <c r="AM250" s="1515"/>
      <c r="AN250" s="1515"/>
      <c r="AO250" s="1515"/>
      <c r="AP250" s="1515"/>
      <c r="AQ250" s="1515"/>
    </row>
    <row r="251" spans="1:43" ht="14.5" outlineLevel="2">
      <c r="C251" s="1"/>
      <c r="D251" s="31" t="s">
        <v>844</v>
      </c>
      <c r="E251" s="1"/>
      <c r="F251" s="1"/>
      <c r="G251" s="1"/>
      <c r="H251" s="400">
        <v>3618</v>
      </c>
      <c r="I251" s="412"/>
      <c r="J251" s="400">
        <v>4481</v>
      </c>
      <c r="K251" s="400">
        <v>3670</v>
      </c>
      <c r="L251" s="400">
        <v>4217.3339999999998</v>
      </c>
      <c r="M251" s="400">
        <v>2221.7640000000001</v>
      </c>
      <c r="N251" s="704">
        <f t="shared" si="505"/>
        <v>4217.3339999999998</v>
      </c>
      <c r="O251" s="20">
        <f t="shared" si="506"/>
        <v>4217.3339999999998</v>
      </c>
      <c r="P251" s="20">
        <f t="shared" si="501"/>
        <v>4217.3339999999998</v>
      </c>
      <c r="Q251" s="20">
        <f t="shared" si="502"/>
        <v>4217.3339999999998</v>
      </c>
      <c r="R251" s="20">
        <f t="shared" si="503"/>
        <v>4217.3339999999998</v>
      </c>
      <c r="S251" s="32">
        <f t="shared" si="504"/>
        <v>4217.3339999999998</v>
      </c>
      <c r="T251" s="1321"/>
      <c r="U251" s="1515"/>
      <c r="V251" s="1515"/>
      <c r="W251" s="1515"/>
      <c r="X251" s="1515"/>
      <c r="Y251" s="1515"/>
      <c r="Z251" s="1515"/>
      <c r="AA251" s="1515"/>
      <c r="AB251" s="1321"/>
      <c r="AC251" s="1"/>
      <c r="AD251" s="1"/>
      <c r="AE251" s="1"/>
      <c r="AF251" s="1"/>
      <c r="AG251" s="1"/>
      <c r="AH251" s="1"/>
      <c r="AI251" s="415"/>
      <c r="AJ251" s="1321"/>
      <c r="AK251" s="1515"/>
      <c r="AL251" s="1515"/>
      <c r="AM251" s="1515"/>
      <c r="AN251" s="1515"/>
      <c r="AO251" s="1515"/>
      <c r="AP251" s="1515"/>
      <c r="AQ251" s="1515"/>
    </row>
    <row r="252" spans="1:43" ht="14.5" outlineLevel="2">
      <c r="C252" s="1"/>
      <c r="D252" s="33" t="s">
        <v>665</v>
      </c>
      <c r="E252" s="34"/>
      <c r="F252" s="34"/>
      <c r="G252" s="34"/>
      <c r="H252" s="402">
        <v>244</v>
      </c>
      <c r="I252" s="413"/>
      <c r="J252" s="402">
        <v>0</v>
      </c>
      <c r="K252" s="402">
        <v>0</v>
      </c>
      <c r="L252" s="402">
        <v>0</v>
      </c>
      <c r="M252" s="402">
        <v>0</v>
      </c>
      <c r="N252" s="705">
        <f t="shared" si="505"/>
        <v>0</v>
      </c>
      <c r="O252" s="35">
        <f t="shared" si="506"/>
        <v>0</v>
      </c>
      <c r="P252" s="35">
        <f t="shared" si="501"/>
        <v>0</v>
      </c>
      <c r="Q252" s="35">
        <f t="shared" si="502"/>
        <v>0</v>
      </c>
      <c r="R252" s="35">
        <f t="shared" si="503"/>
        <v>0</v>
      </c>
      <c r="S252" s="36">
        <f t="shared" si="504"/>
        <v>0</v>
      </c>
      <c r="T252" s="1321"/>
      <c r="U252" s="1515"/>
      <c r="V252" s="1515"/>
      <c r="W252" s="1515"/>
      <c r="X252" s="1515"/>
      <c r="Y252" s="1515"/>
      <c r="Z252" s="1515"/>
      <c r="AA252" s="1515"/>
      <c r="AB252" s="1321"/>
      <c r="AC252" s="448"/>
      <c r="AD252" s="448"/>
      <c r="AE252" s="448"/>
      <c r="AF252" s="448"/>
      <c r="AG252" s="448"/>
      <c r="AH252" s="448"/>
      <c r="AI252" s="415"/>
      <c r="AJ252" s="1321"/>
      <c r="AK252" s="1515"/>
      <c r="AL252" s="1515"/>
      <c r="AM252" s="1515"/>
      <c r="AN252" s="1515"/>
      <c r="AO252" s="1515"/>
      <c r="AP252" s="1515"/>
      <c r="AQ252" s="1515"/>
    </row>
    <row r="253" spans="1:43" s="1365" customFormat="1" ht="14.5" outlineLevel="3">
      <c r="A253" s="22"/>
      <c r="B253" s="22"/>
      <c r="C253" s="22" t="s">
        <v>847</v>
      </c>
      <c r="D253" s="22"/>
      <c r="E253" s="22"/>
      <c r="F253" s="22"/>
      <c r="G253" s="22"/>
      <c r="H253" s="219"/>
      <c r="I253" s="24"/>
      <c r="J253" s="24"/>
      <c r="K253" s="24"/>
      <c r="L253" s="754">
        <f>L247/J247-1</f>
        <v>-5.2727010903106497E-2</v>
      </c>
      <c r="M253" s="24"/>
      <c r="N253" s="24">
        <f>N247/L247-1</f>
        <v>5.9493204108675979E-3</v>
      </c>
      <c r="O253" s="24">
        <f>O247/N247-1</f>
        <v>3.9628100393931387E-3</v>
      </c>
      <c r="P253" s="24">
        <f t="shared" ref="P253" si="507">P247/O247-1</f>
        <v>1.5978587896341434E-3</v>
      </c>
      <c r="Q253" s="24">
        <f t="shared" ref="Q253" si="508">Q247/P247-1</f>
        <v>1.0954460008611999E-3</v>
      </c>
      <c r="R253" s="24">
        <f t="shared" ref="R253" si="509">R247/Q247-1</f>
        <v>5.580661291295641E-4</v>
      </c>
      <c r="S253" s="24">
        <f t="shared" ref="S253" si="510">S247/R247-1</f>
        <v>5.6333241368156095E-4</v>
      </c>
      <c r="T253" s="726"/>
      <c r="U253" s="1521"/>
      <c r="V253" s="1521"/>
      <c r="W253" s="1521"/>
      <c r="X253" s="1521"/>
      <c r="Y253" s="1521"/>
      <c r="Z253" s="1521"/>
      <c r="AA253" s="1522"/>
      <c r="AC253" s="219"/>
      <c r="AD253" s="219"/>
      <c r="AE253" s="219"/>
      <c r="AF253" s="219"/>
      <c r="AG253" s="219"/>
      <c r="AH253" s="219"/>
      <c r="AI253" s="706"/>
      <c r="AK253" s="1521"/>
      <c r="AL253" s="1521"/>
      <c r="AM253" s="1521"/>
      <c r="AN253" s="1521"/>
      <c r="AO253" s="1521"/>
      <c r="AP253" s="1521"/>
      <c r="AQ253" s="1522"/>
    </row>
    <row r="254" spans="1:43" s="1365" customFormat="1" ht="14.5" outlineLevel="3">
      <c r="A254" s="22"/>
      <c r="B254" s="22"/>
      <c r="C254" s="22"/>
      <c r="D254" s="707" t="s">
        <v>841</v>
      </c>
      <c r="E254" s="708"/>
      <c r="F254" s="708"/>
      <c r="G254" s="708"/>
      <c r="H254" s="709"/>
      <c r="I254" s="710"/>
      <c r="J254" s="710"/>
      <c r="K254" s="710"/>
      <c r="L254" s="1040">
        <f t="shared" ref="L254" si="511">IFERROR(L248/J248-1,"NA")</f>
        <v>0.16330434782608694</v>
      </c>
      <c r="M254" s="710"/>
      <c r="N254" s="711">
        <f t="shared" ref="N254:N258" si="512">CHOOSE(case,U254,AC254,AK254)</f>
        <v>0.1</v>
      </c>
      <c r="O254" s="712">
        <f t="shared" ref="O254:O258" si="513">CHOOSE(case,V254,AD254,AL254)</f>
        <v>0.05</v>
      </c>
      <c r="P254" s="712">
        <f t="shared" ref="P254:P258" si="514">CHOOSE(case,W254,AE254,AM254)</f>
        <v>0</v>
      </c>
      <c r="Q254" s="712">
        <f t="shared" ref="Q254:Q258" si="515">CHOOSE(case,X254,AF254,AN254)</f>
        <v>0</v>
      </c>
      <c r="R254" s="712">
        <f t="shared" ref="R254:R258" si="516">CHOOSE(case,Y254,AG254,AO254)</f>
        <v>0</v>
      </c>
      <c r="S254" s="713">
        <f t="shared" ref="S254:S258" si="517">CHOOSE(case,Z254,AH254,AP254)</f>
        <v>0</v>
      </c>
      <c r="T254" s="726"/>
      <c r="U254" s="1521"/>
      <c r="V254" s="1521"/>
      <c r="W254" s="1521"/>
      <c r="X254" s="1521"/>
      <c r="Y254" s="1521"/>
      <c r="Z254" s="1521"/>
      <c r="AA254" s="1523"/>
      <c r="AC254" s="714">
        <v>0.1</v>
      </c>
      <c r="AD254" s="714">
        <f>AC254-5%</f>
        <v>0.05</v>
      </c>
      <c r="AE254" s="714">
        <f t="shared" ref="AE254" si="518">AD254-5%</f>
        <v>0</v>
      </c>
      <c r="AF254" s="714">
        <v>0</v>
      </c>
      <c r="AG254" s="714">
        <v>0</v>
      </c>
      <c r="AH254" s="714">
        <v>0</v>
      </c>
      <c r="AI254" s="22"/>
      <c r="AK254" s="1521"/>
      <c r="AL254" s="1521"/>
      <c r="AM254" s="1521"/>
      <c r="AN254" s="1521"/>
      <c r="AO254" s="1521"/>
      <c r="AP254" s="1521"/>
      <c r="AQ254" s="1523"/>
    </row>
    <row r="255" spans="1:43" s="1365" customFormat="1" ht="14.5" outlineLevel="3">
      <c r="A255" s="22"/>
      <c r="B255" s="22"/>
      <c r="C255" s="22"/>
      <c r="D255" s="715" t="s">
        <v>842</v>
      </c>
      <c r="E255" s="22"/>
      <c r="F255" s="22"/>
      <c r="G255" s="22"/>
      <c r="H255" s="219"/>
      <c r="I255" s="175"/>
      <c r="J255" s="175"/>
      <c r="K255" s="175"/>
      <c r="L255" s="1040" t="str">
        <f>IFERROR(L249/J249-1,"NA")</f>
        <v>NA</v>
      </c>
      <c r="M255" s="175"/>
      <c r="N255" s="716">
        <f t="shared" si="512"/>
        <v>0</v>
      </c>
      <c r="O255" s="717">
        <f t="shared" si="513"/>
        <v>0</v>
      </c>
      <c r="P255" s="717">
        <f t="shared" si="514"/>
        <v>0</v>
      </c>
      <c r="Q255" s="717">
        <f t="shared" si="515"/>
        <v>0</v>
      </c>
      <c r="R255" s="717">
        <f t="shared" si="516"/>
        <v>0</v>
      </c>
      <c r="S255" s="718">
        <f t="shared" si="517"/>
        <v>0</v>
      </c>
      <c r="T255" s="726"/>
      <c r="U255" s="1521"/>
      <c r="V255" s="1521"/>
      <c r="W255" s="1521"/>
      <c r="X255" s="1521"/>
      <c r="Y255" s="1521"/>
      <c r="Z255" s="1521"/>
      <c r="AA255" s="1523"/>
      <c r="AC255" s="714"/>
      <c r="AD255" s="714"/>
      <c r="AE255" s="714"/>
      <c r="AF255" s="714"/>
      <c r="AG255" s="714"/>
      <c r="AH255" s="714"/>
      <c r="AI255" s="22"/>
      <c r="AK255" s="1521"/>
      <c r="AL255" s="1521"/>
      <c r="AM255" s="1521"/>
      <c r="AN255" s="1521"/>
      <c r="AO255" s="1521"/>
      <c r="AP255" s="1521"/>
      <c r="AQ255" s="1523"/>
    </row>
    <row r="256" spans="1:43" s="1365" customFormat="1" ht="14.5" outlineLevel="3">
      <c r="A256" s="22"/>
      <c r="B256" s="22"/>
      <c r="C256" s="22"/>
      <c r="D256" s="715" t="s">
        <v>843</v>
      </c>
      <c r="E256" s="22"/>
      <c r="F256" s="22"/>
      <c r="G256" s="22"/>
      <c r="H256" s="219"/>
      <c r="I256" s="175"/>
      <c r="J256" s="175"/>
      <c r="K256" s="175"/>
      <c r="L256" s="1040">
        <f t="shared" ref="L256:L258" si="519">IFERROR(L250/J250-1,"NA")</f>
        <v>-6.2710743801652868E-2</v>
      </c>
      <c r="M256" s="175"/>
      <c r="N256" s="716">
        <f t="shared" si="512"/>
        <v>0.05</v>
      </c>
      <c r="O256" s="717">
        <f t="shared" si="513"/>
        <v>0.04</v>
      </c>
      <c r="P256" s="717">
        <f t="shared" si="514"/>
        <v>0.03</v>
      </c>
      <c r="Q256" s="717">
        <f t="shared" si="515"/>
        <v>0.02</v>
      </c>
      <c r="R256" s="717">
        <f t="shared" si="516"/>
        <v>0.01</v>
      </c>
      <c r="S256" s="718">
        <f t="shared" si="517"/>
        <v>0.01</v>
      </c>
      <c r="T256" s="726"/>
      <c r="U256" s="1521"/>
      <c r="V256" s="1521"/>
      <c r="W256" s="1521"/>
      <c r="X256" s="1521"/>
      <c r="Y256" s="1521"/>
      <c r="Z256" s="1521"/>
      <c r="AA256" s="1523"/>
      <c r="AC256" s="714">
        <v>0.05</v>
      </c>
      <c r="AD256" s="714">
        <v>0.04</v>
      </c>
      <c r="AE256" s="714">
        <v>0.03</v>
      </c>
      <c r="AF256" s="714">
        <v>0.02</v>
      </c>
      <c r="AG256" s="714">
        <v>0.01</v>
      </c>
      <c r="AH256" s="714">
        <v>0.01</v>
      </c>
      <c r="AI256" s="22"/>
      <c r="AK256" s="1521"/>
      <c r="AL256" s="1521"/>
      <c r="AM256" s="1521"/>
      <c r="AN256" s="1521"/>
      <c r="AO256" s="1521"/>
      <c r="AP256" s="1521"/>
      <c r="AQ256" s="1523"/>
    </row>
    <row r="257" spans="1:43" s="1365" customFormat="1" ht="14.5" outlineLevel="3">
      <c r="A257" s="22"/>
      <c r="B257" s="22"/>
      <c r="C257" s="22"/>
      <c r="D257" s="715" t="s">
        <v>844</v>
      </c>
      <c r="E257" s="22"/>
      <c r="F257" s="22"/>
      <c r="G257" s="22"/>
      <c r="H257" s="219"/>
      <c r="I257" s="175"/>
      <c r="J257" s="175"/>
      <c r="K257" s="175"/>
      <c r="L257" s="1040">
        <f t="shared" si="519"/>
        <v>-5.8840883731310023E-2</v>
      </c>
      <c r="M257" s="175"/>
      <c r="N257" s="716">
        <f t="shared" si="512"/>
        <v>0</v>
      </c>
      <c r="O257" s="717">
        <f t="shared" si="513"/>
        <v>0</v>
      </c>
      <c r="P257" s="717">
        <f t="shared" si="514"/>
        <v>0</v>
      </c>
      <c r="Q257" s="717">
        <f t="shared" si="515"/>
        <v>0</v>
      </c>
      <c r="R257" s="717">
        <f t="shared" si="516"/>
        <v>0</v>
      </c>
      <c r="S257" s="718">
        <f t="shared" si="517"/>
        <v>0</v>
      </c>
      <c r="T257" s="726"/>
      <c r="U257" s="1521"/>
      <c r="V257" s="1521"/>
      <c r="W257" s="1521"/>
      <c r="X257" s="1521"/>
      <c r="Y257" s="1521"/>
      <c r="Z257" s="1521"/>
      <c r="AA257" s="1523"/>
      <c r="AC257" s="714">
        <v>0</v>
      </c>
      <c r="AD257" s="714">
        <v>0</v>
      </c>
      <c r="AE257" s="714">
        <v>0</v>
      </c>
      <c r="AF257" s="714">
        <v>0</v>
      </c>
      <c r="AG257" s="714">
        <v>0</v>
      </c>
      <c r="AH257" s="714">
        <v>0</v>
      </c>
      <c r="AI257" s="22"/>
      <c r="AK257" s="1521"/>
      <c r="AL257" s="1521"/>
      <c r="AM257" s="1521"/>
      <c r="AN257" s="1521"/>
      <c r="AO257" s="1521"/>
      <c r="AP257" s="1521"/>
      <c r="AQ257" s="1523"/>
    </row>
    <row r="258" spans="1:43" s="1365" customFormat="1" ht="14.5" outlineLevel="3">
      <c r="A258" s="22"/>
      <c r="B258" s="22"/>
      <c r="C258" s="22"/>
      <c r="D258" s="719" t="s">
        <v>665</v>
      </c>
      <c r="E258" s="720"/>
      <c r="F258" s="720"/>
      <c r="G258" s="720"/>
      <c r="H258" s="721"/>
      <c r="I258" s="722"/>
      <c r="J258" s="722"/>
      <c r="K258" s="722"/>
      <c r="L258" s="1041" t="str">
        <f t="shared" si="519"/>
        <v>NA</v>
      </c>
      <c r="M258" s="722"/>
      <c r="N258" s="723">
        <f t="shared" si="512"/>
        <v>0</v>
      </c>
      <c r="O258" s="724">
        <f t="shared" si="513"/>
        <v>0</v>
      </c>
      <c r="P258" s="724">
        <f t="shared" si="514"/>
        <v>0</v>
      </c>
      <c r="Q258" s="724">
        <f t="shared" si="515"/>
        <v>0</v>
      </c>
      <c r="R258" s="724">
        <f t="shared" si="516"/>
        <v>0</v>
      </c>
      <c r="S258" s="725">
        <f t="shared" si="517"/>
        <v>0</v>
      </c>
      <c r="T258" s="726"/>
      <c r="U258" s="1521"/>
      <c r="V258" s="1521"/>
      <c r="W258" s="1521"/>
      <c r="X258" s="1521"/>
      <c r="Y258" s="1521"/>
      <c r="Z258" s="1521"/>
      <c r="AA258" s="1523"/>
      <c r="AC258" s="714">
        <v>0</v>
      </c>
      <c r="AD258" s="714">
        <v>0</v>
      </c>
      <c r="AE258" s="714">
        <v>0</v>
      </c>
      <c r="AF258" s="714">
        <v>0</v>
      </c>
      <c r="AG258" s="714">
        <v>0</v>
      </c>
      <c r="AH258" s="714">
        <v>0</v>
      </c>
      <c r="AI258" s="22"/>
      <c r="AK258" s="1521"/>
      <c r="AL258" s="1521"/>
      <c r="AM258" s="1521"/>
      <c r="AN258" s="1521"/>
      <c r="AO258" s="1521"/>
      <c r="AP258" s="1521"/>
      <c r="AQ258" s="1523"/>
    </row>
    <row r="259" spans="1:43" s="1365" customFormat="1" ht="14.5" outlineLevel="3">
      <c r="A259" s="22"/>
      <c r="B259" s="22"/>
      <c r="C259" s="22" t="s">
        <v>848</v>
      </c>
      <c r="D259" s="22"/>
      <c r="E259" s="22"/>
      <c r="F259" s="22"/>
      <c r="G259" s="22"/>
      <c r="H259" s="24">
        <f>H247/H$247</f>
        <v>1</v>
      </c>
      <c r="I259" s="24"/>
      <c r="J259" s="24">
        <f t="shared" ref="J259:S259" si="520">J247/J$247</f>
        <v>1</v>
      </c>
      <c r="K259" s="24">
        <f t="shared" si="520"/>
        <v>1</v>
      </c>
      <c r="L259" s="24">
        <f t="shared" si="520"/>
        <v>1</v>
      </c>
      <c r="M259" s="24">
        <f t="shared" si="520"/>
        <v>1</v>
      </c>
      <c r="N259" s="24">
        <f t="shared" si="520"/>
        <v>1</v>
      </c>
      <c r="O259" s="24">
        <f t="shared" si="520"/>
        <v>1</v>
      </c>
      <c r="P259" s="24">
        <f t="shared" si="520"/>
        <v>1</v>
      </c>
      <c r="Q259" s="24">
        <f t="shared" si="520"/>
        <v>1</v>
      </c>
      <c r="R259" s="24">
        <f t="shared" si="520"/>
        <v>1</v>
      </c>
      <c r="S259" s="24">
        <f t="shared" si="520"/>
        <v>1</v>
      </c>
      <c r="T259" s="726"/>
      <c r="U259" s="1521"/>
      <c r="V259" s="1521"/>
      <c r="W259" s="1521"/>
      <c r="X259" s="1521"/>
      <c r="Y259" s="1521"/>
      <c r="Z259" s="1521"/>
      <c r="AA259" s="1522"/>
      <c r="AC259" s="219"/>
      <c r="AD259" s="219"/>
      <c r="AE259" s="219"/>
      <c r="AF259" s="219"/>
      <c r="AG259" s="219"/>
      <c r="AH259" s="219"/>
      <c r="AI259" s="706"/>
      <c r="AK259" s="1521"/>
      <c r="AL259" s="1521"/>
      <c r="AM259" s="1521"/>
      <c r="AN259" s="1521"/>
      <c r="AO259" s="1521"/>
      <c r="AP259" s="1521"/>
      <c r="AQ259" s="1522"/>
    </row>
    <row r="260" spans="1:43" s="1365" customFormat="1" ht="14.5" outlineLevel="3">
      <c r="A260" s="22"/>
      <c r="B260" s="22"/>
      <c r="C260" s="22"/>
      <c r="D260" s="707" t="s">
        <v>841</v>
      </c>
      <c r="E260" s="708"/>
      <c r="F260" s="708"/>
      <c r="G260" s="708"/>
      <c r="H260" s="793">
        <f>H248/H$247</f>
        <v>7.4039007763681122E-2</v>
      </c>
      <c r="I260" s="793"/>
      <c r="J260" s="793">
        <f t="shared" ref="J260:S260" si="521">J248/J$247</f>
        <v>2.8389220325036001E-2</v>
      </c>
      <c r="K260" s="793">
        <f t="shared" si="521"/>
        <v>3.2573289902280131E-2</v>
      </c>
      <c r="L260" s="793">
        <f t="shared" si="521"/>
        <v>3.4863554451175262E-2</v>
      </c>
      <c r="M260" s="793">
        <f t="shared" si="521"/>
        <v>5.3670198262766332E-2</v>
      </c>
      <c r="N260" s="793">
        <f t="shared" si="521"/>
        <v>3.8123103339469666E-2</v>
      </c>
      <c r="O260" s="793">
        <f t="shared" si="521"/>
        <v>3.9871256291727081E-2</v>
      </c>
      <c r="P260" s="793">
        <f t="shared" si="521"/>
        <v>3.9807649289415312E-2</v>
      </c>
      <c r="Q260" s="793">
        <f t="shared" si="521"/>
        <v>3.9764089876182566E-2</v>
      </c>
      <c r="R260" s="793">
        <f t="shared" si="521"/>
        <v>3.9741911261600593E-2</v>
      </c>
      <c r="S260" s="803">
        <f t="shared" si="521"/>
        <v>3.9719535959538192E-2</v>
      </c>
      <c r="T260" s="726"/>
      <c r="U260" s="1521"/>
      <c r="V260" s="1521"/>
      <c r="W260" s="1521"/>
      <c r="X260" s="1521"/>
      <c r="Y260" s="1521"/>
      <c r="Z260" s="1521"/>
      <c r="AA260" s="1523"/>
      <c r="AC260" s="728"/>
      <c r="AD260" s="728"/>
      <c r="AE260" s="728"/>
      <c r="AF260" s="728"/>
      <c r="AG260" s="728"/>
      <c r="AH260" s="728"/>
      <c r="AI260" s="22"/>
      <c r="AK260" s="1521"/>
      <c r="AL260" s="1521"/>
      <c r="AM260" s="1521"/>
      <c r="AN260" s="1521"/>
      <c r="AO260" s="1521"/>
      <c r="AP260" s="1521"/>
      <c r="AQ260" s="1523"/>
    </row>
    <row r="261" spans="1:43" s="1365" customFormat="1" ht="14.5" outlineLevel="3">
      <c r="A261" s="22"/>
      <c r="B261" s="22"/>
      <c r="C261" s="22"/>
      <c r="D261" s="715" t="s">
        <v>842</v>
      </c>
      <c r="E261" s="22"/>
      <c r="F261" s="22"/>
      <c r="G261" s="22"/>
      <c r="H261" s="91">
        <f t="shared" ref="H261:S264" si="522">H249/H$247</f>
        <v>6.6464684718803263E-2</v>
      </c>
      <c r="I261" s="91"/>
      <c r="J261" s="91">
        <f t="shared" si="522"/>
        <v>0</v>
      </c>
      <c r="K261" s="91">
        <f t="shared" si="522"/>
        <v>0</v>
      </c>
      <c r="L261" s="91">
        <f t="shared" si="522"/>
        <v>0</v>
      </c>
      <c r="M261" s="91">
        <f t="shared" si="522"/>
        <v>0</v>
      </c>
      <c r="N261" s="91">
        <f t="shared" si="522"/>
        <v>0</v>
      </c>
      <c r="O261" s="91">
        <f t="shared" si="522"/>
        <v>0</v>
      </c>
      <c r="P261" s="91">
        <f t="shared" si="522"/>
        <v>0</v>
      </c>
      <c r="Q261" s="91">
        <f t="shared" si="522"/>
        <v>0</v>
      </c>
      <c r="R261" s="91">
        <f t="shared" si="522"/>
        <v>0</v>
      </c>
      <c r="S261" s="804">
        <f t="shared" si="522"/>
        <v>0</v>
      </c>
      <c r="T261" s="726"/>
      <c r="U261" s="1521"/>
      <c r="V261" s="1521"/>
      <c r="W261" s="1521"/>
      <c r="X261" s="1521"/>
      <c r="Y261" s="1521"/>
      <c r="Z261" s="1521"/>
      <c r="AA261" s="1523"/>
      <c r="AC261" s="728"/>
      <c r="AD261" s="728"/>
      <c r="AE261" s="728"/>
      <c r="AF261" s="728"/>
      <c r="AG261" s="728"/>
      <c r="AH261" s="728"/>
      <c r="AI261" s="22"/>
      <c r="AK261" s="1521"/>
      <c r="AL261" s="1521"/>
      <c r="AM261" s="1521"/>
      <c r="AN261" s="1521"/>
      <c r="AO261" s="1521"/>
      <c r="AP261" s="1521"/>
      <c r="AQ261" s="1523"/>
    </row>
    <row r="262" spans="1:43" s="1365" customFormat="1" ht="14.5" outlineLevel="3">
      <c r="A262" s="22"/>
      <c r="B262" s="22"/>
      <c r="C262" s="22"/>
      <c r="D262" s="715" t="s">
        <v>843</v>
      </c>
      <c r="E262" s="22"/>
      <c r="F262" s="22"/>
      <c r="G262" s="22"/>
      <c r="H262" s="91">
        <f t="shared" si="522"/>
        <v>0.12819541753455785</v>
      </c>
      <c r="I262" s="91"/>
      <c r="J262" s="91">
        <f t="shared" si="522"/>
        <v>4.9783995062744293E-2</v>
      </c>
      <c r="K262" s="91">
        <f t="shared" si="522"/>
        <v>4.7857679779503885E-2</v>
      </c>
      <c r="L262" s="91">
        <f t="shared" si="522"/>
        <v>4.9259299315003349E-2</v>
      </c>
      <c r="M262" s="91">
        <f t="shared" si="522"/>
        <v>4.4862306703540682E-2</v>
      </c>
      <c r="N262" s="91">
        <f t="shared" si="522"/>
        <v>5.1416371810488616E-2</v>
      </c>
      <c r="O262" s="91">
        <f t="shared" si="522"/>
        <v>5.3261959654471676E-2</v>
      </c>
      <c r="P262" s="91">
        <f t="shared" si="522"/>
        <v>5.477230004305355E-2</v>
      </c>
      <c r="Q262" s="91">
        <f t="shared" si="522"/>
        <v>5.5806612912977498E-2</v>
      </c>
      <c r="R262" s="91">
        <f t="shared" si="522"/>
        <v>5.633324136815563E-2</v>
      </c>
      <c r="S262" s="804">
        <f t="shared" si="522"/>
        <v>5.6864540143185427E-2</v>
      </c>
      <c r="T262" s="726"/>
      <c r="U262" s="1521"/>
      <c r="V262" s="1521"/>
      <c r="W262" s="1521"/>
      <c r="X262" s="1521"/>
      <c r="Y262" s="1521"/>
      <c r="Z262" s="1521"/>
      <c r="AA262" s="1523"/>
      <c r="AC262" s="728"/>
      <c r="AD262" s="728"/>
      <c r="AE262" s="728"/>
      <c r="AF262" s="728"/>
      <c r="AG262" s="728"/>
      <c r="AH262" s="728"/>
      <c r="AI262" s="22"/>
      <c r="AK262" s="1521"/>
      <c r="AL262" s="1521"/>
      <c r="AM262" s="1521"/>
      <c r="AN262" s="1521"/>
      <c r="AO262" s="1521"/>
      <c r="AP262" s="1521"/>
      <c r="AQ262" s="1523"/>
    </row>
    <row r="263" spans="1:43" s="1365" customFormat="1" ht="14.5" outlineLevel="3">
      <c r="A263" s="22"/>
      <c r="B263" s="22"/>
      <c r="C263" s="22"/>
      <c r="D263" s="715" t="s">
        <v>844</v>
      </c>
      <c r="E263" s="22"/>
      <c r="F263" s="22"/>
      <c r="G263" s="22"/>
      <c r="H263" s="91">
        <f t="shared" si="522"/>
        <v>0.68509751940920283</v>
      </c>
      <c r="I263" s="91"/>
      <c r="J263" s="91">
        <f t="shared" si="522"/>
        <v>0.92182678461221967</v>
      </c>
      <c r="K263" s="91">
        <f t="shared" si="522"/>
        <v>0.91956903031821602</v>
      </c>
      <c r="L263" s="91">
        <f t="shared" si="522"/>
        <v>0.91587714623382144</v>
      </c>
      <c r="M263" s="91">
        <f t="shared" si="522"/>
        <v>0.90146749503369294</v>
      </c>
      <c r="N263" s="91">
        <f t="shared" si="522"/>
        <v>0.91046052485004181</v>
      </c>
      <c r="O263" s="91">
        <f t="shared" si="522"/>
        <v>0.90686678405380128</v>
      </c>
      <c r="P263" s="91">
        <f t="shared" si="522"/>
        <v>0.90542005066753106</v>
      </c>
      <c r="Q263" s="91">
        <f t="shared" si="522"/>
        <v>0.90442929721083987</v>
      </c>
      <c r="R263" s="91">
        <f t="shared" si="522"/>
        <v>0.90392484737024392</v>
      </c>
      <c r="S263" s="804">
        <f t="shared" si="522"/>
        <v>0.90341592389727643</v>
      </c>
      <c r="T263" s="726"/>
      <c r="U263" s="1521"/>
      <c r="V263" s="1521"/>
      <c r="W263" s="1521"/>
      <c r="X263" s="1521"/>
      <c r="Y263" s="1521"/>
      <c r="Z263" s="1521"/>
      <c r="AA263" s="1523"/>
      <c r="AC263" s="728"/>
      <c r="AD263" s="728"/>
      <c r="AE263" s="728"/>
      <c r="AF263" s="728"/>
      <c r="AG263" s="728"/>
      <c r="AH263" s="728"/>
      <c r="AI263" s="22"/>
      <c r="AK263" s="1521"/>
      <c r="AL263" s="1521"/>
      <c r="AM263" s="1521"/>
      <c r="AN263" s="1521"/>
      <c r="AO263" s="1521"/>
      <c r="AP263" s="1521"/>
      <c r="AQ263" s="1523"/>
    </row>
    <row r="264" spans="1:43" s="1365" customFormat="1" ht="14.5" outlineLevel="3">
      <c r="A264" s="22"/>
      <c r="B264" s="22"/>
      <c r="C264" s="22"/>
      <c r="D264" s="719" t="s">
        <v>665</v>
      </c>
      <c r="E264" s="720"/>
      <c r="F264" s="720"/>
      <c r="G264" s="720"/>
      <c r="H264" s="794">
        <f t="shared" si="522"/>
        <v>4.6203370573754968E-2</v>
      </c>
      <c r="I264" s="794"/>
      <c r="J264" s="794">
        <f t="shared" si="522"/>
        <v>0</v>
      </c>
      <c r="K264" s="794">
        <f t="shared" si="522"/>
        <v>0</v>
      </c>
      <c r="L264" s="794">
        <f t="shared" si="522"/>
        <v>0</v>
      </c>
      <c r="M264" s="794">
        <f t="shared" si="522"/>
        <v>0</v>
      </c>
      <c r="N264" s="794">
        <f t="shared" si="522"/>
        <v>0</v>
      </c>
      <c r="O264" s="794">
        <f t="shared" si="522"/>
        <v>0</v>
      </c>
      <c r="P264" s="794">
        <f t="shared" si="522"/>
        <v>0</v>
      </c>
      <c r="Q264" s="794">
        <f t="shared" si="522"/>
        <v>0</v>
      </c>
      <c r="R264" s="794">
        <f t="shared" si="522"/>
        <v>0</v>
      </c>
      <c r="S264" s="805">
        <f t="shared" si="522"/>
        <v>0</v>
      </c>
      <c r="T264" s="726"/>
      <c r="U264" s="1521"/>
      <c r="V264" s="1521"/>
      <c r="W264" s="1521"/>
      <c r="X264" s="1521"/>
      <c r="Y264" s="1521"/>
      <c r="Z264" s="1521"/>
      <c r="AA264" s="1523"/>
      <c r="AC264" s="728"/>
      <c r="AD264" s="728"/>
      <c r="AE264" s="728"/>
      <c r="AF264" s="728"/>
      <c r="AG264" s="728"/>
      <c r="AH264" s="728"/>
      <c r="AI264" s="22"/>
      <c r="AK264" s="1521"/>
      <c r="AL264" s="1521"/>
      <c r="AM264" s="1521"/>
      <c r="AN264" s="1521"/>
      <c r="AO264" s="1521"/>
      <c r="AP264" s="1521"/>
      <c r="AQ264" s="1523"/>
    </row>
    <row r="265" spans="1:43" ht="14.5" outlineLevel="2">
      <c r="C265" s="18" t="s">
        <v>31</v>
      </c>
      <c r="D265" s="1"/>
      <c r="E265" s="1"/>
      <c r="H265" s="52">
        <f>IFERROR(H271/H247,"NA")</f>
        <v>3.0075743230448779</v>
      </c>
      <c r="I265" s="764" t="str">
        <f t="shared" ref="I265:J265" si="523">IFERROR(I271/I247,"NA")</f>
        <v>NA</v>
      </c>
      <c r="J265" s="764">
        <f t="shared" si="523"/>
        <v>3.202221765068916</v>
      </c>
      <c r="K265" s="764">
        <f t="shared" ref="K265:S265" si="524">IFERROR(K271/K247,"NA")</f>
        <v>3.1561012277624654</v>
      </c>
      <c r="L265" s="764">
        <f t="shared" si="524"/>
        <v>3.1118363529087643</v>
      </c>
      <c r="M265" s="764">
        <f t="shared" si="524"/>
        <v>2.8319113974635419</v>
      </c>
      <c r="N265" s="764">
        <f t="shared" si="524"/>
        <v>2.8486762196388589</v>
      </c>
      <c r="O265" s="764">
        <f t="shared" si="524"/>
        <v>2.8550664656028153</v>
      </c>
      <c r="P265" s="764">
        <f t="shared" si="524"/>
        <v>2.8598887639823514</v>
      </c>
      <c r="Q265" s="764">
        <f t="shared" si="524"/>
        <v>2.8631911753554924</v>
      </c>
      <c r="R265" s="764">
        <f t="shared" si="524"/>
        <v>2.8648726238324209</v>
      </c>
      <c r="S265" s="764">
        <f t="shared" si="524"/>
        <v>2.8665689839650401</v>
      </c>
      <c r="T265" s="408"/>
      <c r="U265" s="1524">
        <f>$L265*(1+$AA265)</f>
        <v>3.1740730799669397</v>
      </c>
      <c r="V265" s="1524">
        <f>U265*(1+$AA265)</f>
        <v>3.2375545415662783</v>
      </c>
      <c r="W265" s="1524">
        <f t="shared" ref="W265" si="525">V265*(1+$AA265)</f>
        <v>3.3023056323976041</v>
      </c>
      <c r="X265" s="1524">
        <f t="shared" ref="X265" si="526">W265*(1+$AA265)</f>
        <v>3.3683517450455565</v>
      </c>
      <c r="Y265" s="1524">
        <f t="shared" ref="Y265" si="527">X265*(1+$AA265)</f>
        <v>3.4357187799464675</v>
      </c>
      <c r="Z265" s="1524">
        <f t="shared" ref="Z265" si="528">Y265*(1+$AA265)</f>
        <v>3.5044331555453967</v>
      </c>
      <c r="AA265" s="1525">
        <v>0.02</v>
      </c>
      <c r="AB265" s="1126"/>
      <c r="AC265" s="733"/>
      <c r="AD265" s="733"/>
      <c r="AE265" s="733"/>
      <c r="AF265" s="733"/>
      <c r="AG265" s="733"/>
      <c r="AH265" s="733"/>
      <c r="AI265" s="472"/>
      <c r="AJ265" s="1321"/>
      <c r="AK265" s="1529">
        <f>$L265*(1+$AQ265)</f>
        <v>3.1118363529087643</v>
      </c>
      <c r="AL265" s="1529">
        <f>AK265*(1+$AQ265)</f>
        <v>3.1118363529087643</v>
      </c>
      <c r="AM265" s="1529">
        <f t="shared" ref="AM265:AN265" si="529">AL265*(1+$AQ265)</f>
        <v>3.1118363529087643</v>
      </c>
      <c r="AN265" s="1529">
        <f t="shared" si="529"/>
        <v>3.1118363529087643</v>
      </c>
      <c r="AO265" s="1529">
        <f>AN265*(1+$AQ265)</f>
        <v>3.1118363529087643</v>
      </c>
      <c r="AP265" s="1529">
        <f t="shared" ref="AP265" si="530">AO265*(1+$AQ265)</f>
        <v>3.1118363529087643</v>
      </c>
      <c r="AQ265" s="1520">
        <v>0</v>
      </c>
    </row>
    <row r="266" spans="1:43" ht="14.5" outlineLevel="2">
      <c r="C266" s="1"/>
      <c r="D266" s="27" t="s">
        <v>841</v>
      </c>
      <c r="E266" s="28"/>
      <c r="F266" s="28"/>
      <c r="G266" s="28"/>
      <c r="H266" s="50">
        <f>IFERROR(H272/H248,"NA")</f>
        <v>3.4450127877237851</v>
      </c>
      <c r="I266" s="759" t="str">
        <f t="shared" ref="I266:J266" si="531">IFERROR(I272/I248,"NA")</f>
        <v>NA</v>
      </c>
      <c r="J266" s="759">
        <f t="shared" si="531"/>
        <v>3.7681159420289854</v>
      </c>
      <c r="K266" s="759">
        <f t="shared" ref="K266:M266" si="532">IFERROR(K272/K248,"NA")</f>
        <v>3.5692307692307694</v>
      </c>
      <c r="L266" s="759">
        <f t="shared" si="532"/>
        <v>3.4678487749211442</v>
      </c>
      <c r="M266" s="759">
        <f t="shared" si="532"/>
        <v>2.9460320557996198</v>
      </c>
      <c r="N266" s="780">
        <f>CHOOSE(case,U266,AC266,AK266)</f>
        <v>2.9460320557996198</v>
      </c>
      <c r="O266" s="781">
        <f t="shared" ref="O266:O270" si="533">CHOOSE(case,V266,AD266,AL266)</f>
        <v>2.9460320557996198</v>
      </c>
      <c r="P266" s="781">
        <f t="shared" ref="P266:P270" si="534">CHOOSE(case,W266,AE266,AM266)</f>
        <v>2.9460320557996198</v>
      </c>
      <c r="Q266" s="781">
        <f t="shared" ref="Q266:Q270" si="535">CHOOSE(case,X266,AF266,AN266)</f>
        <v>2.9460320557996198</v>
      </c>
      <c r="R266" s="781">
        <f t="shared" ref="R266:R270" si="536">CHOOSE(case,Y266,AG266,AO266)</f>
        <v>2.9460320557996198</v>
      </c>
      <c r="S266" s="782">
        <f t="shared" ref="S266:S270" si="537">CHOOSE(case,Z266,AH266,AP266)</f>
        <v>2.9460320557996198</v>
      </c>
      <c r="T266" s="675"/>
      <c r="U266" s="1515"/>
      <c r="V266" s="1515"/>
      <c r="W266" s="1515"/>
      <c r="X266" s="1515"/>
      <c r="Y266" s="1515"/>
      <c r="Z266" s="1515"/>
      <c r="AA266" s="1515"/>
      <c r="AB266" s="1321"/>
      <c r="AC266" s="737">
        <f>M266</f>
        <v>2.9460320557996198</v>
      </c>
      <c r="AD266" s="737">
        <f t="shared" ref="AD266:AD269" si="538">N266</f>
        <v>2.9460320557996198</v>
      </c>
      <c r="AE266" s="737">
        <f t="shared" ref="AE266:AE269" si="539">O266</f>
        <v>2.9460320557996198</v>
      </c>
      <c r="AF266" s="737">
        <f t="shared" ref="AF266:AF269" si="540">P266</f>
        <v>2.9460320557996198</v>
      </c>
      <c r="AG266" s="737">
        <f t="shared" ref="AG266:AG269" si="541">Q266</f>
        <v>2.9460320557996198</v>
      </c>
      <c r="AH266" s="737">
        <f t="shared" ref="AH266:AH269" si="542">R266</f>
        <v>2.9460320557996198</v>
      </c>
      <c r="AI266" s="415"/>
      <c r="AJ266" s="1321"/>
      <c r="AK266" s="1515"/>
      <c r="AL266" s="1515"/>
      <c r="AM266" s="1515"/>
      <c r="AN266" s="1515"/>
      <c r="AO266" s="1515"/>
      <c r="AP266" s="1515"/>
      <c r="AQ266" s="1515"/>
    </row>
    <row r="267" spans="1:43" ht="14.5" outlineLevel="2">
      <c r="C267" s="1"/>
      <c r="D267" s="31" t="s">
        <v>842</v>
      </c>
      <c r="E267" s="1"/>
      <c r="F267" s="1"/>
      <c r="G267" s="1"/>
      <c r="H267" s="52">
        <f t="shared" ref="H267:J267" si="543">IFERROR(H273/H249,"NA")</f>
        <v>2.9145299145299144</v>
      </c>
      <c r="I267" s="764" t="str">
        <f t="shared" si="543"/>
        <v>NA</v>
      </c>
      <c r="J267" s="764" t="str">
        <f t="shared" si="543"/>
        <v>NA</v>
      </c>
      <c r="K267" s="764" t="str">
        <f t="shared" ref="K267:M267" si="544">IFERROR(K273/K249,"NA")</f>
        <v>NA</v>
      </c>
      <c r="L267" s="764" t="str">
        <f t="shared" si="544"/>
        <v>NA</v>
      </c>
      <c r="M267" s="764" t="str">
        <f t="shared" si="544"/>
        <v>NA</v>
      </c>
      <c r="N267" s="785">
        <f>CHOOSE(case,U267,AC267,AK267)</f>
        <v>0</v>
      </c>
      <c r="O267" s="786">
        <f t="shared" si="533"/>
        <v>0</v>
      </c>
      <c r="P267" s="786">
        <f t="shared" si="534"/>
        <v>0</v>
      </c>
      <c r="Q267" s="786">
        <f t="shared" si="535"/>
        <v>0</v>
      </c>
      <c r="R267" s="786">
        <f t="shared" si="536"/>
        <v>0</v>
      </c>
      <c r="S267" s="787">
        <f t="shared" si="537"/>
        <v>0</v>
      </c>
      <c r="T267" s="675"/>
      <c r="U267" s="1515"/>
      <c r="V267" s="1515"/>
      <c r="W267" s="1515"/>
      <c r="X267" s="1515"/>
      <c r="Y267" s="1515"/>
      <c r="Z267" s="1515"/>
      <c r="AA267" s="1515"/>
      <c r="AB267" s="1321"/>
      <c r="AC267" s="737"/>
      <c r="AD267" s="737"/>
      <c r="AE267" s="737"/>
      <c r="AF267" s="737"/>
      <c r="AG267" s="737"/>
      <c r="AH267" s="737"/>
      <c r="AI267" s="415"/>
      <c r="AJ267" s="1321"/>
      <c r="AK267" s="1515"/>
      <c r="AL267" s="1515"/>
      <c r="AM267" s="1515"/>
      <c r="AN267" s="1515"/>
      <c r="AO267" s="1515"/>
      <c r="AP267" s="1515"/>
      <c r="AQ267" s="1515"/>
    </row>
    <row r="268" spans="1:43" ht="14.5" outlineLevel="2">
      <c r="C268" s="1"/>
      <c r="D268" s="31" t="s">
        <v>843</v>
      </c>
      <c r="E268" s="1"/>
      <c r="F268" s="1"/>
      <c r="G268" s="1"/>
      <c r="H268" s="52">
        <f t="shared" ref="H268:J268" si="545">IFERROR(H274/H250,"NA")</f>
        <v>2.4844903988183162</v>
      </c>
      <c r="I268" s="764" t="str">
        <f t="shared" si="545"/>
        <v>NA</v>
      </c>
      <c r="J268" s="764">
        <f t="shared" si="545"/>
        <v>6.7995867768595044</v>
      </c>
      <c r="K268" s="764">
        <f t="shared" ref="K268:M268" si="546">IFERROR(K274/K250,"NA")</f>
        <v>7.3455497382198951</v>
      </c>
      <c r="L268" s="764">
        <f t="shared" si="546"/>
        <v>7.1877066609099556</v>
      </c>
      <c r="M268" s="764">
        <f t="shared" si="546"/>
        <v>5.8778640762064036</v>
      </c>
      <c r="N268" s="785">
        <f>CHOOSE(case,U268,AC268,AK268)</f>
        <v>5.8778640762064036</v>
      </c>
      <c r="O268" s="786">
        <f t="shared" si="533"/>
        <v>5.8778640762064036</v>
      </c>
      <c r="P268" s="786">
        <f t="shared" si="534"/>
        <v>5.8778640762064036</v>
      </c>
      <c r="Q268" s="786">
        <f t="shared" si="535"/>
        <v>5.8778640762064036</v>
      </c>
      <c r="R268" s="786">
        <f t="shared" si="536"/>
        <v>5.8778640762064036</v>
      </c>
      <c r="S268" s="787">
        <f t="shared" si="537"/>
        <v>5.8778640762064036</v>
      </c>
      <c r="T268" s="675"/>
      <c r="U268" s="1515"/>
      <c r="V268" s="1515"/>
      <c r="W268" s="1515"/>
      <c r="X268" s="1515"/>
      <c r="Y268" s="1515"/>
      <c r="Z268" s="1515"/>
      <c r="AA268" s="1515"/>
      <c r="AB268" s="1321"/>
      <c r="AC268" s="737">
        <f t="shared" ref="AC268:AC269" si="547">M268</f>
        <v>5.8778640762064036</v>
      </c>
      <c r="AD268" s="737">
        <f t="shared" si="538"/>
        <v>5.8778640762064036</v>
      </c>
      <c r="AE268" s="737">
        <f t="shared" si="539"/>
        <v>5.8778640762064036</v>
      </c>
      <c r="AF268" s="737">
        <f t="shared" si="540"/>
        <v>5.8778640762064036</v>
      </c>
      <c r="AG268" s="737">
        <f t="shared" si="541"/>
        <v>5.8778640762064036</v>
      </c>
      <c r="AH268" s="737">
        <f t="shared" si="542"/>
        <v>5.8778640762064036</v>
      </c>
      <c r="AI268" s="415"/>
      <c r="AJ268" s="1321"/>
      <c r="AK268" s="1515"/>
      <c r="AL268" s="1515"/>
      <c r="AM268" s="1515"/>
      <c r="AN268" s="1515"/>
      <c r="AO268" s="1515"/>
      <c r="AP268" s="1515"/>
      <c r="AQ268" s="1515"/>
    </row>
    <row r="269" spans="1:43" ht="14.5" outlineLevel="2">
      <c r="C269" s="1"/>
      <c r="D269" s="31" t="s">
        <v>844</v>
      </c>
      <c r="E269" s="1"/>
      <c r="F269" s="1"/>
      <c r="G269" s="1"/>
      <c r="H269" s="52">
        <f t="shared" ref="H269:J269" si="548">IFERROR(H275/H251,"NA")</f>
        <v>3.0436705362078498</v>
      </c>
      <c r="I269" s="764" t="str">
        <f t="shared" si="548"/>
        <v>NA</v>
      </c>
      <c r="J269" s="764">
        <f t="shared" si="548"/>
        <v>2.9905155099308192</v>
      </c>
      <c r="K269" s="764">
        <f t="shared" ref="K269:M269" si="549">IFERROR(K275/K251,"NA")</f>
        <v>2.9234332425068121</v>
      </c>
      <c r="L269" s="764">
        <f t="shared" si="549"/>
        <v>2.87906891809752</v>
      </c>
      <c r="M269" s="764">
        <f t="shared" si="549"/>
        <v>2.6735325957612446</v>
      </c>
      <c r="N269" s="785">
        <f>CHOOSE(case,U269,AC269,AK269)</f>
        <v>2.6735325957612446</v>
      </c>
      <c r="O269" s="786">
        <f t="shared" si="533"/>
        <v>2.6735325957612446</v>
      </c>
      <c r="P269" s="786">
        <f t="shared" si="534"/>
        <v>2.6735325957612446</v>
      </c>
      <c r="Q269" s="786">
        <f t="shared" si="535"/>
        <v>2.6735325957612446</v>
      </c>
      <c r="R269" s="786">
        <f t="shared" si="536"/>
        <v>2.6735325957612446</v>
      </c>
      <c r="S269" s="787">
        <f t="shared" si="537"/>
        <v>2.6735325957612446</v>
      </c>
      <c r="T269" s="675"/>
      <c r="U269" s="1515"/>
      <c r="V269" s="1515"/>
      <c r="W269" s="1515"/>
      <c r="X269" s="1515"/>
      <c r="Y269" s="1515"/>
      <c r="Z269" s="1515"/>
      <c r="AA269" s="1515"/>
      <c r="AB269" s="1321"/>
      <c r="AC269" s="737">
        <f t="shared" si="547"/>
        <v>2.6735325957612446</v>
      </c>
      <c r="AD269" s="737">
        <f t="shared" si="538"/>
        <v>2.6735325957612446</v>
      </c>
      <c r="AE269" s="737">
        <f t="shared" si="539"/>
        <v>2.6735325957612446</v>
      </c>
      <c r="AF269" s="737">
        <f t="shared" si="540"/>
        <v>2.6735325957612446</v>
      </c>
      <c r="AG269" s="737">
        <f t="shared" si="541"/>
        <v>2.6735325957612446</v>
      </c>
      <c r="AH269" s="737">
        <f t="shared" si="542"/>
        <v>2.6735325957612446</v>
      </c>
      <c r="AI269" s="415"/>
      <c r="AJ269" s="1321"/>
      <c r="AK269" s="1515"/>
      <c r="AL269" s="1515"/>
      <c r="AM269" s="1515"/>
      <c r="AN269" s="1515"/>
      <c r="AO269" s="1515"/>
      <c r="AP269" s="1515"/>
      <c r="AQ269" s="1515"/>
    </row>
    <row r="270" spans="1:43" ht="15" outlineLevel="2" thickBot="1">
      <c r="C270" s="37"/>
      <c r="D270" s="33" t="s">
        <v>665</v>
      </c>
      <c r="E270" s="37"/>
      <c r="F270" s="37"/>
      <c r="G270" s="37"/>
      <c r="H270" s="54">
        <f t="shared" ref="H270:J270" si="550">IFERROR(H276/H252,"NA")</f>
        <v>3.3565573770491803</v>
      </c>
      <c r="I270" s="774" t="str">
        <f t="shared" si="550"/>
        <v>NA</v>
      </c>
      <c r="J270" s="774" t="str">
        <f t="shared" si="550"/>
        <v>NA</v>
      </c>
      <c r="K270" s="774" t="str">
        <f t="shared" ref="K270:M270" si="551">IFERROR(K276/K252,"NA")</f>
        <v>NA</v>
      </c>
      <c r="L270" s="774" t="str">
        <f t="shared" si="551"/>
        <v>NA</v>
      </c>
      <c r="M270" s="774" t="str">
        <f t="shared" si="551"/>
        <v>NA</v>
      </c>
      <c r="N270" s="789">
        <f>CHOOSE(case,U270,AC270,AK270)</f>
        <v>0</v>
      </c>
      <c r="O270" s="790">
        <f t="shared" si="533"/>
        <v>0</v>
      </c>
      <c r="P270" s="790">
        <f t="shared" si="534"/>
        <v>0</v>
      </c>
      <c r="Q270" s="790">
        <f t="shared" si="535"/>
        <v>0</v>
      </c>
      <c r="R270" s="790">
        <f t="shared" si="536"/>
        <v>0</v>
      </c>
      <c r="S270" s="791">
        <f t="shared" si="537"/>
        <v>0</v>
      </c>
      <c r="T270" s="675"/>
      <c r="U270" s="1515"/>
      <c r="V270" s="1515"/>
      <c r="W270" s="1515"/>
      <c r="X270" s="1515"/>
      <c r="Y270" s="1515"/>
      <c r="Z270" s="1515"/>
      <c r="AA270" s="1515"/>
      <c r="AB270" s="1321"/>
      <c r="AC270" s="783"/>
      <c r="AD270" s="783"/>
      <c r="AE270" s="783"/>
      <c r="AF270" s="783"/>
      <c r="AG270" s="783"/>
      <c r="AH270" s="783"/>
      <c r="AI270" s="415"/>
      <c r="AJ270" s="1321"/>
      <c r="AK270" s="1515"/>
      <c r="AL270" s="1515"/>
      <c r="AM270" s="1515"/>
      <c r="AN270" s="1515"/>
      <c r="AO270" s="1515"/>
      <c r="AP270" s="1515"/>
      <c r="AQ270" s="1515"/>
    </row>
    <row r="271" spans="1:43" ht="14.5" outlineLevel="2">
      <c r="C271" s="18" t="s">
        <v>991</v>
      </c>
      <c r="D271" s="1"/>
      <c r="E271" s="1"/>
      <c r="H271" s="99">
        <f>SUM(H272:H276)</f>
        <v>15883</v>
      </c>
      <c r="I271" s="414">
        <v>17275</v>
      </c>
      <c r="J271" s="99">
        <f t="shared" ref="J271" si="552">SUM(J272:J276)</f>
        <v>15566</v>
      </c>
      <c r="K271" s="99">
        <f t="shared" ref="K271:M271" si="553">SUM(K272:K276)</f>
        <v>12596</v>
      </c>
      <c r="L271" s="99">
        <f t="shared" si="553"/>
        <v>14329.054183220867</v>
      </c>
      <c r="M271" s="99">
        <f t="shared" si="553"/>
        <v>6979.5514854798257</v>
      </c>
      <c r="N271" s="23">
        <f>SUM(N272:N276)</f>
        <v>13195.321211815497</v>
      </c>
      <c r="O271" s="23">
        <f t="shared" ref="O271:S271" si="554">SUM(O272:O276)</f>
        <v>13277.32924986284</v>
      </c>
      <c r="P271" s="23">
        <f t="shared" si="554"/>
        <v>13321.006213269255</v>
      </c>
      <c r="Q271" s="23">
        <f t="shared" si="554"/>
        <v>13350.99772814166</v>
      </c>
      <c r="R271" s="23">
        <f t="shared" si="554"/>
        <v>13366.293400726587</v>
      </c>
      <c r="S271" s="23">
        <f t="shared" si="554"/>
        <v>13381.742030037361</v>
      </c>
      <c r="T271" s="1321"/>
      <c r="U271" s="1515"/>
      <c r="V271" s="1515"/>
      <c r="W271" s="1515"/>
      <c r="X271" s="1515"/>
      <c r="Y271" s="1515"/>
      <c r="Z271" s="1515"/>
      <c r="AA271" s="1515"/>
      <c r="AB271" s="1321"/>
      <c r="AC271" s="1"/>
      <c r="AD271" s="1"/>
      <c r="AE271" s="1"/>
      <c r="AF271" s="1"/>
      <c r="AG271" s="1"/>
      <c r="AH271" s="1"/>
      <c r="AI271" s="415"/>
      <c r="AJ271" s="1321"/>
      <c r="AK271" s="1515"/>
      <c r="AL271" s="1515"/>
      <c r="AM271" s="1515"/>
      <c r="AN271" s="1515"/>
      <c r="AO271" s="1515"/>
      <c r="AP271" s="1515"/>
      <c r="AQ271" s="1515"/>
    </row>
    <row r="272" spans="1:43" ht="14.5" outlineLevel="2">
      <c r="C272" s="1"/>
      <c r="D272" s="27" t="s">
        <v>841</v>
      </c>
      <c r="E272" s="28"/>
      <c r="F272" s="28"/>
      <c r="G272" s="28"/>
      <c r="H272" s="398">
        <v>1347</v>
      </c>
      <c r="I272" s="411"/>
      <c r="J272" s="398">
        <v>520</v>
      </c>
      <c r="K272" s="398">
        <v>464</v>
      </c>
      <c r="L272" s="398">
        <v>556.71457093074082</v>
      </c>
      <c r="M272" s="398">
        <v>389.68933621295054</v>
      </c>
      <c r="N272" s="29">
        <f>N248*N266</f>
        <v>520.23862232083263</v>
      </c>
      <c r="O272" s="29">
        <f t="shared" ref="O272:R272" si="555">O248*O266</f>
        <v>546.25055343687427</v>
      </c>
      <c r="P272" s="29">
        <f t="shared" si="555"/>
        <v>546.25055343687427</v>
      </c>
      <c r="Q272" s="29">
        <f t="shared" si="555"/>
        <v>546.25055343687427</v>
      </c>
      <c r="R272" s="29">
        <f t="shared" si="555"/>
        <v>546.25055343687427</v>
      </c>
      <c r="S272" s="30">
        <f>S248*S266</f>
        <v>546.25055343687427</v>
      </c>
      <c r="T272" s="1321"/>
      <c r="U272" s="1515"/>
      <c r="V272" s="1515"/>
      <c r="W272" s="1515"/>
      <c r="X272" s="1515"/>
      <c r="Y272" s="1515"/>
      <c r="Z272" s="1515"/>
      <c r="AA272" s="1515"/>
      <c r="AB272" s="1321"/>
      <c r="AC272" s="1"/>
      <c r="AD272" s="1"/>
      <c r="AE272" s="1"/>
      <c r="AF272" s="1"/>
      <c r="AG272" s="1"/>
      <c r="AH272" s="1"/>
      <c r="AI272" s="415"/>
      <c r="AJ272" s="1321"/>
      <c r="AK272" s="1515"/>
      <c r="AL272" s="1515"/>
      <c r="AM272" s="1515"/>
      <c r="AN272" s="1515"/>
      <c r="AO272" s="1515"/>
      <c r="AP272" s="1515"/>
      <c r="AQ272" s="1515"/>
    </row>
    <row r="273" spans="1:43" ht="14.5" outlineLevel="2">
      <c r="C273" s="1"/>
      <c r="D273" s="31" t="s">
        <v>842</v>
      </c>
      <c r="E273" s="1"/>
      <c r="F273" s="1"/>
      <c r="G273" s="1"/>
      <c r="H273" s="400">
        <v>1023</v>
      </c>
      <c r="I273" s="412"/>
      <c r="J273" s="400">
        <v>0</v>
      </c>
      <c r="K273" s="400">
        <v>0</v>
      </c>
      <c r="L273" s="400">
        <v>0</v>
      </c>
      <c r="M273" s="400">
        <v>0</v>
      </c>
      <c r="N273" s="20">
        <f t="shared" ref="N273:S273" si="556">N249*N267</f>
        <v>0</v>
      </c>
      <c r="O273" s="20">
        <f t="shared" si="556"/>
        <v>0</v>
      </c>
      <c r="P273" s="20">
        <f t="shared" si="556"/>
        <v>0</v>
      </c>
      <c r="Q273" s="20">
        <f t="shared" si="556"/>
        <v>0</v>
      </c>
      <c r="R273" s="20">
        <f t="shared" si="556"/>
        <v>0</v>
      </c>
      <c r="S273" s="32">
        <f t="shared" si="556"/>
        <v>0</v>
      </c>
      <c r="T273" s="1321"/>
      <c r="U273" s="1515"/>
      <c r="V273" s="1515"/>
      <c r="W273" s="1515"/>
      <c r="X273" s="1515"/>
      <c r="Y273" s="1515"/>
      <c r="Z273" s="1515"/>
      <c r="AA273" s="1515"/>
      <c r="AB273" s="1321"/>
      <c r="AC273" s="1"/>
      <c r="AD273" s="1"/>
      <c r="AE273" s="1"/>
      <c r="AF273" s="1"/>
      <c r="AG273" s="1"/>
      <c r="AH273" s="1"/>
      <c r="AI273" s="415"/>
      <c r="AJ273" s="1321"/>
      <c r="AK273" s="1515"/>
      <c r="AL273" s="1515"/>
      <c r="AM273" s="1515"/>
      <c r="AN273" s="1515"/>
      <c r="AO273" s="1515"/>
      <c r="AP273" s="1515"/>
      <c r="AQ273" s="1515"/>
    </row>
    <row r="274" spans="1:43" ht="14.5" outlineLevel="2">
      <c r="C274" s="1"/>
      <c r="D274" s="31" t="s">
        <v>843</v>
      </c>
      <c r="E274" s="1"/>
      <c r="F274" s="1"/>
      <c r="G274" s="1"/>
      <c r="H274" s="400">
        <v>1682</v>
      </c>
      <c r="I274" s="412"/>
      <c r="J274" s="400">
        <v>1645.5</v>
      </c>
      <c r="K274" s="400">
        <v>1403</v>
      </c>
      <c r="L274" s="400">
        <v>1630.3443756542399</v>
      </c>
      <c r="M274" s="400">
        <v>649.90367517798961</v>
      </c>
      <c r="N274" s="20">
        <f t="shared" ref="N274:S274" si="557">N250*N268</f>
        <v>1399.9026732825134</v>
      </c>
      <c r="O274" s="20">
        <f t="shared" si="557"/>
        <v>1455.898780213814</v>
      </c>
      <c r="P274" s="20">
        <f t="shared" si="557"/>
        <v>1499.5757436202284</v>
      </c>
      <c r="Q274" s="20">
        <f t="shared" si="557"/>
        <v>1529.5672584926333</v>
      </c>
      <c r="R274" s="20">
        <f t="shared" si="557"/>
        <v>1544.8629310775598</v>
      </c>
      <c r="S274" s="32">
        <f t="shared" si="557"/>
        <v>1560.3115603883352</v>
      </c>
      <c r="T274" s="1321"/>
      <c r="U274" s="1515"/>
      <c r="V274" s="1515"/>
      <c r="W274" s="1515"/>
      <c r="X274" s="1515"/>
      <c r="Y274" s="1515"/>
      <c r="Z274" s="1515"/>
      <c r="AA274" s="1515"/>
      <c r="AB274" s="1321"/>
      <c r="AC274" s="1"/>
      <c r="AD274" s="1"/>
      <c r="AE274" s="1"/>
      <c r="AF274" s="1"/>
      <c r="AG274" s="1"/>
      <c r="AH274" s="1"/>
      <c r="AI274" s="415"/>
      <c r="AJ274" s="1321"/>
      <c r="AK274" s="1515"/>
      <c r="AL274" s="1515"/>
      <c r="AM274" s="1515"/>
      <c r="AN274" s="1515"/>
      <c r="AO274" s="1515"/>
      <c r="AP274" s="1515"/>
      <c r="AQ274" s="1515"/>
    </row>
    <row r="275" spans="1:43" ht="14.5" outlineLevel="2">
      <c r="C275" s="1"/>
      <c r="D275" s="31" t="s">
        <v>844</v>
      </c>
      <c r="E275" s="1"/>
      <c r="F275" s="1"/>
      <c r="G275" s="1"/>
      <c r="H275" s="400">
        <v>11012</v>
      </c>
      <c r="I275" s="412"/>
      <c r="J275" s="400">
        <v>13400.5</v>
      </c>
      <c r="K275" s="400">
        <v>10729</v>
      </c>
      <c r="L275" s="400">
        <v>12141.995236635887</v>
      </c>
      <c r="M275" s="400">
        <v>5939.9584740888859</v>
      </c>
      <c r="N275" s="20">
        <f t="shared" ref="N275:S275" si="558">N251*N269</f>
        <v>11275.179916212152</v>
      </c>
      <c r="O275" s="20">
        <f t="shared" si="558"/>
        <v>11275.179916212152</v>
      </c>
      <c r="P275" s="20">
        <f t="shared" si="558"/>
        <v>11275.179916212152</v>
      </c>
      <c r="Q275" s="20">
        <f t="shared" si="558"/>
        <v>11275.179916212152</v>
      </c>
      <c r="R275" s="20">
        <f t="shared" si="558"/>
        <v>11275.179916212152</v>
      </c>
      <c r="S275" s="32">
        <f t="shared" si="558"/>
        <v>11275.179916212152</v>
      </c>
      <c r="T275" s="1321"/>
      <c r="U275" s="1515"/>
      <c r="V275" s="1515"/>
      <c r="W275" s="1515"/>
      <c r="X275" s="1515"/>
      <c r="Y275" s="1515"/>
      <c r="Z275" s="1515"/>
      <c r="AA275" s="1515"/>
      <c r="AB275" s="1321"/>
      <c r="AC275" s="1"/>
      <c r="AD275" s="1"/>
      <c r="AE275" s="1"/>
      <c r="AF275" s="1"/>
      <c r="AG275" s="1"/>
      <c r="AH275" s="1"/>
      <c r="AI275" s="415"/>
      <c r="AJ275" s="1321"/>
      <c r="AK275" s="1515"/>
      <c r="AL275" s="1515"/>
      <c r="AM275" s="1515"/>
      <c r="AN275" s="1515"/>
      <c r="AO275" s="1515"/>
      <c r="AP275" s="1515"/>
      <c r="AQ275" s="1515"/>
    </row>
    <row r="276" spans="1:43" ht="14.5" outlineLevel="2">
      <c r="C276" s="1"/>
      <c r="D276" s="33" t="s">
        <v>665</v>
      </c>
      <c r="E276" s="34"/>
      <c r="F276" s="34"/>
      <c r="G276" s="34"/>
      <c r="H276" s="402">
        <v>819</v>
      </c>
      <c r="I276" s="413"/>
      <c r="J276" s="402">
        <v>0</v>
      </c>
      <c r="K276" s="402">
        <v>0</v>
      </c>
      <c r="L276" s="402">
        <v>0</v>
      </c>
      <c r="M276" s="402">
        <v>0</v>
      </c>
      <c r="N276" s="35">
        <f t="shared" ref="N276:S276" si="559">N252*N270</f>
        <v>0</v>
      </c>
      <c r="O276" s="35">
        <f t="shared" si="559"/>
        <v>0</v>
      </c>
      <c r="P276" s="35">
        <f t="shared" si="559"/>
        <v>0</v>
      </c>
      <c r="Q276" s="35">
        <f t="shared" si="559"/>
        <v>0</v>
      </c>
      <c r="R276" s="35">
        <f t="shared" si="559"/>
        <v>0</v>
      </c>
      <c r="S276" s="36">
        <f t="shared" si="559"/>
        <v>0</v>
      </c>
      <c r="T276" s="1321"/>
      <c r="U276" s="1515"/>
      <c r="V276" s="1515"/>
      <c r="W276" s="1515"/>
      <c r="X276" s="1515"/>
      <c r="Y276" s="1515"/>
      <c r="Z276" s="1515"/>
      <c r="AA276" s="1515"/>
      <c r="AB276" s="1321"/>
      <c r="AC276" s="1"/>
      <c r="AD276" s="1"/>
      <c r="AE276" s="1"/>
      <c r="AF276" s="1"/>
      <c r="AG276" s="1"/>
      <c r="AH276" s="1"/>
      <c r="AI276" s="415"/>
      <c r="AJ276" s="1321"/>
      <c r="AK276" s="1515"/>
      <c r="AL276" s="1515"/>
      <c r="AM276" s="1515"/>
      <c r="AN276" s="1515"/>
      <c r="AO276" s="1515"/>
      <c r="AP276" s="1515"/>
      <c r="AQ276" s="1515"/>
    </row>
    <row r="277" spans="1:43" ht="14.5" outlineLevel="2">
      <c r="C277" s="1"/>
      <c r="D277" s="1"/>
      <c r="E277" s="1"/>
      <c r="AI277" s="424"/>
    </row>
    <row r="278" spans="1:43" ht="15" outlineLevel="2" thickBot="1">
      <c r="C278" s="37" t="s">
        <v>160</v>
      </c>
      <c r="D278" s="37"/>
      <c r="E278" s="37"/>
      <c r="F278" s="109"/>
      <c r="G278" s="109"/>
      <c r="H278" s="117">
        <f>1-H279/H271</f>
        <v>7.1523012025435984E-2</v>
      </c>
      <c r="I278" s="117">
        <f t="shared" ref="I278" si="560">1-I279/I271</f>
        <v>6.2286541244573113E-2</v>
      </c>
      <c r="J278" s="117">
        <f t="shared" ref="J278" si="561">1-J279/J271</f>
        <v>3.3791597070538359E-2</v>
      </c>
      <c r="K278" s="117">
        <f t="shared" ref="K278:M278" si="562">1-K279/K271</f>
        <v>4.7078437599237799E-2</v>
      </c>
      <c r="L278" s="117">
        <f t="shared" si="562"/>
        <v>4.7078437599237799E-2</v>
      </c>
      <c r="M278" s="117">
        <f t="shared" si="562"/>
        <v>4.7078437599237688E-2</v>
      </c>
      <c r="N278" s="160">
        <f t="shared" ref="N278" si="563">L278</f>
        <v>4.7078437599237799E-2</v>
      </c>
      <c r="O278" s="160">
        <f t="shared" ref="O278" si="564">N278</f>
        <v>4.7078437599237799E-2</v>
      </c>
      <c r="P278" s="160">
        <f t="shared" ref="P278" si="565">O278</f>
        <v>4.7078437599237799E-2</v>
      </c>
      <c r="Q278" s="160">
        <f t="shared" ref="Q278" si="566">P278</f>
        <v>4.7078437599237799E-2</v>
      </c>
      <c r="R278" s="160">
        <f t="shared" ref="R278" si="567">Q278</f>
        <v>4.7078437599237799E-2</v>
      </c>
      <c r="S278" s="160">
        <f t="shared" ref="S278" si="568">R278</f>
        <v>4.7078437599237799E-2</v>
      </c>
      <c r="AI278" s="424"/>
    </row>
    <row r="279" spans="1:43" s="101" customFormat="1" ht="15" outlineLevel="2" thickBot="1">
      <c r="C279" s="76" t="s">
        <v>992</v>
      </c>
      <c r="D279" s="76"/>
      <c r="E279" s="76"/>
      <c r="F279" s="110"/>
      <c r="G279" s="110"/>
      <c r="H279" s="409">
        <v>14747</v>
      </c>
      <c r="I279" s="409">
        <v>16199</v>
      </c>
      <c r="J279" s="409">
        <v>15040</v>
      </c>
      <c r="K279" s="409">
        <v>12003</v>
      </c>
      <c r="L279" s="409">
        <v>13654.464700000006</v>
      </c>
      <c r="M279" s="409">
        <v>6650.9651063999972</v>
      </c>
      <c r="N279" s="113">
        <f t="shared" ref="N279:S279" si="569">N271*(1-N278)</f>
        <v>12574.106105543142</v>
      </c>
      <c r="O279" s="113">
        <f t="shared" si="569"/>
        <v>12652.253333288638</v>
      </c>
      <c r="P279" s="113">
        <f t="shared" si="569"/>
        <v>12693.874053498799</v>
      </c>
      <c r="Q279" s="113">
        <f t="shared" si="569"/>
        <v>12722.453614709777</v>
      </c>
      <c r="R279" s="113">
        <f t="shared" si="569"/>
        <v>12737.029190927376</v>
      </c>
      <c r="S279" s="113">
        <f t="shared" si="569"/>
        <v>12751.75052290715</v>
      </c>
      <c r="T279" s="525"/>
      <c r="U279" s="1512"/>
      <c r="V279" s="1512"/>
      <c r="W279" s="1512"/>
      <c r="X279" s="1512"/>
      <c r="Y279" s="1512"/>
      <c r="Z279" s="1512"/>
      <c r="AA279" s="1512"/>
      <c r="AI279" s="473"/>
      <c r="AK279" s="1512"/>
      <c r="AL279" s="1512"/>
      <c r="AM279" s="1512"/>
      <c r="AN279" s="1512"/>
      <c r="AO279" s="1512"/>
      <c r="AP279" s="1512"/>
      <c r="AQ279" s="1512"/>
    </row>
    <row r="280" spans="1:43" s="101" customFormat="1" ht="14.5" outlineLevel="2">
      <c r="C280" s="97" t="s">
        <v>659</v>
      </c>
      <c r="H280" s="394">
        <v>-16125</v>
      </c>
      <c r="I280" s="394">
        <v>-18073</v>
      </c>
      <c r="J280" s="394">
        <v>-16194</v>
      </c>
      <c r="K280" s="394">
        <v>-10952</v>
      </c>
      <c r="L280" s="394">
        <v>-12711.079403922993</v>
      </c>
      <c r="M280" s="394">
        <v>-6979.5384608904587</v>
      </c>
      <c r="N280" s="20">
        <f>N281*N247</f>
        <v>-13117.640587817586</v>
      </c>
      <c r="O280" s="20">
        <f>O281*O247</f>
        <v>-12886.830550886649</v>
      </c>
      <c r="P280" s="20">
        <f t="shared" ref="P280" si="570">P281*P247</f>
        <v>-12742.54312659003</v>
      </c>
      <c r="Q280" s="20">
        <f t="shared" ref="Q280" si="571">Q281*Q247</f>
        <v>-12642.364564316164</v>
      </c>
      <c r="R280" s="20">
        <f t="shared" ref="R280" si="572">R281*R247</f>
        <v>-12540.46025347043</v>
      </c>
      <c r="S280" s="20">
        <f t="shared" ref="S280" si="573">S281*S247</f>
        <v>-12443.900048238549</v>
      </c>
      <c r="U280" s="1512"/>
      <c r="V280" s="1512"/>
      <c r="W280" s="1512"/>
      <c r="X280" s="1512"/>
      <c r="Y280" s="1512"/>
      <c r="Z280" s="1512"/>
      <c r="AA280" s="1512"/>
      <c r="AI280" s="473"/>
      <c r="AK280" s="1512"/>
      <c r="AL280" s="1512"/>
      <c r="AM280" s="1512"/>
      <c r="AN280" s="1512"/>
      <c r="AO280" s="1512"/>
      <c r="AP280" s="1512"/>
      <c r="AQ280" s="1512"/>
    </row>
    <row r="281" spans="1:43" s="101" customFormat="1" ht="14.5" outlineLevel="2">
      <c r="C281" s="97"/>
      <c r="D281" s="1" t="s">
        <v>849</v>
      </c>
      <c r="E281" s="1"/>
      <c r="H281" s="394"/>
      <c r="I281" s="1045"/>
      <c r="J281" s="1045">
        <f>J280/J247</f>
        <v>-3.331413289446616</v>
      </c>
      <c r="K281" s="1045">
        <f t="shared" ref="K281" si="574">K280/K247</f>
        <v>-2.7441743923828614</v>
      </c>
      <c r="L281" s="1045">
        <f t="shared" ref="L281" si="575">L280/L247</f>
        <v>-2.7604612606012462</v>
      </c>
      <c r="M281" s="1045">
        <f t="shared" ref="M281" si="576">M280/M247</f>
        <v>-2.8319061128140697</v>
      </c>
      <c r="N281" s="1039">
        <f>M281</f>
        <v>-2.8319061128140697</v>
      </c>
      <c r="O281" s="744">
        <f>N281*(1+O282)</f>
        <v>-2.7710962846027494</v>
      </c>
      <c r="P281" s="744">
        <f t="shared" ref="P281" si="577">O281*(1+P282)</f>
        <v>-2.7356984396565092</v>
      </c>
      <c r="Q281" s="744">
        <f t="shared" ref="Q281" si="578">P281*(1+Q282)</f>
        <v>-2.7112210932280187</v>
      </c>
      <c r="R281" s="744">
        <f t="shared" ref="R281" si="579">Q281*(1+R282)</f>
        <v>-2.6878671740419109</v>
      </c>
      <c r="S281" s="744">
        <f t="shared" ref="S281" si="580">R281*(1+S282)</f>
        <v>-2.6656692258580401</v>
      </c>
      <c r="U281" s="1512"/>
      <c r="V281" s="1512"/>
      <c r="W281" s="1512"/>
      <c r="X281" s="1512"/>
      <c r="Y281" s="1512"/>
      <c r="Z281" s="1512"/>
      <c r="AA281" s="1512"/>
      <c r="AI281" s="473"/>
      <c r="AK281" s="1512"/>
      <c r="AL281" s="1512"/>
      <c r="AM281" s="1512"/>
      <c r="AN281" s="1512"/>
      <c r="AO281" s="1512"/>
      <c r="AP281" s="1512"/>
      <c r="AQ281" s="1512"/>
    </row>
    <row r="282" spans="1:43" s="101" customFormat="1" ht="15" outlineLevel="2" thickBot="1">
      <c r="C282" s="109"/>
      <c r="D282" s="74"/>
      <c r="E282" s="74" t="s">
        <v>151</v>
      </c>
      <c r="H282" s="404"/>
      <c r="I282" s="404"/>
      <c r="J282" s="404"/>
      <c r="K282" s="404"/>
      <c r="L282" s="75">
        <f>L281/J281-1</f>
        <v>-0.17138432828315076</v>
      </c>
      <c r="M282" s="404"/>
      <c r="N282" s="75">
        <f>N281/L281-1</f>
        <v>2.5881490616268321E-2</v>
      </c>
      <c r="O282" s="717">
        <f>CHOOSE(case,V282,AD282,AL282)</f>
        <v>-2.1473108849252576E-2</v>
      </c>
      <c r="P282" s="717">
        <f t="shared" ref="P282" si="581">CHOOSE(case,W282,AE282,AM282)</f>
        <v>-1.2773949841773491E-2</v>
      </c>
      <c r="Q282" s="717">
        <f t="shared" ref="Q282" si="582">CHOOSE(case,X282,AF282,AN282)</f>
        <v>-8.947384724013574E-3</v>
      </c>
      <c r="R282" s="717">
        <f t="shared" ref="R282" si="583">CHOOSE(case,Y282,AG282,AO282)</f>
        <v>-8.6138010818964661E-3</v>
      </c>
      <c r="S282" s="718">
        <f t="shared" ref="S282" si="584">CHOOSE(case,Z282,AH282,AP282)</f>
        <v>-8.2585733395785788E-3</v>
      </c>
      <c r="U282" s="1512"/>
      <c r="V282" s="1512"/>
      <c r="W282" s="1512"/>
      <c r="X282" s="1512"/>
      <c r="Y282" s="1512"/>
      <c r="Z282" s="1512"/>
      <c r="AA282" s="1512"/>
      <c r="AC282" s="829"/>
      <c r="AD282" s="1042">
        <f>(SUMPRODUCT(O260:O263,各区域分剂型成本优化!K$195:K$198)+O264*O270)/(SUMPRODUCT(N260:N263,各区域分剂型成本优化!J$195:J$198)+N264*N270)-1</f>
        <v>-2.1473108849252576E-2</v>
      </c>
      <c r="AE282" s="1042">
        <f>(SUMPRODUCT(P260:P263,各区域分剂型成本优化!L$195:L$198)+P264*P270)/(SUMPRODUCT(O260:O263,各区域分剂型成本优化!K$195:K$198)+O264*O270)-1</f>
        <v>-1.2773949841773491E-2</v>
      </c>
      <c r="AF282" s="1042">
        <f>(SUMPRODUCT(Q260:Q263,各区域分剂型成本优化!M$195:M$198)+Q264*Q270)/(SUMPRODUCT(P260:P263,各区域分剂型成本优化!L$195:L$198)+P264*P270)-1</f>
        <v>-8.947384724013574E-3</v>
      </c>
      <c r="AG282" s="1042">
        <f>(SUMPRODUCT(R260:R263,各区域分剂型成本优化!N$195:N$198)+R264*R270)/(SUMPRODUCT(Q260:Q263,各区域分剂型成本优化!M$195:M$198)+Q264*Q270)-1</f>
        <v>-8.6138010818964661E-3</v>
      </c>
      <c r="AH282" s="1042">
        <f>(SUMPRODUCT(S260:S263,各区域分剂型成本优化!O$195:O$198)+S264*S270)/(SUMPRODUCT(R260:R263,各区域分剂型成本优化!N$195:N$198)+R264*R270)-1</f>
        <v>-8.2585733395785788E-3</v>
      </c>
      <c r="AI282" s="473"/>
      <c r="AK282" s="1512"/>
      <c r="AL282" s="1512"/>
      <c r="AM282" s="1512"/>
      <c r="AN282" s="1512"/>
      <c r="AO282" s="1512"/>
      <c r="AP282" s="1512"/>
      <c r="AQ282" s="1512"/>
    </row>
    <row r="283" spans="1:43" s="101" customFormat="1" ht="15" outlineLevel="2" thickBot="1">
      <c r="C283" s="63" t="s">
        <v>846</v>
      </c>
      <c r="D283" s="63"/>
      <c r="E283" s="63"/>
      <c r="F283" s="110"/>
      <c r="G283" s="110"/>
      <c r="H283" s="77">
        <f>H279+H280</f>
        <v>-1378</v>
      </c>
      <c r="I283" s="77">
        <f t="shared" ref="I283" si="585">I279+I280</f>
        <v>-1874</v>
      </c>
      <c r="J283" s="77">
        <f t="shared" ref="J283" si="586">J279+J280</f>
        <v>-1154</v>
      </c>
      <c r="K283" s="77">
        <f t="shared" ref="K283:L283" si="587">K279+K280</f>
        <v>1051</v>
      </c>
      <c r="L283" s="77">
        <f t="shared" si="587"/>
        <v>943.38529607701275</v>
      </c>
      <c r="M283" s="77">
        <f t="shared" ref="M283:S283" si="588">M279+M280</f>
        <v>-328.5733544904615</v>
      </c>
      <c r="N283" s="77">
        <f t="shared" si="588"/>
        <v>-543.5344822744446</v>
      </c>
      <c r="O283" s="77">
        <f t="shared" si="588"/>
        <v>-234.57721759801098</v>
      </c>
      <c r="P283" s="77">
        <f t="shared" si="588"/>
        <v>-48.66907309123053</v>
      </c>
      <c r="Q283" s="77">
        <f t="shared" si="588"/>
        <v>80.089050393613434</v>
      </c>
      <c r="R283" s="77">
        <f t="shared" si="588"/>
        <v>196.56893745694651</v>
      </c>
      <c r="S283" s="77">
        <f t="shared" si="588"/>
        <v>307.85047466860124</v>
      </c>
      <c r="U283" s="1512"/>
      <c r="V283" s="1512"/>
      <c r="W283" s="1512"/>
      <c r="X283" s="1512"/>
      <c r="Y283" s="1512"/>
      <c r="Z283" s="1512"/>
      <c r="AA283" s="1512"/>
      <c r="AI283" s="473"/>
      <c r="AK283" s="1512"/>
      <c r="AL283" s="1512"/>
      <c r="AM283" s="1512"/>
      <c r="AN283" s="1512"/>
      <c r="AO283" s="1512"/>
      <c r="AP283" s="1512"/>
      <c r="AQ283" s="1512"/>
    </row>
    <row r="284" spans="1:43" s="101" customFormat="1" ht="14.5" outlineLevel="2">
      <c r="C284" s="22" t="s">
        <v>660</v>
      </c>
      <c r="D284" s="18"/>
      <c r="E284" s="18"/>
      <c r="H284" s="94">
        <f>H283/H279</f>
        <v>-9.3442734115413303E-2</v>
      </c>
      <c r="I284" s="94">
        <f t="shared" ref="I284" si="589">I283/I279</f>
        <v>-0.11568615346626335</v>
      </c>
      <c r="J284" s="94">
        <f t="shared" ref="J284" si="590">J283/J279</f>
        <v>-7.6728723404255322E-2</v>
      </c>
      <c r="K284" s="94">
        <f t="shared" ref="K284:L284" si="591">K283/K279</f>
        <v>8.7561442972590192E-2</v>
      </c>
      <c r="L284" s="94">
        <f t="shared" si="591"/>
        <v>6.908987769231352E-2</v>
      </c>
      <c r="M284" s="94">
        <f t="shared" ref="M284:S284" si="592">M283/M279</f>
        <v>-4.9402357287108081E-2</v>
      </c>
      <c r="N284" s="94">
        <f t="shared" si="592"/>
        <v>-4.3226490830615312E-2</v>
      </c>
      <c r="O284" s="94">
        <f t="shared" si="592"/>
        <v>-1.8540350988770351E-2</v>
      </c>
      <c r="P284" s="94">
        <f t="shared" si="592"/>
        <v>-3.834059869044937E-3</v>
      </c>
      <c r="Q284" s="94">
        <f t="shared" si="592"/>
        <v>6.2950947057110115E-3</v>
      </c>
      <c r="R284" s="94">
        <f t="shared" si="592"/>
        <v>1.543287170896673E-2</v>
      </c>
      <c r="S284" s="94">
        <f t="shared" si="592"/>
        <v>2.4141820694780762E-2</v>
      </c>
      <c r="T284" s="1321"/>
      <c r="U284" s="1526">
        <f>AC284+0.3%</f>
        <v>3.0000000000000001E-3</v>
      </c>
      <c r="V284" s="1526">
        <f t="shared" ref="V284" si="593">AD284+0.3%</f>
        <v>3.0000000000000001E-3</v>
      </c>
      <c r="W284" s="1526">
        <f t="shared" ref="W284" si="594">AE284+0.3%</f>
        <v>3.0000000000000001E-3</v>
      </c>
      <c r="X284" s="1526">
        <f t="shared" ref="X284" si="595">AF284+0.3%</f>
        <v>3.0000000000000001E-3</v>
      </c>
      <c r="Y284" s="1526">
        <f t="shared" ref="Y284" si="596">AG284+0.3%</f>
        <v>3.0000000000000001E-3</v>
      </c>
      <c r="Z284" s="1526">
        <f t="shared" ref="Z284" si="597">AH284+0.3%</f>
        <v>3.0000000000000001E-3</v>
      </c>
      <c r="AA284" s="1515"/>
      <c r="AB284" s="1321"/>
      <c r="AC284" s="829"/>
      <c r="AD284" s="829"/>
      <c r="AE284" s="829"/>
      <c r="AF284" s="829"/>
      <c r="AG284" s="829"/>
      <c r="AH284" s="829"/>
      <c r="AI284" s="415"/>
      <c r="AJ284" s="1321"/>
      <c r="AK284" s="1526">
        <f>AC284-0.3%</f>
        <v>-3.0000000000000001E-3</v>
      </c>
      <c r="AL284" s="1526">
        <f t="shared" ref="AL284" si="598">AD284-0.3%</f>
        <v>-3.0000000000000001E-3</v>
      </c>
      <c r="AM284" s="1526">
        <f t="shared" ref="AM284" si="599">AE284-0.3%</f>
        <v>-3.0000000000000001E-3</v>
      </c>
      <c r="AN284" s="1526">
        <f t="shared" ref="AN284" si="600">AF284-0.3%</f>
        <v>-3.0000000000000001E-3</v>
      </c>
      <c r="AO284" s="1526">
        <f t="shared" ref="AO284" si="601">AG284-0.3%</f>
        <v>-3.0000000000000001E-3</v>
      </c>
      <c r="AP284" s="1526">
        <f t="shared" ref="AP284" si="602">AH284-0.3%</f>
        <v>-3.0000000000000001E-3</v>
      </c>
      <c r="AQ284" s="1515"/>
    </row>
    <row r="285" spans="1:43" ht="14.5" outlineLevel="2">
      <c r="AI285" s="424"/>
    </row>
    <row r="286" spans="1:43" s="1126" customFormat="1" ht="14.5" outlineLevel="2">
      <c r="A286" s="26" t="s">
        <v>8</v>
      </c>
      <c r="B286" s="26"/>
      <c r="C286" s="26" t="s">
        <v>176</v>
      </c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U286" s="1518"/>
      <c r="V286" s="1518"/>
      <c r="W286" s="1518"/>
      <c r="X286" s="1518"/>
      <c r="Y286" s="1518"/>
      <c r="Z286" s="1518"/>
      <c r="AA286" s="1518"/>
      <c r="AC286" s="26"/>
      <c r="AD286" s="26"/>
      <c r="AE286" s="26"/>
      <c r="AF286" s="26"/>
      <c r="AG286" s="26"/>
      <c r="AH286" s="26"/>
      <c r="AI286" s="474"/>
      <c r="AK286" s="1518"/>
      <c r="AL286" s="1518"/>
      <c r="AM286" s="1518"/>
      <c r="AN286" s="1518"/>
      <c r="AO286" s="1518"/>
      <c r="AP286" s="1518"/>
      <c r="AQ286" s="1518"/>
    </row>
    <row r="287" spans="1:43" ht="14.5" outlineLevel="2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1020">
        <f>L312/K312</f>
        <v>1.101347444614738</v>
      </c>
      <c r="M287" s="1020">
        <f>M312/K312</f>
        <v>0.55104269567972075</v>
      </c>
      <c r="N287" s="99"/>
      <c r="O287" s="99"/>
      <c r="P287" s="99"/>
      <c r="Q287" s="99"/>
      <c r="R287" s="99"/>
      <c r="S287" s="99"/>
      <c r="AI287" s="424"/>
    </row>
    <row r="288" spans="1:43" s="99" customFormat="1" ht="14.5" outlineLevel="2">
      <c r="C288" s="18" t="s">
        <v>840</v>
      </c>
      <c r="D288" s="18"/>
      <c r="E288" s="18"/>
      <c r="H288" s="99">
        <f>SUM(H289:H293)</f>
        <v>0</v>
      </c>
      <c r="I288" s="99">
        <f t="shared" ref="I288" si="603">SUM(I289:I293)</f>
        <v>0</v>
      </c>
      <c r="J288" s="99">
        <f t="shared" ref="J288" si="604">SUM(J289:J293)</f>
        <v>0</v>
      </c>
      <c r="K288" s="99">
        <f t="shared" ref="K288" si="605">SUM(K289:K293)</f>
        <v>5167</v>
      </c>
      <c r="L288" s="23">
        <f>SUM(L289:L293)</f>
        <v>5690.6622463243521</v>
      </c>
      <c r="M288" s="23">
        <f>SUM(M289:M293)</f>
        <v>2847.237608577117</v>
      </c>
      <c r="N288" s="23">
        <f t="shared" ref="N288:S288" si="606">SUM(N289:N293)</f>
        <v>5882.5169711762392</v>
      </c>
      <c r="O288" s="23">
        <f t="shared" si="606"/>
        <v>6027.9278742887227</v>
      </c>
      <c r="P288" s="23">
        <f t="shared" si="606"/>
        <v>6207.1871492250184</v>
      </c>
      <c r="Q288" s="23">
        <f t="shared" si="606"/>
        <v>6424.9581852132651</v>
      </c>
      <c r="R288" s="23">
        <f t="shared" si="606"/>
        <v>6651.4440907312128</v>
      </c>
      <c r="S288" s="23">
        <f t="shared" si="606"/>
        <v>6887.0153987872545</v>
      </c>
      <c r="T288" s="1126"/>
      <c r="U288" s="1519">
        <f>$L288*(1+$AA288)</f>
        <v>6089.0086035670574</v>
      </c>
      <c r="V288" s="1519">
        <f>U288*(1+$AA288)</f>
        <v>6515.2392058167516</v>
      </c>
      <c r="W288" s="1519">
        <f t="shared" ref="W288:Z288" si="607">V288*(1+$AA288)</f>
        <v>6971.3059502239248</v>
      </c>
      <c r="X288" s="1519">
        <f t="shared" si="607"/>
        <v>7459.2973667396</v>
      </c>
      <c r="Y288" s="1519">
        <f t="shared" si="607"/>
        <v>7981.4481824113727</v>
      </c>
      <c r="Z288" s="1519">
        <f t="shared" si="607"/>
        <v>8540.149555180169</v>
      </c>
      <c r="AA288" s="1520">
        <v>7.0000000000000007E-2</v>
      </c>
      <c r="AB288" s="1321"/>
      <c r="AC288" s="20"/>
      <c r="AD288" s="20"/>
      <c r="AE288" s="20"/>
      <c r="AF288" s="20"/>
      <c r="AG288" s="20"/>
      <c r="AH288" s="20"/>
      <c r="AI288" s="472"/>
      <c r="AJ288" s="1321"/>
      <c r="AK288" s="1519">
        <f>$L288*(1+$AQ288)</f>
        <v>5861.3821137140831</v>
      </c>
      <c r="AL288" s="1519">
        <f>AK288*(1+$AQ288)</f>
        <v>6037.2235771255055</v>
      </c>
      <c r="AM288" s="1519">
        <f t="shared" ref="AM288:AN288" si="608">AL288*(1+$AQ288)</f>
        <v>6218.3402844392704</v>
      </c>
      <c r="AN288" s="1519">
        <f t="shared" si="608"/>
        <v>6404.8904929724486</v>
      </c>
      <c r="AO288" s="1519">
        <f>AN288*(1+$AQ288)</f>
        <v>6597.0372077616221</v>
      </c>
      <c r="AP288" s="1519">
        <f t="shared" ref="AP288" si="609">AO288*(1+$AQ288)</f>
        <v>6794.9483239944711</v>
      </c>
      <c r="AQ288" s="1520">
        <v>0.03</v>
      </c>
    </row>
    <row r="289" spans="1:43" s="101" customFormat="1" ht="14.5" outlineLevel="2">
      <c r="C289" s="1"/>
      <c r="D289" s="27" t="s">
        <v>841</v>
      </c>
      <c r="E289" s="28"/>
      <c r="F289" s="28"/>
      <c r="G289" s="28"/>
      <c r="H289" s="114"/>
      <c r="I289" s="114"/>
      <c r="J289" s="114"/>
      <c r="K289" s="398">
        <v>57</v>
      </c>
      <c r="L289" s="29">
        <f>L313/L307</f>
        <v>62.776804343040062</v>
      </c>
      <c r="M289" s="29">
        <f>M313/M307</f>
        <v>31.409433653744085</v>
      </c>
      <c r="N289" s="703">
        <f>L289*(1+N295)</f>
        <v>75.332165211648075</v>
      </c>
      <c r="O289" s="29">
        <f>N289*(1+O295)</f>
        <v>86.63198999339528</v>
      </c>
      <c r="P289" s="29">
        <f t="shared" ref="P289:P293" si="610">O289*(1+P295)</f>
        <v>90.963589493065044</v>
      </c>
      <c r="Q289" s="29">
        <f t="shared" ref="Q289:Q293" si="611">P289*(1+Q295)</f>
        <v>90.963589493065044</v>
      </c>
      <c r="R289" s="29">
        <f t="shared" ref="R289:R293" si="612">Q289*(1+R295)</f>
        <v>90.963589493065044</v>
      </c>
      <c r="S289" s="30">
        <f t="shared" ref="S289:S293" si="613">R289*(1+S295)</f>
        <v>90.963589493065044</v>
      </c>
      <c r="T289" s="1205"/>
      <c r="U289" s="1515"/>
      <c r="V289" s="1515"/>
      <c r="W289" s="1515"/>
      <c r="X289" s="1515"/>
      <c r="Y289" s="1515"/>
      <c r="Z289" s="1515"/>
      <c r="AA289" s="1515"/>
      <c r="AB289" s="1321"/>
      <c r="AC289" s="1"/>
      <c r="AD289" s="1"/>
      <c r="AE289" s="1"/>
      <c r="AF289" s="1"/>
      <c r="AG289" s="1"/>
      <c r="AH289" s="1"/>
      <c r="AI289" s="415"/>
      <c r="AJ289" s="1321"/>
      <c r="AK289" s="1515"/>
      <c r="AL289" s="1515"/>
      <c r="AM289" s="1515"/>
      <c r="AN289" s="1515"/>
      <c r="AO289" s="1515"/>
      <c r="AP289" s="1515"/>
      <c r="AQ289" s="1515"/>
    </row>
    <row r="290" spans="1:43" ht="14.5" outlineLevel="2">
      <c r="C290" s="1"/>
      <c r="D290" s="31" t="s">
        <v>842</v>
      </c>
      <c r="E290" s="1"/>
      <c r="F290" s="1"/>
      <c r="G290" s="1"/>
      <c r="H290" s="115"/>
      <c r="I290" s="115"/>
      <c r="J290" s="115"/>
      <c r="K290" s="400">
        <v>6</v>
      </c>
      <c r="L290" s="20">
        <f t="shared" ref="L290:M293" si="614">L314/L308</f>
        <v>6.6080846676884279</v>
      </c>
      <c r="M290" s="20">
        <f t="shared" si="614"/>
        <v>3.3062561740783245</v>
      </c>
      <c r="N290" s="704">
        <f t="shared" ref="N290:N293" si="615">L290*(1+N296)</f>
        <v>6.6080846676884279</v>
      </c>
      <c r="O290" s="20">
        <f t="shared" ref="O290:O293" si="616">N290*(1+O296)</f>
        <v>6.9384889010728497</v>
      </c>
      <c r="P290" s="20">
        <f t="shared" si="610"/>
        <v>7.2854133461264921</v>
      </c>
      <c r="Q290" s="20">
        <f t="shared" si="611"/>
        <v>7.6496840134328172</v>
      </c>
      <c r="R290" s="20">
        <f t="shared" si="612"/>
        <v>8.032168214104459</v>
      </c>
      <c r="S290" s="32">
        <f t="shared" si="613"/>
        <v>8.433776624809683</v>
      </c>
      <c r="T290" s="1321"/>
      <c r="U290" s="1515"/>
      <c r="V290" s="1515"/>
      <c r="W290" s="1515"/>
      <c r="X290" s="1515"/>
      <c r="Y290" s="1515"/>
      <c r="Z290" s="1515"/>
      <c r="AA290" s="1515"/>
      <c r="AB290" s="1321"/>
      <c r="AC290" s="1"/>
      <c r="AD290" s="1"/>
      <c r="AE290" s="1"/>
      <c r="AF290" s="1"/>
      <c r="AG290" s="1"/>
      <c r="AH290" s="1"/>
      <c r="AI290" s="415"/>
      <c r="AJ290" s="1321"/>
      <c r="AK290" s="1515"/>
      <c r="AL290" s="1515"/>
      <c r="AM290" s="1515"/>
      <c r="AN290" s="1515"/>
      <c r="AO290" s="1515"/>
      <c r="AP290" s="1515"/>
      <c r="AQ290" s="1515"/>
    </row>
    <row r="291" spans="1:43" ht="14.5" outlineLevel="2">
      <c r="C291" s="1"/>
      <c r="D291" s="31" t="s">
        <v>843</v>
      </c>
      <c r="E291" s="1"/>
      <c r="F291" s="1"/>
      <c r="G291" s="1"/>
      <c r="H291" s="115"/>
      <c r="I291" s="115"/>
      <c r="J291" s="115"/>
      <c r="K291" s="400">
        <v>1628</v>
      </c>
      <c r="L291" s="20">
        <f t="shared" si="614"/>
        <v>1792.9936398327934</v>
      </c>
      <c r="M291" s="20">
        <f t="shared" si="614"/>
        <v>897.09750856658525</v>
      </c>
      <c r="N291" s="704">
        <f t="shared" si="615"/>
        <v>1972.293003816073</v>
      </c>
      <c r="O291" s="20">
        <f t="shared" si="616"/>
        <v>2070.9076540068768</v>
      </c>
      <c r="P291" s="20">
        <f t="shared" si="610"/>
        <v>2174.4530367072207</v>
      </c>
      <c r="Q291" s="20">
        <f t="shared" si="611"/>
        <v>2283.1756885425816</v>
      </c>
      <c r="R291" s="20">
        <f t="shared" si="612"/>
        <v>2397.334472969711</v>
      </c>
      <c r="S291" s="32">
        <f t="shared" si="613"/>
        <v>2517.2011966181967</v>
      </c>
      <c r="T291" s="1321"/>
      <c r="U291" s="1515"/>
      <c r="V291" s="1515"/>
      <c r="W291" s="1515"/>
      <c r="X291" s="1515"/>
      <c r="Y291" s="1515"/>
      <c r="Z291" s="1515"/>
      <c r="AA291" s="1515"/>
      <c r="AB291" s="1321"/>
      <c r="AC291" s="1"/>
      <c r="AD291" s="1"/>
      <c r="AE291" s="1"/>
      <c r="AF291" s="1"/>
      <c r="AG291" s="1"/>
      <c r="AH291" s="1"/>
      <c r="AI291" s="415"/>
      <c r="AJ291" s="1321"/>
      <c r="AK291" s="1515"/>
      <c r="AL291" s="1515"/>
      <c r="AM291" s="1515"/>
      <c r="AN291" s="1515"/>
      <c r="AO291" s="1515"/>
      <c r="AP291" s="1515"/>
      <c r="AQ291" s="1515"/>
    </row>
    <row r="292" spans="1:43" ht="14.5" outlineLevel="2">
      <c r="C292" s="1"/>
      <c r="D292" s="31" t="s">
        <v>844</v>
      </c>
      <c r="E292" s="1"/>
      <c r="F292" s="1"/>
      <c r="G292" s="1"/>
      <c r="H292" s="115"/>
      <c r="I292" s="115"/>
      <c r="J292" s="115"/>
      <c r="K292" s="400">
        <v>3193</v>
      </c>
      <c r="L292" s="20">
        <f t="shared" si="614"/>
        <v>3516.6023906548585</v>
      </c>
      <c r="M292" s="20">
        <f t="shared" si="614"/>
        <v>1759.4793273053483</v>
      </c>
      <c r="N292" s="704">
        <f t="shared" si="615"/>
        <v>3516.6023906548585</v>
      </c>
      <c r="O292" s="20">
        <f t="shared" si="616"/>
        <v>3551.7684145614071</v>
      </c>
      <c r="P292" s="20">
        <f t="shared" si="610"/>
        <v>3622.8037828526353</v>
      </c>
      <c r="Q292" s="20">
        <f t="shared" si="611"/>
        <v>3731.4878963382143</v>
      </c>
      <c r="R292" s="20">
        <f t="shared" si="612"/>
        <v>3843.4325332283611</v>
      </c>
      <c r="S292" s="32">
        <f t="shared" si="613"/>
        <v>3958.7355092252119</v>
      </c>
      <c r="T292" s="1321"/>
      <c r="U292" s="1515"/>
      <c r="V292" s="1515"/>
      <c r="W292" s="1515"/>
      <c r="X292" s="1515"/>
      <c r="Y292" s="1515"/>
      <c r="Z292" s="1515"/>
      <c r="AA292" s="1515"/>
      <c r="AB292" s="1321"/>
      <c r="AC292" s="1"/>
      <c r="AD292" s="1"/>
      <c r="AE292" s="1"/>
      <c r="AF292" s="1"/>
      <c r="AG292" s="1"/>
      <c r="AH292" s="1"/>
      <c r="AI292" s="415"/>
      <c r="AJ292" s="1321"/>
      <c r="AK292" s="1515"/>
      <c r="AL292" s="1515"/>
      <c r="AM292" s="1515"/>
      <c r="AN292" s="1515"/>
      <c r="AO292" s="1515"/>
      <c r="AP292" s="1515"/>
      <c r="AQ292" s="1515"/>
    </row>
    <row r="293" spans="1:43" ht="14.5" outlineLevel="2">
      <c r="C293" s="1"/>
      <c r="D293" s="33" t="s">
        <v>665</v>
      </c>
      <c r="E293" s="34"/>
      <c r="F293" s="34"/>
      <c r="G293" s="34"/>
      <c r="H293" s="116"/>
      <c r="I293" s="116"/>
      <c r="J293" s="116"/>
      <c r="K293" s="402">
        <v>283</v>
      </c>
      <c r="L293" s="35">
        <f t="shared" si="614"/>
        <v>311.68132682597081</v>
      </c>
      <c r="M293" s="35">
        <f t="shared" si="614"/>
        <v>155.94508287736096</v>
      </c>
      <c r="N293" s="705">
        <f t="shared" si="615"/>
        <v>311.68132682597081</v>
      </c>
      <c r="O293" s="35">
        <f t="shared" si="616"/>
        <v>311.68132682597081</v>
      </c>
      <c r="P293" s="35">
        <f t="shared" si="610"/>
        <v>311.68132682597081</v>
      </c>
      <c r="Q293" s="35">
        <f t="shared" si="611"/>
        <v>311.68132682597081</v>
      </c>
      <c r="R293" s="35">
        <f t="shared" si="612"/>
        <v>311.68132682597081</v>
      </c>
      <c r="S293" s="36">
        <f t="shared" si="613"/>
        <v>311.68132682597081</v>
      </c>
      <c r="T293" s="1321"/>
      <c r="U293" s="1515"/>
      <c r="V293" s="1515"/>
      <c r="W293" s="1515"/>
      <c r="X293" s="1515"/>
      <c r="Y293" s="1515"/>
      <c r="Z293" s="1515"/>
      <c r="AA293" s="1515"/>
      <c r="AB293" s="1321"/>
      <c r="AC293" s="448"/>
      <c r="AD293" s="448"/>
      <c r="AE293" s="448"/>
      <c r="AF293" s="448"/>
      <c r="AG293" s="448"/>
      <c r="AH293" s="448"/>
      <c r="AI293" s="415"/>
      <c r="AJ293" s="1321"/>
      <c r="AK293" s="1515"/>
      <c r="AL293" s="1515"/>
      <c r="AM293" s="1515"/>
      <c r="AN293" s="1515"/>
      <c r="AO293" s="1515"/>
      <c r="AP293" s="1515"/>
      <c r="AQ293" s="1515"/>
    </row>
    <row r="294" spans="1:43" s="1365" customFormat="1" ht="14.5" outlineLevel="3">
      <c r="A294" s="22"/>
      <c r="B294" s="22"/>
      <c r="C294" s="22" t="s">
        <v>847</v>
      </c>
      <c r="D294" s="22"/>
      <c r="E294" s="22"/>
      <c r="F294" s="22"/>
      <c r="G294" s="22"/>
      <c r="H294" s="219"/>
      <c r="I294" s="24"/>
      <c r="J294" s="24"/>
      <c r="K294" s="24"/>
      <c r="L294" s="754"/>
      <c r="M294" s="24"/>
      <c r="N294" s="24">
        <f>N288/L288-1</f>
        <v>3.3713953938455443E-2</v>
      </c>
      <c r="O294" s="24">
        <f>O288/N288-1</f>
        <v>2.4719164232756663E-2</v>
      </c>
      <c r="P294" s="24">
        <f t="shared" ref="P294" si="617">P288/O288-1</f>
        <v>2.9738125384827674E-2</v>
      </c>
      <c r="Q294" s="24">
        <f t="shared" ref="Q294" si="618">Q288/P288-1</f>
        <v>3.5083691010578955E-2</v>
      </c>
      <c r="R294" s="24">
        <f t="shared" ref="R294" si="619">R288/Q288-1</f>
        <v>3.5250954012306934E-2</v>
      </c>
      <c r="S294" s="24">
        <f t="shared" ref="S294" si="620">S288/R288-1</f>
        <v>3.5416565913003906E-2</v>
      </c>
      <c r="T294" s="726"/>
      <c r="U294" s="1521"/>
      <c r="V294" s="1521"/>
      <c r="W294" s="1521"/>
      <c r="X294" s="1521"/>
      <c r="Y294" s="1521"/>
      <c r="Z294" s="1521"/>
      <c r="AA294" s="1522"/>
      <c r="AC294" s="219"/>
      <c r="AD294" s="219"/>
      <c r="AE294" s="219"/>
      <c r="AF294" s="219"/>
      <c r="AG294" s="219"/>
      <c r="AH294" s="219"/>
      <c r="AI294" s="706"/>
      <c r="AK294" s="1521"/>
      <c r="AL294" s="1521"/>
      <c r="AM294" s="1521"/>
      <c r="AN294" s="1521"/>
      <c r="AO294" s="1521"/>
      <c r="AP294" s="1521"/>
      <c r="AQ294" s="1522"/>
    </row>
    <row r="295" spans="1:43" s="1365" customFormat="1" ht="14.5" outlineLevel="3">
      <c r="A295" s="22"/>
      <c r="B295" s="22"/>
      <c r="C295" s="22"/>
      <c r="D295" s="707" t="s">
        <v>841</v>
      </c>
      <c r="E295" s="708"/>
      <c r="F295" s="708"/>
      <c r="G295" s="708"/>
      <c r="H295" s="709"/>
      <c r="I295" s="710"/>
      <c r="J295" s="710"/>
      <c r="K295" s="710"/>
      <c r="L295" s="1040"/>
      <c r="M295" s="710"/>
      <c r="N295" s="711">
        <f t="shared" ref="N295:N299" si="621">CHOOSE(case,U295,AC295,AK295)</f>
        <v>0.2</v>
      </c>
      <c r="O295" s="712">
        <f t="shared" ref="O295:O299" si="622">CHOOSE(case,V295,AD295,AL295)</f>
        <v>0.15000000000000002</v>
      </c>
      <c r="P295" s="712">
        <f t="shared" ref="P295:P299" si="623">CHOOSE(case,W295,AE295,AM295)</f>
        <v>0.05</v>
      </c>
      <c r="Q295" s="712">
        <f t="shared" ref="Q295:Q299" si="624">CHOOSE(case,X295,AF295,AN295)</f>
        <v>0</v>
      </c>
      <c r="R295" s="712">
        <f t="shared" ref="R295:R299" si="625">CHOOSE(case,Y295,AG295,AO295)</f>
        <v>0</v>
      </c>
      <c r="S295" s="713">
        <f t="shared" ref="S295:S299" si="626">CHOOSE(case,Z295,AH295,AP295)</f>
        <v>0</v>
      </c>
      <c r="T295" s="726"/>
      <c r="U295" s="1521"/>
      <c r="V295" s="1521"/>
      <c r="W295" s="1521"/>
      <c r="X295" s="1521"/>
      <c r="Y295" s="1521"/>
      <c r="Z295" s="1521"/>
      <c r="AA295" s="1523"/>
      <c r="AC295" s="714">
        <v>0.2</v>
      </c>
      <c r="AD295" s="714">
        <f>AC295-5%</f>
        <v>0.15000000000000002</v>
      </c>
      <c r="AE295" s="714">
        <v>0.05</v>
      </c>
      <c r="AF295" s="714">
        <f t="shared" ref="AF295" si="627">AE295-5%</f>
        <v>0</v>
      </c>
      <c r="AG295" s="714">
        <v>0</v>
      </c>
      <c r="AH295" s="714">
        <v>0</v>
      </c>
      <c r="AI295" s="22"/>
      <c r="AK295" s="1521"/>
      <c r="AL295" s="1521"/>
      <c r="AM295" s="1521"/>
      <c r="AN295" s="1521"/>
      <c r="AO295" s="1521"/>
      <c r="AP295" s="1521"/>
      <c r="AQ295" s="1523"/>
    </row>
    <row r="296" spans="1:43" s="1365" customFormat="1" ht="14.5" outlineLevel="3">
      <c r="A296" s="22"/>
      <c r="B296" s="22"/>
      <c r="C296" s="22"/>
      <c r="D296" s="715" t="s">
        <v>842</v>
      </c>
      <c r="E296" s="22"/>
      <c r="F296" s="22"/>
      <c r="G296" s="22"/>
      <c r="H296" s="219"/>
      <c r="I296" s="175"/>
      <c r="J296" s="175"/>
      <c r="K296" s="175"/>
      <c r="L296" s="1040"/>
      <c r="M296" s="175"/>
      <c r="N296" s="716">
        <f t="shared" si="621"/>
        <v>0</v>
      </c>
      <c r="O296" s="717">
        <f t="shared" si="622"/>
        <v>0.05</v>
      </c>
      <c r="P296" s="717">
        <f t="shared" si="623"/>
        <v>0.05</v>
      </c>
      <c r="Q296" s="717">
        <f t="shared" si="624"/>
        <v>0.05</v>
      </c>
      <c r="R296" s="717">
        <f t="shared" si="625"/>
        <v>0.05</v>
      </c>
      <c r="S296" s="718">
        <f t="shared" si="626"/>
        <v>0.05</v>
      </c>
      <c r="T296" s="726"/>
      <c r="U296" s="1521"/>
      <c r="V296" s="1521"/>
      <c r="W296" s="1521"/>
      <c r="X296" s="1521"/>
      <c r="Y296" s="1521"/>
      <c r="Z296" s="1521"/>
      <c r="AA296" s="1523"/>
      <c r="AC296" s="714">
        <v>0</v>
      </c>
      <c r="AD296" s="714">
        <v>0.05</v>
      </c>
      <c r="AE296" s="714">
        <v>0.05</v>
      </c>
      <c r="AF296" s="714">
        <v>0.05</v>
      </c>
      <c r="AG296" s="714">
        <v>0.05</v>
      </c>
      <c r="AH296" s="714">
        <v>0.05</v>
      </c>
      <c r="AI296" s="22"/>
      <c r="AK296" s="1521"/>
      <c r="AL296" s="1521"/>
      <c r="AM296" s="1521"/>
      <c r="AN296" s="1521"/>
      <c r="AO296" s="1521"/>
      <c r="AP296" s="1521"/>
      <c r="AQ296" s="1523"/>
    </row>
    <row r="297" spans="1:43" s="1365" customFormat="1" ht="14.5" outlineLevel="3">
      <c r="A297" s="22"/>
      <c r="B297" s="22"/>
      <c r="C297" s="22"/>
      <c r="D297" s="715" t="s">
        <v>843</v>
      </c>
      <c r="E297" s="22"/>
      <c r="F297" s="22"/>
      <c r="G297" s="22"/>
      <c r="H297" s="219"/>
      <c r="I297" s="175"/>
      <c r="J297" s="175"/>
      <c r="K297" s="175"/>
      <c r="L297" s="1040"/>
      <c r="M297" s="175"/>
      <c r="N297" s="716">
        <f t="shared" si="621"/>
        <v>0.1</v>
      </c>
      <c r="O297" s="717">
        <f t="shared" si="622"/>
        <v>0.05</v>
      </c>
      <c r="P297" s="717">
        <f t="shared" si="623"/>
        <v>0.05</v>
      </c>
      <c r="Q297" s="717">
        <f t="shared" si="624"/>
        <v>0.05</v>
      </c>
      <c r="R297" s="717">
        <f t="shared" si="625"/>
        <v>0.05</v>
      </c>
      <c r="S297" s="718">
        <f t="shared" si="626"/>
        <v>0.05</v>
      </c>
      <c r="T297" s="726"/>
      <c r="U297" s="1521"/>
      <c r="V297" s="1521"/>
      <c r="W297" s="1521"/>
      <c r="X297" s="1521"/>
      <c r="Y297" s="1521"/>
      <c r="Z297" s="1521"/>
      <c r="AA297" s="1523"/>
      <c r="AC297" s="714">
        <v>0.1</v>
      </c>
      <c r="AD297" s="714">
        <v>0.05</v>
      </c>
      <c r="AE297" s="714">
        <v>0.05</v>
      </c>
      <c r="AF297" s="714">
        <v>0.05</v>
      </c>
      <c r="AG297" s="714">
        <v>0.05</v>
      </c>
      <c r="AH297" s="714">
        <v>0.05</v>
      </c>
      <c r="AI297" s="22"/>
      <c r="AK297" s="1521"/>
      <c r="AL297" s="1521"/>
      <c r="AM297" s="1521"/>
      <c r="AN297" s="1521"/>
      <c r="AO297" s="1521"/>
      <c r="AP297" s="1521"/>
      <c r="AQ297" s="1523"/>
    </row>
    <row r="298" spans="1:43" s="1365" customFormat="1" ht="14.5" outlineLevel="3">
      <c r="A298" s="22"/>
      <c r="B298" s="22"/>
      <c r="C298" s="22"/>
      <c r="D298" s="715" t="s">
        <v>844</v>
      </c>
      <c r="E298" s="22"/>
      <c r="F298" s="22"/>
      <c r="G298" s="22"/>
      <c r="H298" s="219"/>
      <c r="I298" s="175"/>
      <c r="J298" s="175"/>
      <c r="K298" s="175"/>
      <c r="L298" s="1040"/>
      <c r="M298" s="175"/>
      <c r="N298" s="716">
        <f t="shared" si="621"/>
        <v>0</v>
      </c>
      <c r="O298" s="717">
        <f t="shared" si="622"/>
        <v>0.01</v>
      </c>
      <c r="P298" s="717">
        <f t="shared" si="623"/>
        <v>0.02</v>
      </c>
      <c r="Q298" s="717">
        <f t="shared" si="624"/>
        <v>0.03</v>
      </c>
      <c r="R298" s="717">
        <f t="shared" si="625"/>
        <v>0.03</v>
      </c>
      <c r="S298" s="718">
        <f t="shared" si="626"/>
        <v>0.03</v>
      </c>
      <c r="T298" s="726"/>
      <c r="U298" s="1521"/>
      <c r="V298" s="1521"/>
      <c r="W298" s="1521"/>
      <c r="X298" s="1521"/>
      <c r="Y298" s="1521"/>
      <c r="Z298" s="1521"/>
      <c r="AA298" s="1523"/>
      <c r="AC298" s="714">
        <v>0</v>
      </c>
      <c r="AD298" s="714">
        <v>0.01</v>
      </c>
      <c r="AE298" s="714">
        <v>0.02</v>
      </c>
      <c r="AF298" s="714">
        <v>0.03</v>
      </c>
      <c r="AG298" s="714">
        <v>0.03</v>
      </c>
      <c r="AH298" s="714">
        <v>0.03</v>
      </c>
      <c r="AI298" s="22"/>
      <c r="AK298" s="1521"/>
      <c r="AL298" s="1521"/>
      <c r="AM298" s="1521"/>
      <c r="AN298" s="1521"/>
      <c r="AO298" s="1521"/>
      <c r="AP298" s="1521"/>
      <c r="AQ298" s="1523"/>
    </row>
    <row r="299" spans="1:43" s="1365" customFormat="1" ht="14.5" outlineLevel="3">
      <c r="A299" s="22"/>
      <c r="B299" s="22"/>
      <c r="C299" s="22"/>
      <c r="D299" s="719" t="s">
        <v>665</v>
      </c>
      <c r="E299" s="720"/>
      <c r="F299" s="720"/>
      <c r="G299" s="720"/>
      <c r="H299" s="721"/>
      <c r="I299" s="722"/>
      <c r="J299" s="722"/>
      <c r="K299" s="722"/>
      <c r="L299" s="1041"/>
      <c r="M299" s="722"/>
      <c r="N299" s="723">
        <f t="shared" si="621"/>
        <v>0</v>
      </c>
      <c r="O299" s="724">
        <f t="shared" si="622"/>
        <v>0</v>
      </c>
      <c r="P299" s="724">
        <f t="shared" si="623"/>
        <v>0</v>
      </c>
      <c r="Q299" s="724">
        <f t="shared" si="624"/>
        <v>0</v>
      </c>
      <c r="R299" s="724">
        <f t="shared" si="625"/>
        <v>0</v>
      </c>
      <c r="S299" s="725">
        <f t="shared" si="626"/>
        <v>0</v>
      </c>
      <c r="T299" s="726"/>
      <c r="U299" s="1521"/>
      <c r="V299" s="1521"/>
      <c r="W299" s="1521"/>
      <c r="X299" s="1521"/>
      <c r="Y299" s="1521"/>
      <c r="Z299" s="1521"/>
      <c r="AA299" s="1523"/>
      <c r="AC299" s="714">
        <v>0</v>
      </c>
      <c r="AD299" s="714">
        <v>0</v>
      </c>
      <c r="AE299" s="714">
        <v>0</v>
      </c>
      <c r="AF299" s="714">
        <v>0</v>
      </c>
      <c r="AG299" s="714">
        <v>0</v>
      </c>
      <c r="AH299" s="714">
        <v>0</v>
      </c>
      <c r="AI299" s="22"/>
      <c r="AK299" s="1521"/>
      <c r="AL299" s="1521"/>
      <c r="AM299" s="1521"/>
      <c r="AN299" s="1521"/>
      <c r="AO299" s="1521"/>
      <c r="AP299" s="1521"/>
      <c r="AQ299" s="1523"/>
    </row>
    <row r="300" spans="1:43" s="1365" customFormat="1" ht="14.5" outlineLevel="3">
      <c r="A300" s="22"/>
      <c r="B300" s="22"/>
      <c r="C300" s="22" t="s">
        <v>848</v>
      </c>
      <c r="D300" s="22"/>
      <c r="E300" s="22"/>
      <c r="F300" s="22"/>
      <c r="G300" s="22"/>
      <c r="H300" s="24"/>
      <c r="I300" s="24"/>
      <c r="J300" s="24"/>
      <c r="K300" s="24">
        <f>K288/K$288</f>
        <v>1</v>
      </c>
      <c r="L300" s="24">
        <f t="shared" ref="L300:S300" si="628">L288/L$288</f>
        <v>1</v>
      </c>
      <c r="M300" s="24">
        <f t="shared" si="628"/>
        <v>1</v>
      </c>
      <c r="N300" s="24">
        <f t="shared" si="628"/>
        <v>1</v>
      </c>
      <c r="O300" s="24">
        <f t="shared" si="628"/>
        <v>1</v>
      </c>
      <c r="P300" s="24">
        <f t="shared" si="628"/>
        <v>1</v>
      </c>
      <c r="Q300" s="24">
        <f t="shared" si="628"/>
        <v>1</v>
      </c>
      <c r="R300" s="24">
        <f t="shared" si="628"/>
        <v>1</v>
      </c>
      <c r="S300" s="24">
        <f t="shared" si="628"/>
        <v>1</v>
      </c>
      <c r="T300" s="726"/>
      <c r="U300" s="1521"/>
      <c r="V300" s="1521"/>
      <c r="W300" s="1521"/>
      <c r="X300" s="1521"/>
      <c r="Y300" s="1521"/>
      <c r="Z300" s="1521"/>
      <c r="AA300" s="1522"/>
      <c r="AC300" s="219"/>
      <c r="AD300" s="219"/>
      <c r="AE300" s="219"/>
      <c r="AF300" s="219"/>
      <c r="AG300" s="219"/>
      <c r="AH300" s="219"/>
      <c r="AI300" s="706"/>
      <c r="AK300" s="1521"/>
      <c r="AL300" s="1521"/>
      <c r="AM300" s="1521"/>
      <c r="AN300" s="1521"/>
      <c r="AO300" s="1521"/>
      <c r="AP300" s="1521"/>
      <c r="AQ300" s="1522"/>
    </row>
    <row r="301" spans="1:43" s="1365" customFormat="1" ht="14.5" outlineLevel="3">
      <c r="A301" s="22"/>
      <c r="B301" s="22"/>
      <c r="C301" s="22"/>
      <c r="D301" s="707" t="s">
        <v>841</v>
      </c>
      <c r="E301" s="708"/>
      <c r="F301" s="708"/>
      <c r="G301" s="708"/>
      <c r="H301" s="793"/>
      <c r="I301" s="793"/>
      <c r="J301" s="793"/>
      <c r="K301" s="793">
        <f>K289/K$288</f>
        <v>1.1031546351848267E-2</v>
      </c>
      <c r="L301" s="793">
        <f t="shared" ref="L301:S301" si="629">L289/L$288</f>
        <v>1.1031546351848266E-2</v>
      </c>
      <c r="M301" s="793">
        <f t="shared" si="629"/>
        <v>1.1031546351848269E-2</v>
      </c>
      <c r="N301" s="793">
        <f t="shared" si="629"/>
        <v>1.2806110986295213E-2</v>
      </c>
      <c r="O301" s="793">
        <f t="shared" si="629"/>
        <v>1.4371769503565534E-2</v>
      </c>
      <c r="P301" s="793">
        <f t="shared" si="629"/>
        <v>1.4654558869619722E-2</v>
      </c>
      <c r="Q301" s="793">
        <f t="shared" si="629"/>
        <v>1.4157849260780156E-2</v>
      </c>
      <c r="R301" s="793">
        <f t="shared" si="629"/>
        <v>1.367576548073565E-2</v>
      </c>
      <c r="S301" s="803">
        <f t="shared" si="629"/>
        <v>1.3207984043288616E-2</v>
      </c>
      <c r="T301" s="726"/>
      <c r="U301" s="1521"/>
      <c r="V301" s="1521"/>
      <c r="W301" s="1521"/>
      <c r="X301" s="1521"/>
      <c r="Y301" s="1521"/>
      <c r="Z301" s="1521"/>
      <c r="AA301" s="1523"/>
      <c r="AC301" s="728"/>
      <c r="AD301" s="728"/>
      <c r="AE301" s="728"/>
      <c r="AF301" s="728"/>
      <c r="AG301" s="728"/>
      <c r="AH301" s="728"/>
      <c r="AI301" s="22"/>
      <c r="AK301" s="1521"/>
      <c r="AL301" s="1521"/>
      <c r="AM301" s="1521"/>
      <c r="AN301" s="1521"/>
      <c r="AO301" s="1521"/>
      <c r="AP301" s="1521"/>
      <c r="AQ301" s="1523"/>
    </row>
    <row r="302" spans="1:43" s="1365" customFormat="1" ht="14.5" outlineLevel="3">
      <c r="A302" s="22"/>
      <c r="B302" s="22"/>
      <c r="C302" s="22"/>
      <c r="D302" s="715" t="s">
        <v>842</v>
      </c>
      <c r="E302" s="22"/>
      <c r="F302" s="22"/>
      <c r="G302" s="22"/>
      <c r="H302" s="91"/>
      <c r="I302" s="91"/>
      <c r="J302" s="91"/>
      <c r="K302" s="91">
        <f t="shared" ref="K302:S305" si="630">K290/K$288</f>
        <v>1.1612154054577125E-3</v>
      </c>
      <c r="L302" s="91">
        <f t="shared" si="630"/>
        <v>1.1612154054577123E-3</v>
      </c>
      <c r="M302" s="91">
        <f t="shared" si="630"/>
        <v>1.1612154054577125E-3</v>
      </c>
      <c r="N302" s="91">
        <f t="shared" si="630"/>
        <v>1.1233430689732643E-3</v>
      </c>
      <c r="O302" s="91">
        <f t="shared" si="630"/>
        <v>1.151057054061313E-3</v>
      </c>
      <c r="P302" s="91">
        <f t="shared" si="630"/>
        <v>1.173706087955813E-3</v>
      </c>
      <c r="Q302" s="91">
        <f t="shared" si="630"/>
        <v>1.1906200465301394E-3</v>
      </c>
      <c r="R302" s="91">
        <f t="shared" si="630"/>
        <v>1.2075826098120986E-3</v>
      </c>
      <c r="S302" s="804">
        <f t="shared" si="630"/>
        <v>1.2245909347458116E-3</v>
      </c>
      <c r="T302" s="726"/>
      <c r="U302" s="1521"/>
      <c r="V302" s="1521"/>
      <c r="W302" s="1521"/>
      <c r="X302" s="1521"/>
      <c r="Y302" s="1521"/>
      <c r="Z302" s="1521"/>
      <c r="AA302" s="1523"/>
      <c r="AC302" s="728"/>
      <c r="AD302" s="728"/>
      <c r="AE302" s="728"/>
      <c r="AF302" s="728"/>
      <c r="AG302" s="728"/>
      <c r="AH302" s="728"/>
      <c r="AI302" s="22"/>
      <c r="AK302" s="1521"/>
      <c r="AL302" s="1521"/>
      <c r="AM302" s="1521"/>
      <c r="AN302" s="1521"/>
      <c r="AO302" s="1521"/>
      <c r="AP302" s="1521"/>
      <c r="AQ302" s="1523"/>
    </row>
    <row r="303" spans="1:43" s="1365" customFormat="1" ht="14.5" outlineLevel="3">
      <c r="A303" s="22"/>
      <c r="B303" s="22"/>
      <c r="C303" s="22"/>
      <c r="D303" s="715" t="s">
        <v>843</v>
      </c>
      <c r="E303" s="22"/>
      <c r="F303" s="22"/>
      <c r="G303" s="22"/>
      <c r="H303" s="91"/>
      <c r="I303" s="91"/>
      <c r="J303" s="91"/>
      <c r="K303" s="91">
        <f t="shared" si="630"/>
        <v>0.31507644668085932</v>
      </c>
      <c r="L303" s="91">
        <f t="shared" si="630"/>
        <v>0.31507644668085927</v>
      </c>
      <c r="M303" s="91">
        <f t="shared" si="630"/>
        <v>0.31507644668085927</v>
      </c>
      <c r="N303" s="91">
        <f t="shared" si="630"/>
        <v>0.33528046131955364</v>
      </c>
      <c r="O303" s="91">
        <f t="shared" si="630"/>
        <v>0.34355216206883327</v>
      </c>
      <c r="P303" s="91">
        <f t="shared" si="630"/>
        <v>0.35031214371854508</v>
      </c>
      <c r="Q303" s="91">
        <f t="shared" si="630"/>
        <v>0.35536039655436225</v>
      </c>
      <c r="R303" s="91">
        <f t="shared" si="630"/>
        <v>0.36042315627525107</v>
      </c>
      <c r="S303" s="804">
        <f t="shared" si="630"/>
        <v>0.36549957432379993</v>
      </c>
      <c r="T303" s="726"/>
      <c r="U303" s="1521"/>
      <c r="V303" s="1521"/>
      <c r="W303" s="1521"/>
      <c r="X303" s="1521"/>
      <c r="Y303" s="1521"/>
      <c r="Z303" s="1521"/>
      <c r="AA303" s="1523"/>
      <c r="AC303" s="728"/>
      <c r="AD303" s="728"/>
      <c r="AE303" s="728"/>
      <c r="AF303" s="728"/>
      <c r="AG303" s="728"/>
      <c r="AH303" s="728"/>
      <c r="AI303" s="22"/>
      <c r="AK303" s="1521"/>
      <c r="AL303" s="1521"/>
      <c r="AM303" s="1521"/>
      <c r="AN303" s="1521"/>
      <c r="AO303" s="1521"/>
      <c r="AP303" s="1521"/>
      <c r="AQ303" s="1523"/>
    </row>
    <row r="304" spans="1:43" s="1365" customFormat="1" ht="14.5" outlineLevel="3">
      <c r="A304" s="22"/>
      <c r="B304" s="22"/>
      <c r="C304" s="22"/>
      <c r="D304" s="715" t="s">
        <v>844</v>
      </c>
      <c r="E304" s="22"/>
      <c r="F304" s="22"/>
      <c r="G304" s="22"/>
      <c r="H304" s="91"/>
      <c r="I304" s="91"/>
      <c r="J304" s="91"/>
      <c r="K304" s="91">
        <f t="shared" si="630"/>
        <v>0.61796013160441265</v>
      </c>
      <c r="L304" s="91">
        <f t="shared" si="630"/>
        <v>0.61796013160441254</v>
      </c>
      <c r="M304" s="91">
        <f t="shared" si="630"/>
        <v>0.61796013160441265</v>
      </c>
      <c r="N304" s="91">
        <f t="shared" si="630"/>
        <v>0.59780573653860547</v>
      </c>
      <c r="O304" s="91">
        <f t="shared" si="630"/>
        <v>0.58921879767523011</v>
      </c>
      <c r="P304" s="91">
        <f t="shared" si="630"/>
        <v>0.58364661734179402</v>
      </c>
      <c r="Q304" s="91">
        <f t="shared" si="630"/>
        <v>0.58078010607540698</v>
      </c>
      <c r="R304" s="91">
        <f t="shared" si="630"/>
        <v>0.5778342989583547</v>
      </c>
      <c r="S304" s="804">
        <f t="shared" si="630"/>
        <v>0.57481147928350962</v>
      </c>
      <c r="T304" s="726"/>
      <c r="U304" s="1521"/>
      <c r="V304" s="1521"/>
      <c r="W304" s="1521"/>
      <c r="X304" s="1521"/>
      <c r="Y304" s="1521"/>
      <c r="Z304" s="1521"/>
      <c r="AA304" s="1523"/>
      <c r="AC304" s="728"/>
      <c r="AD304" s="728"/>
      <c r="AE304" s="728"/>
      <c r="AF304" s="728"/>
      <c r="AG304" s="728"/>
      <c r="AH304" s="728"/>
      <c r="AI304" s="22"/>
      <c r="AK304" s="1521"/>
      <c r="AL304" s="1521"/>
      <c r="AM304" s="1521"/>
      <c r="AN304" s="1521"/>
      <c r="AO304" s="1521"/>
      <c r="AP304" s="1521"/>
      <c r="AQ304" s="1523"/>
    </row>
    <row r="305" spans="1:43" s="1365" customFormat="1" ht="14.5" outlineLevel="3">
      <c r="A305" s="22"/>
      <c r="B305" s="22"/>
      <c r="C305" s="22"/>
      <c r="D305" s="719" t="s">
        <v>665</v>
      </c>
      <c r="E305" s="720"/>
      <c r="F305" s="720"/>
      <c r="G305" s="720"/>
      <c r="H305" s="794"/>
      <c r="I305" s="794"/>
      <c r="J305" s="794"/>
      <c r="K305" s="794">
        <f t="shared" si="630"/>
        <v>5.4770659957422099E-2</v>
      </c>
      <c r="L305" s="794">
        <f t="shared" si="630"/>
        <v>5.4770659957422085E-2</v>
      </c>
      <c r="M305" s="794">
        <f t="shared" si="630"/>
        <v>5.4770659957422099E-2</v>
      </c>
      <c r="N305" s="794">
        <f t="shared" si="630"/>
        <v>5.2984348086572292E-2</v>
      </c>
      <c r="O305" s="794">
        <f t="shared" si="630"/>
        <v>5.1706213698309765E-2</v>
      </c>
      <c r="P305" s="794">
        <f t="shared" si="630"/>
        <v>5.0212973982085421E-2</v>
      </c>
      <c r="Q305" s="794">
        <f t="shared" si="630"/>
        <v>4.8511028062920396E-2</v>
      </c>
      <c r="R305" s="794">
        <f t="shared" si="630"/>
        <v>4.6859196675846489E-2</v>
      </c>
      <c r="S305" s="805">
        <f t="shared" si="630"/>
        <v>4.5256371414655945E-2</v>
      </c>
      <c r="T305" s="726"/>
      <c r="U305" s="1521"/>
      <c r="V305" s="1521"/>
      <c r="W305" s="1521"/>
      <c r="X305" s="1521"/>
      <c r="Y305" s="1521"/>
      <c r="Z305" s="1521"/>
      <c r="AA305" s="1523"/>
      <c r="AC305" s="728"/>
      <c r="AD305" s="728"/>
      <c r="AE305" s="728"/>
      <c r="AF305" s="728"/>
      <c r="AG305" s="728"/>
      <c r="AH305" s="728"/>
      <c r="AI305" s="22"/>
      <c r="AK305" s="1521"/>
      <c r="AL305" s="1521"/>
      <c r="AM305" s="1521"/>
      <c r="AN305" s="1521"/>
      <c r="AO305" s="1521"/>
      <c r="AP305" s="1521"/>
      <c r="AQ305" s="1523"/>
    </row>
    <row r="306" spans="1:43" ht="14.5" outlineLevel="2">
      <c r="C306" s="18" t="s">
        <v>31</v>
      </c>
      <c r="D306" s="1"/>
      <c r="E306" s="1"/>
      <c r="H306" s="764" t="str">
        <f>IFERROR(H312/H288,"NA")</f>
        <v>NA</v>
      </c>
      <c r="I306" s="764" t="str">
        <f t="shared" ref="I306:K306" si="631">IFERROR(I312/I288,"NA")</f>
        <v>NA</v>
      </c>
      <c r="J306" s="764" t="str">
        <f t="shared" si="631"/>
        <v>NA</v>
      </c>
      <c r="K306" s="764">
        <f t="shared" si="631"/>
        <v>4.3588155602864331</v>
      </c>
      <c r="L306" s="795">
        <f>IFERROR(L312/L288,"NA")</f>
        <v>4.3588155602864331</v>
      </c>
      <c r="M306" s="795">
        <f>IFERROR(M312/M288,"NA")</f>
        <v>4.358815560286434</v>
      </c>
      <c r="N306" s="764">
        <f t="shared" ref="N306:S306" si="632">IFERROR(N312/N288,"NA")</f>
        <v>4.3697858159215146</v>
      </c>
      <c r="O306" s="764">
        <f t="shared" si="632"/>
        <v>4.3720298617087163</v>
      </c>
      <c r="P306" s="764">
        <f t="shared" si="632"/>
        <v>4.369677823977657</v>
      </c>
      <c r="Q306" s="764">
        <f t="shared" si="632"/>
        <v>4.3633085394714533</v>
      </c>
      <c r="R306" s="764">
        <f t="shared" si="632"/>
        <v>4.3572805664652527</v>
      </c>
      <c r="S306" s="764">
        <f t="shared" si="632"/>
        <v>4.3515858586830163</v>
      </c>
      <c r="T306" s="1479"/>
      <c r="U306" s="1524">
        <f>$L306*(1+$AA306)</f>
        <v>4.4459918714921622</v>
      </c>
      <c r="V306" s="1524">
        <f>U306*(1+$AA306)</f>
        <v>4.5349117089220057</v>
      </c>
      <c r="W306" s="1524">
        <f t="shared" ref="W306" si="633">V306*(1+$AA306)</f>
        <v>4.6256099431004456</v>
      </c>
      <c r="X306" s="1524">
        <f t="shared" ref="X306" si="634">W306*(1+$AA306)</f>
        <v>4.7181221419624544</v>
      </c>
      <c r="Y306" s="1524">
        <f t="shared" ref="Y306" si="635">X306*(1+$AA306)</f>
        <v>4.8124845848017035</v>
      </c>
      <c r="Z306" s="1524">
        <f t="shared" ref="Z306" si="636">Y306*(1+$AA306)</f>
        <v>4.9087342764977375</v>
      </c>
      <c r="AA306" s="1525">
        <v>0.02</v>
      </c>
      <c r="AB306" s="1126"/>
      <c r="AC306" s="733"/>
      <c r="AD306" s="733"/>
      <c r="AE306" s="733"/>
      <c r="AF306" s="733"/>
      <c r="AG306" s="733"/>
      <c r="AH306" s="733"/>
      <c r="AI306" s="472"/>
      <c r="AJ306" s="1321"/>
      <c r="AK306" s="1529">
        <f>$L306*(1+$AQ306)</f>
        <v>4.3588155602864331</v>
      </c>
      <c r="AL306" s="1529">
        <f>AK306*(1+$AQ306)</f>
        <v>4.3588155602864331</v>
      </c>
      <c r="AM306" s="1529">
        <f t="shared" ref="AM306:AN306" si="637">AL306*(1+$AQ306)</f>
        <v>4.3588155602864331</v>
      </c>
      <c r="AN306" s="1529">
        <f t="shared" si="637"/>
        <v>4.3588155602864331</v>
      </c>
      <c r="AO306" s="1529">
        <f>AN306*(1+$AQ306)</f>
        <v>4.3588155602864331</v>
      </c>
      <c r="AP306" s="1529">
        <f t="shared" ref="AP306" si="638">AO306*(1+$AQ306)</f>
        <v>4.3588155602864331</v>
      </c>
      <c r="AQ306" s="1520">
        <v>0</v>
      </c>
    </row>
    <row r="307" spans="1:43" ht="14.5" outlineLevel="2">
      <c r="C307" s="1"/>
      <c r="D307" s="27" t="s">
        <v>841</v>
      </c>
      <c r="E307" s="28"/>
      <c r="F307" s="28"/>
      <c r="G307" s="28"/>
      <c r="H307" s="759" t="str">
        <f>IFERROR(H313/H289,"NA")</f>
        <v>NA</v>
      </c>
      <c r="I307" s="759" t="str">
        <f t="shared" ref="I307:K307" si="639">IFERROR(I313/I289,"NA")</f>
        <v>NA</v>
      </c>
      <c r="J307" s="759" t="str">
        <f t="shared" si="639"/>
        <v>NA</v>
      </c>
      <c r="K307" s="771">
        <f t="shared" si="639"/>
        <v>5.1578947368421053</v>
      </c>
      <c r="L307" s="796">
        <f>K307</f>
        <v>5.1578947368421053</v>
      </c>
      <c r="M307" s="796">
        <f>L307</f>
        <v>5.1578947368421053</v>
      </c>
      <c r="N307" s="780">
        <f>CHOOSE(case,U307,AC307,AK307)</f>
        <v>5.1578947368421053</v>
      </c>
      <c r="O307" s="781">
        <f t="shared" ref="O307:O311" si="640">CHOOSE(case,V307,AD307,AL307)</f>
        <v>5.1578947368421053</v>
      </c>
      <c r="P307" s="781">
        <f t="shared" ref="P307:P311" si="641">CHOOSE(case,W307,AE307,AM307)</f>
        <v>5.1578947368421053</v>
      </c>
      <c r="Q307" s="781">
        <f t="shared" ref="Q307:Q311" si="642">CHOOSE(case,X307,AF307,AN307)</f>
        <v>5.1578947368421053</v>
      </c>
      <c r="R307" s="781">
        <f t="shared" ref="R307:R311" si="643">CHOOSE(case,Y307,AG307,AO307)</f>
        <v>5.1578947368421053</v>
      </c>
      <c r="S307" s="782">
        <f t="shared" ref="S307:S311" si="644">CHOOSE(case,Z307,AH307,AP307)</f>
        <v>5.1578947368421053</v>
      </c>
      <c r="T307" s="1493"/>
      <c r="U307" s="1515"/>
      <c r="V307" s="1515"/>
      <c r="W307" s="1515"/>
      <c r="X307" s="1515"/>
      <c r="Y307" s="1515"/>
      <c r="Z307" s="1515"/>
      <c r="AA307" s="1515"/>
      <c r="AB307" s="1321"/>
      <c r="AC307" s="737">
        <f>M307</f>
        <v>5.1578947368421053</v>
      </c>
      <c r="AD307" s="737">
        <f t="shared" ref="AD307" si="645">N307</f>
        <v>5.1578947368421053</v>
      </c>
      <c r="AE307" s="737">
        <f t="shared" ref="AE307" si="646">O307</f>
        <v>5.1578947368421053</v>
      </c>
      <c r="AF307" s="737">
        <f t="shared" ref="AF307" si="647">P307</f>
        <v>5.1578947368421053</v>
      </c>
      <c r="AG307" s="737">
        <f t="shared" ref="AG307" si="648">Q307</f>
        <v>5.1578947368421053</v>
      </c>
      <c r="AH307" s="737">
        <f t="shared" ref="AH307" si="649">R307</f>
        <v>5.1578947368421053</v>
      </c>
      <c r="AI307" s="415"/>
      <c r="AJ307" s="1321"/>
      <c r="AK307" s="1515"/>
      <c r="AL307" s="1515"/>
      <c r="AM307" s="1515"/>
      <c r="AN307" s="1515"/>
      <c r="AO307" s="1515"/>
      <c r="AP307" s="1515"/>
      <c r="AQ307" s="1515"/>
    </row>
    <row r="308" spans="1:43" ht="14.5" outlineLevel="2">
      <c r="C308" s="1"/>
      <c r="D308" s="31" t="s">
        <v>842</v>
      </c>
      <c r="E308" s="1"/>
      <c r="F308" s="1"/>
      <c r="G308" s="1"/>
      <c r="H308" s="764" t="str">
        <f t="shared" ref="H308:K308" si="650">IFERROR(H314/H290,"NA")</f>
        <v>NA</v>
      </c>
      <c r="I308" s="764" t="str">
        <f t="shared" si="650"/>
        <v>NA</v>
      </c>
      <c r="J308" s="764" t="str">
        <f t="shared" si="650"/>
        <v>NA</v>
      </c>
      <c r="K308" s="773">
        <f t="shared" si="650"/>
        <v>1</v>
      </c>
      <c r="L308" s="797">
        <f>K308</f>
        <v>1</v>
      </c>
      <c r="M308" s="797">
        <f>L308</f>
        <v>1</v>
      </c>
      <c r="N308" s="785">
        <f>CHOOSE(case,U308,AC308,AK308)</f>
        <v>1</v>
      </c>
      <c r="O308" s="786">
        <f t="shared" si="640"/>
        <v>1</v>
      </c>
      <c r="P308" s="786">
        <f t="shared" si="641"/>
        <v>1</v>
      </c>
      <c r="Q308" s="786">
        <f t="shared" si="642"/>
        <v>1</v>
      </c>
      <c r="R308" s="786">
        <f t="shared" si="643"/>
        <v>1</v>
      </c>
      <c r="S308" s="787">
        <f t="shared" si="644"/>
        <v>1</v>
      </c>
      <c r="T308" s="1493"/>
      <c r="U308" s="1515"/>
      <c r="V308" s="1515"/>
      <c r="W308" s="1515"/>
      <c r="X308" s="1515"/>
      <c r="Y308" s="1515"/>
      <c r="Z308" s="1515"/>
      <c r="AA308" s="1515"/>
      <c r="AB308" s="1321"/>
      <c r="AC308" s="737">
        <f t="shared" ref="AC308:AC311" si="651">M308</f>
        <v>1</v>
      </c>
      <c r="AD308" s="737">
        <f t="shared" ref="AD308:AD311" si="652">N308</f>
        <v>1</v>
      </c>
      <c r="AE308" s="737">
        <f t="shared" ref="AE308:AE311" si="653">O308</f>
        <v>1</v>
      </c>
      <c r="AF308" s="737">
        <f t="shared" ref="AF308:AF311" si="654">P308</f>
        <v>1</v>
      </c>
      <c r="AG308" s="737">
        <f t="shared" ref="AG308:AG311" si="655">Q308</f>
        <v>1</v>
      </c>
      <c r="AH308" s="737">
        <f t="shared" ref="AH308:AH311" si="656">R308</f>
        <v>1</v>
      </c>
      <c r="AI308" s="415"/>
      <c r="AJ308" s="1321"/>
      <c r="AK308" s="1515"/>
      <c r="AL308" s="1515"/>
      <c r="AM308" s="1515"/>
      <c r="AN308" s="1515"/>
      <c r="AO308" s="1515"/>
      <c r="AP308" s="1515"/>
      <c r="AQ308" s="1515"/>
    </row>
    <row r="309" spans="1:43" ht="14.5" outlineLevel="2">
      <c r="C309" s="1"/>
      <c r="D309" s="31" t="s">
        <v>843</v>
      </c>
      <c r="E309" s="1"/>
      <c r="F309" s="1"/>
      <c r="G309" s="1"/>
      <c r="H309" s="764" t="str">
        <f t="shared" ref="H309:K309" si="657">IFERROR(H315/H291,"NA")</f>
        <v>NA</v>
      </c>
      <c r="I309" s="764" t="str">
        <f t="shared" si="657"/>
        <v>NA</v>
      </c>
      <c r="J309" s="764" t="str">
        <f t="shared" si="657"/>
        <v>NA</v>
      </c>
      <c r="K309" s="773">
        <f t="shared" si="657"/>
        <v>4.6627764127764131</v>
      </c>
      <c r="L309" s="797">
        <f t="shared" ref="L309:M310" si="658">K309</f>
        <v>4.6627764127764131</v>
      </c>
      <c r="M309" s="797">
        <f t="shared" si="658"/>
        <v>4.6627764127764131</v>
      </c>
      <c r="N309" s="785">
        <f>CHOOSE(case,U309,AC309,AK309)</f>
        <v>4.6627764127764131</v>
      </c>
      <c r="O309" s="786">
        <f t="shared" si="640"/>
        <v>4.6627764127764131</v>
      </c>
      <c r="P309" s="786">
        <f t="shared" si="641"/>
        <v>4.6627764127764131</v>
      </c>
      <c r="Q309" s="786">
        <f t="shared" si="642"/>
        <v>4.6627764127764131</v>
      </c>
      <c r="R309" s="786">
        <f t="shared" si="643"/>
        <v>4.6627764127764131</v>
      </c>
      <c r="S309" s="787">
        <f t="shared" si="644"/>
        <v>4.6627764127764131</v>
      </c>
      <c r="T309" s="1493"/>
      <c r="U309" s="1515"/>
      <c r="V309" s="1515"/>
      <c r="W309" s="1515"/>
      <c r="X309" s="1515"/>
      <c r="Y309" s="1515"/>
      <c r="Z309" s="1515"/>
      <c r="AA309" s="1515"/>
      <c r="AB309" s="1321"/>
      <c r="AC309" s="737">
        <f t="shared" si="651"/>
        <v>4.6627764127764131</v>
      </c>
      <c r="AD309" s="737">
        <f t="shared" si="652"/>
        <v>4.6627764127764131</v>
      </c>
      <c r="AE309" s="737">
        <f t="shared" si="653"/>
        <v>4.6627764127764131</v>
      </c>
      <c r="AF309" s="737">
        <f t="shared" si="654"/>
        <v>4.6627764127764131</v>
      </c>
      <c r="AG309" s="737">
        <f t="shared" si="655"/>
        <v>4.6627764127764131</v>
      </c>
      <c r="AH309" s="737">
        <f t="shared" si="656"/>
        <v>4.6627764127764131</v>
      </c>
      <c r="AI309" s="415"/>
      <c r="AJ309" s="1321"/>
      <c r="AK309" s="1515"/>
      <c r="AL309" s="1515"/>
      <c r="AM309" s="1515"/>
      <c r="AN309" s="1515"/>
      <c r="AO309" s="1515"/>
      <c r="AP309" s="1515"/>
      <c r="AQ309" s="1515"/>
    </row>
    <row r="310" spans="1:43" ht="14.5" outlineLevel="2">
      <c r="C310" s="1"/>
      <c r="D310" s="31" t="s">
        <v>844</v>
      </c>
      <c r="E310" s="1"/>
      <c r="F310" s="1"/>
      <c r="G310" s="1"/>
      <c r="H310" s="764" t="str">
        <f t="shared" ref="H310:K310" si="659">IFERROR(H316/H292,"NA")</f>
        <v>NA</v>
      </c>
      <c r="I310" s="764" t="str">
        <f t="shared" si="659"/>
        <v>NA</v>
      </c>
      <c r="J310" s="764" t="str">
        <f t="shared" si="659"/>
        <v>NA</v>
      </c>
      <c r="K310" s="773">
        <f t="shared" si="659"/>
        <v>3.7112433448167867</v>
      </c>
      <c r="L310" s="797">
        <f t="shared" si="658"/>
        <v>3.7112433448167867</v>
      </c>
      <c r="M310" s="797">
        <f t="shared" si="658"/>
        <v>3.7112433448167867</v>
      </c>
      <c r="N310" s="785">
        <f>CHOOSE(case,U310,AC310,AK310)</f>
        <v>3.7112433448167867</v>
      </c>
      <c r="O310" s="786">
        <f t="shared" si="640"/>
        <v>3.7112433448167867</v>
      </c>
      <c r="P310" s="786">
        <f t="shared" si="641"/>
        <v>3.7112433448167867</v>
      </c>
      <c r="Q310" s="786">
        <f t="shared" si="642"/>
        <v>3.7112433448167867</v>
      </c>
      <c r="R310" s="786">
        <f t="shared" si="643"/>
        <v>3.7112433448167867</v>
      </c>
      <c r="S310" s="787">
        <f t="shared" si="644"/>
        <v>3.7112433448167867</v>
      </c>
      <c r="T310" s="1493"/>
      <c r="U310" s="1515"/>
      <c r="V310" s="1515"/>
      <c r="W310" s="1515"/>
      <c r="X310" s="1515"/>
      <c r="Y310" s="1515"/>
      <c r="Z310" s="1515"/>
      <c r="AA310" s="1515"/>
      <c r="AB310" s="1321"/>
      <c r="AC310" s="737">
        <f t="shared" si="651"/>
        <v>3.7112433448167867</v>
      </c>
      <c r="AD310" s="737">
        <f t="shared" si="652"/>
        <v>3.7112433448167867</v>
      </c>
      <c r="AE310" s="737">
        <f t="shared" si="653"/>
        <v>3.7112433448167867</v>
      </c>
      <c r="AF310" s="737">
        <f t="shared" si="654"/>
        <v>3.7112433448167867</v>
      </c>
      <c r="AG310" s="737">
        <f t="shared" si="655"/>
        <v>3.7112433448167867</v>
      </c>
      <c r="AH310" s="737">
        <f t="shared" si="656"/>
        <v>3.7112433448167867</v>
      </c>
      <c r="AI310" s="415"/>
      <c r="AJ310" s="1321"/>
      <c r="AK310" s="1515"/>
      <c r="AL310" s="1515"/>
      <c r="AM310" s="1515"/>
      <c r="AN310" s="1515"/>
      <c r="AO310" s="1515"/>
      <c r="AP310" s="1515"/>
      <c r="AQ310" s="1515"/>
    </row>
    <row r="311" spans="1:43" ht="15" outlineLevel="2" thickBot="1">
      <c r="C311" s="37"/>
      <c r="D311" s="33" t="s">
        <v>665</v>
      </c>
      <c r="E311" s="37"/>
      <c r="F311" s="37"/>
      <c r="G311" s="37"/>
      <c r="H311" s="774" t="str">
        <f t="shared" ref="H311:K311" si="660">IFERROR(H317/H293,"NA")</f>
        <v>NA</v>
      </c>
      <c r="I311" s="774" t="str">
        <f t="shared" si="660"/>
        <v>NA</v>
      </c>
      <c r="J311" s="774" t="str">
        <f t="shared" si="660"/>
        <v>NA</v>
      </c>
      <c r="K311" s="775">
        <f t="shared" si="660"/>
        <v>9.8268551236749122</v>
      </c>
      <c r="L311" s="798">
        <f>K311</f>
        <v>9.8268551236749122</v>
      </c>
      <c r="M311" s="798">
        <f>L311</f>
        <v>9.8268551236749122</v>
      </c>
      <c r="N311" s="789">
        <f>CHOOSE(case,U311,AC311,AK311)</f>
        <v>9.8268551236749122</v>
      </c>
      <c r="O311" s="790">
        <f t="shared" si="640"/>
        <v>9.8268551236749122</v>
      </c>
      <c r="P311" s="790">
        <f t="shared" si="641"/>
        <v>9.8268551236749122</v>
      </c>
      <c r="Q311" s="790">
        <f t="shared" si="642"/>
        <v>9.8268551236749122</v>
      </c>
      <c r="R311" s="790">
        <f t="shared" si="643"/>
        <v>9.8268551236749122</v>
      </c>
      <c r="S311" s="791">
        <f t="shared" si="644"/>
        <v>9.8268551236749122</v>
      </c>
      <c r="T311" s="1493"/>
      <c r="U311" s="1515"/>
      <c r="V311" s="1515"/>
      <c r="W311" s="1515"/>
      <c r="X311" s="1515"/>
      <c r="Y311" s="1515"/>
      <c r="Z311" s="1515"/>
      <c r="AA311" s="1515"/>
      <c r="AB311" s="1321"/>
      <c r="AC311" s="737">
        <f t="shared" si="651"/>
        <v>9.8268551236749122</v>
      </c>
      <c r="AD311" s="737">
        <f t="shared" si="652"/>
        <v>9.8268551236749122</v>
      </c>
      <c r="AE311" s="737">
        <f t="shared" si="653"/>
        <v>9.8268551236749122</v>
      </c>
      <c r="AF311" s="737">
        <f t="shared" si="654"/>
        <v>9.8268551236749122</v>
      </c>
      <c r="AG311" s="737">
        <f t="shared" si="655"/>
        <v>9.8268551236749122</v>
      </c>
      <c r="AH311" s="737">
        <f t="shared" si="656"/>
        <v>9.8268551236749122</v>
      </c>
      <c r="AI311" s="415"/>
      <c r="AJ311" s="1321"/>
      <c r="AK311" s="1515"/>
      <c r="AL311" s="1515"/>
      <c r="AM311" s="1515"/>
      <c r="AN311" s="1515"/>
      <c r="AO311" s="1515"/>
      <c r="AP311" s="1515"/>
      <c r="AQ311" s="1515"/>
    </row>
    <row r="312" spans="1:43" ht="14.5" outlineLevel="2">
      <c r="C312" s="18" t="s">
        <v>991</v>
      </c>
      <c r="D312" s="1"/>
      <c r="E312" s="1"/>
      <c r="H312" s="414">
        <v>35953</v>
      </c>
      <c r="I312" s="414">
        <v>39193</v>
      </c>
      <c r="J312" s="414">
        <v>40634</v>
      </c>
      <c r="K312" s="99">
        <f t="shared" ref="K312" si="661">SUM(K313:K317)</f>
        <v>22522</v>
      </c>
      <c r="L312" s="23">
        <f>L320/(1-L319)</f>
        <v>24804.547147613132</v>
      </c>
      <c r="M312" s="23">
        <f>M320/(1-M319)</f>
        <v>12410.583592098672</v>
      </c>
      <c r="N312" s="23">
        <f>SUM(N313:N317)</f>
        <v>25705.339222563522</v>
      </c>
      <c r="O312" s="23">
        <f t="shared" ref="O312:S312" si="662">SUM(O313:O317)</f>
        <v>26354.280670616641</v>
      </c>
      <c r="P312" s="23">
        <f t="shared" si="662"/>
        <v>27123.408035247652</v>
      </c>
      <c r="Q312" s="23">
        <f t="shared" si="662"/>
        <v>28034.074915288049</v>
      </c>
      <c r="R312" s="23">
        <f t="shared" si="662"/>
        <v>28982.208075473256</v>
      </c>
      <c r="S312" s="23">
        <f t="shared" si="662"/>
        <v>29969.438817894792</v>
      </c>
      <c r="T312" s="1321"/>
      <c r="U312" s="1515"/>
      <c r="V312" s="1515"/>
      <c r="W312" s="1515"/>
      <c r="X312" s="1515"/>
      <c r="Y312" s="1515"/>
      <c r="Z312" s="1515"/>
      <c r="AA312" s="1515"/>
      <c r="AB312" s="1321"/>
      <c r="AC312" s="1"/>
      <c r="AD312" s="1"/>
      <c r="AE312" s="1"/>
      <c r="AF312" s="1"/>
      <c r="AG312" s="1"/>
      <c r="AH312" s="1"/>
      <c r="AI312" s="415"/>
      <c r="AJ312" s="1321"/>
      <c r="AK312" s="1515"/>
      <c r="AL312" s="1515"/>
      <c r="AM312" s="1515"/>
      <c r="AN312" s="1515"/>
      <c r="AO312" s="1515"/>
      <c r="AP312" s="1515"/>
      <c r="AQ312" s="1515"/>
    </row>
    <row r="313" spans="1:43" ht="14.5" outlineLevel="2">
      <c r="C313" s="1"/>
      <c r="D313" s="27" t="s">
        <v>841</v>
      </c>
      <c r="E313" s="28"/>
      <c r="F313" s="28"/>
      <c r="G313" s="28"/>
      <c r="H313" s="114"/>
      <c r="I313" s="114"/>
      <c r="J313" s="114"/>
      <c r="K313" s="399">
        <v>294</v>
      </c>
      <c r="L313" s="1021">
        <f>K313*$L$287</f>
        <v>323.79614871673294</v>
      </c>
      <c r="M313" s="1021">
        <f>K313*$M$287</f>
        <v>162.0065525298379</v>
      </c>
      <c r="N313" s="29">
        <f>N289*N307</f>
        <v>388.55537846007957</v>
      </c>
      <c r="O313" s="29">
        <f t="shared" ref="O313:R313" si="663">O289*O307</f>
        <v>446.83868522909142</v>
      </c>
      <c r="P313" s="29">
        <f t="shared" si="663"/>
        <v>469.18061949054601</v>
      </c>
      <c r="Q313" s="29">
        <f t="shared" si="663"/>
        <v>469.18061949054601</v>
      </c>
      <c r="R313" s="29">
        <f t="shared" si="663"/>
        <v>469.18061949054601</v>
      </c>
      <c r="S313" s="30">
        <f>S289*S307</f>
        <v>469.18061949054601</v>
      </c>
      <c r="T313" s="1321"/>
      <c r="U313" s="1515"/>
      <c r="V313" s="1515"/>
      <c r="W313" s="1515"/>
      <c r="X313" s="1515"/>
      <c r="Y313" s="1515"/>
      <c r="Z313" s="1515"/>
      <c r="AA313" s="1515"/>
      <c r="AB313" s="1321"/>
      <c r="AC313" s="1"/>
      <c r="AD313" s="1"/>
      <c r="AE313" s="1"/>
      <c r="AF313" s="1"/>
      <c r="AG313" s="1"/>
      <c r="AH313" s="1"/>
      <c r="AI313" s="415"/>
      <c r="AJ313" s="1321"/>
      <c r="AK313" s="1515"/>
      <c r="AL313" s="1515"/>
      <c r="AM313" s="1515"/>
      <c r="AN313" s="1515"/>
      <c r="AO313" s="1515"/>
      <c r="AP313" s="1515"/>
      <c r="AQ313" s="1515"/>
    </row>
    <row r="314" spans="1:43" ht="14.5" outlineLevel="2">
      <c r="C314" s="1"/>
      <c r="D314" s="31" t="s">
        <v>842</v>
      </c>
      <c r="E314" s="1"/>
      <c r="F314" s="1"/>
      <c r="G314" s="1"/>
      <c r="H314" s="115"/>
      <c r="I314" s="115"/>
      <c r="J314" s="115"/>
      <c r="K314" s="401">
        <v>6</v>
      </c>
      <c r="L314" s="1022">
        <f t="shared" ref="L314:L317" si="664">K314*$L$287</f>
        <v>6.6080846676884279</v>
      </c>
      <c r="M314" s="1022">
        <f t="shared" ref="M314:M317" si="665">K314*$M$287</f>
        <v>3.3062561740783245</v>
      </c>
      <c r="N314" s="20">
        <f t="shared" ref="N314:S314" si="666">N290*N308</f>
        <v>6.6080846676884279</v>
      </c>
      <c r="O314" s="20">
        <f t="shared" si="666"/>
        <v>6.9384889010728497</v>
      </c>
      <c r="P314" s="20">
        <f t="shared" si="666"/>
        <v>7.2854133461264921</v>
      </c>
      <c r="Q314" s="20">
        <f t="shared" si="666"/>
        <v>7.6496840134328172</v>
      </c>
      <c r="R314" s="20">
        <f t="shared" si="666"/>
        <v>8.032168214104459</v>
      </c>
      <c r="S314" s="32">
        <f t="shared" si="666"/>
        <v>8.433776624809683</v>
      </c>
      <c r="T314" s="1321"/>
      <c r="U314" s="1515"/>
      <c r="V314" s="1515"/>
      <c r="W314" s="1515"/>
      <c r="X314" s="1515"/>
      <c r="Y314" s="1515"/>
      <c r="Z314" s="1515"/>
      <c r="AA314" s="1515"/>
      <c r="AB314" s="1321"/>
      <c r="AC314" s="1"/>
      <c r="AD314" s="1"/>
      <c r="AE314" s="1"/>
      <c r="AF314" s="1"/>
      <c r="AG314" s="1"/>
      <c r="AH314" s="1"/>
      <c r="AI314" s="415"/>
      <c r="AJ314" s="1321"/>
      <c r="AK314" s="1515"/>
      <c r="AL314" s="1515"/>
      <c r="AM314" s="1515"/>
      <c r="AN314" s="1515"/>
      <c r="AO314" s="1515"/>
      <c r="AP314" s="1515"/>
      <c r="AQ314" s="1515"/>
    </row>
    <row r="315" spans="1:43" ht="14.5" outlineLevel="2">
      <c r="C315" s="1"/>
      <c r="D315" s="31" t="s">
        <v>843</v>
      </c>
      <c r="E315" s="1"/>
      <c r="F315" s="1"/>
      <c r="G315" s="1"/>
      <c r="H315" s="115"/>
      <c r="I315" s="115"/>
      <c r="J315" s="115"/>
      <c r="K315" s="401">
        <v>7591</v>
      </c>
      <c r="L315" s="1022">
        <f t="shared" si="664"/>
        <v>8360.3284520704765</v>
      </c>
      <c r="M315" s="1022">
        <f t="shared" si="665"/>
        <v>4182.96510290476</v>
      </c>
      <c r="N315" s="20">
        <f t="shared" ref="N315:S315" si="667">N291*N309</f>
        <v>9196.3612972775245</v>
      </c>
      <c r="O315" s="20">
        <f t="shared" si="667"/>
        <v>9656.1793621414017</v>
      </c>
      <c r="P315" s="20">
        <f t="shared" si="667"/>
        <v>10138.988330248472</v>
      </c>
      <c r="Q315" s="20">
        <f t="shared" si="667"/>
        <v>10645.937746760896</v>
      </c>
      <c r="R315" s="20">
        <f t="shared" si="667"/>
        <v>11178.234634098942</v>
      </c>
      <c r="S315" s="32">
        <f t="shared" si="667"/>
        <v>11737.14636580389</v>
      </c>
      <c r="T315" s="1321"/>
      <c r="U315" s="1515"/>
      <c r="V315" s="1515"/>
      <c r="W315" s="1515"/>
      <c r="X315" s="1515"/>
      <c r="Y315" s="1515"/>
      <c r="Z315" s="1515"/>
      <c r="AA315" s="1515"/>
      <c r="AB315" s="1321"/>
      <c r="AC315" s="1"/>
      <c r="AD315" s="1"/>
      <c r="AE315" s="1"/>
      <c r="AF315" s="1"/>
      <c r="AG315" s="1"/>
      <c r="AH315" s="1"/>
      <c r="AI315" s="415"/>
      <c r="AJ315" s="1321"/>
      <c r="AK315" s="1515"/>
      <c r="AL315" s="1515"/>
      <c r="AM315" s="1515"/>
      <c r="AN315" s="1515"/>
      <c r="AO315" s="1515"/>
      <c r="AP315" s="1515"/>
      <c r="AQ315" s="1515"/>
    </row>
    <row r="316" spans="1:43" ht="14.5" outlineLevel="2">
      <c r="C316" s="1"/>
      <c r="D316" s="31" t="s">
        <v>844</v>
      </c>
      <c r="E316" s="1"/>
      <c r="F316" s="1"/>
      <c r="G316" s="1"/>
      <c r="H316" s="115"/>
      <c r="I316" s="115"/>
      <c r="J316" s="115"/>
      <c r="K316" s="401">
        <v>11850</v>
      </c>
      <c r="L316" s="1022">
        <f t="shared" si="664"/>
        <v>13050.967218684646</v>
      </c>
      <c r="M316" s="1022">
        <f t="shared" si="665"/>
        <v>6529.8559438046905</v>
      </c>
      <c r="N316" s="20">
        <f t="shared" ref="N316:S316" si="668">N292*N310</f>
        <v>13050.967218684646</v>
      </c>
      <c r="O316" s="20">
        <f t="shared" si="668"/>
        <v>13181.476890871492</v>
      </c>
      <c r="P316" s="20">
        <f t="shared" si="668"/>
        <v>13445.106428688923</v>
      </c>
      <c r="Q316" s="20">
        <f t="shared" si="668"/>
        <v>13848.459621549589</v>
      </c>
      <c r="R316" s="20">
        <f t="shared" si="668"/>
        <v>14263.913410196079</v>
      </c>
      <c r="S316" s="32">
        <f t="shared" si="668"/>
        <v>14691.830812501961</v>
      </c>
      <c r="T316" s="1321"/>
      <c r="U316" s="1515"/>
      <c r="V316" s="1515"/>
      <c r="W316" s="1515"/>
      <c r="X316" s="1515"/>
      <c r="Y316" s="1515"/>
      <c r="Z316" s="1515"/>
      <c r="AA316" s="1515"/>
      <c r="AB316" s="1321"/>
      <c r="AC316" s="1"/>
      <c r="AD316" s="1"/>
      <c r="AE316" s="1"/>
      <c r="AF316" s="1"/>
      <c r="AG316" s="1"/>
      <c r="AH316" s="1"/>
      <c r="AI316" s="415"/>
      <c r="AJ316" s="1321"/>
      <c r="AK316" s="1515"/>
      <c r="AL316" s="1515"/>
      <c r="AM316" s="1515"/>
      <c r="AN316" s="1515"/>
      <c r="AO316" s="1515"/>
      <c r="AP316" s="1515"/>
      <c r="AQ316" s="1515"/>
    </row>
    <row r="317" spans="1:43" ht="14.5" outlineLevel="2">
      <c r="C317" s="1"/>
      <c r="D317" s="33" t="s">
        <v>665</v>
      </c>
      <c r="E317" s="34"/>
      <c r="F317" s="34"/>
      <c r="G317" s="34"/>
      <c r="H317" s="116"/>
      <c r="I317" s="116"/>
      <c r="J317" s="116"/>
      <c r="K317" s="403">
        <v>2781</v>
      </c>
      <c r="L317" s="1023">
        <f t="shared" si="664"/>
        <v>3062.8472434735863</v>
      </c>
      <c r="M317" s="1023">
        <f t="shared" si="665"/>
        <v>1532.4497366853034</v>
      </c>
      <c r="N317" s="35">
        <f t="shared" ref="N317:S317" si="669">N293*N311</f>
        <v>3062.8472434735863</v>
      </c>
      <c r="O317" s="35">
        <f t="shared" si="669"/>
        <v>3062.8472434735863</v>
      </c>
      <c r="P317" s="35">
        <f t="shared" si="669"/>
        <v>3062.8472434735863</v>
      </c>
      <c r="Q317" s="35">
        <f t="shared" si="669"/>
        <v>3062.8472434735863</v>
      </c>
      <c r="R317" s="35">
        <f t="shared" si="669"/>
        <v>3062.8472434735863</v>
      </c>
      <c r="S317" s="36">
        <f t="shared" si="669"/>
        <v>3062.8472434735863</v>
      </c>
      <c r="T317" s="1321"/>
      <c r="U317" s="1515"/>
      <c r="V317" s="1515"/>
      <c r="W317" s="1515"/>
      <c r="X317" s="1515"/>
      <c r="Y317" s="1515"/>
      <c r="Z317" s="1515"/>
      <c r="AA317" s="1515"/>
      <c r="AB317" s="1321"/>
      <c r="AC317" s="1"/>
      <c r="AD317" s="1"/>
      <c r="AE317" s="1"/>
      <c r="AF317" s="1"/>
      <c r="AG317" s="1"/>
      <c r="AH317" s="1"/>
      <c r="AI317" s="415"/>
      <c r="AJ317" s="1321"/>
      <c r="AK317" s="1515"/>
      <c r="AL317" s="1515"/>
      <c r="AM317" s="1515"/>
      <c r="AN317" s="1515"/>
      <c r="AO317" s="1515"/>
      <c r="AP317" s="1515"/>
      <c r="AQ317" s="1515"/>
    </row>
    <row r="318" spans="1:43" ht="14.5" outlineLevel="2">
      <c r="C318" s="1"/>
      <c r="D318" s="1"/>
      <c r="E318" s="1"/>
      <c r="AI318" s="424"/>
    </row>
    <row r="319" spans="1:43" ht="15" outlineLevel="2" thickBot="1">
      <c r="C319" s="37" t="s">
        <v>160</v>
      </c>
      <c r="D319" s="37"/>
      <c r="E319" s="37"/>
      <c r="F319" s="109"/>
      <c r="G319" s="109"/>
      <c r="H319" s="117">
        <f>1-H320/H312</f>
        <v>3.5629850082051551E-2</v>
      </c>
      <c r="I319" s="117">
        <f t="shared" ref="I319" si="670">1-I320/I312</f>
        <v>7.6799428469369602E-3</v>
      </c>
      <c r="J319" s="117">
        <f t="shared" ref="J319" si="671">1-J320/J312</f>
        <v>1.5996456169710127E-2</v>
      </c>
      <c r="K319" s="117">
        <f t="shared" ref="K319" si="672">1-K320/K312</f>
        <v>4.4001420832963323E-2</v>
      </c>
      <c r="L319" s="160">
        <f>K319</f>
        <v>4.4001420832963323E-2</v>
      </c>
      <c r="M319" s="160">
        <f>L319</f>
        <v>4.4001420832963323E-2</v>
      </c>
      <c r="N319" s="160">
        <f t="shared" ref="N319" si="673">L319</f>
        <v>4.4001420832963323E-2</v>
      </c>
      <c r="O319" s="160">
        <f t="shared" ref="O319" si="674">N319</f>
        <v>4.4001420832963323E-2</v>
      </c>
      <c r="P319" s="160">
        <f t="shared" ref="P319" si="675">O319</f>
        <v>4.4001420832963323E-2</v>
      </c>
      <c r="Q319" s="160">
        <f t="shared" ref="Q319" si="676">P319</f>
        <v>4.4001420832963323E-2</v>
      </c>
      <c r="R319" s="160">
        <f t="shared" ref="R319" si="677">Q319</f>
        <v>4.4001420832963323E-2</v>
      </c>
      <c r="S319" s="160">
        <f t="shared" ref="S319" si="678">R319</f>
        <v>4.4001420832963323E-2</v>
      </c>
      <c r="AI319" s="424"/>
    </row>
    <row r="320" spans="1:43" s="101" customFormat="1" ht="15" outlineLevel="2" thickBot="1">
      <c r="C320" s="76" t="s">
        <v>992</v>
      </c>
      <c r="D320" s="76"/>
      <c r="E320" s="76"/>
      <c r="F320" s="110"/>
      <c r="G320" s="110"/>
      <c r="H320" s="409">
        <v>34672</v>
      </c>
      <c r="I320" s="409">
        <v>38892</v>
      </c>
      <c r="J320" s="409">
        <v>39984</v>
      </c>
      <c r="K320" s="409">
        <v>21531</v>
      </c>
      <c r="L320" s="409">
        <v>23713.111829999925</v>
      </c>
      <c r="M320" s="409">
        <v>11864.500280680069</v>
      </c>
      <c r="N320" s="113">
        <f t="shared" ref="N320:S320" si="679">N312*(1-N319)</f>
        <v>24574.267773777425</v>
      </c>
      <c r="O320" s="113">
        <f t="shared" si="679"/>
        <v>25194.654876078806</v>
      </c>
      <c r="P320" s="113">
        <f t="shared" si="679"/>
        <v>25929.939543864541</v>
      </c>
      <c r="Q320" s="113">
        <f t="shared" si="679"/>
        <v>26800.53578727764</v>
      </c>
      <c r="R320" s="113">
        <f t="shared" si="679"/>
        <v>27706.94974127585</v>
      </c>
      <c r="S320" s="113">
        <f t="shared" si="679"/>
        <v>28650.740928340856</v>
      </c>
      <c r="T320" s="525"/>
      <c r="U320" s="1512"/>
      <c r="V320" s="1512"/>
      <c r="W320" s="1512"/>
      <c r="X320" s="1512"/>
      <c r="Y320" s="1512"/>
      <c r="Z320" s="1512"/>
      <c r="AA320" s="1512"/>
      <c r="AI320" s="473"/>
      <c r="AK320" s="1512"/>
      <c r="AL320" s="1512"/>
      <c r="AM320" s="1512"/>
      <c r="AN320" s="1512"/>
      <c r="AO320" s="1512"/>
      <c r="AP320" s="1512"/>
      <c r="AQ320" s="1512"/>
    </row>
    <row r="321" spans="1:43" s="101" customFormat="1" ht="14.5" outlineLevel="2">
      <c r="C321" s="97" t="s">
        <v>659</v>
      </c>
      <c r="H321" s="394">
        <v>-28960</v>
      </c>
      <c r="I321" s="394">
        <v>-35569</v>
      </c>
      <c r="J321" s="394">
        <v>-35122</v>
      </c>
      <c r="K321" s="394">
        <v>-20993</v>
      </c>
      <c r="L321" s="394">
        <v>-23602.075076260408</v>
      </c>
      <c r="M321" s="394">
        <v>-12281.803328916883</v>
      </c>
      <c r="N321" s="20">
        <f>N322*N288</f>
        <v>-25374.740872121201</v>
      </c>
      <c r="O321" s="20">
        <f t="shared" ref="O321:S321" si="680">O322*O288</f>
        <v>-25606.016774516382</v>
      </c>
      <c r="P321" s="20">
        <f t="shared" si="680"/>
        <v>-26097.44383836741</v>
      </c>
      <c r="Q321" s="20">
        <f t="shared" si="680"/>
        <v>-26784.886437229048</v>
      </c>
      <c r="R321" s="20">
        <f t="shared" si="680"/>
        <v>-27505.689389714462</v>
      </c>
      <c r="S321" s="20">
        <f t="shared" si="680"/>
        <v>-28257.469830980448</v>
      </c>
      <c r="U321" s="1512"/>
      <c r="V321" s="1512"/>
      <c r="W321" s="1512"/>
      <c r="X321" s="1512"/>
      <c r="Y321" s="1512"/>
      <c r="Z321" s="1512"/>
      <c r="AA321" s="1512"/>
      <c r="AI321" s="473"/>
      <c r="AK321" s="1512"/>
      <c r="AL321" s="1512"/>
      <c r="AM321" s="1512"/>
      <c r="AN321" s="1512"/>
      <c r="AO321" s="1512"/>
      <c r="AP321" s="1512"/>
      <c r="AQ321" s="1512"/>
    </row>
    <row r="322" spans="1:43" s="101" customFormat="1" ht="14.5" outlineLevel="2">
      <c r="C322" s="97"/>
      <c r="D322" s="1" t="s">
        <v>849</v>
      </c>
      <c r="E322" s="1"/>
      <c r="H322" s="394"/>
      <c r="I322" s="394"/>
      <c r="J322" s="415"/>
      <c r="K322" s="1045">
        <f t="shared" ref="K322" si="681">K321/K288</f>
        <v>-4.0628991677956261</v>
      </c>
      <c r="L322" s="1045">
        <f t="shared" ref="L322" si="682">L321/L288</f>
        <v>-4.1475093854858791</v>
      </c>
      <c r="M322" s="1045">
        <f t="shared" ref="M322" si="683">M321/M288</f>
        <v>-4.3135856634931891</v>
      </c>
      <c r="N322" s="1039">
        <f>M322</f>
        <v>-4.3135856634931891</v>
      </c>
      <c r="O322" s="744">
        <f>N322*(1+O323)</f>
        <v>-4.2478970068197466</v>
      </c>
      <c r="P322" s="744">
        <f t="shared" ref="P322" si="684">O322*(1+P323)</f>
        <v>-4.2043913307214744</v>
      </c>
      <c r="Q322" s="744">
        <f t="shared" ref="Q322" si="685">P322*(1+Q323)</f>
        <v>-4.1688810518445374</v>
      </c>
      <c r="R322" s="744">
        <f t="shared" ref="R322" si="686">Q322*(1+R323)</f>
        <v>-4.1352958868050385</v>
      </c>
      <c r="S322" s="744">
        <f t="shared" ref="S322" si="687">R322*(1+S323)</f>
        <v>-4.103006628380176</v>
      </c>
      <c r="U322" s="1512"/>
      <c r="V322" s="1512"/>
      <c r="W322" s="1512"/>
      <c r="X322" s="1512"/>
      <c r="Y322" s="1512"/>
      <c r="Z322" s="1512"/>
      <c r="AA322" s="1512"/>
      <c r="AI322" s="473"/>
      <c r="AK322" s="1512"/>
      <c r="AL322" s="1512"/>
      <c r="AM322" s="1512"/>
      <c r="AN322" s="1512"/>
      <c r="AO322" s="1512"/>
      <c r="AP322" s="1512"/>
      <c r="AQ322" s="1512"/>
    </row>
    <row r="323" spans="1:43" s="101" customFormat="1" ht="15" outlineLevel="2" thickBot="1">
      <c r="C323" s="109"/>
      <c r="D323" s="74"/>
      <c r="E323" s="74" t="s">
        <v>151</v>
      </c>
      <c r="H323" s="404"/>
      <c r="I323" s="404"/>
      <c r="J323" s="404"/>
      <c r="K323" s="404"/>
      <c r="L323" s="75"/>
      <c r="M323" s="404"/>
      <c r="N323" s="75">
        <f>N322/L322-1</f>
        <v>4.004241161900457E-2</v>
      </c>
      <c r="O323" s="161">
        <f>CHOOSE(case,V323,AD323,AL323)</f>
        <v>-1.5228318572499955E-2</v>
      </c>
      <c r="P323" s="161">
        <f t="shared" ref="P323" si="688">CHOOSE(case,W323,AE323,AM323)</f>
        <v>-1.0241697486644941E-2</v>
      </c>
      <c r="Q323" s="161">
        <f t="shared" ref="Q323" si="689">CHOOSE(case,X323,AF323,AN323)</f>
        <v>-8.4459975496247175E-3</v>
      </c>
      <c r="R323" s="161">
        <f t="shared" ref="R323" si="690">CHOOSE(case,Y323,AG323,AO323)</f>
        <v>-8.0561581445551811E-3</v>
      </c>
      <c r="S323" s="1044">
        <f t="shared" ref="S323" si="691">CHOOSE(case,Z323,AH323,AP323)</f>
        <v>-7.8082099343582678E-3</v>
      </c>
      <c r="U323" s="1512"/>
      <c r="V323" s="1512"/>
      <c r="W323" s="1512"/>
      <c r="X323" s="1512"/>
      <c r="Y323" s="1512"/>
      <c r="Z323" s="1512"/>
      <c r="AA323" s="1512"/>
      <c r="AC323" s="829"/>
      <c r="AD323" s="1042">
        <f>(SUMPRODUCT(O301:O304,各区域分剂型成本优化!K$195:K$198)+O305*O311)/(SUMPRODUCT(N301:N304,各区域分剂型成本优化!J$195:J$198)+N305*N311)-1</f>
        <v>-1.5228318572499955E-2</v>
      </c>
      <c r="AE323" s="1042">
        <f>(SUMPRODUCT(P301:P304,各区域分剂型成本优化!L$195:L$198)+P305*P311)/(SUMPRODUCT(O301:O304,各区域分剂型成本优化!K$195:K$198)+O305*O311)-1</f>
        <v>-1.0241697486644941E-2</v>
      </c>
      <c r="AF323" s="1042">
        <f>(SUMPRODUCT(Q301:Q304,各区域分剂型成本优化!M$195:M$198)+Q305*Q311)/(SUMPRODUCT(P301:P304,各区域分剂型成本优化!L$195:L$198)+P305*P311)-1</f>
        <v>-8.4459975496247175E-3</v>
      </c>
      <c r="AG323" s="1042">
        <f>(SUMPRODUCT(R301:R304,各区域分剂型成本优化!N$195:N$198)+R305*R311)/(SUMPRODUCT(Q301:Q304,各区域分剂型成本优化!M$195:M$198)+Q305*Q311)-1</f>
        <v>-8.0561581445551811E-3</v>
      </c>
      <c r="AH323" s="1042">
        <f>(SUMPRODUCT(S301:S304,各区域分剂型成本优化!O$195:O$198)+S305*S311)/(SUMPRODUCT(R301:R304,各区域分剂型成本优化!N$195:N$198)+R305*R311)-1</f>
        <v>-7.8082099343582678E-3</v>
      </c>
      <c r="AI323" s="473"/>
      <c r="AK323" s="1512"/>
      <c r="AL323" s="1512"/>
      <c r="AM323" s="1512"/>
      <c r="AN323" s="1512"/>
      <c r="AO323" s="1512"/>
      <c r="AP323" s="1512"/>
      <c r="AQ323" s="1512"/>
    </row>
    <row r="324" spans="1:43" s="101" customFormat="1" ht="15" outlineLevel="2" thickBot="1">
      <c r="C324" s="63" t="s">
        <v>846</v>
      </c>
      <c r="D324" s="63"/>
      <c r="E324" s="63"/>
      <c r="F324" s="110"/>
      <c r="G324" s="110"/>
      <c r="H324" s="77">
        <f>H320+H321</f>
        <v>5712</v>
      </c>
      <c r="I324" s="77">
        <f t="shared" ref="I324" si="692">I320+I321</f>
        <v>3323</v>
      </c>
      <c r="J324" s="77">
        <f t="shared" ref="J324" si="693">J320+J321</f>
        <v>4862</v>
      </c>
      <c r="K324" s="77">
        <f t="shared" ref="K324:L324" si="694">K320+K321</f>
        <v>538</v>
      </c>
      <c r="L324" s="77">
        <f t="shared" si="694"/>
        <v>111.03675373951774</v>
      </c>
      <c r="M324" s="77">
        <f t="shared" ref="M324:S324" si="695">M320+M321</f>
        <v>-417.30304823681399</v>
      </c>
      <c r="N324" s="77">
        <f t="shared" si="695"/>
        <v>-800.47309834377666</v>
      </c>
      <c r="O324" s="77">
        <f t="shared" si="695"/>
        <v>-411.36189843757529</v>
      </c>
      <c r="P324" s="77">
        <f t="shared" si="695"/>
        <v>-167.50429450286902</v>
      </c>
      <c r="Q324" s="77">
        <f t="shared" si="695"/>
        <v>15.649350048592169</v>
      </c>
      <c r="R324" s="77">
        <f t="shared" si="695"/>
        <v>201.26035156138823</v>
      </c>
      <c r="S324" s="77">
        <f t="shared" si="695"/>
        <v>393.27109736040802</v>
      </c>
      <c r="U324" s="1512"/>
      <c r="V324" s="1512"/>
      <c r="W324" s="1512"/>
      <c r="X324" s="1512"/>
      <c r="Y324" s="1512"/>
      <c r="Z324" s="1512"/>
      <c r="AA324" s="1512"/>
      <c r="AC324" s="480"/>
      <c r="AI324" s="473"/>
      <c r="AK324" s="1512"/>
      <c r="AL324" s="1512"/>
      <c r="AM324" s="1512"/>
      <c r="AN324" s="1512"/>
      <c r="AO324" s="1512"/>
      <c r="AP324" s="1512"/>
      <c r="AQ324" s="1512"/>
    </row>
    <row r="325" spans="1:43" s="101" customFormat="1" ht="14.5" outlineLevel="2">
      <c r="C325" s="22" t="s">
        <v>660</v>
      </c>
      <c r="D325" s="18"/>
      <c r="E325" s="18"/>
      <c r="H325" s="94">
        <f>H324/H320</f>
        <v>0.16474388555606831</v>
      </c>
      <c r="I325" s="94">
        <f t="shared" ref="I325" si="696">I324/I320</f>
        <v>8.544173608968425E-2</v>
      </c>
      <c r="J325" s="94">
        <f t="shared" ref="J325" si="697">J324/J320</f>
        <v>0.12159863945578231</v>
      </c>
      <c r="K325" s="94">
        <f t="shared" ref="K325:L325" si="698">K324/K320</f>
        <v>2.4987227718173795E-2</v>
      </c>
      <c r="L325" s="94">
        <f t="shared" si="698"/>
        <v>4.6825045373860615E-3</v>
      </c>
      <c r="M325" s="94">
        <f t="shared" ref="M325:S325" si="699">M324/M320</f>
        <v>-3.5172408307524126E-2</v>
      </c>
      <c r="N325" s="94">
        <f t="shared" si="699"/>
        <v>-3.2573629689098653E-2</v>
      </c>
      <c r="O325" s="94">
        <f t="shared" si="699"/>
        <v>-1.6327348021271962E-2</v>
      </c>
      <c r="P325" s="94">
        <f t="shared" si="699"/>
        <v>-6.4598798705068072E-3</v>
      </c>
      <c r="Q325" s="94">
        <f t="shared" si="699"/>
        <v>5.8391929821123198E-4</v>
      </c>
      <c r="R325" s="94">
        <f t="shared" si="699"/>
        <v>7.2638942013008682E-3</v>
      </c>
      <c r="S325" s="94">
        <f t="shared" si="699"/>
        <v>1.3726384889801943E-2</v>
      </c>
      <c r="T325" s="1321"/>
      <c r="U325" s="1526">
        <f>AC325+0.3%</f>
        <v>3.0000000000000001E-3</v>
      </c>
      <c r="V325" s="1526">
        <f t="shared" ref="V325" si="700">AD325+0.3%</f>
        <v>3.0000000000000001E-3</v>
      </c>
      <c r="W325" s="1526">
        <f t="shared" ref="W325" si="701">AE325+0.3%</f>
        <v>3.0000000000000001E-3</v>
      </c>
      <c r="X325" s="1526">
        <f t="shared" ref="X325" si="702">AF325+0.3%</f>
        <v>3.0000000000000001E-3</v>
      </c>
      <c r="Y325" s="1526">
        <f t="shared" ref="Y325" si="703">AG325+0.3%</f>
        <v>3.0000000000000001E-3</v>
      </c>
      <c r="Z325" s="1526">
        <f t="shared" ref="Z325" si="704">AH325+0.3%</f>
        <v>3.0000000000000001E-3</v>
      </c>
      <c r="AA325" s="1515"/>
      <c r="AB325" s="1321"/>
      <c r="AC325" s="829"/>
      <c r="AD325" s="829"/>
      <c r="AE325" s="829"/>
      <c r="AF325" s="829"/>
      <c r="AG325" s="829"/>
      <c r="AH325" s="829"/>
      <c r="AI325" s="415"/>
      <c r="AJ325" s="1321"/>
      <c r="AK325" s="1526">
        <f>AC325-0.3%</f>
        <v>-3.0000000000000001E-3</v>
      </c>
      <c r="AL325" s="1526">
        <f t="shared" ref="AL325" si="705">AD325-0.3%</f>
        <v>-3.0000000000000001E-3</v>
      </c>
      <c r="AM325" s="1526">
        <f t="shared" ref="AM325" si="706">AE325-0.3%</f>
        <v>-3.0000000000000001E-3</v>
      </c>
      <c r="AN325" s="1526">
        <f t="shared" ref="AN325" si="707">AF325-0.3%</f>
        <v>-3.0000000000000001E-3</v>
      </c>
      <c r="AO325" s="1526">
        <f t="shared" ref="AO325" si="708">AG325-0.3%</f>
        <v>-3.0000000000000001E-3</v>
      </c>
      <c r="AP325" s="1526">
        <f t="shared" ref="AP325" si="709">AH325-0.3%</f>
        <v>-3.0000000000000001E-3</v>
      </c>
      <c r="AQ325" s="1515"/>
    </row>
    <row r="326" spans="1:43" ht="14.5" outlineLevel="1"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AI326" s="424"/>
    </row>
    <row r="327" spans="1:43" s="1125" customFormat="1" ht="14.5" outlineLevel="1">
      <c r="A327" s="10" t="s">
        <v>8</v>
      </c>
      <c r="B327" s="10" t="s">
        <v>177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U327" s="1515"/>
      <c r="V327" s="1515"/>
      <c r="W327" s="1515"/>
      <c r="X327" s="1515"/>
      <c r="Y327" s="1515"/>
      <c r="Z327" s="1515"/>
      <c r="AA327" s="1515"/>
      <c r="AC327" s="62"/>
      <c r="AD327" s="62"/>
      <c r="AE327" s="62"/>
      <c r="AF327" s="62"/>
      <c r="AG327" s="62"/>
      <c r="AH327" s="62"/>
      <c r="AI327" s="475"/>
      <c r="AK327" s="1515"/>
      <c r="AL327" s="1515"/>
      <c r="AM327" s="1515"/>
      <c r="AN327" s="1515"/>
      <c r="AO327" s="1515"/>
      <c r="AP327" s="1515"/>
      <c r="AQ327" s="1515"/>
    </row>
    <row r="328" spans="1:43" ht="14.5" outlineLevel="1"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AI328" s="424"/>
    </row>
    <row r="329" spans="1:43" s="1126" customFormat="1" ht="14.5" outlineLevel="1">
      <c r="A329" s="26" t="s">
        <v>8</v>
      </c>
      <c r="B329" s="26"/>
      <c r="C329" s="26" t="s">
        <v>178</v>
      </c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U329" s="1518"/>
      <c r="V329" s="1518"/>
      <c r="W329" s="1518"/>
      <c r="X329" s="1518"/>
      <c r="Y329" s="1518"/>
      <c r="Z329" s="1518"/>
      <c r="AA329" s="1518"/>
      <c r="AC329" s="26"/>
      <c r="AD329" s="26"/>
      <c r="AE329" s="26"/>
      <c r="AF329" s="26"/>
      <c r="AG329" s="26"/>
      <c r="AH329" s="26"/>
      <c r="AI329" s="474"/>
      <c r="AK329" s="1518"/>
      <c r="AL329" s="1518"/>
      <c r="AM329" s="1518"/>
      <c r="AN329" s="1518"/>
      <c r="AO329" s="1518"/>
      <c r="AP329" s="1518"/>
      <c r="AQ329" s="1518"/>
    </row>
    <row r="330" spans="1:43" ht="14.5" outlineLevel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AI330" s="424"/>
    </row>
    <row r="331" spans="1:43" s="99" customFormat="1" ht="14.5" outlineLevel="1">
      <c r="C331" s="18" t="s">
        <v>840</v>
      </c>
      <c r="D331" s="18"/>
      <c r="E331" s="18"/>
      <c r="H331" s="99">
        <f>SUM(H332:H336)</f>
        <v>0</v>
      </c>
      <c r="I331" s="99">
        <f t="shared" ref="I331" si="710">SUM(I332:I336)</f>
        <v>0</v>
      </c>
      <c r="J331" s="99">
        <f t="shared" ref="J331" si="711">SUM(J332:J336)</f>
        <v>32258</v>
      </c>
      <c r="K331" s="99">
        <f t="shared" ref="K331" si="712">SUM(K332:K336)</f>
        <v>24263</v>
      </c>
      <c r="L331" s="23">
        <f t="shared" ref="L331:S331" si="713">L358+L399+L440+L481+L522+L563</f>
        <v>28338.889068481625</v>
      </c>
      <c r="M331" s="23">
        <f t="shared" ref="M331" si="714">M358+M399+M440+M481+M522+M563</f>
        <v>11621.02586229487</v>
      </c>
      <c r="N331" s="23">
        <f t="shared" si="713"/>
        <v>20261.490033824983</v>
      </c>
      <c r="O331" s="23">
        <f t="shared" si="713"/>
        <v>20778.531692824978</v>
      </c>
      <c r="P331" s="23">
        <f t="shared" si="713"/>
        <v>21095.385890274978</v>
      </c>
      <c r="Q331" s="23">
        <f t="shared" si="713"/>
        <v>21161.650217274975</v>
      </c>
      <c r="R331" s="23">
        <f t="shared" si="713"/>
        <v>21222.237601974972</v>
      </c>
      <c r="S331" s="23">
        <f t="shared" si="713"/>
        <v>21266.168081394972</v>
      </c>
      <c r="U331" s="1511"/>
      <c r="V331" s="1511"/>
      <c r="W331" s="1511"/>
      <c r="X331" s="1511"/>
      <c r="Y331" s="1511"/>
      <c r="Z331" s="1511"/>
      <c r="AA331" s="1511"/>
      <c r="AI331" s="414"/>
      <c r="AK331" s="1511"/>
      <c r="AL331" s="1511"/>
      <c r="AM331" s="1511"/>
      <c r="AN331" s="1511"/>
      <c r="AO331" s="1511"/>
      <c r="AP331" s="1511"/>
      <c r="AQ331" s="1511"/>
    </row>
    <row r="332" spans="1:43" s="101" customFormat="1" ht="14.5" outlineLevel="1">
      <c r="C332" s="1"/>
      <c r="D332" s="27" t="s">
        <v>841</v>
      </c>
      <c r="E332" s="28"/>
      <c r="F332" s="28"/>
      <c r="G332" s="28"/>
      <c r="H332" s="29">
        <f>H359+H400+H441+H482+H523+H564</f>
        <v>0</v>
      </c>
      <c r="I332" s="29">
        <f t="shared" ref="I332:S332" si="715">I359+I400+I441+I482+I523+I564</f>
        <v>0</v>
      </c>
      <c r="J332" s="29">
        <f>J359+J400+J441+J482+J523+J564</f>
        <v>3339</v>
      </c>
      <c r="K332" s="29">
        <f t="shared" si="715"/>
        <v>2774</v>
      </c>
      <c r="L332" s="29">
        <f t="shared" si="715"/>
        <v>3152.61193</v>
      </c>
      <c r="M332" s="29">
        <f t="shared" ref="M332" si="716">M359+M400+M441+M482+M523+M564</f>
        <v>1423.874</v>
      </c>
      <c r="N332" s="689">
        <f t="shared" si="715"/>
        <v>2371.4557500000001</v>
      </c>
      <c r="O332" s="689">
        <f t="shared" si="715"/>
        <v>2374.4557500000001</v>
      </c>
      <c r="P332" s="689">
        <f t="shared" si="715"/>
        <v>2377.6057500000002</v>
      </c>
      <c r="Q332" s="689">
        <f t="shared" si="715"/>
        <v>2380.9132500000001</v>
      </c>
      <c r="R332" s="689">
        <f t="shared" si="715"/>
        <v>2384.386125</v>
      </c>
      <c r="S332" s="689">
        <f t="shared" si="715"/>
        <v>2388.0326437500003</v>
      </c>
      <c r="U332" s="1512"/>
      <c r="V332" s="1512"/>
      <c r="W332" s="1512"/>
      <c r="X332" s="1512"/>
      <c r="Y332" s="1512"/>
      <c r="Z332" s="1512"/>
      <c r="AA332" s="1512"/>
      <c r="AI332" s="473"/>
      <c r="AK332" s="1512"/>
      <c r="AL332" s="1512"/>
      <c r="AM332" s="1512"/>
      <c r="AN332" s="1512"/>
      <c r="AO332" s="1512"/>
      <c r="AP332" s="1512"/>
      <c r="AQ332" s="1512"/>
    </row>
    <row r="333" spans="1:43" ht="14.5" outlineLevel="1">
      <c r="C333" s="1"/>
      <c r="D333" s="31" t="s">
        <v>842</v>
      </c>
      <c r="E333" s="1"/>
      <c r="F333" s="1"/>
      <c r="G333" s="1"/>
      <c r="H333" s="20">
        <f t="shared" ref="H333:S333" si="717">H360+H401+H442+H483+H524+H565</f>
        <v>0</v>
      </c>
      <c r="I333" s="20">
        <f t="shared" si="717"/>
        <v>0</v>
      </c>
      <c r="J333" s="20">
        <f t="shared" si="717"/>
        <v>0</v>
      </c>
      <c r="K333" s="20">
        <f t="shared" si="717"/>
        <v>0</v>
      </c>
      <c r="L333" s="20">
        <f t="shared" si="717"/>
        <v>0</v>
      </c>
      <c r="M333" s="20">
        <f t="shared" ref="M333" si="718">M360+M401+M442+M483+M524+M565</f>
        <v>0</v>
      </c>
      <c r="N333" s="690">
        <f t="shared" si="717"/>
        <v>0</v>
      </c>
      <c r="O333" s="690">
        <f t="shared" si="717"/>
        <v>0</v>
      </c>
      <c r="P333" s="690">
        <f t="shared" si="717"/>
        <v>0</v>
      </c>
      <c r="Q333" s="690">
        <f t="shared" si="717"/>
        <v>0</v>
      </c>
      <c r="R333" s="690">
        <f t="shared" si="717"/>
        <v>0</v>
      </c>
      <c r="S333" s="690">
        <f t="shared" si="717"/>
        <v>0</v>
      </c>
      <c r="AI333" s="424"/>
    </row>
    <row r="334" spans="1:43" ht="14.5" outlineLevel="1">
      <c r="C334" s="1"/>
      <c r="D334" s="31" t="s">
        <v>843</v>
      </c>
      <c r="E334" s="1"/>
      <c r="F334" s="1"/>
      <c r="G334" s="1"/>
      <c r="H334" s="20">
        <f t="shared" ref="H334:S334" si="719">H361+H402+H443+H484+H525+H566</f>
        <v>0</v>
      </c>
      <c r="I334" s="20">
        <f t="shared" si="719"/>
        <v>0</v>
      </c>
      <c r="J334" s="20">
        <f>J361+J402+J443+J484+J525+J566</f>
        <v>16574</v>
      </c>
      <c r="K334" s="20">
        <f t="shared" si="719"/>
        <v>8976</v>
      </c>
      <c r="L334" s="20">
        <f t="shared" si="719"/>
        <v>9840.927123045547</v>
      </c>
      <c r="M334" s="20">
        <f t="shared" ref="M334" si="720">M361+M402+M443+M484+M525+M566</f>
        <v>3509.2611687020367</v>
      </c>
      <c r="N334" s="690">
        <f t="shared" si="719"/>
        <v>6116.8834477734772</v>
      </c>
      <c r="O334" s="690">
        <f t="shared" si="719"/>
        <v>6364.4305717734778</v>
      </c>
      <c r="P334" s="690">
        <f t="shared" si="719"/>
        <v>6500.5814899734778</v>
      </c>
      <c r="Q334" s="690">
        <f t="shared" si="719"/>
        <v>6500.5814899734778</v>
      </c>
      <c r="R334" s="690">
        <f t="shared" si="719"/>
        <v>6500.5814899734778</v>
      </c>
      <c r="S334" s="690">
        <f t="shared" si="719"/>
        <v>6500.5814899734778</v>
      </c>
      <c r="AI334" s="424"/>
    </row>
    <row r="335" spans="1:43" ht="14.5" outlineLevel="1">
      <c r="C335" s="1"/>
      <c r="D335" s="31" t="s">
        <v>844</v>
      </c>
      <c r="E335" s="1"/>
      <c r="F335" s="1"/>
      <c r="G335" s="1"/>
      <c r="H335" s="20">
        <f t="shared" ref="H335:S335" si="721">H362+H403+H444+H485+H526+H567</f>
        <v>0</v>
      </c>
      <c r="I335" s="20">
        <f t="shared" si="721"/>
        <v>0</v>
      </c>
      <c r="J335" s="20">
        <f t="shared" si="721"/>
        <v>9161</v>
      </c>
      <c r="K335" s="20">
        <f t="shared" si="721"/>
        <v>10775</v>
      </c>
      <c r="L335" s="20">
        <f t="shared" si="721"/>
        <v>13413.063675930847</v>
      </c>
      <c r="M335" s="20">
        <f t="shared" ref="M335" si="722">M362+M403+M444+M485+M526+M567</f>
        <v>5630.7534230995579</v>
      </c>
      <c r="N335" s="690">
        <f t="shared" si="721"/>
        <v>9948.0874411462719</v>
      </c>
      <c r="O335" s="690">
        <f t="shared" si="721"/>
        <v>10147.743276146273</v>
      </c>
      <c r="P335" s="690">
        <f t="shared" si="721"/>
        <v>10257.553985396273</v>
      </c>
      <c r="Q335" s="690">
        <f t="shared" si="721"/>
        <v>10257.553985396273</v>
      </c>
      <c r="R335" s="690">
        <f t="shared" si="721"/>
        <v>10257.553985396273</v>
      </c>
      <c r="S335" s="690">
        <f t="shared" si="721"/>
        <v>10257.553985396273</v>
      </c>
      <c r="AI335" s="424"/>
    </row>
    <row r="336" spans="1:43" ht="14.5" outlineLevel="1">
      <c r="C336" s="1"/>
      <c r="D336" s="33" t="s">
        <v>665</v>
      </c>
      <c r="E336" s="34"/>
      <c r="F336" s="34"/>
      <c r="G336" s="34"/>
      <c r="H336" s="35">
        <f t="shared" ref="H336:S336" si="723">H363+H404+H445+H486+H527+H568</f>
        <v>0</v>
      </c>
      <c r="I336" s="35">
        <f t="shared" si="723"/>
        <v>0</v>
      </c>
      <c r="J336" s="35">
        <f t="shared" si="723"/>
        <v>3184</v>
      </c>
      <c r="K336" s="35">
        <f t="shared" si="723"/>
        <v>1738</v>
      </c>
      <c r="L336" s="35">
        <f t="shared" si="723"/>
        <v>1932.2863395052323</v>
      </c>
      <c r="M336" s="35">
        <f t="shared" ref="M336" si="724">M363+M404+M445+M486+M527+M568</f>
        <v>1057.1372704932742</v>
      </c>
      <c r="N336" s="691">
        <f t="shared" si="723"/>
        <v>1825.0633949052303</v>
      </c>
      <c r="O336" s="691">
        <f t="shared" si="723"/>
        <v>1891.9020949052276</v>
      </c>
      <c r="P336" s="691">
        <f t="shared" si="723"/>
        <v>1959.6446649052252</v>
      </c>
      <c r="Q336" s="691">
        <f t="shared" si="723"/>
        <v>2022.6014919052229</v>
      </c>
      <c r="R336" s="691">
        <f t="shared" si="723"/>
        <v>2079.7160016052208</v>
      </c>
      <c r="S336" s="691">
        <f t="shared" si="723"/>
        <v>2119.9999622752198</v>
      </c>
      <c r="AI336" s="424"/>
    </row>
    <row r="337" spans="3:43" ht="14.5" outlineLevel="1">
      <c r="C337" s="18" t="s">
        <v>31</v>
      </c>
      <c r="D337" s="1"/>
      <c r="E337" s="1"/>
      <c r="H337" s="759" t="str">
        <f>IFERROR(H343/H331,"NA")</f>
        <v>NA</v>
      </c>
      <c r="I337" s="759" t="str">
        <f t="shared" ref="I337:K337" si="725">IFERROR(I343/I331,"NA")</f>
        <v>NA</v>
      </c>
      <c r="J337" s="759">
        <f t="shared" si="725"/>
        <v>5.110794221588443</v>
      </c>
      <c r="K337" s="759">
        <f t="shared" si="725"/>
        <v>5.8538927585212051</v>
      </c>
      <c r="L337" s="759">
        <f t="shared" ref="L337:S337" si="726">IFERROR(L343/L331,"NA")</f>
        <v>5.7035130895796566</v>
      </c>
      <c r="M337" s="759">
        <f t="shared" ref="M337" si="727">IFERROR(M343/M331,"NA")</f>
        <v>6.7556040944092528</v>
      </c>
      <c r="N337" s="759">
        <f t="shared" si="726"/>
        <v>6.7928166634593579</v>
      </c>
      <c r="O337" s="759">
        <f t="shared" si="726"/>
        <v>6.7000505244974029</v>
      </c>
      <c r="P337" s="759">
        <f t="shared" si="726"/>
        <v>6.6467005955584018</v>
      </c>
      <c r="Q337" s="759">
        <f t="shared" si="726"/>
        <v>6.6387045159094198</v>
      </c>
      <c r="R337" s="759">
        <f t="shared" si="726"/>
        <v>6.6331335358331911</v>
      </c>
      <c r="S337" s="759">
        <f t="shared" si="726"/>
        <v>6.632888912877819</v>
      </c>
      <c r="AI337" s="424"/>
    </row>
    <row r="338" spans="3:43" ht="14.5" outlineLevel="1">
      <c r="C338" s="1"/>
      <c r="D338" s="27" t="s">
        <v>841</v>
      </c>
      <c r="E338" s="28"/>
      <c r="F338" s="28"/>
      <c r="G338" s="28"/>
      <c r="H338" s="759" t="str">
        <f>IFERROR(H344/H332,"NA")</f>
        <v>NA</v>
      </c>
      <c r="I338" s="759" t="str">
        <f t="shared" ref="I338:J338" si="728">IFERROR(I344/I332,"NA")</f>
        <v>NA</v>
      </c>
      <c r="J338" s="759">
        <f t="shared" si="728"/>
        <v>6.5103324348607368</v>
      </c>
      <c r="K338" s="759">
        <f t="shared" ref="K338:S338" si="729">IFERROR(K344/K332,"NA")</f>
        <v>8.0270367700072089</v>
      </c>
      <c r="L338" s="759">
        <f t="shared" si="729"/>
        <v>7.4993602883844392</v>
      </c>
      <c r="M338" s="759">
        <f t="shared" ref="M338" si="730">IFERROR(M344/M332,"NA")</f>
        <v>6.9491805877872359</v>
      </c>
      <c r="N338" s="1050">
        <f t="shared" si="729"/>
        <v>6.936225920607674</v>
      </c>
      <c r="O338" s="1050">
        <f t="shared" si="729"/>
        <v>6.9318952615691991</v>
      </c>
      <c r="P338" s="1050">
        <f t="shared" si="729"/>
        <v>6.9273598315081006</v>
      </c>
      <c r="Q338" s="1050">
        <f t="shared" si="729"/>
        <v>6.922610545961196</v>
      </c>
      <c r="R338" s="1050">
        <f t="shared" si="729"/>
        <v>6.9176379767402825</v>
      </c>
      <c r="S338" s="1050">
        <f t="shared" si="729"/>
        <v>6.912432344910088</v>
      </c>
      <c r="AI338" s="424"/>
    </row>
    <row r="339" spans="3:43" ht="14.5" outlineLevel="1">
      <c r="C339" s="1"/>
      <c r="D339" s="31" t="s">
        <v>842</v>
      </c>
      <c r="E339" s="1"/>
      <c r="F339" s="1"/>
      <c r="G339" s="1"/>
      <c r="H339" s="764" t="str">
        <f t="shared" ref="H339:J339" si="731">IFERROR(H345/H333,"NA")</f>
        <v>NA</v>
      </c>
      <c r="I339" s="764" t="str">
        <f t="shared" si="731"/>
        <v>NA</v>
      </c>
      <c r="J339" s="764" t="str">
        <f t="shared" si="731"/>
        <v>NA</v>
      </c>
      <c r="K339" s="764" t="str">
        <f t="shared" ref="K339:S339" si="732">IFERROR(K345/K333,"NA")</f>
        <v>NA</v>
      </c>
      <c r="L339" s="764" t="str">
        <f t="shared" si="732"/>
        <v>NA</v>
      </c>
      <c r="M339" s="764" t="str">
        <f t="shared" ref="M339" si="733">IFERROR(M345/M333,"NA")</f>
        <v>NA</v>
      </c>
      <c r="N339" s="1051" t="str">
        <f t="shared" si="732"/>
        <v>NA</v>
      </c>
      <c r="O339" s="1051" t="str">
        <f t="shared" si="732"/>
        <v>NA</v>
      </c>
      <c r="P339" s="1051" t="str">
        <f t="shared" si="732"/>
        <v>NA</v>
      </c>
      <c r="Q339" s="1051" t="str">
        <f t="shared" si="732"/>
        <v>NA</v>
      </c>
      <c r="R339" s="1051" t="str">
        <f t="shared" si="732"/>
        <v>NA</v>
      </c>
      <c r="S339" s="1051" t="str">
        <f t="shared" si="732"/>
        <v>NA</v>
      </c>
      <c r="AI339" s="424"/>
    </row>
    <row r="340" spans="3:43" ht="14.5" outlineLevel="1">
      <c r="C340" s="1"/>
      <c r="D340" s="31" t="s">
        <v>843</v>
      </c>
      <c r="E340" s="1"/>
      <c r="F340" s="1"/>
      <c r="G340" s="1"/>
      <c r="H340" s="764" t="str">
        <f t="shared" ref="H340:J340" si="734">IFERROR(H346/H334,"NA")</f>
        <v>NA</v>
      </c>
      <c r="I340" s="764" t="str">
        <f t="shared" si="734"/>
        <v>NA</v>
      </c>
      <c r="J340" s="764">
        <f t="shared" si="734"/>
        <v>4.6151804030409078</v>
      </c>
      <c r="K340" s="764">
        <f t="shared" ref="K340:S340" si="735">IFERROR(K346/K334,"NA")</f>
        <v>5.1395944741532977</v>
      </c>
      <c r="L340" s="764">
        <f t="shared" si="735"/>
        <v>5.1501320511960991</v>
      </c>
      <c r="M340" s="764">
        <f t="shared" ref="M340" si="736">IFERROR(M346/M334,"NA")</f>
        <v>5.4246597337334519</v>
      </c>
      <c r="N340" s="1051">
        <f t="shared" si="735"/>
        <v>5.3872156801272419</v>
      </c>
      <c r="O340" s="1051">
        <f t="shared" si="735"/>
        <v>5.309322168629496</v>
      </c>
      <c r="P340" s="1051">
        <f t="shared" si="735"/>
        <v>5.2690094608282898</v>
      </c>
      <c r="Q340" s="1051">
        <f t="shared" si="735"/>
        <v>5.2690094608282898</v>
      </c>
      <c r="R340" s="1051">
        <f t="shared" si="735"/>
        <v>5.2690094608282898</v>
      </c>
      <c r="S340" s="1051">
        <f t="shared" si="735"/>
        <v>5.2690094608282898</v>
      </c>
      <c r="AI340" s="424"/>
    </row>
    <row r="341" spans="3:43" ht="14.5" outlineLevel="1">
      <c r="C341" s="1"/>
      <c r="D341" s="31" t="s">
        <v>844</v>
      </c>
      <c r="E341" s="1"/>
      <c r="F341" s="1"/>
      <c r="G341" s="1"/>
      <c r="H341" s="764" t="str">
        <f t="shared" ref="H341:J341" si="737">IFERROR(H347/H335,"NA")</f>
        <v>NA</v>
      </c>
      <c r="I341" s="764" t="str">
        <f t="shared" si="737"/>
        <v>NA</v>
      </c>
      <c r="J341" s="764">
        <f t="shared" si="737"/>
        <v>5.5039842811920092</v>
      </c>
      <c r="K341" s="764">
        <f t="shared" ref="K341:S341" si="738">IFERROR(K347/K335,"NA")</f>
        <v>4.99322505800464</v>
      </c>
      <c r="L341" s="764">
        <f t="shared" si="738"/>
        <v>4.7965523109996555</v>
      </c>
      <c r="M341" s="764">
        <f t="shared" ref="M341" si="739">IFERROR(M347/M335,"NA")</f>
        <v>6.1247925074752301</v>
      </c>
      <c r="N341" s="1051">
        <f t="shared" si="738"/>
        <v>6.031066754183982</v>
      </c>
      <c r="O341" s="1051">
        <f t="shared" si="738"/>
        <v>5.9621592737251623</v>
      </c>
      <c r="P341" s="1051">
        <f t="shared" si="738"/>
        <v>5.9254035614899507</v>
      </c>
      <c r="Q341" s="1051">
        <f t="shared" si="738"/>
        <v>5.9254035614899507</v>
      </c>
      <c r="R341" s="1051">
        <f t="shared" si="738"/>
        <v>5.9254035614899507</v>
      </c>
      <c r="S341" s="1051">
        <f t="shared" si="738"/>
        <v>5.9254035614899507</v>
      </c>
      <c r="AI341" s="424"/>
    </row>
    <row r="342" spans="3:43" ht="15" outlineLevel="1" thickBot="1">
      <c r="C342" s="37"/>
      <c r="D342" s="33" t="s">
        <v>665</v>
      </c>
      <c r="E342" s="37"/>
      <c r="F342" s="37"/>
      <c r="G342" s="37"/>
      <c r="H342" s="774" t="str">
        <f t="shared" ref="H342:J342" si="740">IFERROR(H348/H336,"NA")</f>
        <v>NA</v>
      </c>
      <c r="I342" s="774" t="str">
        <f t="shared" si="740"/>
        <v>NA</v>
      </c>
      <c r="J342" s="774">
        <f t="shared" si="740"/>
        <v>3.6934673366834172</v>
      </c>
      <c r="K342" s="774">
        <f t="shared" ref="K342:S342" si="741">IFERROR(K348/K336,"NA")</f>
        <v>11.410241657077099</v>
      </c>
      <c r="L342" s="774">
        <f t="shared" si="741"/>
        <v>11.887532298825754</v>
      </c>
      <c r="M342" s="774">
        <f t="shared" ref="M342" si="742">IFERROR(M348/M336,"NA")</f>
        <v>14.273026430149931</v>
      </c>
      <c r="N342" s="1054">
        <f t="shared" si="741"/>
        <v>15.469645880249244</v>
      </c>
      <c r="O342" s="1054">
        <f t="shared" si="741"/>
        <v>15.045418932904743</v>
      </c>
      <c r="P342" s="1054">
        <f t="shared" si="741"/>
        <v>14.651845621870896</v>
      </c>
      <c r="Q342" s="1054">
        <f t="shared" si="741"/>
        <v>14.324144185200556</v>
      </c>
      <c r="R342" s="1054">
        <f t="shared" si="741"/>
        <v>14.06146013311335</v>
      </c>
      <c r="S342" s="1054">
        <f t="shared" si="741"/>
        <v>13.923228601686292</v>
      </c>
      <c r="AI342" s="424"/>
    </row>
    <row r="343" spans="3:43" ht="14.5" outlineLevel="1">
      <c r="C343" s="18" t="s">
        <v>991</v>
      </c>
      <c r="D343" s="1"/>
      <c r="E343" s="1"/>
      <c r="H343" s="99">
        <f>H382+H423+H464+H505+H546+H587</f>
        <v>295905</v>
      </c>
      <c r="I343" s="99">
        <f>I382+I423+I464+I505+I546+I587</f>
        <v>306418</v>
      </c>
      <c r="J343" s="99">
        <f t="shared" ref="J343:S343" si="743">J382+J423+J464+J505+J546+J587</f>
        <v>164864</v>
      </c>
      <c r="K343" s="99">
        <f t="shared" si="743"/>
        <v>142033</v>
      </c>
      <c r="L343" s="23">
        <f t="shared" si="743"/>
        <v>161631.22474623079</v>
      </c>
      <c r="M343" s="23">
        <f t="shared" ref="M343" si="744">M382+M423+M464+M505+M546+M587</f>
        <v>78507.049896555036</v>
      </c>
      <c r="N343" s="23">
        <f t="shared" si="743"/>
        <v>137632.58712828206</v>
      </c>
      <c r="O343" s="23">
        <f t="shared" si="743"/>
        <v>139217.21216679789</v>
      </c>
      <c r="P343" s="23">
        <f t="shared" si="743"/>
        <v>140214.713960425</v>
      </c>
      <c r="Q343" s="23">
        <f t="shared" si="743"/>
        <v>140485.94286151894</v>
      </c>
      <c r="R343" s="23">
        <f t="shared" si="743"/>
        <v>140769.93594308035</v>
      </c>
      <c r="S343" s="23">
        <f t="shared" si="743"/>
        <v>141056.13048648086</v>
      </c>
      <c r="AI343" s="424"/>
    </row>
    <row r="344" spans="3:43" ht="14.5" outlineLevel="1">
      <c r="C344" s="1"/>
      <c r="D344" s="27" t="s">
        <v>841</v>
      </c>
      <c r="E344" s="28"/>
      <c r="F344" s="28"/>
      <c r="G344" s="28"/>
      <c r="H344" s="29">
        <f>H383+H424+H465+H506+H547+H588</f>
        <v>0</v>
      </c>
      <c r="I344" s="29">
        <f t="shared" ref="I344:S344" si="745">I383+I424+I465+I506+I547+I588</f>
        <v>0</v>
      </c>
      <c r="J344" s="29">
        <f t="shared" si="745"/>
        <v>21738</v>
      </c>
      <c r="K344" s="29">
        <f t="shared" si="745"/>
        <v>22267</v>
      </c>
      <c r="L344" s="29">
        <f t="shared" si="745"/>
        <v>23642.572712529025</v>
      </c>
      <c r="M344" s="29">
        <f t="shared" ref="M344" si="746">M383+M424+M465+M506+M547+M588</f>
        <v>9894.7575602549623</v>
      </c>
      <c r="N344" s="689">
        <f t="shared" si="745"/>
        <v>16448.952842724113</v>
      </c>
      <c r="O344" s="689">
        <f t="shared" si="745"/>
        <v>16459.478562230739</v>
      </c>
      <c r="P344" s="689">
        <f t="shared" si="745"/>
        <v>16470.530567712693</v>
      </c>
      <c r="Q344" s="689">
        <f t="shared" si="745"/>
        <v>16482.135173468745</v>
      </c>
      <c r="R344" s="689">
        <f t="shared" si="745"/>
        <v>16494.320009512601</v>
      </c>
      <c r="S344" s="689">
        <f t="shared" si="745"/>
        <v>16507.114087358652</v>
      </c>
      <c r="AI344" s="424"/>
    </row>
    <row r="345" spans="3:43" ht="14.5" outlineLevel="1">
      <c r="C345" s="1"/>
      <c r="D345" s="31" t="s">
        <v>842</v>
      </c>
      <c r="E345" s="1"/>
      <c r="F345" s="1"/>
      <c r="G345" s="1"/>
      <c r="H345" s="20">
        <f t="shared" ref="H345:S345" si="747">H384+H425+H466+H507+H548+H589</f>
        <v>0</v>
      </c>
      <c r="I345" s="20">
        <f t="shared" si="747"/>
        <v>0</v>
      </c>
      <c r="J345" s="20">
        <f t="shared" si="747"/>
        <v>0</v>
      </c>
      <c r="K345" s="20">
        <f t="shared" si="747"/>
        <v>0</v>
      </c>
      <c r="L345" s="20">
        <f t="shared" si="747"/>
        <v>0</v>
      </c>
      <c r="M345" s="20">
        <f t="shared" ref="M345" si="748">M384+M425+M466+M507+M548+M589</f>
        <v>0</v>
      </c>
      <c r="N345" s="690">
        <f t="shared" si="747"/>
        <v>0</v>
      </c>
      <c r="O345" s="690">
        <f t="shared" si="747"/>
        <v>0</v>
      </c>
      <c r="P345" s="690">
        <f t="shared" si="747"/>
        <v>0</v>
      </c>
      <c r="Q345" s="690">
        <f t="shared" si="747"/>
        <v>0</v>
      </c>
      <c r="R345" s="690">
        <f t="shared" si="747"/>
        <v>0</v>
      </c>
      <c r="S345" s="690">
        <f t="shared" si="747"/>
        <v>0</v>
      </c>
      <c r="AI345" s="424"/>
    </row>
    <row r="346" spans="3:43" ht="14.5" outlineLevel="1">
      <c r="C346" s="1"/>
      <c r="D346" s="31" t="s">
        <v>843</v>
      </c>
      <c r="E346" s="1"/>
      <c r="F346" s="1"/>
      <c r="G346" s="1"/>
      <c r="H346" s="20">
        <f t="shared" ref="H346:S346" si="749">H385+H426+H467+H508+H549+H590</f>
        <v>0</v>
      </c>
      <c r="I346" s="20">
        <f t="shared" si="749"/>
        <v>0</v>
      </c>
      <c r="J346" s="20">
        <f t="shared" si="749"/>
        <v>76492</v>
      </c>
      <c r="K346" s="20">
        <f t="shared" si="749"/>
        <v>46133</v>
      </c>
      <c r="L346" s="20">
        <f t="shared" si="749"/>
        <v>50682.074189881889</v>
      </c>
      <c r="M346" s="20">
        <f t="shared" ref="M346" si="750">M385+M426+M467+M508+M549+M590</f>
        <v>19036.547757012333</v>
      </c>
      <c r="N346" s="690">
        <f t="shared" si="749"/>
        <v>32952.970423356062</v>
      </c>
      <c r="O346" s="690">
        <f t="shared" si="749"/>
        <v>33790.812325420222</v>
      </c>
      <c r="P346" s="690">
        <f t="shared" si="749"/>
        <v>34251.625371555514</v>
      </c>
      <c r="Q346" s="690">
        <f t="shared" si="749"/>
        <v>34251.625371555514</v>
      </c>
      <c r="R346" s="690">
        <f t="shared" si="749"/>
        <v>34251.625371555514</v>
      </c>
      <c r="S346" s="690">
        <f t="shared" si="749"/>
        <v>34251.625371555514</v>
      </c>
      <c r="AI346" s="424"/>
    </row>
    <row r="347" spans="3:43" ht="14.5" outlineLevel="1">
      <c r="C347" s="1"/>
      <c r="D347" s="31" t="s">
        <v>844</v>
      </c>
      <c r="E347" s="1"/>
      <c r="F347" s="1"/>
      <c r="G347" s="1"/>
      <c r="H347" s="20">
        <f t="shared" ref="H347:S347" si="751">H386+H427+H468+H509+H550+H591</f>
        <v>0</v>
      </c>
      <c r="I347" s="20">
        <f t="shared" si="751"/>
        <v>0</v>
      </c>
      <c r="J347" s="20">
        <f t="shared" si="751"/>
        <v>50422</v>
      </c>
      <c r="K347" s="20">
        <f t="shared" si="751"/>
        <v>53802</v>
      </c>
      <c r="L347" s="20">
        <f t="shared" si="751"/>
        <v>64336.461572371642</v>
      </c>
      <c r="M347" s="20">
        <f t="shared" ref="M347" si="752">M386+M427+M468+M509+M550+M591</f>
        <v>34487.196377240674</v>
      </c>
      <c r="N347" s="690">
        <f t="shared" si="751"/>
        <v>59997.579434012485</v>
      </c>
      <c r="O347" s="690">
        <f t="shared" si="751"/>
        <v>60502.461681257664</v>
      </c>
      <c r="P347" s="690">
        <f t="shared" si="751"/>
        <v>60780.146917242513</v>
      </c>
      <c r="Q347" s="690">
        <f t="shared" si="751"/>
        <v>60780.146917242513</v>
      </c>
      <c r="R347" s="690">
        <f t="shared" si="751"/>
        <v>60780.146917242513</v>
      </c>
      <c r="S347" s="690">
        <f t="shared" si="751"/>
        <v>60780.146917242513</v>
      </c>
      <c r="AI347" s="424"/>
    </row>
    <row r="348" spans="3:43" ht="14.5" outlineLevel="1">
      <c r="C348" s="1"/>
      <c r="D348" s="33" t="s">
        <v>665</v>
      </c>
      <c r="E348" s="34"/>
      <c r="F348" s="34"/>
      <c r="G348" s="34"/>
      <c r="H348" s="35">
        <f t="shared" ref="H348:S348" si="753">H387+H428+H469+H510+H551+H592</f>
        <v>0</v>
      </c>
      <c r="I348" s="35">
        <f t="shared" si="753"/>
        <v>0</v>
      </c>
      <c r="J348" s="35">
        <f t="shared" si="753"/>
        <v>11760</v>
      </c>
      <c r="K348" s="35">
        <f t="shared" si="753"/>
        <v>19831</v>
      </c>
      <c r="L348" s="35">
        <f t="shared" si="753"/>
        <v>22970.116271448234</v>
      </c>
      <c r="M348" s="35">
        <f t="shared" ref="M348" si="754">M387+M428+M469+M510+M551+M592</f>
        <v>15088.548202047059</v>
      </c>
      <c r="N348" s="691">
        <f t="shared" si="753"/>
        <v>28233.084428189395</v>
      </c>
      <c r="O348" s="691">
        <f t="shared" si="753"/>
        <v>28464.459597889258</v>
      </c>
      <c r="P348" s="691">
        <f t="shared" si="753"/>
        <v>28712.411103914284</v>
      </c>
      <c r="Q348" s="691">
        <f t="shared" si="753"/>
        <v>28972.035399252167</v>
      </c>
      <c r="R348" s="691">
        <f t="shared" si="753"/>
        <v>29243.843644769713</v>
      </c>
      <c r="S348" s="691">
        <f t="shared" si="753"/>
        <v>29517.244110324198</v>
      </c>
      <c r="AI348" s="424"/>
    </row>
    <row r="349" spans="3:43" ht="14.5" outlineLevel="1">
      <c r="C349" s="1"/>
      <c r="D349" s="1"/>
      <c r="E349" s="1"/>
      <c r="AI349" s="424"/>
    </row>
    <row r="350" spans="3:43" ht="15" outlineLevel="1" thickBot="1">
      <c r="C350" s="37" t="s">
        <v>160</v>
      </c>
      <c r="D350" s="37"/>
      <c r="E350" s="37"/>
      <c r="F350" s="109"/>
      <c r="G350" s="109"/>
      <c r="H350" s="117">
        <f>1-H351/H343</f>
        <v>7.4348186073236455E-4</v>
      </c>
      <c r="I350" s="117">
        <f t="shared" ref="I350" si="755">1-I351/I343</f>
        <v>2.7054546403931901E-2</v>
      </c>
      <c r="J350" s="117">
        <f t="shared" ref="J350" si="756">1-J351/J343</f>
        <v>1.0905958850931707E-2</v>
      </c>
      <c r="K350" s="117">
        <f t="shared" ref="K350:S350" si="757">1-K351/K343</f>
        <v>4.8678828159653076E-2</v>
      </c>
      <c r="L350" s="117">
        <f t="shared" si="757"/>
        <v>4.9821314593599952E-2</v>
      </c>
      <c r="M350" s="117">
        <f t="shared" ref="M350" si="758">1-M351/M343</f>
        <v>5.6884721849050135E-2</v>
      </c>
      <c r="N350" s="117">
        <f t="shared" si="757"/>
        <v>5.5486999920333346E-2</v>
      </c>
      <c r="O350" s="117">
        <f t="shared" si="757"/>
        <v>5.4979169622679458E-2</v>
      </c>
      <c r="P350" s="117">
        <f t="shared" si="757"/>
        <v>5.4664871167260043E-2</v>
      </c>
      <c r="Q350" s="117">
        <f t="shared" si="757"/>
        <v>5.4579315479305279E-2</v>
      </c>
      <c r="R350" s="117">
        <f t="shared" si="757"/>
        <v>5.4490310519810681E-2</v>
      </c>
      <c r="S350" s="117">
        <f t="shared" si="757"/>
        <v>5.4401415509634954E-2</v>
      </c>
      <c r="AI350" s="424"/>
    </row>
    <row r="351" spans="3:43" s="101" customFormat="1" ht="15" outlineLevel="1" thickBot="1">
      <c r="C351" s="76" t="s">
        <v>993</v>
      </c>
      <c r="D351" s="76"/>
      <c r="E351" s="76"/>
      <c r="F351" s="110"/>
      <c r="G351" s="110"/>
      <c r="H351" s="77">
        <f t="shared" ref="H351:K351" si="759">H390+H431+H472+H513+H554+H595</f>
        <v>295685</v>
      </c>
      <c r="I351" s="77">
        <f t="shared" si="759"/>
        <v>298128</v>
      </c>
      <c r="J351" s="77">
        <f t="shared" si="759"/>
        <v>163066</v>
      </c>
      <c r="K351" s="77">
        <f t="shared" si="759"/>
        <v>135119</v>
      </c>
      <c r="L351" s="77">
        <f t="shared" ref="L351:S351" si="760">L390+L431+L472+L513+L554+L595</f>
        <v>153578.54464999997</v>
      </c>
      <c r="M351" s="77">
        <f t="shared" ref="M351" si="761">M390+M431+M472+M513+M554+M595</f>
        <v>74041.198199999999</v>
      </c>
      <c r="N351" s="77">
        <f t="shared" si="760"/>
        <v>129995.7677772598</v>
      </c>
      <c r="O351" s="77">
        <f t="shared" si="760"/>
        <v>131563.16544468296</v>
      </c>
      <c r="P351" s="77">
        <f t="shared" si="760"/>
        <v>132549.89468602414</v>
      </c>
      <c r="Q351" s="77">
        <f t="shared" si="760"/>
        <v>132818.31626567245</v>
      </c>
      <c r="R351" s="77">
        <f t="shared" si="760"/>
        <v>133099.33842168804</v>
      </c>
      <c r="S351" s="77">
        <f t="shared" si="760"/>
        <v>133382.47732170453</v>
      </c>
      <c r="T351" s="525"/>
      <c r="U351" s="1512"/>
      <c r="V351" s="1512"/>
      <c r="W351" s="1512"/>
      <c r="X351" s="1512"/>
      <c r="Y351" s="1512"/>
      <c r="Z351" s="1512"/>
      <c r="AA351" s="1512"/>
      <c r="AI351" s="473"/>
      <c r="AK351" s="1512"/>
      <c r="AL351" s="1512"/>
      <c r="AM351" s="1512"/>
      <c r="AN351" s="1512"/>
      <c r="AO351" s="1512"/>
      <c r="AP351" s="1512"/>
      <c r="AQ351" s="1512"/>
    </row>
    <row r="352" spans="3:43" s="101" customFormat="1" ht="15" outlineLevel="1" thickBot="1">
      <c r="C352" s="97" t="s">
        <v>994</v>
      </c>
      <c r="H352" s="39">
        <f t="shared" ref="H352:K352" si="762">H391+H432+H473+H514+H555+H596</f>
        <v>-277498</v>
      </c>
      <c r="I352" s="39">
        <f t="shared" si="762"/>
        <v>-266938</v>
      </c>
      <c r="J352" s="39">
        <f t="shared" si="762"/>
        <v>-149616</v>
      </c>
      <c r="K352" s="39">
        <f t="shared" si="762"/>
        <v>-130649</v>
      </c>
      <c r="L352" s="39">
        <f t="shared" ref="L352:S352" si="763">L391+L432+L473+L514+L555+L596</f>
        <v>-148197.12057285925</v>
      </c>
      <c r="M352" s="39">
        <f t="shared" ref="M352" si="764">M391+M432+M473+M514+M555+M596</f>
        <v>-69374.025584108458</v>
      </c>
      <c r="N352" s="39">
        <f t="shared" si="763"/>
        <v>-121462.50774659908</v>
      </c>
      <c r="O352" s="39">
        <f t="shared" si="763"/>
        <v>-121322.27552228389</v>
      </c>
      <c r="P352" s="39">
        <f t="shared" si="763"/>
        <v>-121186.93021946675</v>
      </c>
      <c r="Q352" s="39">
        <f t="shared" si="763"/>
        <v>-120635.52185408074</v>
      </c>
      <c r="R352" s="39">
        <f t="shared" si="763"/>
        <v>-120128.73986193111</v>
      </c>
      <c r="S352" s="39">
        <f t="shared" si="763"/>
        <v>-119642.25050979141</v>
      </c>
      <c r="U352" s="1512"/>
      <c r="V352" s="1512"/>
      <c r="W352" s="1512"/>
      <c r="X352" s="1512"/>
      <c r="Y352" s="1512"/>
      <c r="Z352" s="1512"/>
      <c r="AA352" s="1512"/>
      <c r="AI352" s="473"/>
      <c r="AK352" s="1512"/>
      <c r="AL352" s="1512"/>
      <c r="AM352" s="1512"/>
      <c r="AN352" s="1512"/>
      <c r="AO352" s="1512"/>
      <c r="AP352" s="1512"/>
      <c r="AQ352" s="1512"/>
    </row>
    <row r="353" spans="1:43" s="101" customFormat="1" ht="15" outlineLevel="1" thickBot="1">
      <c r="C353" s="76" t="s">
        <v>995</v>
      </c>
      <c r="D353" s="76"/>
      <c r="E353" s="76"/>
      <c r="F353" s="110"/>
      <c r="G353" s="110"/>
      <c r="H353" s="64">
        <f t="shared" ref="H353:K353" si="765">H394+H435+H476+H517+H558+H599</f>
        <v>18187</v>
      </c>
      <c r="I353" s="64">
        <f t="shared" si="765"/>
        <v>31190</v>
      </c>
      <c r="J353" s="64">
        <f t="shared" si="765"/>
        <v>13450</v>
      </c>
      <c r="K353" s="64">
        <f t="shared" si="765"/>
        <v>4470</v>
      </c>
      <c r="L353" s="64">
        <f t="shared" ref="L353:S353" si="766">L394+L435+L476+L517+L558+L599</f>
        <v>5381.4240771407185</v>
      </c>
      <c r="M353" s="64">
        <f t="shared" ref="M353" si="767">M394+M435+M476+M517+M558+M599</f>
        <v>4667.1726158915544</v>
      </c>
      <c r="N353" s="64">
        <f t="shared" si="766"/>
        <v>8533.2600306607146</v>
      </c>
      <c r="O353" s="64">
        <f t="shared" si="766"/>
        <v>10240.88992239907</v>
      </c>
      <c r="P353" s="64">
        <f t="shared" si="766"/>
        <v>11362.964466557392</v>
      </c>
      <c r="Q353" s="64">
        <f t="shared" si="766"/>
        <v>12182.794411591698</v>
      </c>
      <c r="R353" s="64">
        <f t="shared" si="766"/>
        <v>12970.598559756954</v>
      </c>
      <c r="S353" s="64">
        <f t="shared" si="766"/>
        <v>13740.226811913124</v>
      </c>
      <c r="U353" s="1512"/>
      <c r="V353" s="1512"/>
      <c r="W353" s="1512"/>
      <c r="X353" s="1512"/>
      <c r="Y353" s="1512"/>
      <c r="Z353" s="1512"/>
      <c r="AA353" s="1512"/>
      <c r="AI353" s="473"/>
      <c r="AK353" s="1512"/>
      <c r="AL353" s="1512"/>
      <c r="AM353" s="1512"/>
      <c r="AN353" s="1512"/>
      <c r="AO353" s="1512"/>
      <c r="AP353" s="1512"/>
      <c r="AQ353" s="1512"/>
    </row>
    <row r="354" spans="1:43" s="101" customFormat="1" ht="14.5" outlineLevel="1">
      <c r="C354" s="22" t="s">
        <v>996</v>
      </c>
      <c r="D354" s="18"/>
      <c r="E354" s="18"/>
      <c r="H354" s="94">
        <f>H353/H351</f>
        <v>6.1508023741481642E-2</v>
      </c>
      <c r="I354" s="94">
        <f t="shared" ref="I354" si="768">I353/I351</f>
        <v>0.10461949229860999</v>
      </c>
      <c r="J354" s="94">
        <f t="shared" ref="J354" si="769">J353/J351</f>
        <v>8.2481939828045081E-2</v>
      </c>
      <c r="K354" s="94">
        <f t="shared" ref="K354:S354" si="770">K353/K351</f>
        <v>3.3081949984828191E-2</v>
      </c>
      <c r="L354" s="94">
        <f t="shared" si="770"/>
        <v>3.5040207532925853E-2</v>
      </c>
      <c r="M354" s="94">
        <f t="shared" ref="M354" si="771">M353/M351</f>
        <v>6.303480669349236E-2</v>
      </c>
      <c r="N354" s="94">
        <f t="shared" si="770"/>
        <v>6.5642598805846969E-2</v>
      </c>
      <c r="O354" s="94">
        <f t="shared" si="770"/>
        <v>7.7840099755770581E-2</v>
      </c>
      <c r="P354" s="94">
        <f t="shared" si="770"/>
        <v>8.5725941114274506E-2</v>
      </c>
      <c r="Q354" s="94">
        <f t="shared" si="770"/>
        <v>9.1725258639951623E-2</v>
      </c>
      <c r="R354" s="94">
        <f t="shared" si="770"/>
        <v>9.7450511126232944E-2</v>
      </c>
      <c r="S354" s="94">
        <f t="shared" si="770"/>
        <v>0.10301373229688289</v>
      </c>
      <c r="U354" s="1512"/>
      <c r="V354" s="1512"/>
      <c r="W354" s="1512"/>
      <c r="X354" s="1512"/>
      <c r="Y354" s="1512"/>
      <c r="Z354" s="1512"/>
      <c r="AA354" s="1512"/>
      <c r="AI354" s="473"/>
      <c r="AK354" s="1512"/>
      <c r="AL354" s="1512"/>
      <c r="AM354" s="1512"/>
      <c r="AN354" s="1512"/>
      <c r="AO354" s="1512"/>
      <c r="AP354" s="1512"/>
      <c r="AQ354" s="1512"/>
    </row>
    <row r="355" spans="1:43" s="101" customFormat="1" ht="14.5" outlineLevel="1">
      <c r="U355" s="1512"/>
      <c r="V355" s="1512"/>
      <c r="W355" s="1512"/>
      <c r="X355" s="1512"/>
      <c r="Y355" s="1512"/>
      <c r="Z355" s="1512"/>
      <c r="AA355" s="1512"/>
      <c r="AI355" s="473"/>
      <c r="AK355" s="1512"/>
      <c r="AL355" s="1512"/>
      <c r="AM355" s="1512"/>
      <c r="AN355" s="1512"/>
      <c r="AO355" s="1512"/>
      <c r="AP355" s="1512"/>
      <c r="AQ355" s="1512"/>
    </row>
    <row r="356" spans="1:43" s="1126" customFormat="1" ht="14.5" outlineLevel="2">
      <c r="A356" s="26" t="s">
        <v>8</v>
      </c>
      <c r="B356" s="26"/>
      <c r="C356" s="26" t="s">
        <v>179</v>
      </c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U356" s="1518"/>
      <c r="V356" s="1518"/>
      <c r="W356" s="1518"/>
      <c r="X356" s="1518"/>
      <c r="Y356" s="1518"/>
      <c r="Z356" s="1518"/>
      <c r="AA356" s="1518"/>
      <c r="AC356" s="26"/>
      <c r="AD356" s="26"/>
      <c r="AE356" s="26"/>
      <c r="AF356" s="26"/>
      <c r="AG356" s="26"/>
      <c r="AH356" s="26"/>
      <c r="AI356" s="474"/>
      <c r="AK356" s="1518"/>
      <c r="AL356" s="1518"/>
      <c r="AM356" s="1518"/>
      <c r="AN356" s="1518"/>
      <c r="AO356" s="1518"/>
      <c r="AP356" s="1518"/>
      <c r="AQ356" s="1518"/>
    </row>
    <row r="357" spans="1:43" ht="14.5" outlineLevel="2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AI357" s="424"/>
    </row>
    <row r="358" spans="1:43" s="99" customFormat="1" ht="14.5" outlineLevel="2">
      <c r="C358" s="18" t="s">
        <v>840</v>
      </c>
      <c r="D358" s="18"/>
      <c r="E358" s="18"/>
      <c r="H358" s="99">
        <f>SUM(H359:H363)</f>
        <v>0</v>
      </c>
      <c r="I358" s="99">
        <f t="shared" ref="I358" si="772">SUM(I359:I363)</f>
        <v>0</v>
      </c>
      <c r="J358" s="99">
        <f t="shared" ref="J358" si="773">SUM(J359:J363)</f>
        <v>9980</v>
      </c>
      <c r="K358" s="99">
        <f t="shared" ref="K358" si="774">SUM(K359:K363)</f>
        <v>12876</v>
      </c>
      <c r="L358" s="23">
        <f>SUM(L359:L363)</f>
        <v>15679.461175999999</v>
      </c>
      <c r="M358" s="23">
        <f>SUM(M359:M363)</f>
        <v>7040.4308799999999</v>
      </c>
      <c r="N358" s="23">
        <f t="shared" ref="N358:S358" si="775">SUM(N359:N363)</f>
        <v>12006.006798900002</v>
      </c>
      <c r="O358" s="23">
        <f t="shared" si="775"/>
        <v>12006.006798900002</v>
      </c>
      <c r="P358" s="23">
        <f t="shared" si="775"/>
        <v>12006.006798900002</v>
      </c>
      <c r="Q358" s="23">
        <f t="shared" si="775"/>
        <v>12006.006798900002</v>
      </c>
      <c r="R358" s="23">
        <f t="shared" si="775"/>
        <v>12006.006798900002</v>
      </c>
      <c r="S358" s="23">
        <f t="shared" si="775"/>
        <v>12006.006798900002</v>
      </c>
      <c r="T358" s="1126"/>
      <c r="U358" s="1519">
        <f>AC358</f>
        <v>0</v>
      </c>
      <c r="V358" s="1519">
        <f>AD358</f>
        <v>0</v>
      </c>
      <c r="W358" s="1519">
        <f t="shared" ref="W358:Z358" si="776">V358*(1+$AA358)</f>
        <v>0</v>
      </c>
      <c r="X358" s="1519">
        <f t="shared" si="776"/>
        <v>0</v>
      </c>
      <c r="Y358" s="1519">
        <f t="shared" si="776"/>
        <v>0</v>
      </c>
      <c r="Z358" s="1519">
        <f t="shared" si="776"/>
        <v>0</v>
      </c>
      <c r="AA358" s="1520">
        <v>0.04</v>
      </c>
      <c r="AB358" s="1321"/>
      <c r="AC358" s="1378"/>
      <c r="AD358" s="1378"/>
      <c r="AE358" s="1378"/>
      <c r="AF358" s="20"/>
      <c r="AG358" s="20"/>
      <c r="AH358" s="20"/>
      <c r="AI358" s="472"/>
      <c r="AJ358" s="1321"/>
      <c r="AK358" s="1519">
        <f>$L358*(1+$AQ358)</f>
        <v>15679.461175999999</v>
      </c>
      <c r="AL358" s="1519">
        <f>AK358*(1+$AQ358)</f>
        <v>15679.461175999999</v>
      </c>
      <c r="AM358" s="1519">
        <f t="shared" ref="AM358:AN358" si="777">AL358*(1+$AQ358)</f>
        <v>15679.461175999999</v>
      </c>
      <c r="AN358" s="1519">
        <f t="shared" si="777"/>
        <v>15679.461175999999</v>
      </c>
      <c r="AO358" s="1519">
        <f>AN358*(1+$AQ358)</f>
        <v>15679.461175999999</v>
      </c>
      <c r="AP358" s="1519">
        <f t="shared" ref="AP358" si="778">AO358*(1+$AQ358)</f>
        <v>15679.461175999999</v>
      </c>
      <c r="AQ358" s="1520">
        <v>0</v>
      </c>
    </row>
    <row r="359" spans="1:43" s="101" customFormat="1" ht="14.5" outlineLevel="2">
      <c r="C359" s="1"/>
      <c r="D359" s="27" t="s">
        <v>841</v>
      </c>
      <c r="E359" s="28"/>
      <c r="F359" s="28"/>
      <c r="G359" s="28"/>
      <c r="H359" s="114"/>
      <c r="I359" s="114"/>
      <c r="J359" s="398">
        <v>2933</v>
      </c>
      <c r="K359" s="398">
        <v>2704</v>
      </c>
      <c r="L359" s="398">
        <v>3081.9409999999998</v>
      </c>
      <c r="M359" s="398">
        <v>1393.0940000000001</v>
      </c>
      <c r="N359" s="703">
        <f>L359*(1+N365)</f>
        <v>2311.4557500000001</v>
      </c>
      <c r="O359" s="29">
        <f>N359*(1+O365)</f>
        <v>2311.4557500000001</v>
      </c>
      <c r="P359" s="29">
        <f t="shared" ref="P359:P363" si="779">O359*(1+P365)</f>
        <v>2311.4557500000001</v>
      </c>
      <c r="Q359" s="29">
        <f t="shared" ref="Q359:Q363" si="780">P359*(1+Q365)</f>
        <v>2311.4557500000001</v>
      </c>
      <c r="R359" s="29">
        <f t="shared" ref="R359:R363" si="781">Q359*(1+R365)</f>
        <v>2311.4557500000001</v>
      </c>
      <c r="S359" s="30">
        <f t="shared" ref="S359:S363" si="782">R359*(1+S365)</f>
        <v>2311.4557500000001</v>
      </c>
      <c r="T359" s="675"/>
      <c r="U359" s="1515"/>
      <c r="V359" s="1515"/>
      <c r="W359" s="1515"/>
      <c r="X359" s="1515"/>
      <c r="Y359" s="1515"/>
      <c r="Z359" s="1515"/>
      <c r="AA359" s="1515"/>
      <c r="AB359" s="1321"/>
      <c r="AC359" s="1321"/>
      <c r="AD359" s="1321"/>
      <c r="AE359" s="1321"/>
      <c r="AF359" s="1"/>
      <c r="AG359" s="1"/>
      <c r="AH359" s="1"/>
      <c r="AI359" s="415"/>
      <c r="AJ359" s="1321"/>
      <c r="AK359" s="1515"/>
      <c r="AL359" s="1515"/>
      <c r="AM359" s="1515"/>
      <c r="AN359" s="1515"/>
      <c r="AO359" s="1515"/>
      <c r="AP359" s="1515"/>
      <c r="AQ359" s="1515"/>
    </row>
    <row r="360" spans="1:43" ht="14.5" outlineLevel="2">
      <c r="C360" s="1"/>
      <c r="D360" s="31" t="s">
        <v>842</v>
      </c>
      <c r="E360" s="1"/>
      <c r="F360" s="1"/>
      <c r="G360" s="1"/>
      <c r="H360" s="115"/>
      <c r="I360" s="115"/>
      <c r="J360" s="400">
        <v>0</v>
      </c>
      <c r="K360" s="400">
        <v>0</v>
      </c>
      <c r="L360" s="400">
        <v>0</v>
      </c>
      <c r="M360" s="400">
        <v>0</v>
      </c>
      <c r="N360" s="704">
        <f t="shared" ref="N360:N363" si="783">L360*(1+N366)</f>
        <v>0</v>
      </c>
      <c r="O360" s="20">
        <f t="shared" ref="O360:O363" si="784">N360*(1+O366)</f>
        <v>0</v>
      </c>
      <c r="P360" s="20">
        <f t="shared" si="779"/>
        <v>0</v>
      </c>
      <c r="Q360" s="20">
        <f t="shared" si="780"/>
        <v>0</v>
      </c>
      <c r="R360" s="20">
        <f t="shared" si="781"/>
        <v>0</v>
      </c>
      <c r="S360" s="32">
        <f t="shared" si="782"/>
        <v>0</v>
      </c>
      <c r="T360" s="675"/>
      <c r="U360" s="1515"/>
      <c r="V360" s="1515"/>
      <c r="W360" s="1515"/>
      <c r="X360" s="1515"/>
      <c r="Y360" s="1515"/>
      <c r="Z360" s="1515"/>
      <c r="AA360" s="1515"/>
      <c r="AB360" s="1321"/>
      <c r="AC360" s="1"/>
      <c r="AD360" s="1"/>
      <c r="AE360" s="1"/>
      <c r="AF360" s="1"/>
      <c r="AG360" s="1"/>
      <c r="AH360" s="1"/>
      <c r="AI360" s="415"/>
      <c r="AJ360" s="1321"/>
      <c r="AK360" s="1515"/>
      <c r="AL360" s="1515"/>
      <c r="AM360" s="1515"/>
      <c r="AN360" s="1515"/>
      <c r="AO360" s="1515"/>
      <c r="AP360" s="1515"/>
      <c r="AQ360" s="1515"/>
    </row>
    <row r="361" spans="1:43" ht="14.5" outlineLevel="2">
      <c r="C361" s="1"/>
      <c r="D361" s="31" t="s">
        <v>843</v>
      </c>
      <c r="E361" s="1"/>
      <c r="F361" s="1"/>
      <c r="G361" s="1"/>
      <c r="H361" s="115"/>
      <c r="I361" s="115"/>
      <c r="J361" s="400">
        <v>1840</v>
      </c>
      <c r="K361" s="400">
        <v>2114</v>
      </c>
      <c r="L361" s="400">
        <v>2508.573273</v>
      </c>
      <c r="M361" s="400">
        <v>1103.8520000000001</v>
      </c>
      <c r="N361" s="704">
        <f t="shared" si="783"/>
        <v>1881.42995475</v>
      </c>
      <c r="O361" s="20">
        <f t="shared" si="784"/>
        <v>1881.42995475</v>
      </c>
      <c r="P361" s="20">
        <f t="shared" si="779"/>
        <v>1881.42995475</v>
      </c>
      <c r="Q361" s="20">
        <f t="shared" si="780"/>
        <v>1881.42995475</v>
      </c>
      <c r="R361" s="20">
        <f t="shared" si="781"/>
        <v>1881.42995475</v>
      </c>
      <c r="S361" s="32">
        <f t="shared" si="782"/>
        <v>1881.42995475</v>
      </c>
      <c r="T361" s="675"/>
      <c r="U361" s="1515"/>
      <c r="V361" s="1515"/>
      <c r="W361" s="1515"/>
      <c r="X361" s="1515"/>
      <c r="Y361" s="1515"/>
      <c r="Z361" s="1515"/>
      <c r="AA361" s="1515"/>
      <c r="AB361" s="1321"/>
      <c r="AC361" s="1"/>
      <c r="AD361" s="1"/>
      <c r="AE361" s="1"/>
      <c r="AF361" s="1"/>
      <c r="AG361" s="1"/>
      <c r="AH361" s="1"/>
      <c r="AI361" s="415"/>
      <c r="AJ361" s="1321"/>
      <c r="AK361" s="1515"/>
      <c r="AL361" s="1515"/>
      <c r="AM361" s="1515"/>
      <c r="AN361" s="1515"/>
      <c r="AO361" s="1515"/>
      <c r="AP361" s="1515"/>
      <c r="AQ361" s="1515"/>
    </row>
    <row r="362" spans="1:43" ht="14.5" outlineLevel="2">
      <c r="C362" s="1"/>
      <c r="D362" s="31" t="s">
        <v>844</v>
      </c>
      <c r="E362" s="1"/>
      <c r="F362" s="1"/>
      <c r="G362" s="1"/>
      <c r="H362" s="115"/>
      <c r="I362" s="115"/>
      <c r="J362" s="400">
        <v>4861</v>
      </c>
      <c r="K362" s="400">
        <v>6590</v>
      </c>
      <c r="L362" s="400">
        <v>8446.2074569999986</v>
      </c>
      <c r="M362" s="400">
        <v>3693.0419999999999</v>
      </c>
      <c r="N362" s="704">
        <f t="shared" si="783"/>
        <v>6334.6555927499994</v>
      </c>
      <c r="O362" s="20">
        <f t="shared" si="784"/>
        <v>6334.6555927499994</v>
      </c>
      <c r="P362" s="20">
        <f t="shared" si="779"/>
        <v>6334.6555927499994</v>
      </c>
      <c r="Q362" s="20">
        <f t="shared" si="780"/>
        <v>6334.6555927499994</v>
      </c>
      <c r="R362" s="20">
        <f t="shared" si="781"/>
        <v>6334.6555927499994</v>
      </c>
      <c r="S362" s="32">
        <f t="shared" si="782"/>
        <v>6334.6555927499994</v>
      </c>
      <c r="T362" s="675"/>
      <c r="U362" s="1515"/>
      <c r="V362" s="1515"/>
      <c r="W362" s="1515"/>
      <c r="X362" s="1515"/>
      <c r="Y362" s="1515"/>
      <c r="Z362" s="1515"/>
      <c r="AA362" s="1515"/>
      <c r="AB362" s="1321"/>
      <c r="AC362" s="1"/>
      <c r="AD362" s="1"/>
      <c r="AE362" s="1"/>
      <c r="AF362" s="1"/>
      <c r="AG362" s="1"/>
      <c r="AH362" s="1"/>
      <c r="AI362" s="415"/>
      <c r="AJ362" s="1321"/>
      <c r="AK362" s="1515"/>
      <c r="AL362" s="1515"/>
      <c r="AM362" s="1515"/>
      <c r="AN362" s="1515"/>
      <c r="AO362" s="1515"/>
      <c r="AP362" s="1515"/>
      <c r="AQ362" s="1515"/>
    </row>
    <row r="363" spans="1:43" ht="14.5" outlineLevel="2">
      <c r="C363" s="1"/>
      <c r="D363" s="33" t="s">
        <v>665</v>
      </c>
      <c r="E363" s="34"/>
      <c r="F363" s="34"/>
      <c r="G363" s="34"/>
      <c r="H363" s="116"/>
      <c r="I363" s="116"/>
      <c r="J363" s="402">
        <v>346</v>
      </c>
      <c r="K363" s="402">
        <v>1468</v>
      </c>
      <c r="L363" s="402">
        <v>1642.7394460000014</v>
      </c>
      <c r="M363" s="402">
        <v>850.44288000000051</v>
      </c>
      <c r="N363" s="705">
        <f t="shared" si="783"/>
        <v>1478.4655014000014</v>
      </c>
      <c r="O363" s="35">
        <f t="shared" si="784"/>
        <v>1478.4655014000014</v>
      </c>
      <c r="P363" s="35">
        <f t="shared" si="779"/>
        <v>1478.4655014000014</v>
      </c>
      <c r="Q363" s="35">
        <f t="shared" si="780"/>
        <v>1478.4655014000014</v>
      </c>
      <c r="R363" s="35">
        <f t="shared" si="781"/>
        <v>1478.4655014000014</v>
      </c>
      <c r="S363" s="36">
        <f t="shared" si="782"/>
        <v>1478.4655014000014</v>
      </c>
      <c r="T363" s="675"/>
      <c r="U363" s="1515"/>
      <c r="V363" s="1515"/>
      <c r="W363" s="1515"/>
      <c r="X363" s="1515"/>
      <c r="Y363" s="1515"/>
      <c r="Z363" s="1515"/>
      <c r="AA363" s="1515"/>
      <c r="AB363" s="1321"/>
      <c r="AC363" s="448"/>
      <c r="AD363" s="448"/>
      <c r="AE363" s="448"/>
      <c r="AF363" s="448"/>
      <c r="AG363" s="448"/>
      <c r="AH363" s="448"/>
      <c r="AI363" s="415"/>
      <c r="AJ363" s="1321"/>
      <c r="AK363" s="1515"/>
      <c r="AL363" s="1515"/>
      <c r="AM363" s="1515"/>
      <c r="AN363" s="1515"/>
      <c r="AO363" s="1515"/>
      <c r="AP363" s="1515"/>
      <c r="AQ363" s="1515"/>
    </row>
    <row r="364" spans="1:43" s="1365" customFormat="1" ht="14.5" outlineLevel="3">
      <c r="A364" s="22"/>
      <c r="B364" s="22"/>
      <c r="C364" s="22" t="s">
        <v>847</v>
      </c>
      <c r="D364" s="22"/>
      <c r="E364" s="22"/>
      <c r="F364" s="22"/>
      <c r="G364" s="22"/>
      <c r="H364" s="219"/>
      <c r="I364" s="24"/>
      <c r="J364" s="24"/>
      <c r="K364" s="24"/>
      <c r="L364" s="754">
        <f>L358/J358-1</f>
        <v>0.57108829418837659</v>
      </c>
      <c r="M364" s="24"/>
      <c r="N364" s="24">
        <f>N358/L358-1</f>
        <v>-0.23428447801017704</v>
      </c>
      <c r="O364" s="24">
        <f>O358/N358-1</f>
        <v>0</v>
      </c>
      <c r="P364" s="24">
        <f t="shared" ref="P364" si="785">P358/O358-1</f>
        <v>0</v>
      </c>
      <c r="Q364" s="24">
        <f t="shared" ref="Q364" si="786">Q358/P358-1</f>
        <v>0</v>
      </c>
      <c r="R364" s="24">
        <f t="shared" ref="R364" si="787">R358/Q358-1</f>
        <v>0</v>
      </c>
      <c r="S364" s="24">
        <f t="shared" ref="S364" si="788">S358/R358-1</f>
        <v>0</v>
      </c>
      <c r="T364" s="726"/>
      <c r="U364" s="1521"/>
      <c r="V364" s="1521"/>
      <c r="W364" s="1521"/>
      <c r="X364" s="1521"/>
      <c r="Y364" s="1521"/>
      <c r="Z364" s="1521"/>
      <c r="AA364" s="1522"/>
      <c r="AC364" s="219"/>
      <c r="AD364" s="219"/>
      <c r="AE364" s="219"/>
      <c r="AF364" s="219"/>
      <c r="AG364" s="219"/>
      <c r="AH364" s="219"/>
      <c r="AI364" s="706"/>
      <c r="AK364" s="1521"/>
      <c r="AL364" s="1521"/>
      <c r="AM364" s="1521"/>
      <c r="AN364" s="1521"/>
      <c r="AO364" s="1521"/>
      <c r="AP364" s="1521"/>
      <c r="AQ364" s="1522"/>
    </row>
    <row r="365" spans="1:43" s="1365" customFormat="1" ht="14.5" outlineLevel="3">
      <c r="A365" s="22"/>
      <c r="B365" s="22"/>
      <c r="C365" s="22"/>
      <c r="D365" s="707" t="s">
        <v>841</v>
      </c>
      <c r="E365" s="708"/>
      <c r="F365" s="708"/>
      <c r="G365" s="708"/>
      <c r="H365" s="709"/>
      <c r="I365" s="710"/>
      <c r="J365" s="710"/>
      <c r="K365" s="710"/>
      <c r="L365" s="1040">
        <f t="shared" ref="L365" si="789">IFERROR(L359/J359-1,"NA")</f>
        <v>5.078111148994191E-2</v>
      </c>
      <c r="M365" s="710"/>
      <c r="N365" s="711">
        <f t="shared" ref="N365:N369" si="790">CHOOSE(case,U365,AC365,AK365)</f>
        <v>-0.25</v>
      </c>
      <c r="O365" s="712">
        <f t="shared" ref="O365:O369" si="791">CHOOSE(case,V365,AD365,AL365)</f>
        <v>0</v>
      </c>
      <c r="P365" s="712">
        <f t="shared" ref="P365:P369" si="792">CHOOSE(case,W365,AE365,AM365)</f>
        <v>0</v>
      </c>
      <c r="Q365" s="712">
        <f t="shared" ref="Q365:Q369" si="793">CHOOSE(case,X365,AF365,AN365)</f>
        <v>0</v>
      </c>
      <c r="R365" s="712">
        <f t="shared" ref="R365:R369" si="794">CHOOSE(case,Y365,AG365,AO365)</f>
        <v>0</v>
      </c>
      <c r="S365" s="713">
        <f t="shared" ref="S365:S369" si="795">CHOOSE(case,Z365,AH365,AP365)</f>
        <v>0</v>
      </c>
      <c r="T365" s="726"/>
      <c r="U365" s="1521"/>
      <c r="V365" s="1521"/>
      <c r="W365" s="1521"/>
      <c r="X365" s="1521"/>
      <c r="Y365" s="1521"/>
      <c r="Z365" s="1521"/>
      <c r="AA365" s="1523"/>
      <c r="AC365" s="714">
        <v>-0.25</v>
      </c>
      <c r="AD365" s="714">
        <v>0</v>
      </c>
      <c r="AE365" s="714">
        <v>0</v>
      </c>
      <c r="AF365" s="714">
        <v>0</v>
      </c>
      <c r="AG365" s="714">
        <v>0</v>
      </c>
      <c r="AH365" s="714">
        <v>0</v>
      </c>
      <c r="AI365" s="22"/>
      <c r="AK365" s="1521"/>
      <c r="AL365" s="1521"/>
      <c r="AM365" s="1521"/>
      <c r="AN365" s="1521"/>
      <c r="AO365" s="1521"/>
      <c r="AP365" s="1521"/>
      <c r="AQ365" s="1523"/>
    </row>
    <row r="366" spans="1:43" s="1365" customFormat="1" ht="14.5" outlineLevel="3">
      <c r="A366" s="22"/>
      <c r="B366" s="22"/>
      <c r="C366" s="22"/>
      <c r="D366" s="715" t="s">
        <v>842</v>
      </c>
      <c r="E366" s="22"/>
      <c r="F366" s="22"/>
      <c r="G366" s="22"/>
      <c r="H366" s="219"/>
      <c r="I366" s="175"/>
      <c r="J366" s="175"/>
      <c r="K366" s="175"/>
      <c r="L366" s="1040" t="str">
        <f>IFERROR(L360/J360-1,"NA")</f>
        <v>NA</v>
      </c>
      <c r="M366" s="175"/>
      <c r="N366" s="716">
        <f t="shared" si="790"/>
        <v>0</v>
      </c>
      <c r="O366" s="717">
        <f t="shared" si="791"/>
        <v>0</v>
      </c>
      <c r="P366" s="717">
        <f t="shared" si="792"/>
        <v>0</v>
      </c>
      <c r="Q366" s="717">
        <f t="shared" si="793"/>
        <v>0</v>
      </c>
      <c r="R366" s="717">
        <f t="shared" si="794"/>
        <v>0</v>
      </c>
      <c r="S366" s="718">
        <f t="shared" si="795"/>
        <v>0</v>
      </c>
      <c r="T366" s="726"/>
      <c r="U366" s="1521"/>
      <c r="V366" s="1521"/>
      <c r="W366" s="1521"/>
      <c r="X366" s="1521"/>
      <c r="Y366" s="1521"/>
      <c r="Z366" s="1521"/>
      <c r="AA366" s="1523"/>
      <c r="AC366" s="714">
        <v>0</v>
      </c>
      <c r="AD366" s="714">
        <v>0</v>
      </c>
      <c r="AE366" s="714">
        <v>0</v>
      </c>
      <c r="AF366" s="714">
        <v>0</v>
      </c>
      <c r="AG366" s="714">
        <v>0</v>
      </c>
      <c r="AH366" s="714">
        <v>0</v>
      </c>
      <c r="AI366" s="22"/>
      <c r="AK366" s="1521"/>
      <c r="AL366" s="1521"/>
      <c r="AM366" s="1521"/>
      <c r="AN366" s="1521"/>
      <c r="AO366" s="1521"/>
      <c r="AP366" s="1521"/>
      <c r="AQ366" s="1523"/>
    </row>
    <row r="367" spans="1:43" s="1365" customFormat="1" ht="14.5" outlineLevel="3">
      <c r="A367" s="22"/>
      <c r="B367" s="22"/>
      <c r="C367" s="22"/>
      <c r="D367" s="715" t="s">
        <v>843</v>
      </c>
      <c r="E367" s="22"/>
      <c r="F367" s="22"/>
      <c r="G367" s="22"/>
      <c r="H367" s="219"/>
      <c r="I367" s="175"/>
      <c r="J367" s="175"/>
      <c r="K367" s="175"/>
      <c r="L367" s="1040">
        <f t="shared" ref="L367:L369" si="796">IFERROR(L361/J361-1,"NA")</f>
        <v>0.36335503967391314</v>
      </c>
      <c r="M367" s="175"/>
      <c r="N367" s="716">
        <f t="shared" si="790"/>
        <v>-0.25</v>
      </c>
      <c r="O367" s="717">
        <f t="shared" si="791"/>
        <v>0</v>
      </c>
      <c r="P367" s="717">
        <f t="shared" si="792"/>
        <v>0</v>
      </c>
      <c r="Q367" s="717">
        <f t="shared" si="793"/>
        <v>0</v>
      </c>
      <c r="R367" s="717">
        <f t="shared" si="794"/>
        <v>0</v>
      </c>
      <c r="S367" s="718">
        <f t="shared" si="795"/>
        <v>0</v>
      </c>
      <c r="T367" s="726"/>
      <c r="U367" s="1521"/>
      <c r="V367" s="1521"/>
      <c r="W367" s="1521"/>
      <c r="X367" s="1521"/>
      <c r="Y367" s="1521"/>
      <c r="Z367" s="1521"/>
      <c r="AA367" s="1523"/>
      <c r="AC367" s="714">
        <v>-0.25</v>
      </c>
      <c r="AD367" s="714">
        <v>0</v>
      </c>
      <c r="AE367" s="714">
        <v>0</v>
      </c>
      <c r="AF367" s="714">
        <v>0</v>
      </c>
      <c r="AG367" s="714">
        <v>0</v>
      </c>
      <c r="AH367" s="714">
        <v>0</v>
      </c>
      <c r="AI367" s="22"/>
      <c r="AK367" s="1521"/>
      <c r="AL367" s="1521"/>
      <c r="AM367" s="1521"/>
      <c r="AN367" s="1521"/>
      <c r="AO367" s="1521"/>
      <c r="AP367" s="1521"/>
      <c r="AQ367" s="1523"/>
    </row>
    <row r="368" spans="1:43" s="1365" customFormat="1" ht="14.5" outlineLevel="3">
      <c r="A368" s="22"/>
      <c r="B368" s="22"/>
      <c r="C368" s="22"/>
      <c r="D368" s="715" t="s">
        <v>844</v>
      </c>
      <c r="E368" s="22"/>
      <c r="F368" s="22"/>
      <c r="G368" s="22"/>
      <c r="H368" s="219"/>
      <c r="I368" s="175"/>
      <c r="J368" s="175"/>
      <c r="K368" s="175"/>
      <c r="L368" s="1040">
        <f t="shared" si="796"/>
        <v>0.73754524933141297</v>
      </c>
      <c r="M368" s="175"/>
      <c r="N368" s="716">
        <f t="shared" si="790"/>
        <v>-0.25</v>
      </c>
      <c r="O368" s="717">
        <f t="shared" si="791"/>
        <v>0</v>
      </c>
      <c r="P368" s="717">
        <f t="shared" si="792"/>
        <v>0</v>
      </c>
      <c r="Q368" s="717">
        <f t="shared" si="793"/>
        <v>0</v>
      </c>
      <c r="R368" s="717">
        <f t="shared" si="794"/>
        <v>0</v>
      </c>
      <c r="S368" s="718">
        <f t="shared" si="795"/>
        <v>0</v>
      </c>
      <c r="T368" s="726"/>
      <c r="U368" s="1521"/>
      <c r="V368" s="1521"/>
      <c r="W368" s="1521"/>
      <c r="X368" s="1521"/>
      <c r="Y368" s="1521"/>
      <c r="Z368" s="1521"/>
      <c r="AA368" s="1523"/>
      <c r="AC368" s="714">
        <v>-0.25</v>
      </c>
      <c r="AD368" s="714">
        <v>0</v>
      </c>
      <c r="AE368" s="714">
        <v>0</v>
      </c>
      <c r="AF368" s="714">
        <v>0</v>
      </c>
      <c r="AG368" s="714">
        <v>0</v>
      </c>
      <c r="AH368" s="714">
        <v>0</v>
      </c>
      <c r="AI368" s="22"/>
      <c r="AK368" s="1521"/>
      <c r="AL368" s="1521"/>
      <c r="AM368" s="1521"/>
      <c r="AN368" s="1521"/>
      <c r="AO368" s="1521"/>
      <c r="AP368" s="1521"/>
      <c r="AQ368" s="1523"/>
    </row>
    <row r="369" spans="1:43" s="1365" customFormat="1" ht="14.5" outlineLevel="3">
      <c r="A369" s="22"/>
      <c r="B369" s="22"/>
      <c r="C369" s="22"/>
      <c r="D369" s="719" t="s">
        <v>665</v>
      </c>
      <c r="E369" s="720"/>
      <c r="F369" s="720"/>
      <c r="G369" s="720"/>
      <c r="H369" s="721"/>
      <c r="I369" s="722"/>
      <c r="J369" s="722"/>
      <c r="K369" s="722"/>
      <c r="L369" s="1041">
        <f t="shared" si="796"/>
        <v>3.7478018670520274</v>
      </c>
      <c r="M369" s="722"/>
      <c r="N369" s="723">
        <f t="shared" si="790"/>
        <v>-0.1</v>
      </c>
      <c r="O369" s="724">
        <f t="shared" si="791"/>
        <v>0</v>
      </c>
      <c r="P369" s="724">
        <f t="shared" si="792"/>
        <v>0</v>
      </c>
      <c r="Q369" s="724">
        <f t="shared" si="793"/>
        <v>0</v>
      </c>
      <c r="R369" s="724">
        <f t="shared" si="794"/>
        <v>0</v>
      </c>
      <c r="S369" s="725">
        <f t="shared" si="795"/>
        <v>0</v>
      </c>
      <c r="T369" s="726"/>
      <c r="U369" s="1521"/>
      <c r="V369" s="1521"/>
      <c r="W369" s="1521"/>
      <c r="X369" s="1521"/>
      <c r="Y369" s="1521"/>
      <c r="Z369" s="1521"/>
      <c r="AA369" s="1523"/>
      <c r="AC369" s="714">
        <v>-0.1</v>
      </c>
      <c r="AD369" s="714">
        <v>0</v>
      </c>
      <c r="AE369" s="714">
        <v>0</v>
      </c>
      <c r="AF369" s="714">
        <v>0</v>
      </c>
      <c r="AG369" s="714">
        <v>0</v>
      </c>
      <c r="AH369" s="714">
        <v>0</v>
      </c>
      <c r="AI369" s="22"/>
      <c r="AK369" s="1521"/>
      <c r="AL369" s="1521"/>
      <c r="AM369" s="1521"/>
      <c r="AN369" s="1521"/>
      <c r="AO369" s="1521"/>
      <c r="AP369" s="1521"/>
      <c r="AQ369" s="1523"/>
    </row>
    <row r="370" spans="1:43" s="1365" customFormat="1" ht="14.5" outlineLevel="3">
      <c r="A370" s="22"/>
      <c r="B370" s="22"/>
      <c r="C370" s="22" t="s">
        <v>848</v>
      </c>
      <c r="D370" s="22"/>
      <c r="E370" s="22"/>
      <c r="F370" s="22"/>
      <c r="G370" s="22"/>
      <c r="H370" s="24"/>
      <c r="I370" s="24"/>
      <c r="J370" s="24">
        <f>J358/J$358</f>
        <v>1</v>
      </c>
      <c r="K370" s="24">
        <f>K358/K$358</f>
        <v>1</v>
      </c>
      <c r="L370" s="24">
        <f t="shared" ref="L370:S370" si="797">L358/L$358</f>
        <v>1</v>
      </c>
      <c r="M370" s="24">
        <f t="shared" si="797"/>
        <v>1</v>
      </c>
      <c r="N370" s="24">
        <f t="shared" si="797"/>
        <v>1</v>
      </c>
      <c r="O370" s="24">
        <f t="shared" si="797"/>
        <v>1</v>
      </c>
      <c r="P370" s="24">
        <f t="shared" si="797"/>
        <v>1</v>
      </c>
      <c r="Q370" s="24">
        <f t="shared" si="797"/>
        <v>1</v>
      </c>
      <c r="R370" s="24">
        <f t="shared" si="797"/>
        <v>1</v>
      </c>
      <c r="S370" s="24">
        <f t="shared" si="797"/>
        <v>1</v>
      </c>
      <c r="T370" s="726"/>
      <c r="U370" s="1521"/>
      <c r="V370" s="1521"/>
      <c r="W370" s="1521"/>
      <c r="X370" s="1521"/>
      <c r="Y370" s="1521"/>
      <c r="Z370" s="1521"/>
      <c r="AA370" s="1522"/>
      <c r="AC370" s="219"/>
      <c r="AD370" s="219"/>
      <c r="AE370" s="219"/>
      <c r="AF370" s="219"/>
      <c r="AG370" s="219"/>
      <c r="AH370" s="219"/>
      <c r="AI370" s="706"/>
      <c r="AK370" s="1521"/>
      <c r="AL370" s="1521"/>
      <c r="AM370" s="1521"/>
      <c r="AN370" s="1521"/>
      <c r="AO370" s="1521"/>
      <c r="AP370" s="1521"/>
      <c r="AQ370" s="1522"/>
    </row>
    <row r="371" spans="1:43" s="1365" customFormat="1" ht="14.5" outlineLevel="3">
      <c r="A371" s="22"/>
      <c r="B371" s="22"/>
      <c r="C371" s="22"/>
      <c r="D371" s="707" t="s">
        <v>841</v>
      </c>
      <c r="E371" s="708"/>
      <c r="F371" s="708"/>
      <c r="G371" s="708"/>
      <c r="H371" s="793"/>
      <c r="I371" s="793"/>
      <c r="J371" s="793">
        <f t="shared" ref="J371:K371" si="798">J359/J$358</f>
        <v>0.29388777555110218</v>
      </c>
      <c r="K371" s="793">
        <f t="shared" si="798"/>
        <v>0.2100031065548307</v>
      </c>
      <c r="L371" s="793">
        <f t="shared" ref="L371:S371" si="799">L359/L$358</f>
        <v>0.19655911420715266</v>
      </c>
      <c r="M371" s="793">
        <f t="shared" si="799"/>
        <v>0.19787055987686936</v>
      </c>
      <c r="N371" s="793">
        <f t="shared" si="799"/>
        <v>0.19252494094970671</v>
      </c>
      <c r="O371" s="793">
        <f t="shared" si="799"/>
        <v>0.19252494094970671</v>
      </c>
      <c r="P371" s="793">
        <f t="shared" si="799"/>
        <v>0.19252494094970671</v>
      </c>
      <c r="Q371" s="793">
        <f t="shared" si="799"/>
        <v>0.19252494094970671</v>
      </c>
      <c r="R371" s="793">
        <f t="shared" si="799"/>
        <v>0.19252494094970671</v>
      </c>
      <c r="S371" s="803">
        <f t="shared" si="799"/>
        <v>0.19252494094970671</v>
      </c>
      <c r="T371" s="726"/>
      <c r="U371" s="1521"/>
      <c r="V371" s="1521"/>
      <c r="W371" s="1521"/>
      <c r="X371" s="1521"/>
      <c r="Y371" s="1521"/>
      <c r="Z371" s="1521"/>
      <c r="AA371" s="1523"/>
      <c r="AC371" s="728"/>
      <c r="AD371" s="728"/>
      <c r="AE371" s="728"/>
      <c r="AF371" s="728"/>
      <c r="AG371" s="728"/>
      <c r="AH371" s="728"/>
      <c r="AI371" s="22"/>
      <c r="AK371" s="1521"/>
      <c r="AL371" s="1521"/>
      <c r="AM371" s="1521"/>
      <c r="AN371" s="1521"/>
      <c r="AO371" s="1521"/>
      <c r="AP371" s="1521"/>
      <c r="AQ371" s="1523"/>
    </row>
    <row r="372" spans="1:43" s="1365" customFormat="1" ht="14.5" outlineLevel="3">
      <c r="A372" s="22"/>
      <c r="B372" s="22"/>
      <c r="C372" s="22"/>
      <c r="D372" s="715" t="s">
        <v>842</v>
      </c>
      <c r="E372" s="22"/>
      <c r="F372" s="22"/>
      <c r="G372" s="22"/>
      <c r="H372" s="91"/>
      <c r="I372" s="91"/>
      <c r="J372" s="91">
        <f t="shared" ref="J372:K372" si="800">J360/J$358</f>
        <v>0</v>
      </c>
      <c r="K372" s="91">
        <f t="shared" si="800"/>
        <v>0</v>
      </c>
      <c r="L372" s="91">
        <f t="shared" ref="L372:S372" si="801">L360/L$358</f>
        <v>0</v>
      </c>
      <c r="M372" s="91">
        <f t="shared" si="801"/>
        <v>0</v>
      </c>
      <c r="N372" s="91">
        <f t="shared" si="801"/>
        <v>0</v>
      </c>
      <c r="O372" s="91">
        <f t="shared" si="801"/>
        <v>0</v>
      </c>
      <c r="P372" s="91">
        <f t="shared" si="801"/>
        <v>0</v>
      </c>
      <c r="Q372" s="91">
        <f t="shared" si="801"/>
        <v>0</v>
      </c>
      <c r="R372" s="91">
        <f t="shared" si="801"/>
        <v>0</v>
      </c>
      <c r="S372" s="804">
        <f t="shared" si="801"/>
        <v>0</v>
      </c>
      <c r="T372" s="726"/>
      <c r="U372" s="1521"/>
      <c r="V372" s="1521"/>
      <c r="W372" s="1521"/>
      <c r="X372" s="1521"/>
      <c r="Y372" s="1521"/>
      <c r="Z372" s="1521"/>
      <c r="AA372" s="1523"/>
      <c r="AC372" s="728"/>
      <c r="AD372" s="728"/>
      <c r="AE372" s="728"/>
      <c r="AF372" s="728"/>
      <c r="AG372" s="728"/>
      <c r="AH372" s="728"/>
      <c r="AI372" s="22"/>
      <c r="AK372" s="1521"/>
      <c r="AL372" s="1521"/>
      <c r="AM372" s="1521"/>
      <c r="AN372" s="1521"/>
      <c r="AO372" s="1521"/>
      <c r="AP372" s="1521"/>
      <c r="AQ372" s="1523"/>
    </row>
    <row r="373" spans="1:43" s="1365" customFormat="1" ht="14.5" outlineLevel="3">
      <c r="A373" s="22"/>
      <c r="B373" s="22"/>
      <c r="C373" s="22"/>
      <c r="D373" s="715" t="s">
        <v>843</v>
      </c>
      <c r="E373" s="22"/>
      <c r="F373" s="22"/>
      <c r="G373" s="22"/>
      <c r="H373" s="91"/>
      <c r="I373" s="91"/>
      <c r="J373" s="91">
        <f t="shared" ref="J373:K373" si="802">J361/J$358</f>
        <v>0.18436873747494989</v>
      </c>
      <c r="K373" s="91">
        <f t="shared" si="802"/>
        <v>0.16418142280211245</v>
      </c>
      <c r="L373" s="91">
        <f t="shared" ref="L373:S373" si="803">L361/L$358</f>
        <v>0.1599910382660206</v>
      </c>
      <c r="M373" s="91">
        <f t="shared" si="803"/>
        <v>0.15678756297938404</v>
      </c>
      <c r="N373" s="91">
        <f t="shared" si="803"/>
        <v>0.15670738708247089</v>
      </c>
      <c r="O373" s="91">
        <f t="shared" si="803"/>
        <v>0.15670738708247089</v>
      </c>
      <c r="P373" s="91">
        <f t="shared" si="803"/>
        <v>0.15670738708247089</v>
      </c>
      <c r="Q373" s="91">
        <f t="shared" si="803"/>
        <v>0.15670738708247089</v>
      </c>
      <c r="R373" s="91">
        <f t="shared" si="803"/>
        <v>0.15670738708247089</v>
      </c>
      <c r="S373" s="804">
        <f t="shared" si="803"/>
        <v>0.15670738708247089</v>
      </c>
      <c r="T373" s="726"/>
      <c r="U373" s="1521"/>
      <c r="V373" s="1521"/>
      <c r="W373" s="1521"/>
      <c r="X373" s="1521"/>
      <c r="Y373" s="1521"/>
      <c r="Z373" s="1521"/>
      <c r="AA373" s="1523"/>
      <c r="AC373" s="728"/>
      <c r="AD373" s="728"/>
      <c r="AE373" s="728"/>
      <c r="AF373" s="728"/>
      <c r="AG373" s="728"/>
      <c r="AH373" s="728"/>
      <c r="AI373" s="22"/>
      <c r="AK373" s="1521"/>
      <c r="AL373" s="1521"/>
      <c r="AM373" s="1521"/>
      <c r="AN373" s="1521"/>
      <c r="AO373" s="1521"/>
      <c r="AP373" s="1521"/>
      <c r="AQ373" s="1523"/>
    </row>
    <row r="374" spans="1:43" s="1365" customFormat="1" ht="14.5" outlineLevel="3">
      <c r="A374" s="22"/>
      <c r="B374" s="22"/>
      <c r="C374" s="22"/>
      <c r="D374" s="715" t="s">
        <v>844</v>
      </c>
      <c r="E374" s="22"/>
      <c r="F374" s="22"/>
      <c r="G374" s="22"/>
      <c r="H374" s="91"/>
      <c r="I374" s="91"/>
      <c r="J374" s="91">
        <f t="shared" ref="J374:K374" si="804">J362/J$358</f>
        <v>0.48707414829659318</v>
      </c>
      <c r="K374" s="91">
        <f t="shared" si="804"/>
        <v>0.5118049083566325</v>
      </c>
      <c r="L374" s="91">
        <f t="shared" ref="L374:S374" si="805">L362/L$358</f>
        <v>0.53867970092800843</v>
      </c>
      <c r="M374" s="91">
        <f t="shared" si="805"/>
        <v>0.52454772484038648</v>
      </c>
      <c r="N374" s="91">
        <f t="shared" si="805"/>
        <v>0.52762385519641586</v>
      </c>
      <c r="O374" s="91">
        <f t="shared" si="805"/>
        <v>0.52762385519641586</v>
      </c>
      <c r="P374" s="91">
        <f t="shared" si="805"/>
        <v>0.52762385519641586</v>
      </c>
      <c r="Q374" s="91">
        <f t="shared" si="805"/>
        <v>0.52762385519641586</v>
      </c>
      <c r="R374" s="91">
        <f t="shared" si="805"/>
        <v>0.52762385519641586</v>
      </c>
      <c r="S374" s="804">
        <f t="shared" si="805"/>
        <v>0.52762385519641586</v>
      </c>
      <c r="T374" s="726"/>
      <c r="U374" s="1521"/>
      <c r="V374" s="1521"/>
      <c r="W374" s="1521"/>
      <c r="X374" s="1521"/>
      <c r="Y374" s="1521"/>
      <c r="Z374" s="1521"/>
      <c r="AA374" s="1523"/>
      <c r="AC374" s="728"/>
      <c r="AD374" s="728"/>
      <c r="AE374" s="728"/>
      <c r="AF374" s="728"/>
      <c r="AG374" s="728"/>
      <c r="AH374" s="728"/>
      <c r="AI374" s="22"/>
      <c r="AK374" s="1521"/>
      <c r="AL374" s="1521"/>
      <c r="AM374" s="1521"/>
      <c r="AN374" s="1521"/>
      <c r="AO374" s="1521"/>
      <c r="AP374" s="1521"/>
      <c r="AQ374" s="1523"/>
    </row>
    <row r="375" spans="1:43" s="1365" customFormat="1" ht="14.5" outlineLevel="3">
      <c r="A375" s="22"/>
      <c r="B375" s="22"/>
      <c r="C375" s="22"/>
      <c r="D375" s="719" t="s">
        <v>665</v>
      </c>
      <c r="E375" s="720"/>
      <c r="F375" s="720"/>
      <c r="G375" s="720"/>
      <c r="H375" s="794"/>
      <c r="I375" s="794"/>
      <c r="J375" s="794">
        <f t="shared" ref="J375:K375" si="806">J363/J$358</f>
        <v>3.4669338677354708E-2</v>
      </c>
      <c r="K375" s="794">
        <f t="shared" si="806"/>
        <v>0.11401056228642435</v>
      </c>
      <c r="L375" s="794">
        <f t="shared" ref="L375:S375" si="807">L363/L$358</f>
        <v>0.10477014659881839</v>
      </c>
      <c r="M375" s="794">
        <f t="shared" si="807"/>
        <v>0.12079415230336024</v>
      </c>
      <c r="N375" s="794">
        <f t="shared" si="807"/>
        <v>0.1231438167714064</v>
      </c>
      <c r="O375" s="794">
        <f t="shared" si="807"/>
        <v>0.1231438167714064</v>
      </c>
      <c r="P375" s="794">
        <f t="shared" si="807"/>
        <v>0.1231438167714064</v>
      </c>
      <c r="Q375" s="794">
        <f t="shared" si="807"/>
        <v>0.1231438167714064</v>
      </c>
      <c r="R375" s="794">
        <f t="shared" si="807"/>
        <v>0.1231438167714064</v>
      </c>
      <c r="S375" s="805">
        <f t="shared" si="807"/>
        <v>0.1231438167714064</v>
      </c>
      <c r="T375" s="726"/>
      <c r="U375" s="1521"/>
      <c r="V375" s="1521"/>
      <c r="W375" s="1521"/>
      <c r="X375" s="1521"/>
      <c r="Y375" s="1521"/>
      <c r="Z375" s="1521"/>
      <c r="AA375" s="1523"/>
      <c r="AC375" s="728"/>
      <c r="AD375" s="728"/>
      <c r="AE375" s="728"/>
      <c r="AF375" s="728"/>
      <c r="AG375" s="728"/>
      <c r="AH375" s="728"/>
      <c r="AI375" s="22"/>
      <c r="AK375" s="1521"/>
      <c r="AL375" s="1521"/>
      <c r="AM375" s="1521"/>
      <c r="AN375" s="1521"/>
      <c r="AO375" s="1521"/>
      <c r="AP375" s="1521"/>
      <c r="AQ375" s="1523"/>
    </row>
    <row r="376" spans="1:43" ht="14.5" outlineLevel="2">
      <c r="C376" s="18" t="s">
        <v>31</v>
      </c>
      <c r="D376" s="1"/>
      <c r="E376" s="1"/>
      <c r="H376" s="52" t="str">
        <f>IFERROR(H382/H358,"NA")</f>
        <v>NA</v>
      </c>
      <c r="I376" s="763" t="str">
        <f t="shared" ref="I376:J376" si="808">IFERROR(I382/I358,"NA")</f>
        <v>NA</v>
      </c>
      <c r="J376" s="764">
        <f t="shared" si="808"/>
        <v>7.7167334669338681</v>
      </c>
      <c r="K376" s="764">
        <f t="shared" ref="K376:S376" si="809">IFERROR(K382/K358,"NA")</f>
        <v>7.6335818577197889</v>
      </c>
      <c r="L376" s="764">
        <f t="shared" si="809"/>
        <v>7.2998434770940905</v>
      </c>
      <c r="M376" s="764">
        <f t="shared" si="809"/>
        <v>8.9692249017930603</v>
      </c>
      <c r="N376" s="764">
        <f t="shared" si="809"/>
        <v>8.9929630257599875</v>
      </c>
      <c r="O376" s="764">
        <f t="shared" si="809"/>
        <v>8.9929630257599875</v>
      </c>
      <c r="P376" s="764">
        <f t="shared" si="809"/>
        <v>8.9929630257599875</v>
      </c>
      <c r="Q376" s="764">
        <f t="shared" si="809"/>
        <v>8.9929630257599875</v>
      </c>
      <c r="R376" s="764">
        <f t="shared" si="809"/>
        <v>8.9929630257599875</v>
      </c>
      <c r="S376" s="764">
        <f t="shared" si="809"/>
        <v>8.9929630257599875</v>
      </c>
      <c r="T376" s="408"/>
      <c r="U376" s="1524">
        <f>$L376*(1+$AA376)</f>
        <v>7.4458403466359728</v>
      </c>
      <c r="V376" s="1524">
        <f>U376*(1+$AA376)</f>
        <v>7.5947571535686924</v>
      </c>
      <c r="W376" s="1524">
        <f t="shared" ref="W376" si="810">V376*(1+$AA376)</f>
        <v>7.7466522966400664</v>
      </c>
      <c r="X376" s="1524">
        <f t="shared" ref="X376" si="811">W376*(1+$AA376)</f>
        <v>7.9015853425728677</v>
      </c>
      <c r="Y376" s="1524">
        <f t="shared" ref="Y376" si="812">X376*(1+$AA376)</f>
        <v>8.0596170494243253</v>
      </c>
      <c r="Z376" s="1524">
        <f t="shared" ref="Z376" si="813">Y376*(1+$AA376)</f>
        <v>8.2208093904128123</v>
      </c>
      <c r="AA376" s="1525">
        <v>0.02</v>
      </c>
      <c r="AB376" s="1126"/>
      <c r="AC376" s="733"/>
      <c r="AD376" s="733"/>
      <c r="AE376" s="733"/>
      <c r="AF376" s="733"/>
      <c r="AG376" s="733"/>
      <c r="AH376" s="733"/>
      <c r="AI376" s="472"/>
      <c r="AJ376" s="1321"/>
      <c r="AK376" s="1529">
        <f>$L376*(1+$AQ376)</f>
        <v>7.2998434770940905</v>
      </c>
      <c r="AL376" s="1529">
        <f>AK376*(1+$AQ376)</f>
        <v>7.2998434770940905</v>
      </c>
      <c r="AM376" s="1529">
        <f t="shared" ref="AM376:AN376" si="814">AL376*(1+$AQ376)</f>
        <v>7.2998434770940905</v>
      </c>
      <c r="AN376" s="1529">
        <f t="shared" si="814"/>
        <v>7.2998434770940905</v>
      </c>
      <c r="AO376" s="1529">
        <f>AN376*(1+$AQ376)</f>
        <v>7.2998434770940905</v>
      </c>
      <c r="AP376" s="1529">
        <f t="shared" ref="AP376" si="815">AO376*(1+$AQ376)</f>
        <v>7.2998434770940905</v>
      </c>
      <c r="AQ376" s="1520">
        <v>0</v>
      </c>
    </row>
    <row r="377" spans="1:43" ht="14.5" outlineLevel="2">
      <c r="C377" s="1"/>
      <c r="D377" s="27" t="s">
        <v>841</v>
      </c>
      <c r="E377" s="28"/>
      <c r="F377" s="28"/>
      <c r="G377" s="28"/>
      <c r="H377" s="50" t="str">
        <f>IFERROR(H383/H359,"NA")</f>
        <v>NA</v>
      </c>
      <c r="I377" s="758" t="str">
        <f t="shared" ref="I377:J377" si="816">IFERROR(I383/I359,"NA")</f>
        <v>NA</v>
      </c>
      <c r="J377" s="759">
        <f t="shared" si="816"/>
        <v>6.8738493010569384</v>
      </c>
      <c r="K377" s="759">
        <f t="shared" ref="K377:M377" si="817">IFERROR(K383/K359,"NA")</f>
        <v>8.1678994082840237</v>
      </c>
      <c r="L377" s="759">
        <f t="shared" si="817"/>
        <v>7.6083704611340917</v>
      </c>
      <c r="M377" s="759">
        <f t="shared" si="817"/>
        <v>7.0251997913399959</v>
      </c>
      <c r="N377" s="780">
        <f>CHOOSE(case,U377,AC377,AK377)</f>
        <v>7.0251997913399959</v>
      </c>
      <c r="O377" s="781">
        <f t="shared" ref="O377:O381" si="818">CHOOSE(case,V377,AD377,AL377)</f>
        <v>7.0251997913399959</v>
      </c>
      <c r="P377" s="781">
        <f t="shared" ref="P377:P381" si="819">CHOOSE(case,W377,AE377,AM377)</f>
        <v>7.0251997913399959</v>
      </c>
      <c r="Q377" s="781">
        <f t="shared" ref="Q377:Q381" si="820">CHOOSE(case,X377,AF377,AN377)</f>
        <v>7.0251997913399959</v>
      </c>
      <c r="R377" s="781">
        <f t="shared" ref="R377:R381" si="821">CHOOSE(case,Y377,AG377,AO377)</f>
        <v>7.0251997913399959</v>
      </c>
      <c r="S377" s="782">
        <f t="shared" ref="S377:S381" si="822">CHOOSE(case,Z377,AH377,AP377)</f>
        <v>7.0251997913399959</v>
      </c>
      <c r="T377" s="675"/>
      <c r="U377" s="1515"/>
      <c r="V377" s="1515"/>
      <c r="W377" s="1515"/>
      <c r="X377" s="1515"/>
      <c r="Y377" s="1515"/>
      <c r="Z377" s="1515"/>
      <c r="AA377" s="1515"/>
      <c r="AB377" s="1321"/>
      <c r="AC377" s="737">
        <f>M377</f>
        <v>7.0251997913399959</v>
      </c>
      <c r="AD377" s="737">
        <f t="shared" ref="AD377:AD381" si="823">N377</f>
        <v>7.0251997913399959</v>
      </c>
      <c r="AE377" s="737">
        <f t="shared" ref="AE377:AE381" si="824">O377</f>
        <v>7.0251997913399959</v>
      </c>
      <c r="AF377" s="737">
        <f t="shared" ref="AF377:AF381" si="825">P377</f>
        <v>7.0251997913399959</v>
      </c>
      <c r="AG377" s="737">
        <f t="shared" ref="AG377:AG381" si="826">Q377</f>
        <v>7.0251997913399959</v>
      </c>
      <c r="AH377" s="737">
        <f t="shared" ref="AH377:AH381" si="827">R377</f>
        <v>7.0251997913399959</v>
      </c>
      <c r="AI377" s="415"/>
      <c r="AJ377" s="1321"/>
      <c r="AK377" s="1515"/>
      <c r="AL377" s="1515"/>
      <c r="AM377" s="1515"/>
      <c r="AN377" s="1515"/>
      <c r="AO377" s="1515"/>
      <c r="AP377" s="1515"/>
      <c r="AQ377" s="1515"/>
    </row>
    <row r="378" spans="1:43" ht="14.5" outlineLevel="2">
      <c r="C378" s="1"/>
      <c r="D378" s="31" t="s">
        <v>842</v>
      </c>
      <c r="E378" s="1"/>
      <c r="F378" s="1"/>
      <c r="G378" s="1"/>
      <c r="H378" s="52" t="str">
        <f t="shared" ref="H378:J378" si="828">IFERROR(H384/H360,"NA")</f>
        <v>NA</v>
      </c>
      <c r="I378" s="763" t="str">
        <f t="shared" si="828"/>
        <v>NA</v>
      </c>
      <c r="J378" s="764" t="str">
        <f t="shared" si="828"/>
        <v>NA</v>
      </c>
      <c r="K378" s="764" t="str">
        <f t="shared" ref="K378:M378" si="829">IFERROR(K384/K360,"NA")</f>
        <v>NA</v>
      </c>
      <c r="L378" s="764" t="str">
        <f t="shared" si="829"/>
        <v>NA</v>
      </c>
      <c r="M378" s="764" t="str">
        <f t="shared" si="829"/>
        <v>NA</v>
      </c>
      <c r="N378" s="785">
        <f>CHOOSE(case,U378,AC378,AK378)</f>
        <v>0</v>
      </c>
      <c r="O378" s="786">
        <f t="shared" si="818"/>
        <v>0</v>
      </c>
      <c r="P378" s="786">
        <f t="shared" si="819"/>
        <v>0</v>
      </c>
      <c r="Q378" s="786">
        <f t="shared" si="820"/>
        <v>0</v>
      </c>
      <c r="R378" s="786">
        <f t="shared" si="821"/>
        <v>0</v>
      </c>
      <c r="S378" s="787">
        <f t="shared" si="822"/>
        <v>0</v>
      </c>
      <c r="T378" s="675"/>
      <c r="U378" s="1515"/>
      <c r="V378" s="1515"/>
      <c r="W378" s="1515"/>
      <c r="X378" s="1515"/>
      <c r="Y378" s="1515"/>
      <c r="Z378" s="1515"/>
      <c r="AA378" s="1515"/>
      <c r="AB378" s="1321"/>
      <c r="AC378" s="737"/>
      <c r="AD378" s="737"/>
      <c r="AE378" s="737"/>
      <c r="AF378" s="737"/>
      <c r="AG378" s="737"/>
      <c r="AH378" s="737"/>
      <c r="AI378" s="415"/>
      <c r="AJ378" s="1321"/>
      <c r="AK378" s="1515"/>
      <c r="AL378" s="1515"/>
      <c r="AM378" s="1515"/>
      <c r="AN378" s="1515"/>
      <c r="AO378" s="1515"/>
      <c r="AP378" s="1515"/>
      <c r="AQ378" s="1515"/>
    </row>
    <row r="379" spans="1:43" ht="14.5" outlineLevel="2">
      <c r="C379" s="1"/>
      <c r="D379" s="31" t="s">
        <v>843</v>
      </c>
      <c r="E379" s="1"/>
      <c r="F379" s="1"/>
      <c r="G379" s="1"/>
      <c r="H379" s="52" t="str">
        <f t="shared" ref="H379:J379" si="830">IFERROR(H385/H361,"NA")</f>
        <v>NA</v>
      </c>
      <c r="I379" s="763" t="str">
        <f t="shared" si="830"/>
        <v>NA</v>
      </c>
      <c r="J379" s="764">
        <f t="shared" si="830"/>
        <v>8.0956521739130434</v>
      </c>
      <c r="K379" s="764">
        <f t="shared" ref="K379:M379" si="831">IFERROR(K385/K361,"NA")</f>
        <v>8.8297067171239352</v>
      </c>
      <c r="L379" s="764">
        <f t="shared" si="831"/>
        <v>8.6349654210050488</v>
      </c>
      <c r="M379" s="764">
        <f t="shared" si="831"/>
        <v>9.4401331155754384</v>
      </c>
      <c r="N379" s="785">
        <f>CHOOSE(case,U379,AC379,AK379)</f>
        <v>9.4401331155754384</v>
      </c>
      <c r="O379" s="786">
        <f t="shared" si="818"/>
        <v>9.4401331155754384</v>
      </c>
      <c r="P379" s="786">
        <f t="shared" si="819"/>
        <v>9.4401331155754384</v>
      </c>
      <c r="Q379" s="786">
        <f t="shared" si="820"/>
        <v>9.4401331155754384</v>
      </c>
      <c r="R379" s="786">
        <f t="shared" si="821"/>
        <v>9.4401331155754384</v>
      </c>
      <c r="S379" s="787">
        <f t="shared" si="822"/>
        <v>9.4401331155754384</v>
      </c>
      <c r="T379" s="675"/>
      <c r="U379" s="1515"/>
      <c r="V379" s="1515"/>
      <c r="W379" s="1515"/>
      <c r="X379" s="1515"/>
      <c r="Y379" s="1515"/>
      <c r="Z379" s="1515"/>
      <c r="AA379" s="1515"/>
      <c r="AB379" s="1321"/>
      <c r="AC379" s="737">
        <f t="shared" ref="AC379:AC381" si="832">M379</f>
        <v>9.4401331155754384</v>
      </c>
      <c r="AD379" s="737">
        <f t="shared" si="823"/>
        <v>9.4401331155754384</v>
      </c>
      <c r="AE379" s="737">
        <f t="shared" si="824"/>
        <v>9.4401331155754384</v>
      </c>
      <c r="AF379" s="737">
        <f t="shared" si="825"/>
        <v>9.4401331155754384</v>
      </c>
      <c r="AG379" s="737">
        <f t="shared" si="826"/>
        <v>9.4401331155754384</v>
      </c>
      <c r="AH379" s="737">
        <f t="shared" si="827"/>
        <v>9.4401331155754384</v>
      </c>
      <c r="AI379" s="415"/>
      <c r="AJ379" s="1321"/>
      <c r="AK379" s="1515"/>
      <c r="AL379" s="1515"/>
      <c r="AM379" s="1515"/>
      <c r="AN379" s="1515"/>
      <c r="AO379" s="1515"/>
      <c r="AP379" s="1515"/>
      <c r="AQ379" s="1515"/>
    </row>
    <row r="380" spans="1:43" ht="14.5" outlineLevel="2">
      <c r="C380" s="1"/>
      <c r="D380" s="31" t="s">
        <v>844</v>
      </c>
      <c r="E380" s="1"/>
      <c r="F380" s="1"/>
      <c r="G380" s="1"/>
      <c r="H380" s="52" t="str">
        <f t="shared" ref="H380:J380" si="833">IFERROR(H386/H362,"NA")</f>
        <v>NA</v>
      </c>
      <c r="I380" s="763" t="str">
        <f t="shared" si="833"/>
        <v>NA</v>
      </c>
      <c r="J380" s="764">
        <f t="shared" si="833"/>
        <v>6.9557704176095454</v>
      </c>
      <c r="K380" s="764">
        <f t="shared" ref="K380:M380" si="834">IFERROR(K386/K362,"NA")</f>
        <v>6.3702579666160846</v>
      </c>
      <c r="L380" s="764">
        <f t="shared" si="834"/>
        <v>6.0863762875578864</v>
      </c>
      <c r="M380" s="764">
        <f t="shared" si="834"/>
        <v>7.9397139687789666</v>
      </c>
      <c r="N380" s="785">
        <f>CHOOSE(case,U380,AC380,AK380)</f>
        <v>7.9397139687789666</v>
      </c>
      <c r="O380" s="786">
        <f t="shared" si="818"/>
        <v>7.9397139687789666</v>
      </c>
      <c r="P380" s="786">
        <f t="shared" si="819"/>
        <v>7.9397139687789666</v>
      </c>
      <c r="Q380" s="786">
        <f t="shared" si="820"/>
        <v>7.9397139687789666</v>
      </c>
      <c r="R380" s="786">
        <f t="shared" si="821"/>
        <v>7.9397139687789666</v>
      </c>
      <c r="S380" s="787">
        <f t="shared" si="822"/>
        <v>7.9397139687789666</v>
      </c>
      <c r="T380" s="675"/>
      <c r="U380" s="1515"/>
      <c r="V380" s="1515"/>
      <c r="W380" s="1515"/>
      <c r="X380" s="1515"/>
      <c r="Y380" s="1515"/>
      <c r="Z380" s="1515"/>
      <c r="AA380" s="1515"/>
      <c r="AB380" s="1321"/>
      <c r="AC380" s="737">
        <f t="shared" si="832"/>
        <v>7.9397139687789666</v>
      </c>
      <c r="AD380" s="737">
        <f t="shared" si="823"/>
        <v>7.9397139687789666</v>
      </c>
      <c r="AE380" s="737">
        <f t="shared" si="824"/>
        <v>7.9397139687789666</v>
      </c>
      <c r="AF380" s="737">
        <f t="shared" si="825"/>
        <v>7.9397139687789666</v>
      </c>
      <c r="AG380" s="737">
        <f t="shared" si="826"/>
        <v>7.9397139687789666</v>
      </c>
      <c r="AH380" s="737">
        <f t="shared" si="827"/>
        <v>7.9397139687789666</v>
      </c>
      <c r="AI380" s="415"/>
      <c r="AJ380" s="1321"/>
      <c r="AK380" s="1515"/>
      <c r="AL380" s="1515"/>
      <c r="AM380" s="1515"/>
      <c r="AN380" s="1515"/>
      <c r="AO380" s="1515"/>
      <c r="AP380" s="1515"/>
      <c r="AQ380" s="1515"/>
    </row>
    <row r="381" spans="1:43" ht="15" outlineLevel="2" thickBot="1">
      <c r="C381" s="37"/>
      <c r="D381" s="33" t="s">
        <v>665</v>
      </c>
      <c r="E381" s="37"/>
      <c r="F381" s="37"/>
      <c r="G381" s="37"/>
      <c r="H381" s="54" t="str">
        <f t="shared" ref="H381:J381" si="835">IFERROR(H387/H363,"NA")</f>
        <v>NA</v>
      </c>
      <c r="I381" s="768" t="str">
        <f t="shared" si="835"/>
        <v>NA</v>
      </c>
      <c r="J381" s="774">
        <f t="shared" si="835"/>
        <v>23.537572254335259</v>
      </c>
      <c r="K381" s="774">
        <f t="shared" ref="K381:M381" si="836">IFERROR(K387/K363,"NA")</f>
        <v>10.598092643051771</v>
      </c>
      <c r="L381" s="774">
        <f t="shared" si="836"/>
        <v>10.92128353757429</v>
      </c>
      <c r="M381" s="774">
        <f t="shared" si="836"/>
        <v>16.013112268692559</v>
      </c>
      <c r="N381" s="789">
        <f>CHOOSE(case,U381,AC381,AK381)</f>
        <v>16.013112268692559</v>
      </c>
      <c r="O381" s="790">
        <f t="shared" si="818"/>
        <v>16.013112268692559</v>
      </c>
      <c r="P381" s="790">
        <f t="shared" si="819"/>
        <v>16.013112268692559</v>
      </c>
      <c r="Q381" s="790">
        <f t="shared" si="820"/>
        <v>16.013112268692559</v>
      </c>
      <c r="R381" s="790">
        <f t="shared" si="821"/>
        <v>16.013112268692559</v>
      </c>
      <c r="S381" s="791">
        <f t="shared" si="822"/>
        <v>16.013112268692559</v>
      </c>
      <c r="T381" s="675"/>
      <c r="U381" s="1515"/>
      <c r="V381" s="1515"/>
      <c r="W381" s="1515"/>
      <c r="X381" s="1515"/>
      <c r="Y381" s="1515"/>
      <c r="Z381" s="1515"/>
      <c r="AA381" s="1515"/>
      <c r="AB381" s="1321"/>
      <c r="AC381" s="737">
        <f t="shared" si="832"/>
        <v>16.013112268692559</v>
      </c>
      <c r="AD381" s="737">
        <f t="shared" si="823"/>
        <v>16.013112268692559</v>
      </c>
      <c r="AE381" s="737">
        <f t="shared" si="824"/>
        <v>16.013112268692559</v>
      </c>
      <c r="AF381" s="737">
        <f t="shared" si="825"/>
        <v>16.013112268692559</v>
      </c>
      <c r="AG381" s="737">
        <f t="shared" si="826"/>
        <v>16.013112268692559</v>
      </c>
      <c r="AH381" s="737">
        <f t="shared" si="827"/>
        <v>16.013112268692559</v>
      </c>
      <c r="AI381" s="415"/>
      <c r="AJ381" s="1321"/>
      <c r="AK381" s="1515"/>
      <c r="AL381" s="1515"/>
      <c r="AM381" s="1515"/>
      <c r="AN381" s="1515"/>
      <c r="AO381" s="1515"/>
      <c r="AP381" s="1515"/>
      <c r="AQ381" s="1515"/>
    </row>
    <row r="382" spans="1:43" ht="14.5" outlineLevel="2">
      <c r="C382" s="18" t="s">
        <v>991</v>
      </c>
      <c r="D382" s="1"/>
      <c r="E382" s="1"/>
      <c r="H382" s="414">
        <v>152722</v>
      </c>
      <c r="I382" s="414">
        <v>161385</v>
      </c>
      <c r="J382" s="99">
        <f t="shared" ref="J382" si="837">SUM(J383:J387)</f>
        <v>77013</v>
      </c>
      <c r="K382" s="99">
        <f t="shared" ref="K382" si="838">SUM(K383:K387)</f>
        <v>98290</v>
      </c>
      <c r="L382" s="23">
        <f>SUM(L383:L387)</f>
        <v>114457.61238997363</v>
      </c>
      <c r="M382" s="23">
        <f>SUM(M383:M387)</f>
        <v>63147.207968248833</v>
      </c>
      <c r="N382" s="23">
        <f>SUM(N383:N387)</f>
        <v>107969.57522953075</v>
      </c>
      <c r="O382" s="23">
        <f t="shared" ref="O382:S382" si="839">SUM(O383:O387)</f>
        <v>107969.57522953075</v>
      </c>
      <c r="P382" s="23">
        <f t="shared" si="839"/>
        <v>107969.57522953075</v>
      </c>
      <c r="Q382" s="23">
        <f t="shared" si="839"/>
        <v>107969.57522953075</v>
      </c>
      <c r="R382" s="23">
        <f t="shared" si="839"/>
        <v>107969.57522953075</v>
      </c>
      <c r="S382" s="23">
        <f t="shared" si="839"/>
        <v>107969.57522953075</v>
      </c>
      <c r="T382" s="525"/>
      <c r="U382" s="1515"/>
      <c r="V382" s="1515"/>
      <c r="W382" s="1515"/>
      <c r="X382" s="1515"/>
      <c r="Y382" s="1515"/>
      <c r="Z382" s="1515"/>
      <c r="AA382" s="1515"/>
      <c r="AB382" s="1321"/>
      <c r="AC382" s="1378"/>
      <c r="AD382" s="1378"/>
      <c r="AE382" s="20"/>
      <c r="AF382" s="20"/>
      <c r="AG382" s="20"/>
      <c r="AH382" s="20"/>
      <c r="AI382" s="415"/>
      <c r="AJ382" s="1321"/>
      <c r="AK382" s="1515"/>
      <c r="AL382" s="1515"/>
      <c r="AM382" s="1515"/>
      <c r="AN382" s="1515"/>
      <c r="AO382" s="1515"/>
      <c r="AP382" s="1515"/>
      <c r="AQ382" s="1515"/>
    </row>
    <row r="383" spans="1:43" ht="14.5" outlineLevel="2">
      <c r="C383" s="1"/>
      <c r="D383" s="27" t="s">
        <v>841</v>
      </c>
      <c r="E383" s="28"/>
      <c r="F383" s="28"/>
      <c r="G383" s="28"/>
      <c r="H383" s="114"/>
      <c r="I383" s="114"/>
      <c r="J383" s="398">
        <v>20161</v>
      </c>
      <c r="K383" s="398">
        <v>22086</v>
      </c>
      <c r="L383" s="398">
        <v>23448.548867358062</v>
      </c>
      <c r="M383" s="398">
        <v>9786.7636781170004</v>
      </c>
      <c r="N383" s="29">
        <f>N359*N377</f>
        <v>16238.438452591634</v>
      </c>
      <c r="O383" s="29">
        <f t="shared" ref="O383:R383" si="840">O359*O377</f>
        <v>16238.438452591634</v>
      </c>
      <c r="P383" s="29">
        <f t="shared" si="840"/>
        <v>16238.438452591634</v>
      </c>
      <c r="Q383" s="29">
        <f t="shared" si="840"/>
        <v>16238.438452591634</v>
      </c>
      <c r="R383" s="29">
        <f t="shared" si="840"/>
        <v>16238.438452591634</v>
      </c>
      <c r="S383" s="30">
        <f>S359*S377</f>
        <v>16238.438452591634</v>
      </c>
      <c r="T383" s="1321"/>
      <c r="U383" s="1515"/>
      <c r="V383" s="1515"/>
      <c r="W383" s="1515"/>
      <c r="X383" s="1515"/>
      <c r="Y383" s="1515"/>
      <c r="Z383" s="1515"/>
      <c r="AA383" s="1515"/>
      <c r="AB383" s="1321"/>
      <c r="AC383" s="1"/>
      <c r="AD383" s="1"/>
      <c r="AE383" s="1"/>
      <c r="AF383" s="1"/>
      <c r="AG383" s="1"/>
      <c r="AH383" s="1"/>
      <c r="AI383" s="415"/>
      <c r="AJ383" s="1321"/>
      <c r="AK383" s="1515"/>
      <c r="AL383" s="1515"/>
      <c r="AM383" s="1515"/>
      <c r="AN383" s="1515"/>
      <c r="AO383" s="1515"/>
      <c r="AP383" s="1515"/>
      <c r="AQ383" s="1515"/>
    </row>
    <row r="384" spans="1:43" ht="14.5" outlineLevel="2">
      <c r="C384" s="1"/>
      <c r="D384" s="31" t="s">
        <v>842</v>
      </c>
      <c r="E384" s="1"/>
      <c r="F384" s="1"/>
      <c r="G384" s="1"/>
      <c r="H384" s="115"/>
      <c r="I384" s="115"/>
      <c r="J384" s="400">
        <v>0</v>
      </c>
      <c r="K384" s="400">
        <v>0</v>
      </c>
      <c r="L384" s="400">
        <v>0</v>
      </c>
      <c r="M384" s="400">
        <v>0</v>
      </c>
      <c r="N384" s="20">
        <f t="shared" ref="N384:S384" si="841">N360*N378</f>
        <v>0</v>
      </c>
      <c r="O384" s="20">
        <f t="shared" si="841"/>
        <v>0</v>
      </c>
      <c r="P384" s="20">
        <f t="shared" si="841"/>
        <v>0</v>
      </c>
      <c r="Q384" s="20">
        <f t="shared" si="841"/>
        <v>0</v>
      </c>
      <c r="R384" s="20">
        <f t="shared" si="841"/>
        <v>0</v>
      </c>
      <c r="S384" s="32">
        <f t="shared" si="841"/>
        <v>0</v>
      </c>
      <c r="T384" s="1321"/>
      <c r="U384" s="1515"/>
      <c r="V384" s="1515"/>
      <c r="W384" s="1515"/>
      <c r="X384" s="1515"/>
      <c r="Y384" s="1515"/>
      <c r="Z384" s="1515"/>
      <c r="AA384" s="1515"/>
      <c r="AB384" s="1321"/>
      <c r="AC384" s="1"/>
      <c r="AD384" s="1"/>
      <c r="AE384" s="1"/>
      <c r="AF384" s="1"/>
      <c r="AG384" s="1"/>
      <c r="AH384" s="1"/>
      <c r="AI384" s="415"/>
      <c r="AJ384" s="1321"/>
      <c r="AK384" s="1515"/>
      <c r="AL384" s="1515"/>
      <c r="AM384" s="1515"/>
      <c r="AN384" s="1515"/>
      <c r="AO384" s="1515"/>
      <c r="AP384" s="1515"/>
      <c r="AQ384" s="1515"/>
    </row>
    <row r="385" spans="1:43" ht="14.5" outlineLevel="2">
      <c r="C385" s="1"/>
      <c r="D385" s="31" t="s">
        <v>843</v>
      </c>
      <c r="E385" s="1"/>
      <c r="F385" s="1"/>
      <c r="G385" s="1"/>
      <c r="H385" s="115"/>
      <c r="I385" s="115"/>
      <c r="J385" s="400">
        <v>14896</v>
      </c>
      <c r="K385" s="400">
        <v>18666</v>
      </c>
      <c r="L385" s="400">
        <v>21661.443468412457</v>
      </c>
      <c r="M385" s="400">
        <v>10420.50981989418</v>
      </c>
      <c r="N385" s="20">
        <f t="shared" ref="N385:S385" si="842">N361*N379</f>
        <v>17760.949220471073</v>
      </c>
      <c r="O385" s="20">
        <f t="shared" si="842"/>
        <v>17760.949220471073</v>
      </c>
      <c r="P385" s="20">
        <f t="shared" si="842"/>
        <v>17760.949220471073</v>
      </c>
      <c r="Q385" s="20">
        <f t="shared" si="842"/>
        <v>17760.949220471073</v>
      </c>
      <c r="R385" s="20">
        <f t="shared" si="842"/>
        <v>17760.949220471073</v>
      </c>
      <c r="S385" s="32">
        <f t="shared" si="842"/>
        <v>17760.949220471073</v>
      </c>
      <c r="T385" s="1321"/>
      <c r="U385" s="1515"/>
      <c r="V385" s="1515"/>
      <c r="W385" s="1515"/>
      <c r="X385" s="1515"/>
      <c r="Y385" s="1515"/>
      <c r="Z385" s="1515"/>
      <c r="AA385" s="1515"/>
      <c r="AB385" s="1321"/>
      <c r="AC385" s="1"/>
      <c r="AD385" s="1"/>
      <c r="AE385" s="1"/>
      <c r="AF385" s="1"/>
      <c r="AG385" s="1"/>
      <c r="AH385" s="1"/>
      <c r="AI385" s="415"/>
      <c r="AJ385" s="1321"/>
      <c r="AK385" s="1515"/>
      <c r="AL385" s="1515"/>
      <c r="AM385" s="1515"/>
      <c r="AN385" s="1515"/>
      <c r="AO385" s="1515"/>
      <c r="AP385" s="1515"/>
      <c r="AQ385" s="1515"/>
    </row>
    <row r="386" spans="1:43" ht="14.5" outlineLevel="2">
      <c r="C386" s="1"/>
      <c r="D386" s="31" t="s">
        <v>844</v>
      </c>
      <c r="E386" s="1"/>
      <c r="F386" s="1"/>
      <c r="G386" s="1"/>
      <c r="H386" s="115"/>
      <c r="I386" s="115"/>
      <c r="J386" s="400">
        <v>33812</v>
      </c>
      <c r="K386" s="400">
        <v>41980</v>
      </c>
      <c r="L386" s="400">
        <v>51406.796786079387</v>
      </c>
      <c r="M386" s="400">
        <v>29321.697154687412</v>
      </c>
      <c r="N386" s="20">
        <f t="shared" ref="N386:S386" si="843">N362*N380</f>
        <v>50295.353497160977</v>
      </c>
      <c r="O386" s="20">
        <f t="shared" si="843"/>
        <v>50295.353497160977</v>
      </c>
      <c r="P386" s="20">
        <f t="shared" si="843"/>
        <v>50295.353497160977</v>
      </c>
      <c r="Q386" s="20">
        <f t="shared" si="843"/>
        <v>50295.353497160977</v>
      </c>
      <c r="R386" s="20">
        <f t="shared" si="843"/>
        <v>50295.353497160977</v>
      </c>
      <c r="S386" s="32">
        <f t="shared" si="843"/>
        <v>50295.353497160977</v>
      </c>
      <c r="T386" s="1321"/>
      <c r="U386" s="1515"/>
      <c r="V386" s="1515"/>
      <c r="W386" s="1515"/>
      <c r="X386" s="1515"/>
      <c r="Y386" s="1515"/>
      <c r="Z386" s="1515"/>
      <c r="AA386" s="1515"/>
      <c r="AB386" s="1321"/>
      <c r="AC386" s="1"/>
      <c r="AD386" s="1"/>
      <c r="AE386" s="1"/>
      <c r="AF386" s="1"/>
      <c r="AG386" s="1"/>
      <c r="AH386" s="1"/>
      <c r="AI386" s="415"/>
      <c r="AJ386" s="1321"/>
      <c r="AK386" s="1515"/>
      <c r="AL386" s="1515"/>
      <c r="AM386" s="1515"/>
      <c r="AN386" s="1515"/>
      <c r="AO386" s="1515"/>
      <c r="AP386" s="1515"/>
      <c r="AQ386" s="1515"/>
    </row>
    <row r="387" spans="1:43" ht="14.5" outlineLevel="2">
      <c r="C387" s="1"/>
      <c r="D387" s="33" t="s">
        <v>665</v>
      </c>
      <c r="E387" s="34"/>
      <c r="F387" s="34"/>
      <c r="G387" s="34"/>
      <c r="H387" s="116"/>
      <c r="I387" s="116"/>
      <c r="J387" s="402">
        <v>8144</v>
      </c>
      <c r="K387" s="402">
        <v>15558</v>
      </c>
      <c r="L387" s="402">
        <v>17940.823268123724</v>
      </c>
      <c r="M387" s="402">
        <v>13618.237315550243</v>
      </c>
      <c r="N387" s="35">
        <f t="shared" ref="N387:S387" si="844">N363*N381</f>
        <v>23674.834059307057</v>
      </c>
      <c r="O387" s="35">
        <f t="shared" si="844"/>
        <v>23674.834059307057</v>
      </c>
      <c r="P387" s="35">
        <f t="shared" si="844"/>
        <v>23674.834059307057</v>
      </c>
      <c r="Q387" s="35">
        <f t="shared" si="844"/>
        <v>23674.834059307057</v>
      </c>
      <c r="R387" s="35">
        <f t="shared" si="844"/>
        <v>23674.834059307057</v>
      </c>
      <c r="S387" s="36">
        <f t="shared" si="844"/>
        <v>23674.834059307057</v>
      </c>
      <c r="T387" s="1321"/>
      <c r="U387" s="1515"/>
      <c r="V387" s="1515"/>
      <c r="W387" s="1515"/>
      <c r="X387" s="1515"/>
      <c r="Y387" s="1515"/>
      <c r="Z387" s="1515"/>
      <c r="AA387" s="1515"/>
      <c r="AB387" s="1321"/>
      <c r="AC387" s="1"/>
      <c r="AD387" s="1"/>
      <c r="AE387" s="1"/>
      <c r="AF387" s="1"/>
      <c r="AG387" s="1"/>
      <c r="AH387" s="1"/>
      <c r="AI387" s="415"/>
      <c r="AJ387" s="1321"/>
      <c r="AK387" s="1515"/>
      <c r="AL387" s="1515"/>
      <c r="AM387" s="1515"/>
      <c r="AN387" s="1515"/>
      <c r="AO387" s="1515"/>
      <c r="AP387" s="1515"/>
      <c r="AQ387" s="1515"/>
    </row>
    <row r="388" spans="1:43" ht="14.5" outlineLevel="2">
      <c r="C388" s="1"/>
      <c r="D388" s="1"/>
      <c r="E388" s="1"/>
      <c r="AI388" s="424"/>
    </row>
    <row r="389" spans="1:43" ht="15" outlineLevel="2" thickBot="1">
      <c r="C389" s="37" t="s">
        <v>160</v>
      </c>
      <c r="D389" s="37"/>
      <c r="E389" s="37"/>
      <c r="F389" s="109"/>
      <c r="G389" s="109"/>
      <c r="H389" s="117">
        <f>1-H390/H382</f>
        <v>2.0298319822942279E-4</v>
      </c>
      <c r="I389" s="117">
        <f t="shared" ref="I389" si="845">1-I390/I382</f>
        <v>5.1429810701118406E-2</v>
      </c>
      <c r="J389" s="117">
        <f t="shared" ref="J389" si="846">1-J390/J382</f>
        <v>1.5218209912612135E-2</v>
      </c>
      <c r="K389" s="117">
        <f t="shared" ref="K389:M389" si="847">1-K390/K382</f>
        <v>6.909146403499844E-2</v>
      </c>
      <c r="L389" s="117">
        <f t="shared" si="847"/>
        <v>6.909146403499844E-2</v>
      </c>
      <c r="M389" s="117">
        <f t="shared" si="847"/>
        <v>6.909146403499844E-2</v>
      </c>
      <c r="N389" s="160">
        <f t="shared" ref="N389" si="848">L389</f>
        <v>6.909146403499844E-2</v>
      </c>
      <c r="O389" s="160">
        <f t="shared" ref="O389" si="849">N389</f>
        <v>6.909146403499844E-2</v>
      </c>
      <c r="P389" s="160">
        <f t="shared" ref="P389" si="850">O389</f>
        <v>6.909146403499844E-2</v>
      </c>
      <c r="Q389" s="160">
        <f t="shared" ref="Q389" si="851">P389</f>
        <v>6.909146403499844E-2</v>
      </c>
      <c r="R389" s="160">
        <f t="shared" ref="R389" si="852">Q389</f>
        <v>6.909146403499844E-2</v>
      </c>
      <c r="S389" s="160">
        <f t="shared" ref="S389" si="853">R389</f>
        <v>6.909146403499844E-2</v>
      </c>
      <c r="AI389" s="424"/>
    </row>
    <row r="390" spans="1:43" s="101" customFormat="1" ht="15" outlineLevel="2" thickBot="1">
      <c r="C390" s="76" t="s">
        <v>992</v>
      </c>
      <c r="D390" s="76"/>
      <c r="E390" s="76"/>
      <c r="F390" s="110"/>
      <c r="G390" s="110"/>
      <c r="H390" s="409">
        <v>152691</v>
      </c>
      <c r="I390" s="409">
        <v>153085</v>
      </c>
      <c r="J390" s="409">
        <v>75841</v>
      </c>
      <c r="K390" s="409">
        <v>91499</v>
      </c>
      <c r="L390" s="409">
        <v>106549.56837999997</v>
      </c>
      <c r="M390" s="409">
        <v>58784.274920000003</v>
      </c>
      <c r="N390" s="113">
        <f>N382*(1-N389)</f>
        <v>100509.79920568556</v>
      </c>
      <c r="O390" s="113">
        <f t="shared" ref="O390:S390" si="854">O382*(1-O389)</f>
        <v>100509.79920568556</v>
      </c>
      <c r="P390" s="113">
        <f t="shared" si="854"/>
        <v>100509.79920568556</v>
      </c>
      <c r="Q390" s="113">
        <f t="shared" si="854"/>
        <v>100509.79920568556</v>
      </c>
      <c r="R390" s="113">
        <f t="shared" si="854"/>
        <v>100509.79920568556</v>
      </c>
      <c r="S390" s="113">
        <f t="shared" si="854"/>
        <v>100509.79920568556</v>
      </c>
      <c r="T390" s="525"/>
      <c r="U390" s="1512"/>
      <c r="V390" s="1512"/>
      <c r="W390" s="1512"/>
      <c r="X390" s="1512"/>
      <c r="Y390" s="1512"/>
      <c r="Z390" s="1512"/>
      <c r="AA390" s="1512"/>
      <c r="AI390" s="473"/>
      <c r="AK390" s="1512"/>
      <c r="AL390" s="1512"/>
      <c r="AM390" s="1512"/>
      <c r="AN390" s="1512"/>
      <c r="AO390" s="1512"/>
      <c r="AP390" s="1512"/>
      <c r="AQ390" s="1512"/>
    </row>
    <row r="391" spans="1:43" s="101" customFormat="1" ht="14.5" outlineLevel="2">
      <c r="C391" s="97" t="s">
        <v>659</v>
      </c>
      <c r="H391" s="394">
        <v>-139390</v>
      </c>
      <c r="I391" s="394">
        <v>-130489</v>
      </c>
      <c r="J391" s="394">
        <v>-64961</v>
      </c>
      <c r="K391" s="394">
        <v>-86146</v>
      </c>
      <c r="L391" s="394">
        <v>-100567.38809690729</v>
      </c>
      <c r="M391" s="394">
        <v>-53739.336567775747</v>
      </c>
      <c r="N391" s="20">
        <f>N392*N358</f>
        <v>-91641.385477402931</v>
      </c>
      <c r="O391" s="20">
        <f t="shared" ref="O391:S391" si="855">O392*O358</f>
        <v>-90537.660255772338</v>
      </c>
      <c r="P391" s="20">
        <f t="shared" si="855"/>
        <v>-89850.495340717025</v>
      </c>
      <c r="Q391" s="20">
        <f t="shared" si="855"/>
        <v>-89338.366888454606</v>
      </c>
      <c r="R391" s="20">
        <f t="shared" si="855"/>
        <v>-88855.222943957022</v>
      </c>
      <c r="S391" s="20">
        <f t="shared" si="855"/>
        <v>-88391.471080195246</v>
      </c>
      <c r="U391" s="1512"/>
      <c r="V391" s="1512"/>
      <c r="W391" s="1512"/>
      <c r="X391" s="1512"/>
      <c r="Y391" s="1512"/>
      <c r="Z391" s="1512"/>
      <c r="AA391" s="1512"/>
      <c r="AI391" s="473"/>
      <c r="AK391" s="1512"/>
      <c r="AL391" s="1512"/>
      <c r="AM391" s="1512"/>
      <c r="AN391" s="1512"/>
      <c r="AO391" s="1512"/>
      <c r="AP391" s="1512"/>
      <c r="AQ391" s="1512"/>
    </row>
    <row r="392" spans="1:43" s="101" customFormat="1" ht="14.5" outlineLevel="2">
      <c r="C392" s="97"/>
      <c r="D392" s="1" t="s">
        <v>849</v>
      </c>
      <c r="E392" s="1"/>
      <c r="H392" s="744"/>
      <c r="I392" s="744"/>
      <c r="J392" s="744">
        <f t="shared" ref="J392" si="856">J391/J358</f>
        <v>-6.5091182364729461</v>
      </c>
      <c r="K392" s="744">
        <f t="shared" ref="K392" si="857">K391/K358</f>
        <v>-6.6904318111214662</v>
      </c>
      <c r="L392" s="744">
        <f t="shared" ref="L392" si="858">L391/L358</f>
        <v>-6.4139568935469713</v>
      </c>
      <c r="M392" s="744">
        <f t="shared" ref="M392" si="859">M391/M358</f>
        <v>-7.6329613178129447</v>
      </c>
      <c r="N392" s="1039">
        <f>M392</f>
        <v>-7.6329613178129447</v>
      </c>
      <c r="O392" s="744">
        <f>N392*(1+O393)</f>
        <v>-7.5410302336383364</v>
      </c>
      <c r="P392" s="744">
        <f t="shared" ref="P392" si="860">O392*(1+P393)</f>
        <v>-7.4837951406915071</v>
      </c>
      <c r="Q392" s="744">
        <f t="shared" ref="Q392" si="861">P392*(1+Q393)</f>
        <v>-7.4411391218468941</v>
      </c>
      <c r="R392" s="744">
        <f t="shared" ref="R392" si="862">Q392*(1+R393)</f>
        <v>-7.4008972701979481</v>
      </c>
      <c r="S392" s="744">
        <f t="shared" ref="S392" si="863">R392*(1+S393)</f>
        <v>-7.3622706167627472</v>
      </c>
      <c r="U392" s="1512"/>
      <c r="V392" s="1512"/>
      <c r="W392" s="1512"/>
      <c r="X392" s="1512"/>
      <c r="Y392" s="1512"/>
      <c r="Z392" s="1512"/>
      <c r="AA392" s="1512"/>
      <c r="AI392" s="473"/>
      <c r="AK392" s="1512"/>
      <c r="AL392" s="1512"/>
      <c r="AM392" s="1512"/>
      <c r="AN392" s="1512"/>
      <c r="AO392" s="1512"/>
      <c r="AP392" s="1512"/>
      <c r="AQ392" s="1512"/>
    </row>
    <row r="393" spans="1:43" s="101" customFormat="1" ht="15" outlineLevel="2" thickBot="1">
      <c r="C393" s="109"/>
      <c r="D393" s="74"/>
      <c r="E393" s="74" t="s">
        <v>151</v>
      </c>
      <c r="H393" s="404"/>
      <c r="I393" s="404"/>
      <c r="J393" s="404"/>
      <c r="K393" s="404"/>
      <c r="L393" s="75"/>
      <c r="M393" s="404"/>
      <c r="N393" s="75">
        <f>N392/L392-1</f>
        <v>0.1900549761243957</v>
      </c>
      <c r="O393" s="161">
        <f>CHOOSE(case,V393,AD393,AL393)</f>
        <v>-1.2043960442989499E-2</v>
      </c>
      <c r="P393" s="161">
        <f t="shared" ref="P393" si="864">CHOOSE(case,W393,AE393,AM393)</f>
        <v>-7.5898240921405957E-3</v>
      </c>
      <c r="Q393" s="161">
        <f t="shared" ref="Q393" si="865">CHOOSE(case,X393,AF393,AN393)</f>
        <v>-5.6997844065346248E-3</v>
      </c>
      <c r="R393" s="161">
        <f t="shared" ref="R393" si="866">CHOOSE(case,Y393,AG393,AO393)</f>
        <v>-5.4080230177121491E-3</v>
      </c>
      <c r="S393" s="1044">
        <f t="shared" ref="S393" si="867">CHOOSE(case,Z393,AH393,AP393)</f>
        <v>-5.2191851913339082E-3</v>
      </c>
      <c r="U393" s="1512"/>
      <c r="V393" s="1512"/>
      <c r="W393" s="1512"/>
      <c r="X393" s="1512"/>
      <c r="Y393" s="1512"/>
      <c r="Z393" s="1512"/>
      <c r="AA393" s="1512"/>
      <c r="AC393" s="829"/>
      <c r="AD393" s="1042">
        <f>(SUMPRODUCT(O371:O374,各区域分剂型成本优化!K$195:K$198)+O375*O381)/(SUMPRODUCT(N371:N374,各区域分剂型成本优化!J$195:J$198)+N375*N381)-1</f>
        <v>-1.2043960442989499E-2</v>
      </c>
      <c r="AE393" s="1042">
        <f>(SUMPRODUCT(P371:P374,各区域分剂型成本优化!L$195:L$198)+P375*P381)/(SUMPRODUCT(O371:O374,各区域分剂型成本优化!K$195:K$198)+O375*O381)-1</f>
        <v>-7.5898240921405957E-3</v>
      </c>
      <c r="AF393" s="1042">
        <f>(SUMPRODUCT(Q371:Q374,各区域分剂型成本优化!M$195:M$198)+Q375*Q381)/(SUMPRODUCT(P371:P374,各区域分剂型成本优化!L$195:L$198)+P375*P381)-1</f>
        <v>-5.6997844065346248E-3</v>
      </c>
      <c r="AG393" s="1042">
        <f>(SUMPRODUCT(R371:R374,各区域分剂型成本优化!N$195:N$198)+R375*R381)/(SUMPRODUCT(Q371:Q374,各区域分剂型成本优化!M$195:M$198)+Q375*Q381)-1</f>
        <v>-5.4080230177121491E-3</v>
      </c>
      <c r="AH393" s="1042">
        <f>(SUMPRODUCT(S371:S374,各区域分剂型成本优化!O$195:O$198)+S375*S381)/(SUMPRODUCT(R371:R374,各区域分剂型成本优化!N$195:N$198)+R375*R381)-1</f>
        <v>-5.2191851913339082E-3</v>
      </c>
      <c r="AI393" s="473"/>
      <c r="AK393" s="1512"/>
      <c r="AL393" s="1512"/>
      <c r="AM393" s="1512"/>
      <c r="AN393" s="1512"/>
      <c r="AO393" s="1512"/>
      <c r="AP393" s="1512"/>
      <c r="AQ393" s="1512"/>
    </row>
    <row r="394" spans="1:43" s="101" customFormat="1" ht="15" outlineLevel="2" thickBot="1">
      <c r="C394" s="63" t="s">
        <v>846</v>
      </c>
      <c r="D394" s="63"/>
      <c r="E394" s="63"/>
      <c r="F394" s="110"/>
      <c r="G394" s="110"/>
      <c r="H394" s="77">
        <f>H390+H391</f>
        <v>13301</v>
      </c>
      <c r="I394" s="77">
        <f t="shared" ref="I394:M394" si="868">I390+I391</f>
        <v>22596</v>
      </c>
      <c r="J394" s="77">
        <f t="shared" si="868"/>
        <v>10880</v>
      </c>
      <c r="K394" s="77">
        <f t="shared" si="868"/>
        <v>5353</v>
      </c>
      <c r="L394" s="77">
        <f t="shared" si="868"/>
        <v>5982.1802830926754</v>
      </c>
      <c r="M394" s="77">
        <f t="shared" si="868"/>
        <v>5044.938352224257</v>
      </c>
      <c r="N394" s="77">
        <f t="shared" ref="N394:S394" si="869">N390+N391</f>
        <v>8868.4137282826268</v>
      </c>
      <c r="O394" s="77">
        <f t="shared" si="869"/>
        <v>9972.1389499132201</v>
      </c>
      <c r="P394" s="77">
        <f t="shared" si="869"/>
        <v>10659.303864968533</v>
      </c>
      <c r="Q394" s="77">
        <f t="shared" si="869"/>
        <v>11171.432317230952</v>
      </c>
      <c r="R394" s="77">
        <f t="shared" si="869"/>
        <v>11654.576261728536</v>
      </c>
      <c r="S394" s="77">
        <f t="shared" si="869"/>
        <v>12118.328125490312</v>
      </c>
      <c r="U394" s="1512"/>
      <c r="V394" s="1512"/>
      <c r="W394" s="1512"/>
      <c r="X394" s="1512"/>
      <c r="Y394" s="1512"/>
      <c r="Z394" s="1512"/>
      <c r="AA394" s="1512"/>
      <c r="AC394" s="480"/>
      <c r="AI394" s="473"/>
      <c r="AK394" s="1512"/>
      <c r="AL394" s="1512"/>
      <c r="AM394" s="1512"/>
      <c r="AN394" s="1512"/>
      <c r="AO394" s="1512"/>
      <c r="AP394" s="1512"/>
      <c r="AQ394" s="1512"/>
    </row>
    <row r="395" spans="1:43" s="101" customFormat="1" ht="14.5" outlineLevel="2">
      <c r="C395" s="22" t="s">
        <v>660</v>
      </c>
      <c r="D395" s="18"/>
      <c r="E395" s="18"/>
      <c r="H395" s="94">
        <f>H394/H390</f>
        <v>8.7110569712687713E-2</v>
      </c>
      <c r="I395" s="94">
        <f t="shared" ref="I395:M395" si="870">I394/I390</f>
        <v>0.14760427213639482</v>
      </c>
      <c r="J395" s="94">
        <f t="shared" si="870"/>
        <v>0.14345802402394484</v>
      </c>
      <c r="K395" s="94">
        <f t="shared" si="870"/>
        <v>5.8503371621547777E-2</v>
      </c>
      <c r="L395" s="94">
        <f t="shared" si="870"/>
        <v>5.6144575468928586E-2</v>
      </c>
      <c r="M395" s="94">
        <f t="shared" si="870"/>
        <v>8.5821222752002199E-2</v>
      </c>
      <c r="N395" s="94">
        <f t="shared" ref="N395:S395" si="871">N394/N390</f>
        <v>8.8234319423264401E-2</v>
      </c>
      <c r="O395" s="94">
        <f t="shared" si="871"/>
        <v>9.9215589213406008E-2</v>
      </c>
      <c r="P395" s="94">
        <f t="shared" si="871"/>
        <v>0.10605238443621889</v>
      </c>
      <c r="Q395" s="94">
        <f t="shared" si="871"/>
        <v>0.11114769311566802</v>
      </c>
      <c r="R395" s="94">
        <f t="shared" si="871"/>
        <v>0.11595462685064511</v>
      </c>
      <c r="S395" s="94">
        <f t="shared" si="871"/>
        <v>0.12056862337065352</v>
      </c>
      <c r="T395" s="1321"/>
      <c r="U395" s="1526">
        <f>AC395+0.3%</f>
        <v>3.0000000000000001E-3</v>
      </c>
      <c r="V395" s="1526">
        <f t="shared" ref="V395" si="872">AD395+0.3%</f>
        <v>3.0000000000000001E-3</v>
      </c>
      <c r="W395" s="1526">
        <f t="shared" ref="W395" si="873">AE395+0.3%</f>
        <v>3.0000000000000001E-3</v>
      </c>
      <c r="X395" s="1526">
        <f t="shared" ref="X395" si="874">AF395+0.3%</f>
        <v>3.0000000000000001E-3</v>
      </c>
      <c r="Y395" s="1526">
        <f t="shared" ref="Y395" si="875">AG395+0.3%</f>
        <v>3.0000000000000001E-3</v>
      </c>
      <c r="Z395" s="1526">
        <f t="shared" ref="Z395" si="876">AH395+0.3%</f>
        <v>3.0000000000000001E-3</v>
      </c>
      <c r="AA395" s="1515"/>
      <c r="AB395" s="1321"/>
      <c r="AC395" s="829"/>
      <c r="AD395" s="829"/>
      <c r="AE395" s="829"/>
      <c r="AF395" s="829"/>
      <c r="AG395" s="829"/>
      <c r="AH395" s="829"/>
      <c r="AI395" s="415"/>
      <c r="AJ395" s="1321"/>
      <c r="AK395" s="1526">
        <f>AC395-0.3%</f>
        <v>-3.0000000000000001E-3</v>
      </c>
      <c r="AL395" s="1526">
        <f t="shared" ref="AL395" si="877">AD395-0.3%</f>
        <v>-3.0000000000000001E-3</v>
      </c>
      <c r="AM395" s="1526">
        <f t="shared" ref="AM395" si="878">AE395-0.3%</f>
        <v>-3.0000000000000001E-3</v>
      </c>
      <c r="AN395" s="1526">
        <f t="shared" ref="AN395" si="879">AF395-0.3%</f>
        <v>-3.0000000000000001E-3</v>
      </c>
      <c r="AO395" s="1526">
        <f t="shared" ref="AO395" si="880">AG395-0.3%</f>
        <v>-3.0000000000000001E-3</v>
      </c>
      <c r="AP395" s="1526">
        <f t="shared" ref="AP395" si="881">AH395-0.3%</f>
        <v>-3.0000000000000001E-3</v>
      </c>
      <c r="AQ395" s="1515"/>
    </row>
    <row r="396" spans="1:43" ht="14.5" outlineLevel="2"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AI396" s="424"/>
    </row>
    <row r="397" spans="1:43" s="1126" customFormat="1" ht="14.5" outlineLevel="2">
      <c r="A397" s="26" t="s">
        <v>8</v>
      </c>
      <c r="B397" s="26"/>
      <c r="C397" s="26" t="s">
        <v>180</v>
      </c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U397" s="1518"/>
      <c r="V397" s="1518"/>
      <c r="W397" s="1518"/>
      <c r="X397" s="1518"/>
      <c r="Y397" s="1518"/>
      <c r="Z397" s="1518"/>
      <c r="AA397" s="1518"/>
      <c r="AC397" s="26"/>
      <c r="AD397" s="26"/>
      <c r="AE397" s="26"/>
      <c r="AF397" s="26"/>
      <c r="AG397" s="26"/>
      <c r="AH397" s="26"/>
      <c r="AI397" s="474"/>
      <c r="AK397" s="1518"/>
      <c r="AL397" s="1518"/>
      <c r="AM397" s="1518"/>
      <c r="AN397" s="1518"/>
      <c r="AO397" s="1518"/>
      <c r="AP397" s="1518"/>
      <c r="AQ397" s="1518"/>
    </row>
    <row r="398" spans="1:43" ht="14.5" outlineLevel="2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AI398" s="424"/>
    </row>
    <row r="399" spans="1:43" s="99" customFormat="1" ht="14.5" outlineLevel="2">
      <c r="C399" s="18" t="s">
        <v>840</v>
      </c>
      <c r="D399" s="18"/>
      <c r="E399" s="18"/>
      <c r="H399" s="99">
        <f>SUM(H400:H404)</f>
        <v>0</v>
      </c>
      <c r="I399" s="99">
        <f t="shared" ref="I399" si="882">SUM(I400:I404)</f>
        <v>0</v>
      </c>
      <c r="J399" s="99">
        <f t="shared" ref="J399" si="883">SUM(J400:J404)</f>
        <v>17003</v>
      </c>
      <c r="K399" s="99">
        <f t="shared" ref="K399" si="884">SUM(K400:K404)</f>
        <v>6000</v>
      </c>
      <c r="L399" s="23">
        <f>SUM(L400:L404)</f>
        <v>6095.4279999999999</v>
      </c>
      <c r="M399" s="23">
        <f>SUM(M400:M404)</f>
        <v>853.79600000000005</v>
      </c>
      <c r="N399" s="23">
        <f t="shared" ref="N399:S399" si="885">SUM(N400:N404)</f>
        <v>1654.7649999999999</v>
      </c>
      <c r="O399" s="23">
        <f t="shared" si="885"/>
        <v>1654.7649999999999</v>
      </c>
      <c r="P399" s="23">
        <f t="shared" si="885"/>
        <v>1654.7649999999999</v>
      </c>
      <c r="Q399" s="23">
        <f t="shared" si="885"/>
        <v>1654.7649999999999</v>
      </c>
      <c r="R399" s="23">
        <f t="shared" si="885"/>
        <v>1654.7649999999999</v>
      </c>
      <c r="S399" s="23">
        <f t="shared" si="885"/>
        <v>1654.7649999999999</v>
      </c>
      <c r="T399" s="1126"/>
      <c r="U399" s="1519">
        <f>$L399*(1+$AA399)</f>
        <v>6339.2451200000005</v>
      </c>
      <c r="V399" s="1519">
        <f>U399*(1+$AA399)</f>
        <v>6592.8149248000009</v>
      </c>
      <c r="W399" s="1519">
        <f t="shared" ref="W399:Z399" si="886">V399*(1+$AA399)</f>
        <v>6856.5275217920007</v>
      </c>
      <c r="X399" s="1519">
        <f t="shared" si="886"/>
        <v>7130.7886226636811</v>
      </c>
      <c r="Y399" s="1519">
        <f t="shared" si="886"/>
        <v>7416.0201675702283</v>
      </c>
      <c r="Z399" s="1519">
        <f t="shared" si="886"/>
        <v>7712.6609742730379</v>
      </c>
      <c r="AA399" s="1520">
        <v>0.04</v>
      </c>
      <c r="AB399" s="1321"/>
      <c r="AC399" s="20"/>
      <c r="AD399" s="20"/>
      <c r="AE399" s="20"/>
      <c r="AF399" s="20"/>
      <c r="AG399" s="20"/>
      <c r="AH399" s="20"/>
      <c r="AI399" s="472"/>
      <c r="AJ399" s="1321"/>
      <c r="AK399" s="1519">
        <f>$L399*(1+$AQ399)</f>
        <v>6095.4279999999999</v>
      </c>
      <c r="AL399" s="1519">
        <f>AK399*(1+$AQ399)</f>
        <v>6095.4279999999999</v>
      </c>
      <c r="AM399" s="1519">
        <f t="shared" ref="AM399:AN399" si="887">AL399*(1+$AQ399)</f>
        <v>6095.4279999999999</v>
      </c>
      <c r="AN399" s="1519">
        <f t="shared" si="887"/>
        <v>6095.4279999999999</v>
      </c>
      <c r="AO399" s="1519">
        <f>AN399*(1+$AQ399)</f>
        <v>6095.4279999999999</v>
      </c>
      <c r="AP399" s="1519">
        <f t="shared" ref="AP399" si="888">AO399*(1+$AQ399)</f>
        <v>6095.4279999999999</v>
      </c>
      <c r="AQ399" s="1520">
        <v>0</v>
      </c>
    </row>
    <row r="400" spans="1:43" s="101" customFormat="1" ht="14.5" outlineLevel="2">
      <c r="C400" s="1"/>
      <c r="D400" s="27" t="s">
        <v>841</v>
      </c>
      <c r="E400" s="28"/>
      <c r="F400" s="28"/>
      <c r="G400" s="28"/>
      <c r="H400" s="114"/>
      <c r="I400" s="114"/>
      <c r="J400" s="398">
        <v>0</v>
      </c>
      <c r="K400" s="398">
        <v>0</v>
      </c>
      <c r="L400" s="398">
        <v>0</v>
      </c>
      <c r="M400" s="398">
        <v>0</v>
      </c>
      <c r="N400" s="703">
        <f>L400*(1+N406)</f>
        <v>0</v>
      </c>
      <c r="O400" s="29">
        <f>N400*(1+O406)</f>
        <v>0</v>
      </c>
      <c r="P400" s="29">
        <f t="shared" ref="P400:P404" si="889">O400*(1+P406)</f>
        <v>0</v>
      </c>
      <c r="Q400" s="29">
        <f t="shared" ref="Q400:Q404" si="890">P400*(1+Q406)</f>
        <v>0</v>
      </c>
      <c r="R400" s="29">
        <f t="shared" ref="R400:R404" si="891">Q400*(1+R406)</f>
        <v>0</v>
      </c>
      <c r="S400" s="30">
        <f t="shared" ref="S400:S404" si="892">R400*(1+S406)</f>
        <v>0</v>
      </c>
      <c r="T400" s="1321"/>
      <c r="U400" s="1515"/>
      <c r="V400" s="1515"/>
      <c r="W400" s="1515"/>
      <c r="X400" s="1515"/>
      <c r="Y400" s="1515"/>
      <c r="Z400" s="1515"/>
      <c r="AA400" s="1515"/>
      <c r="AB400" s="1321"/>
      <c r="AC400" s="1"/>
      <c r="AD400" s="1"/>
      <c r="AE400" s="1"/>
      <c r="AF400" s="1"/>
      <c r="AG400" s="1"/>
      <c r="AH400" s="1"/>
      <c r="AI400" s="415"/>
      <c r="AJ400" s="1321"/>
      <c r="AK400" s="1515"/>
      <c r="AL400" s="1515"/>
      <c r="AM400" s="1515"/>
      <c r="AN400" s="1515"/>
      <c r="AO400" s="1515"/>
      <c r="AP400" s="1515"/>
      <c r="AQ400" s="1515"/>
    </row>
    <row r="401" spans="1:43" ht="14.5" outlineLevel="2">
      <c r="C401" s="1"/>
      <c r="D401" s="31" t="s">
        <v>842</v>
      </c>
      <c r="E401" s="1"/>
      <c r="F401" s="1"/>
      <c r="G401" s="1"/>
      <c r="H401" s="115"/>
      <c r="I401" s="115"/>
      <c r="J401" s="400">
        <v>0</v>
      </c>
      <c r="K401" s="400">
        <v>0</v>
      </c>
      <c r="L401" s="400">
        <v>0</v>
      </c>
      <c r="M401" s="400">
        <v>0</v>
      </c>
      <c r="N401" s="704">
        <f t="shared" ref="N401:N404" si="893">L401*(1+N407)</f>
        <v>0</v>
      </c>
      <c r="O401" s="20">
        <f t="shared" ref="O401:O404" si="894">N401*(1+O407)</f>
        <v>0</v>
      </c>
      <c r="P401" s="20">
        <f t="shared" si="889"/>
        <v>0</v>
      </c>
      <c r="Q401" s="20">
        <f t="shared" si="890"/>
        <v>0</v>
      </c>
      <c r="R401" s="20">
        <f t="shared" si="891"/>
        <v>0</v>
      </c>
      <c r="S401" s="32">
        <f t="shared" si="892"/>
        <v>0</v>
      </c>
      <c r="T401" s="1321"/>
      <c r="U401" s="1515"/>
      <c r="V401" s="1515"/>
      <c r="W401" s="1515"/>
      <c r="X401" s="1515"/>
      <c r="Y401" s="1515"/>
      <c r="Z401" s="1515"/>
      <c r="AA401" s="1515"/>
      <c r="AB401" s="1321"/>
      <c r="AC401" s="1"/>
      <c r="AD401" s="1"/>
      <c r="AE401" s="1"/>
      <c r="AF401" s="1"/>
      <c r="AG401" s="1"/>
      <c r="AH401" s="1"/>
      <c r="AI401" s="415"/>
      <c r="AJ401" s="1321"/>
      <c r="AK401" s="1515"/>
      <c r="AL401" s="1515"/>
      <c r="AM401" s="1515"/>
      <c r="AN401" s="1515"/>
      <c r="AO401" s="1515"/>
      <c r="AP401" s="1515"/>
      <c r="AQ401" s="1515"/>
    </row>
    <row r="402" spans="1:43" ht="14.5" outlineLevel="2">
      <c r="C402" s="1"/>
      <c r="D402" s="31" t="s">
        <v>843</v>
      </c>
      <c r="E402" s="1"/>
      <c r="F402" s="1"/>
      <c r="G402" s="1"/>
      <c r="H402" s="115"/>
      <c r="I402" s="115"/>
      <c r="J402" s="400">
        <v>13287</v>
      </c>
      <c r="K402" s="400">
        <v>5004</v>
      </c>
      <c r="L402" s="400">
        <v>5099.9790000000003</v>
      </c>
      <c r="M402" s="400">
        <v>733.66200000000003</v>
      </c>
      <c r="N402" s="704">
        <f t="shared" si="893"/>
        <v>1529.9937000000002</v>
      </c>
      <c r="O402" s="20">
        <f t="shared" si="894"/>
        <v>1529.9937000000002</v>
      </c>
      <c r="P402" s="20">
        <f t="shared" si="889"/>
        <v>1529.9937000000002</v>
      </c>
      <c r="Q402" s="20">
        <f t="shared" si="890"/>
        <v>1529.9937000000002</v>
      </c>
      <c r="R402" s="20">
        <f t="shared" si="891"/>
        <v>1529.9937000000002</v>
      </c>
      <c r="S402" s="32">
        <f t="shared" si="892"/>
        <v>1529.9937000000002</v>
      </c>
      <c r="T402" s="1321"/>
      <c r="U402" s="1515"/>
      <c r="V402" s="1515"/>
      <c r="W402" s="1515"/>
      <c r="X402" s="1515"/>
      <c r="Y402" s="1515"/>
      <c r="Z402" s="1515"/>
      <c r="AA402" s="1515"/>
      <c r="AB402" s="1321"/>
      <c r="AC402" s="1"/>
      <c r="AD402" s="1"/>
      <c r="AE402" s="1"/>
      <c r="AF402" s="1"/>
      <c r="AG402" s="1"/>
      <c r="AH402" s="1"/>
      <c r="AI402" s="415"/>
      <c r="AJ402" s="1321"/>
      <c r="AK402" s="1515"/>
      <c r="AL402" s="1515"/>
      <c r="AM402" s="1515"/>
      <c r="AN402" s="1515"/>
      <c r="AO402" s="1515"/>
      <c r="AP402" s="1515"/>
      <c r="AQ402" s="1515"/>
    </row>
    <row r="403" spans="1:43" ht="14.5" outlineLevel="2">
      <c r="C403" s="1"/>
      <c r="D403" s="31" t="s">
        <v>844</v>
      </c>
      <c r="E403" s="1"/>
      <c r="F403" s="1"/>
      <c r="G403" s="1"/>
      <c r="H403" s="115"/>
      <c r="I403" s="115"/>
      <c r="J403" s="400">
        <v>1436</v>
      </c>
      <c r="K403" s="400">
        <v>974</v>
      </c>
      <c r="L403" s="400">
        <v>973.51300000000003</v>
      </c>
      <c r="M403" s="400">
        <v>54.316000000000003</v>
      </c>
      <c r="N403" s="704">
        <f t="shared" si="893"/>
        <v>97.351299999999981</v>
      </c>
      <c r="O403" s="20">
        <f t="shared" si="894"/>
        <v>97.351299999999981</v>
      </c>
      <c r="P403" s="20">
        <f t="shared" si="889"/>
        <v>97.351299999999981</v>
      </c>
      <c r="Q403" s="20">
        <f t="shared" si="890"/>
        <v>97.351299999999981</v>
      </c>
      <c r="R403" s="20">
        <f t="shared" si="891"/>
        <v>97.351299999999981</v>
      </c>
      <c r="S403" s="32">
        <f t="shared" si="892"/>
        <v>97.351299999999981</v>
      </c>
      <c r="T403" s="1321"/>
      <c r="U403" s="1515"/>
      <c r="V403" s="1515"/>
      <c r="W403" s="1515"/>
      <c r="X403" s="1515"/>
      <c r="Y403" s="1515"/>
      <c r="Z403" s="1515"/>
      <c r="AA403" s="1515"/>
      <c r="AB403" s="1321"/>
      <c r="AC403" s="1"/>
      <c r="AD403" s="1"/>
      <c r="AE403" s="1"/>
      <c r="AF403" s="1"/>
      <c r="AG403" s="1"/>
      <c r="AH403" s="1"/>
      <c r="AI403" s="415"/>
      <c r="AJ403" s="1321"/>
      <c r="AK403" s="1515"/>
      <c r="AL403" s="1515"/>
      <c r="AM403" s="1515"/>
      <c r="AN403" s="1515"/>
      <c r="AO403" s="1515"/>
      <c r="AP403" s="1515"/>
      <c r="AQ403" s="1515"/>
    </row>
    <row r="404" spans="1:43" ht="14.5" outlineLevel="2">
      <c r="C404" s="1"/>
      <c r="D404" s="33" t="s">
        <v>665</v>
      </c>
      <c r="E404" s="34"/>
      <c r="F404" s="34"/>
      <c r="G404" s="34"/>
      <c r="H404" s="116"/>
      <c r="I404" s="116"/>
      <c r="J404" s="402">
        <v>2280</v>
      </c>
      <c r="K404" s="402">
        <v>22</v>
      </c>
      <c r="L404" s="402">
        <v>21.935999999999694</v>
      </c>
      <c r="M404" s="402">
        <v>65.817999999999984</v>
      </c>
      <c r="N404" s="705">
        <f t="shared" si="893"/>
        <v>27.419999999999618</v>
      </c>
      <c r="O404" s="35">
        <f t="shared" si="894"/>
        <v>27.419999999999618</v>
      </c>
      <c r="P404" s="35">
        <f t="shared" si="889"/>
        <v>27.419999999999618</v>
      </c>
      <c r="Q404" s="35">
        <f t="shared" si="890"/>
        <v>27.419999999999618</v>
      </c>
      <c r="R404" s="35">
        <f t="shared" si="891"/>
        <v>27.419999999999618</v>
      </c>
      <c r="S404" s="36">
        <f t="shared" si="892"/>
        <v>27.419999999999618</v>
      </c>
      <c r="T404" s="1321"/>
      <c r="U404" s="1515"/>
      <c r="V404" s="1515"/>
      <c r="W404" s="1515"/>
      <c r="X404" s="1515"/>
      <c r="Y404" s="1515"/>
      <c r="Z404" s="1515"/>
      <c r="AA404" s="1515"/>
      <c r="AB404" s="1321"/>
      <c r="AC404" s="448"/>
      <c r="AD404" s="448"/>
      <c r="AE404" s="448"/>
      <c r="AF404" s="448"/>
      <c r="AG404" s="448"/>
      <c r="AH404" s="448"/>
      <c r="AI404" s="415"/>
      <c r="AJ404" s="1321"/>
      <c r="AK404" s="1515"/>
      <c r="AL404" s="1515"/>
      <c r="AM404" s="1515"/>
      <c r="AN404" s="1515"/>
      <c r="AO404" s="1515"/>
      <c r="AP404" s="1515"/>
      <c r="AQ404" s="1515"/>
    </row>
    <row r="405" spans="1:43" s="1365" customFormat="1" ht="14.5" outlineLevel="3">
      <c r="A405" s="22"/>
      <c r="B405" s="22"/>
      <c r="C405" s="22" t="s">
        <v>847</v>
      </c>
      <c r="D405" s="22"/>
      <c r="E405" s="22"/>
      <c r="F405" s="22"/>
      <c r="G405" s="22"/>
      <c r="H405" s="219"/>
      <c r="I405" s="24"/>
      <c r="J405" s="24"/>
      <c r="K405" s="24"/>
      <c r="L405" s="754">
        <f>L399/J399-1</f>
        <v>-0.64150867493971653</v>
      </c>
      <c r="M405" s="24"/>
      <c r="N405" s="24">
        <f>N399/L399-1</f>
        <v>-0.72852357537485468</v>
      </c>
      <c r="O405" s="24">
        <f>O399/N399-1</f>
        <v>0</v>
      </c>
      <c r="P405" s="24">
        <f t="shared" ref="P405" si="895">P399/O399-1</f>
        <v>0</v>
      </c>
      <c r="Q405" s="24">
        <f t="shared" ref="Q405" si="896">Q399/P399-1</f>
        <v>0</v>
      </c>
      <c r="R405" s="24">
        <f t="shared" ref="R405" si="897">R399/Q399-1</f>
        <v>0</v>
      </c>
      <c r="S405" s="24">
        <f t="shared" ref="S405" si="898">S399/R399-1</f>
        <v>0</v>
      </c>
      <c r="T405" s="726"/>
      <c r="U405" s="1521"/>
      <c r="V405" s="1521"/>
      <c r="W405" s="1521"/>
      <c r="X405" s="1521"/>
      <c r="Y405" s="1521"/>
      <c r="Z405" s="1521"/>
      <c r="AA405" s="1522"/>
      <c r="AC405" s="219"/>
      <c r="AD405" s="219"/>
      <c r="AE405" s="219"/>
      <c r="AF405" s="219"/>
      <c r="AG405" s="219"/>
      <c r="AH405" s="219"/>
      <c r="AI405" s="706"/>
      <c r="AK405" s="1521"/>
      <c r="AL405" s="1521"/>
      <c r="AM405" s="1521"/>
      <c r="AN405" s="1521"/>
      <c r="AO405" s="1521"/>
      <c r="AP405" s="1521"/>
      <c r="AQ405" s="1522"/>
    </row>
    <row r="406" spans="1:43" s="1365" customFormat="1" ht="14.5" outlineLevel="3">
      <c r="A406" s="22"/>
      <c r="B406" s="22"/>
      <c r="C406" s="22"/>
      <c r="D406" s="707" t="s">
        <v>841</v>
      </c>
      <c r="E406" s="708"/>
      <c r="F406" s="708"/>
      <c r="G406" s="708"/>
      <c r="H406" s="709"/>
      <c r="I406" s="710"/>
      <c r="J406" s="710"/>
      <c r="K406" s="710"/>
      <c r="L406" s="1040" t="str">
        <f t="shared" ref="L406" si="899">IFERROR(L400/J400-1,"NA")</f>
        <v>NA</v>
      </c>
      <c r="M406" s="710"/>
      <c r="N406" s="711">
        <f t="shared" ref="N406:N410" si="900">CHOOSE(case,U406,AC406,AK406)</f>
        <v>0</v>
      </c>
      <c r="O406" s="712">
        <f t="shared" ref="O406:O410" si="901">CHOOSE(case,V406,AD406,AL406)</f>
        <v>0</v>
      </c>
      <c r="P406" s="712">
        <f t="shared" ref="P406:P410" si="902">CHOOSE(case,W406,AE406,AM406)</f>
        <v>0</v>
      </c>
      <c r="Q406" s="712">
        <f t="shared" ref="Q406:Q410" si="903">CHOOSE(case,X406,AF406,AN406)</f>
        <v>0</v>
      </c>
      <c r="R406" s="712">
        <f t="shared" ref="R406:R410" si="904">CHOOSE(case,Y406,AG406,AO406)</f>
        <v>0</v>
      </c>
      <c r="S406" s="713">
        <f t="shared" ref="S406:S410" si="905">CHOOSE(case,Z406,AH406,AP406)</f>
        <v>0</v>
      </c>
      <c r="T406" s="726"/>
      <c r="U406" s="1521"/>
      <c r="V406" s="1521"/>
      <c r="W406" s="1521"/>
      <c r="X406" s="1521"/>
      <c r="Y406" s="1521"/>
      <c r="Z406" s="1521"/>
      <c r="AA406" s="1523"/>
      <c r="AC406" s="714"/>
      <c r="AD406" s="714"/>
      <c r="AE406" s="714"/>
      <c r="AF406" s="714"/>
      <c r="AG406" s="714"/>
      <c r="AH406" s="714"/>
      <c r="AI406" s="22"/>
      <c r="AK406" s="1521"/>
      <c r="AL406" s="1521"/>
      <c r="AM406" s="1521"/>
      <c r="AN406" s="1521"/>
      <c r="AO406" s="1521"/>
      <c r="AP406" s="1521"/>
      <c r="AQ406" s="1523"/>
    </row>
    <row r="407" spans="1:43" s="1365" customFormat="1" ht="14.5" outlineLevel="3">
      <c r="A407" s="22"/>
      <c r="B407" s="22"/>
      <c r="C407" s="22"/>
      <c r="D407" s="715" t="s">
        <v>842</v>
      </c>
      <c r="E407" s="22"/>
      <c r="F407" s="22"/>
      <c r="G407" s="22"/>
      <c r="H407" s="219"/>
      <c r="I407" s="175"/>
      <c r="J407" s="175"/>
      <c r="K407" s="175"/>
      <c r="L407" s="1040" t="str">
        <f>IFERROR(L401/J401-1,"NA")</f>
        <v>NA</v>
      </c>
      <c r="M407" s="175"/>
      <c r="N407" s="716">
        <f t="shared" si="900"/>
        <v>0</v>
      </c>
      <c r="O407" s="717">
        <f t="shared" si="901"/>
        <v>0</v>
      </c>
      <c r="P407" s="717">
        <f t="shared" si="902"/>
        <v>0</v>
      </c>
      <c r="Q407" s="717">
        <f t="shared" si="903"/>
        <v>0</v>
      </c>
      <c r="R407" s="717">
        <f t="shared" si="904"/>
        <v>0</v>
      </c>
      <c r="S407" s="718">
        <f t="shared" si="905"/>
        <v>0</v>
      </c>
      <c r="T407" s="726"/>
      <c r="U407" s="1521"/>
      <c r="V407" s="1521"/>
      <c r="W407" s="1521"/>
      <c r="X407" s="1521"/>
      <c r="Y407" s="1521"/>
      <c r="Z407" s="1521"/>
      <c r="AA407" s="1523"/>
      <c r="AC407" s="714"/>
      <c r="AD407" s="714"/>
      <c r="AE407" s="714"/>
      <c r="AF407" s="714"/>
      <c r="AG407" s="714"/>
      <c r="AH407" s="714"/>
      <c r="AI407" s="22"/>
      <c r="AK407" s="1521"/>
      <c r="AL407" s="1521"/>
      <c r="AM407" s="1521"/>
      <c r="AN407" s="1521"/>
      <c r="AO407" s="1521"/>
      <c r="AP407" s="1521"/>
      <c r="AQ407" s="1523"/>
    </row>
    <row r="408" spans="1:43" s="1365" customFormat="1" ht="14.5" outlineLevel="3">
      <c r="A408" s="22"/>
      <c r="B408" s="22"/>
      <c r="C408" s="22"/>
      <c r="D408" s="715" t="s">
        <v>843</v>
      </c>
      <c r="E408" s="22"/>
      <c r="F408" s="22"/>
      <c r="G408" s="22"/>
      <c r="H408" s="219"/>
      <c r="I408" s="175"/>
      <c r="J408" s="175"/>
      <c r="K408" s="175"/>
      <c r="L408" s="1040">
        <f t="shared" ref="L408:L410" si="906">IFERROR(L402/J402-1,"NA")</f>
        <v>-0.6161677579589071</v>
      </c>
      <c r="M408" s="175"/>
      <c r="N408" s="716">
        <f t="shared" si="900"/>
        <v>-0.7</v>
      </c>
      <c r="O408" s="717">
        <f t="shared" si="901"/>
        <v>0</v>
      </c>
      <c r="P408" s="717">
        <f t="shared" si="902"/>
        <v>0</v>
      </c>
      <c r="Q408" s="717">
        <f t="shared" si="903"/>
        <v>0</v>
      </c>
      <c r="R408" s="717">
        <f t="shared" si="904"/>
        <v>0</v>
      </c>
      <c r="S408" s="718">
        <f t="shared" si="905"/>
        <v>0</v>
      </c>
      <c r="T408" s="726"/>
      <c r="U408" s="1521"/>
      <c r="V408" s="1521"/>
      <c r="W408" s="1521"/>
      <c r="X408" s="1521"/>
      <c r="Y408" s="1521"/>
      <c r="Z408" s="1521"/>
      <c r="AA408" s="1523"/>
      <c r="AC408" s="714">
        <v>-0.7</v>
      </c>
      <c r="AD408" s="714">
        <v>0</v>
      </c>
      <c r="AE408" s="714">
        <v>0</v>
      </c>
      <c r="AF408" s="714">
        <v>0</v>
      </c>
      <c r="AG408" s="714">
        <v>0</v>
      </c>
      <c r="AH408" s="714">
        <v>0</v>
      </c>
      <c r="AI408" s="22"/>
      <c r="AK408" s="1521"/>
      <c r="AL408" s="1521"/>
      <c r="AM408" s="1521"/>
      <c r="AN408" s="1521"/>
      <c r="AO408" s="1521"/>
      <c r="AP408" s="1521"/>
      <c r="AQ408" s="1523"/>
    </row>
    <row r="409" spans="1:43" s="1365" customFormat="1" ht="14.5" outlineLevel="3">
      <c r="A409" s="22"/>
      <c r="B409" s="22"/>
      <c r="C409" s="22"/>
      <c r="D409" s="715" t="s">
        <v>844</v>
      </c>
      <c r="E409" s="22"/>
      <c r="F409" s="22"/>
      <c r="G409" s="22"/>
      <c r="H409" s="219"/>
      <c r="I409" s="175"/>
      <c r="J409" s="175"/>
      <c r="K409" s="175"/>
      <c r="L409" s="1040">
        <f t="shared" si="906"/>
        <v>-0.32206615598885791</v>
      </c>
      <c r="M409" s="175"/>
      <c r="N409" s="716">
        <f t="shared" si="900"/>
        <v>-0.9</v>
      </c>
      <c r="O409" s="717">
        <f t="shared" si="901"/>
        <v>0</v>
      </c>
      <c r="P409" s="717">
        <f t="shared" si="902"/>
        <v>0</v>
      </c>
      <c r="Q409" s="717">
        <f t="shared" si="903"/>
        <v>0</v>
      </c>
      <c r="R409" s="717">
        <f t="shared" si="904"/>
        <v>0</v>
      </c>
      <c r="S409" s="718">
        <f t="shared" si="905"/>
        <v>0</v>
      </c>
      <c r="T409" s="726"/>
      <c r="U409" s="1521"/>
      <c r="V409" s="1521"/>
      <c r="W409" s="1521"/>
      <c r="X409" s="1521"/>
      <c r="Y409" s="1521"/>
      <c r="Z409" s="1521"/>
      <c r="AA409" s="1523"/>
      <c r="AC409" s="714">
        <v>-0.9</v>
      </c>
      <c r="AD409" s="714">
        <v>0</v>
      </c>
      <c r="AE409" s="714">
        <v>0</v>
      </c>
      <c r="AF409" s="714">
        <v>0</v>
      </c>
      <c r="AG409" s="714">
        <v>0</v>
      </c>
      <c r="AH409" s="714">
        <v>0</v>
      </c>
      <c r="AI409" s="22"/>
      <c r="AK409" s="1521"/>
      <c r="AL409" s="1521"/>
      <c r="AM409" s="1521"/>
      <c r="AN409" s="1521"/>
      <c r="AO409" s="1521"/>
      <c r="AP409" s="1521"/>
      <c r="AQ409" s="1523"/>
    </row>
    <row r="410" spans="1:43" s="1365" customFormat="1" ht="14.5" outlineLevel="3">
      <c r="A410" s="22"/>
      <c r="B410" s="22"/>
      <c r="C410" s="22"/>
      <c r="D410" s="719" t="s">
        <v>665</v>
      </c>
      <c r="E410" s="720"/>
      <c r="F410" s="720"/>
      <c r="G410" s="720"/>
      <c r="H410" s="721"/>
      <c r="I410" s="722"/>
      <c r="J410" s="722"/>
      <c r="K410" s="722"/>
      <c r="L410" s="1041">
        <f t="shared" si="906"/>
        <v>-0.99037894736842114</v>
      </c>
      <c r="M410" s="722"/>
      <c r="N410" s="723">
        <f t="shared" si="900"/>
        <v>0.25</v>
      </c>
      <c r="O410" s="724">
        <f t="shared" si="901"/>
        <v>0</v>
      </c>
      <c r="P410" s="724">
        <f t="shared" si="902"/>
        <v>0</v>
      </c>
      <c r="Q410" s="724">
        <f t="shared" si="903"/>
        <v>0</v>
      </c>
      <c r="R410" s="724">
        <f t="shared" si="904"/>
        <v>0</v>
      </c>
      <c r="S410" s="725">
        <f t="shared" si="905"/>
        <v>0</v>
      </c>
      <c r="T410" s="726"/>
      <c r="U410" s="1521"/>
      <c r="V410" s="1521"/>
      <c r="W410" s="1521"/>
      <c r="X410" s="1521"/>
      <c r="Y410" s="1521"/>
      <c r="Z410" s="1521"/>
      <c r="AA410" s="1523"/>
      <c r="AC410" s="714">
        <v>0.25</v>
      </c>
      <c r="AD410" s="714">
        <v>0</v>
      </c>
      <c r="AE410" s="714">
        <v>0</v>
      </c>
      <c r="AF410" s="714">
        <v>0</v>
      </c>
      <c r="AG410" s="714">
        <v>0</v>
      </c>
      <c r="AH410" s="714">
        <v>0</v>
      </c>
      <c r="AI410" s="22"/>
      <c r="AK410" s="1521"/>
      <c r="AL410" s="1521"/>
      <c r="AM410" s="1521"/>
      <c r="AN410" s="1521"/>
      <c r="AO410" s="1521"/>
      <c r="AP410" s="1521"/>
      <c r="AQ410" s="1523"/>
    </row>
    <row r="411" spans="1:43" s="1365" customFormat="1" ht="14.5" outlineLevel="3">
      <c r="A411" s="22"/>
      <c r="B411" s="22"/>
      <c r="C411" s="22" t="s">
        <v>848</v>
      </c>
      <c r="D411" s="22"/>
      <c r="E411" s="22"/>
      <c r="F411" s="22"/>
      <c r="G411" s="22"/>
      <c r="H411" s="24"/>
      <c r="I411" s="24"/>
      <c r="J411" s="24">
        <f>J399/J$399</f>
        <v>1</v>
      </c>
      <c r="K411" s="24">
        <f t="shared" ref="K411:S411" si="907">K399/K$399</f>
        <v>1</v>
      </c>
      <c r="L411" s="24">
        <f t="shared" si="907"/>
        <v>1</v>
      </c>
      <c r="M411" s="24">
        <f t="shared" si="907"/>
        <v>1</v>
      </c>
      <c r="N411" s="24">
        <f t="shared" si="907"/>
        <v>1</v>
      </c>
      <c r="O411" s="24">
        <f t="shared" si="907"/>
        <v>1</v>
      </c>
      <c r="P411" s="24">
        <f t="shared" si="907"/>
        <v>1</v>
      </c>
      <c r="Q411" s="24">
        <f t="shared" si="907"/>
        <v>1</v>
      </c>
      <c r="R411" s="24">
        <f t="shared" si="907"/>
        <v>1</v>
      </c>
      <c r="S411" s="24">
        <f t="shared" si="907"/>
        <v>1</v>
      </c>
      <c r="T411" s="726"/>
      <c r="U411" s="1521"/>
      <c r="V411" s="1521"/>
      <c r="W411" s="1521"/>
      <c r="X411" s="1521"/>
      <c r="Y411" s="1521"/>
      <c r="Z411" s="1521"/>
      <c r="AA411" s="1522"/>
      <c r="AC411" s="219"/>
      <c r="AD411" s="219"/>
      <c r="AE411" s="219"/>
      <c r="AF411" s="219"/>
      <c r="AG411" s="219"/>
      <c r="AH411" s="219"/>
      <c r="AI411" s="706"/>
      <c r="AK411" s="1521"/>
      <c r="AL411" s="1521"/>
      <c r="AM411" s="1521"/>
      <c r="AN411" s="1521"/>
      <c r="AO411" s="1521"/>
      <c r="AP411" s="1521"/>
      <c r="AQ411" s="1522"/>
    </row>
    <row r="412" spans="1:43" s="1365" customFormat="1" ht="14.5" outlineLevel="3">
      <c r="A412" s="22"/>
      <c r="B412" s="22"/>
      <c r="C412" s="22"/>
      <c r="D412" s="707" t="s">
        <v>841</v>
      </c>
      <c r="E412" s="708"/>
      <c r="F412" s="708"/>
      <c r="G412" s="708"/>
      <c r="H412" s="793"/>
      <c r="I412" s="793"/>
      <c r="J412" s="793">
        <f t="shared" ref="J412:S416" si="908">J400/J$399</f>
        <v>0</v>
      </c>
      <c r="K412" s="793">
        <f t="shared" si="908"/>
        <v>0</v>
      </c>
      <c r="L412" s="793">
        <f t="shared" si="908"/>
        <v>0</v>
      </c>
      <c r="M412" s="793">
        <f t="shared" si="908"/>
        <v>0</v>
      </c>
      <c r="N412" s="793">
        <f t="shared" si="908"/>
        <v>0</v>
      </c>
      <c r="O412" s="793">
        <f t="shared" si="908"/>
        <v>0</v>
      </c>
      <c r="P412" s="793">
        <f t="shared" si="908"/>
        <v>0</v>
      </c>
      <c r="Q412" s="793">
        <f t="shared" si="908"/>
        <v>0</v>
      </c>
      <c r="R412" s="793">
        <f t="shared" si="908"/>
        <v>0</v>
      </c>
      <c r="S412" s="803">
        <f t="shared" si="908"/>
        <v>0</v>
      </c>
      <c r="T412" s="726"/>
      <c r="U412" s="1521"/>
      <c r="V412" s="1521"/>
      <c r="W412" s="1521"/>
      <c r="X412" s="1521"/>
      <c r="Y412" s="1521"/>
      <c r="Z412" s="1521"/>
      <c r="AA412" s="1523"/>
      <c r="AC412" s="728"/>
      <c r="AD412" s="728"/>
      <c r="AE412" s="728"/>
      <c r="AF412" s="728"/>
      <c r="AG412" s="728"/>
      <c r="AH412" s="728"/>
      <c r="AI412" s="22"/>
      <c r="AK412" s="1521"/>
      <c r="AL412" s="1521"/>
      <c r="AM412" s="1521"/>
      <c r="AN412" s="1521"/>
      <c r="AO412" s="1521"/>
      <c r="AP412" s="1521"/>
      <c r="AQ412" s="1523"/>
    </row>
    <row r="413" spans="1:43" s="1365" customFormat="1" ht="14.5" outlineLevel="3">
      <c r="A413" s="22"/>
      <c r="B413" s="22"/>
      <c r="C413" s="22"/>
      <c r="D413" s="715" t="s">
        <v>842</v>
      </c>
      <c r="E413" s="22"/>
      <c r="F413" s="22"/>
      <c r="G413" s="22"/>
      <c r="H413" s="91"/>
      <c r="I413" s="91"/>
      <c r="J413" s="91">
        <f t="shared" si="908"/>
        <v>0</v>
      </c>
      <c r="K413" s="91">
        <f t="shared" si="908"/>
        <v>0</v>
      </c>
      <c r="L413" s="91">
        <f t="shared" si="908"/>
        <v>0</v>
      </c>
      <c r="M413" s="91">
        <f t="shared" si="908"/>
        <v>0</v>
      </c>
      <c r="N413" s="91">
        <f t="shared" si="908"/>
        <v>0</v>
      </c>
      <c r="O413" s="91">
        <f t="shared" si="908"/>
        <v>0</v>
      </c>
      <c r="P413" s="91">
        <f t="shared" si="908"/>
        <v>0</v>
      </c>
      <c r="Q413" s="91">
        <f t="shared" si="908"/>
        <v>0</v>
      </c>
      <c r="R413" s="91">
        <f t="shared" si="908"/>
        <v>0</v>
      </c>
      <c r="S413" s="804">
        <f t="shared" si="908"/>
        <v>0</v>
      </c>
      <c r="T413" s="726"/>
      <c r="U413" s="1521"/>
      <c r="V413" s="1521"/>
      <c r="W413" s="1521"/>
      <c r="X413" s="1521"/>
      <c r="Y413" s="1521"/>
      <c r="Z413" s="1521"/>
      <c r="AA413" s="1523"/>
      <c r="AC413" s="728"/>
      <c r="AD413" s="728"/>
      <c r="AE413" s="728"/>
      <c r="AF413" s="728"/>
      <c r="AG413" s="728"/>
      <c r="AH413" s="728"/>
      <c r="AI413" s="22"/>
      <c r="AK413" s="1521"/>
      <c r="AL413" s="1521"/>
      <c r="AM413" s="1521"/>
      <c r="AN413" s="1521"/>
      <c r="AO413" s="1521"/>
      <c r="AP413" s="1521"/>
      <c r="AQ413" s="1523"/>
    </row>
    <row r="414" spans="1:43" s="1365" customFormat="1" ht="14.5" outlineLevel="3">
      <c r="A414" s="22"/>
      <c r="B414" s="22"/>
      <c r="C414" s="22"/>
      <c r="D414" s="715" t="s">
        <v>843</v>
      </c>
      <c r="E414" s="22"/>
      <c r="F414" s="22"/>
      <c r="G414" s="22"/>
      <c r="H414" s="91"/>
      <c r="I414" s="91"/>
      <c r="J414" s="91">
        <f t="shared" si="908"/>
        <v>0.78145033229430105</v>
      </c>
      <c r="K414" s="91">
        <f t="shared" si="908"/>
        <v>0.83399999999999996</v>
      </c>
      <c r="L414" s="91">
        <f t="shared" si="908"/>
        <v>0.83668923658847261</v>
      </c>
      <c r="M414" s="91">
        <f t="shared" si="908"/>
        <v>0.85929425764468326</v>
      </c>
      <c r="N414" s="91">
        <f t="shared" si="908"/>
        <v>0.92459877988717454</v>
      </c>
      <c r="O414" s="91">
        <f t="shared" si="908"/>
        <v>0.92459877988717454</v>
      </c>
      <c r="P414" s="91">
        <f t="shared" si="908"/>
        <v>0.92459877988717454</v>
      </c>
      <c r="Q414" s="91">
        <f t="shared" si="908"/>
        <v>0.92459877988717454</v>
      </c>
      <c r="R414" s="91">
        <f t="shared" si="908"/>
        <v>0.92459877988717454</v>
      </c>
      <c r="S414" s="804">
        <f t="shared" si="908"/>
        <v>0.92459877988717454</v>
      </c>
      <c r="T414" s="726"/>
      <c r="U414" s="1521"/>
      <c r="V414" s="1521"/>
      <c r="W414" s="1521"/>
      <c r="X414" s="1521"/>
      <c r="Y414" s="1521"/>
      <c r="Z414" s="1521"/>
      <c r="AA414" s="1523"/>
      <c r="AC414" s="728"/>
      <c r="AD414" s="728"/>
      <c r="AE414" s="728"/>
      <c r="AF414" s="728"/>
      <c r="AG414" s="728"/>
      <c r="AH414" s="728"/>
      <c r="AI414" s="22"/>
      <c r="AK414" s="1521"/>
      <c r="AL414" s="1521"/>
      <c r="AM414" s="1521"/>
      <c r="AN414" s="1521"/>
      <c r="AO414" s="1521"/>
      <c r="AP414" s="1521"/>
      <c r="AQ414" s="1523"/>
    </row>
    <row r="415" spans="1:43" s="1365" customFormat="1" ht="14.5" outlineLevel="3">
      <c r="A415" s="22"/>
      <c r="B415" s="22"/>
      <c r="C415" s="22"/>
      <c r="D415" s="715" t="s">
        <v>844</v>
      </c>
      <c r="E415" s="22"/>
      <c r="F415" s="22"/>
      <c r="G415" s="22"/>
      <c r="H415" s="91"/>
      <c r="I415" s="91"/>
      <c r="J415" s="91">
        <f t="shared" si="908"/>
        <v>8.4455684291007471E-2</v>
      </c>
      <c r="K415" s="91">
        <f t="shared" si="908"/>
        <v>0.16233333333333333</v>
      </c>
      <c r="L415" s="91">
        <f t="shared" si="908"/>
        <v>0.15971200053548332</v>
      </c>
      <c r="M415" s="91">
        <f t="shared" si="908"/>
        <v>6.3617070119794422E-2</v>
      </c>
      <c r="N415" s="91">
        <f t="shared" si="908"/>
        <v>5.8830891395454936E-2</v>
      </c>
      <c r="O415" s="91">
        <f t="shared" si="908"/>
        <v>5.8830891395454936E-2</v>
      </c>
      <c r="P415" s="91">
        <f t="shared" si="908"/>
        <v>5.8830891395454936E-2</v>
      </c>
      <c r="Q415" s="91">
        <f t="shared" si="908"/>
        <v>5.8830891395454936E-2</v>
      </c>
      <c r="R415" s="91">
        <f t="shared" si="908"/>
        <v>5.8830891395454936E-2</v>
      </c>
      <c r="S415" s="804">
        <f t="shared" si="908"/>
        <v>5.8830891395454936E-2</v>
      </c>
      <c r="T415" s="726"/>
      <c r="U415" s="1521"/>
      <c r="V415" s="1521"/>
      <c r="W415" s="1521"/>
      <c r="X415" s="1521"/>
      <c r="Y415" s="1521"/>
      <c r="Z415" s="1521"/>
      <c r="AA415" s="1523"/>
      <c r="AC415" s="728"/>
      <c r="AD415" s="728"/>
      <c r="AE415" s="728"/>
      <c r="AF415" s="728"/>
      <c r="AG415" s="728"/>
      <c r="AH415" s="728"/>
      <c r="AI415" s="22"/>
      <c r="AK415" s="1521"/>
      <c r="AL415" s="1521"/>
      <c r="AM415" s="1521"/>
      <c r="AN415" s="1521"/>
      <c r="AO415" s="1521"/>
      <c r="AP415" s="1521"/>
      <c r="AQ415" s="1523"/>
    </row>
    <row r="416" spans="1:43" s="1365" customFormat="1" ht="14.5" outlineLevel="3">
      <c r="A416" s="22"/>
      <c r="B416" s="22"/>
      <c r="C416" s="22"/>
      <c r="D416" s="719" t="s">
        <v>665</v>
      </c>
      <c r="E416" s="720"/>
      <c r="F416" s="720"/>
      <c r="G416" s="720"/>
      <c r="H416" s="794"/>
      <c r="I416" s="794"/>
      <c r="J416" s="794">
        <f t="shared" si="908"/>
        <v>0.13409398341469153</v>
      </c>
      <c r="K416" s="794">
        <f t="shared" si="908"/>
        <v>3.6666666666666666E-3</v>
      </c>
      <c r="L416" s="794">
        <f t="shared" si="908"/>
        <v>3.5987628760440933E-3</v>
      </c>
      <c r="M416" s="794">
        <f t="shared" si="908"/>
        <v>7.7088672235522279E-2</v>
      </c>
      <c r="N416" s="794">
        <f t="shared" si="908"/>
        <v>1.6570328717370516E-2</v>
      </c>
      <c r="O416" s="794">
        <f t="shared" si="908"/>
        <v>1.6570328717370516E-2</v>
      </c>
      <c r="P416" s="794">
        <f t="shared" si="908"/>
        <v>1.6570328717370516E-2</v>
      </c>
      <c r="Q416" s="794">
        <f t="shared" si="908"/>
        <v>1.6570328717370516E-2</v>
      </c>
      <c r="R416" s="794">
        <f t="shared" si="908"/>
        <v>1.6570328717370516E-2</v>
      </c>
      <c r="S416" s="805">
        <f t="shared" si="908"/>
        <v>1.6570328717370516E-2</v>
      </c>
      <c r="T416" s="726"/>
      <c r="U416" s="1521"/>
      <c r="V416" s="1521"/>
      <c r="W416" s="1521"/>
      <c r="X416" s="1521"/>
      <c r="Y416" s="1521"/>
      <c r="Z416" s="1521"/>
      <c r="AA416" s="1523"/>
      <c r="AC416" s="728"/>
      <c r="AD416" s="728"/>
      <c r="AE416" s="728"/>
      <c r="AF416" s="728"/>
      <c r="AG416" s="728"/>
      <c r="AH416" s="728"/>
      <c r="AI416" s="22"/>
      <c r="AK416" s="1521"/>
      <c r="AL416" s="1521"/>
      <c r="AM416" s="1521"/>
      <c r="AN416" s="1521"/>
      <c r="AO416" s="1521"/>
      <c r="AP416" s="1521"/>
      <c r="AQ416" s="1523"/>
    </row>
    <row r="417" spans="3:43" ht="14.5" outlineLevel="2">
      <c r="C417" s="18" t="s">
        <v>31</v>
      </c>
      <c r="D417" s="1"/>
      <c r="E417" s="1"/>
      <c r="H417" s="764" t="str">
        <f>IFERROR(H423/H399,"NA")</f>
        <v>NA</v>
      </c>
      <c r="I417" s="764" t="str">
        <f t="shared" ref="I417:J417" si="909">IFERROR(I423/I399,"NA")</f>
        <v>NA</v>
      </c>
      <c r="J417" s="764">
        <f t="shared" si="909"/>
        <v>3.7945656648826676</v>
      </c>
      <c r="K417" s="764">
        <f t="shared" ref="K417:S417" si="910">IFERROR(K423/K399,"NA")</f>
        <v>3.9891666666666667</v>
      </c>
      <c r="L417" s="764">
        <f t="shared" si="910"/>
        <v>4.0247014474136531</v>
      </c>
      <c r="M417" s="764">
        <f t="shared" si="910"/>
        <v>2.6926867398632308</v>
      </c>
      <c r="N417" s="764">
        <f t="shared" si="910"/>
        <v>3.1353435247835022</v>
      </c>
      <c r="O417" s="764">
        <f t="shared" si="910"/>
        <v>3.1353435247835022</v>
      </c>
      <c r="P417" s="764">
        <f t="shared" si="910"/>
        <v>3.1353435247835022</v>
      </c>
      <c r="Q417" s="764">
        <f t="shared" si="910"/>
        <v>3.1353435247835022</v>
      </c>
      <c r="R417" s="764">
        <f t="shared" si="910"/>
        <v>3.1353435247835022</v>
      </c>
      <c r="S417" s="764">
        <f t="shared" si="910"/>
        <v>3.1353435247835022</v>
      </c>
      <c r="T417" s="1479"/>
      <c r="U417" s="1524">
        <f>$L417*(1+$AA417)</f>
        <v>4.1051954763619261</v>
      </c>
      <c r="V417" s="1524">
        <f>U417*(1+$AA417)</f>
        <v>4.1872993858891645</v>
      </c>
      <c r="W417" s="1524">
        <f t="shared" ref="W417" si="911">V417*(1+$AA417)</f>
        <v>4.271045373606948</v>
      </c>
      <c r="X417" s="1524">
        <f t="shared" ref="X417" si="912">W417*(1+$AA417)</f>
        <v>4.3564662810790873</v>
      </c>
      <c r="Y417" s="1524">
        <f t="shared" ref="Y417" si="913">X417*(1+$AA417)</f>
        <v>4.4435956067006694</v>
      </c>
      <c r="Z417" s="1524">
        <f t="shared" ref="Z417" si="914">Y417*(1+$AA417)</f>
        <v>4.5324675188346832</v>
      </c>
      <c r="AA417" s="1525">
        <v>0.02</v>
      </c>
      <c r="AB417" s="1126"/>
      <c r="AC417" s="733"/>
      <c r="AD417" s="733"/>
      <c r="AE417" s="733"/>
      <c r="AF417" s="733"/>
      <c r="AG417" s="733"/>
      <c r="AH417" s="733"/>
      <c r="AI417" s="472"/>
      <c r="AJ417" s="1321"/>
      <c r="AK417" s="1529">
        <f>$L417*(1+$AQ417)</f>
        <v>4.0247014474136531</v>
      </c>
      <c r="AL417" s="1529">
        <f>AK417*(1+$AQ417)</f>
        <v>4.0247014474136531</v>
      </c>
      <c r="AM417" s="1529">
        <f t="shared" ref="AM417:AN417" si="915">AL417*(1+$AQ417)</f>
        <v>4.0247014474136531</v>
      </c>
      <c r="AN417" s="1529">
        <f t="shared" si="915"/>
        <v>4.0247014474136531</v>
      </c>
      <c r="AO417" s="1529">
        <f>AN417*(1+$AQ417)</f>
        <v>4.0247014474136531</v>
      </c>
      <c r="AP417" s="1529">
        <f t="shared" ref="AP417" si="916">AO417*(1+$AQ417)</f>
        <v>4.0247014474136531</v>
      </c>
      <c r="AQ417" s="1520">
        <v>0</v>
      </c>
    </row>
    <row r="418" spans="3:43" ht="14.5" outlineLevel="2">
      <c r="C418" s="1"/>
      <c r="D418" s="27" t="s">
        <v>841</v>
      </c>
      <c r="E418" s="28"/>
      <c r="F418" s="28"/>
      <c r="G418" s="28"/>
      <c r="H418" s="759" t="str">
        <f>IFERROR(H424/H400,"NA")</f>
        <v>NA</v>
      </c>
      <c r="I418" s="759" t="str">
        <f t="shared" ref="I418:J418" si="917">IFERROR(I424/I400,"NA")</f>
        <v>NA</v>
      </c>
      <c r="J418" s="759" t="str">
        <f t="shared" si="917"/>
        <v>NA</v>
      </c>
      <c r="K418" s="759" t="str">
        <f t="shared" ref="K418:M418" si="918">IFERROR(K424/K400,"NA")</f>
        <v>NA</v>
      </c>
      <c r="L418" s="759" t="str">
        <f t="shared" si="918"/>
        <v>NA</v>
      </c>
      <c r="M418" s="759" t="str">
        <f t="shared" si="918"/>
        <v>NA</v>
      </c>
      <c r="N418" s="780">
        <f>CHOOSE(case,U418,AC418,AK418)</f>
        <v>0</v>
      </c>
      <c r="O418" s="781">
        <f t="shared" ref="O418:O422" si="919">CHOOSE(case,V418,AD418,AL418)</f>
        <v>0</v>
      </c>
      <c r="P418" s="781">
        <f t="shared" ref="P418:P422" si="920">CHOOSE(case,W418,AE418,AM418)</f>
        <v>0</v>
      </c>
      <c r="Q418" s="781">
        <f t="shared" ref="Q418:Q422" si="921">CHOOSE(case,X418,AF418,AN418)</f>
        <v>0</v>
      </c>
      <c r="R418" s="781">
        <f t="shared" ref="R418:R422" si="922">CHOOSE(case,Y418,AG418,AO418)</f>
        <v>0</v>
      </c>
      <c r="S418" s="782">
        <f t="shared" ref="S418:S422" si="923">CHOOSE(case,Z418,AH418,AP418)</f>
        <v>0</v>
      </c>
      <c r="T418" s="1493"/>
      <c r="U418" s="1515"/>
      <c r="V418" s="1515"/>
      <c r="W418" s="1515"/>
      <c r="X418" s="1515"/>
      <c r="Y418" s="1515"/>
      <c r="Z418" s="1515"/>
      <c r="AA418" s="1515"/>
      <c r="AB418" s="1321"/>
      <c r="AC418" s="737"/>
      <c r="AD418" s="737"/>
      <c r="AE418" s="737"/>
      <c r="AF418" s="737"/>
      <c r="AG418" s="737"/>
      <c r="AH418" s="737"/>
      <c r="AI418" s="415"/>
      <c r="AJ418" s="1321"/>
      <c r="AK418" s="1515"/>
      <c r="AL418" s="1515"/>
      <c r="AM418" s="1515"/>
      <c r="AN418" s="1515"/>
      <c r="AO418" s="1515"/>
      <c r="AP418" s="1515"/>
      <c r="AQ418" s="1515"/>
    </row>
    <row r="419" spans="3:43" ht="14.5" outlineLevel="2">
      <c r="C419" s="1"/>
      <c r="D419" s="31" t="s">
        <v>842</v>
      </c>
      <c r="E419" s="1"/>
      <c r="F419" s="1"/>
      <c r="G419" s="1"/>
      <c r="H419" s="764" t="str">
        <f t="shared" ref="H419:J419" si="924">IFERROR(H425/H401,"NA")</f>
        <v>NA</v>
      </c>
      <c r="I419" s="764" t="str">
        <f t="shared" si="924"/>
        <v>NA</v>
      </c>
      <c r="J419" s="764" t="str">
        <f t="shared" si="924"/>
        <v>NA</v>
      </c>
      <c r="K419" s="764" t="str">
        <f t="shared" ref="K419:M419" si="925">IFERROR(K425/K401,"NA")</f>
        <v>NA</v>
      </c>
      <c r="L419" s="764" t="str">
        <f t="shared" si="925"/>
        <v>NA</v>
      </c>
      <c r="M419" s="764" t="str">
        <f t="shared" si="925"/>
        <v>NA</v>
      </c>
      <c r="N419" s="785">
        <f>CHOOSE(case,U419,AC419,AK419)</f>
        <v>0</v>
      </c>
      <c r="O419" s="786">
        <f t="shared" si="919"/>
        <v>0</v>
      </c>
      <c r="P419" s="786">
        <f t="shared" si="920"/>
        <v>0</v>
      </c>
      <c r="Q419" s="786">
        <f t="shared" si="921"/>
        <v>0</v>
      </c>
      <c r="R419" s="786">
        <f t="shared" si="922"/>
        <v>0</v>
      </c>
      <c r="S419" s="787">
        <f t="shared" si="923"/>
        <v>0</v>
      </c>
      <c r="T419" s="1493"/>
      <c r="U419" s="1515"/>
      <c r="V419" s="1515"/>
      <c r="W419" s="1515"/>
      <c r="X419" s="1515"/>
      <c r="Y419" s="1515"/>
      <c r="Z419" s="1515"/>
      <c r="AA419" s="1515"/>
      <c r="AB419" s="1321"/>
      <c r="AC419" s="737"/>
      <c r="AD419" s="737"/>
      <c r="AE419" s="737"/>
      <c r="AF419" s="737"/>
      <c r="AG419" s="737"/>
      <c r="AH419" s="737"/>
      <c r="AI419" s="415"/>
      <c r="AJ419" s="1321"/>
      <c r="AK419" s="1515"/>
      <c r="AL419" s="1515"/>
      <c r="AM419" s="1515"/>
      <c r="AN419" s="1515"/>
      <c r="AO419" s="1515"/>
      <c r="AP419" s="1515"/>
      <c r="AQ419" s="1515"/>
    </row>
    <row r="420" spans="3:43" ht="14.5" outlineLevel="2">
      <c r="C420" s="1"/>
      <c r="D420" s="31" t="s">
        <v>843</v>
      </c>
      <c r="E420" s="1"/>
      <c r="F420" s="1"/>
      <c r="G420" s="1"/>
      <c r="H420" s="764" t="str">
        <f t="shared" ref="H420:J420" si="926">IFERROR(H426/H402,"NA")</f>
        <v>NA</v>
      </c>
      <c r="I420" s="764" t="str">
        <f t="shared" si="926"/>
        <v>NA</v>
      </c>
      <c r="J420" s="764">
        <f t="shared" si="926"/>
        <v>4.218935801911643</v>
      </c>
      <c r="K420" s="764">
        <f t="shared" ref="K420:M420" si="927">IFERROR(K426/K402,"NA")</f>
        <v>3.8739008792965626</v>
      </c>
      <c r="L420" s="764">
        <f t="shared" si="927"/>
        <v>3.917611798904554</v>
      </c>
      <c r="M420" s="764">
        <f t="shared" si="927"/>
        <v>2.9116699667129238</v>
      </c>
      <c r="N420" s="785">
        <f>CHOOSE(case,U420,AC420,AK420)</f>
        <v>2.9116699667129238</v>
      </c>
      <c r="O420" s="786">
        <f t="shared" si="919"/>
        <v>2.9116699667129238</v>
      </c>
      <c r="P420" s="786">
        <f t="shared" si="920"/>
        <v>2.9116699667129238</v>
      </c>
      <c r="Q420" s="786">
        <f t="shared" si="921"/>
        <v>2.9116699667129238</v>
      </c>
      <c r="R420" s="786">
        <f t="shared" si="922"/>
        <v>2.9116699667129238</v>
      </c>
      <c r="S420" s="787">
        <f t="shared" si="923"/>
        <v>2.9116699667129238</v>
      </c>
      <c r="T420" s="1493"/>
      <c r="U420" s="1515"/>
      <c r="V420" s="1515"/>
      <c r="W420" s="1515"/>
      <c r="X420" s="1515"/>
      <c r="Y420" s="1515"/>
      <c r="Z420" s="1515"/>
      <c r="AA420" s="1515"/>
      <c r="AB420" s="1321"/>
      <c r="AC420" s="737">
        <f t="shared" ref="AC420:AC421" si="928">M420</f>
        <v>2.9116699667129238</v>
      </c>
      <c r="AD420" s="737">
        <f t="shared" ref="AD420:AD421" si="929">N420</f>
        <v>2.9116699667129238</v>
      </c>
      <c r="AE420" s="737">
        <f t="shared" ref="AE420:AE422" si="930">O420</f>
        <v>2.9116699667129238</v>
      </c>
      <c r="AF420" s="737">
        <f t="shared" ref="AF420:AF422" si="931">P420</f>
        <v>2.9116699667129238</v>
      </c>
      <c r="AG420" s="737">
        <f t="shared" ref="AG420:AG422" si="932">Q420</f>
        <v>2.9116699667129238</v>
      </c>
      <c r="AH420" s="737">
        <f t="shared" ref="AH420:AH422" si="933">R420</f>
        <v>2.9116699667129238</v>
      </c>
      <c r="AI420" s="415"/>
      <c r="AJ420" s="1321"/>
      <c r="AK420" s="1515"/>
      <c r="AL420" s="1515"/>
      <c r="AM420" s="1515"/>
      <c r="AN420" s="1515"/>
      <c r="AO420" s="1515"/>
      <c r="AP420" s="1515"/>
      <c r="AQ420" s="1515"/>
    </row>
    <row r="421" spans="3:43" ht="14.5" outlineLevel="2">
      <c r="C421" s="1"/>
      <c r="D421" s="31" t="s">
        <v>844</v>
      </c>
      <c r="E421" s="1"/>
      <c r="F421" s="1"/>
      <c r="G421" s="1"/>
      <c r="H421" s="764" t="str">
        <f t="shared" ref="H421:J421" si="934">IFERROR(H427/H403,"NA")</f>
        <v>NA</v>
      </c>
      <c r="I421" s="764" t="str">
        <f t="shared" si="934"/>
        <v>NA</v>
      </c>
      <c r="J421" s="764">
        <f t="shared" si="934"/>
        <v>5.639972144846797</v>
      </c>
      <c r="K421" s="764">
        <f t="shared" ref="K421:M421" si="935">IFERROR(K427/K403,"NA")</f>
        <v>3.8911704312114992</v>
      </c>
      <c r="L421" s="764">
        <f t="shared" si="935"/>
        <v>3.8961151539781307</v>
      </c>
      <c r="M421" s="764">
        <f t="shared" si="935"/>
        <v>1.9005398206125166</v>
      </c>
      <c r="N421" s="785">
        <f>CHOOSE(case,U421,AC421,AK421)</f>
        <v>1.9005398206125166</v>
      </c>
      <c r="O421" s="786">
        <f t="shared" si="919"/>
        <v>1.9005398206125166</v>
      </c>
      <c r="P421" s="786">
        <f t="shared" si="920"/>
        <v>1.9005398206125166</v>
      </c>
      <c r="Q421" s="786">
        <f t="shared" si="921"/>
        <v>1.9005398206125166</v>
      </c>
      <c r="R421" s="786">
        <f t="shared" si="922"/>
        <v>1.9005398206125166</v>
      </c>
      <c r="S421" s="787">
        <f t="shared" si="923"/>
        <v>1.9005398206125166</v>
      </c>
      <c r="T421" s="1493"/>
      <c r="U421" s="1515"/>
      <c r="V421" s="1515"/>
      <c r="W421" s="1515"/>
      <c r="X421" s="1515"/>
      <c r="Y421" s="1515"/>
      <c r="Z421" s="1515"/>
      <c r="AA421" s="1515"/>
      <c r="AB421" s="1321"/>
      <c r="AC421" s="737">
        <f t="shared" si="928"/>
        <v>1.9005398206125166</v>
      </c>
      <c r="AD421" s="737">
        <f t="shared" si="929"/>
        <v>1.9005398206125166</v>
      </c>
      <c r="AE421" s="737">
        <f t="shared" si="930"/>
        <v>1.9005398206125166</v>
      </c>
      <c r="AF421" s="737">
        <f t="shared" si="931"/>
        <v>1.9005398206125166</v>
      </c>
      <c r="AG421" s="737">
        <f t="shared" si="932"/>
        <v>1.9005398206125166</v>
      </c>
      <c r="AH421" s="737">
        <f t="shared" si="933"/>
        <v>1.9005398206125166</v>
      </c>
      <c r="AI421" s="415"/>
      <c r="AJ421" s="1321"/>
      <c r="AK421" s="1515"/>
      <c r="AL421" s="1515"/>
      <c r="AM421" s="1515"/>
      <c r="AN421" s="1515"/>
      <c r="AO421" s="1515"/>
      <c r="AP421" s="1515"/>
      <c r="AQ421" s="1515"/>
    </row>
    <row r="422" spans="3:43" ht="15" outlineLevel="2" thickBot="1">
      <c r="C422" s="37"/>
      <c r="D422" s="33" t="s">
        <v>665</v>
      </c>
      <c r="E422" s="37"/>
      <c r="F422" s="37"/>
      <c r="G422" s="37"/>
      <c r="H422" s="774" t="str">
        <f t="shared" ref="H422:J422" si="936">IFERROR(H428/H404,"NA")</f>
        <v>NA</v>
      </c>
      <c r="I422" s="774" t="str">
        <f t="shared" si="936"/>
        <v>NA</v>
      </c>
      <c r="J422" s="774">
        <f t="shared" si="936"/>
        <v>0.15921052631578947</v>
      </c>
      <c r="K422" s="774">
        <f t="shared" ref="K422:M422" si="937">IFERROR(K428/K404,"NA")</f>
        <v>34.545454545454547</v>
      </c>
      <c r="L422" s="774">
        <f t="shared" si="937"/>
        <v>34.628976921296484</v>
      </c>
      <c r="M422" s="774">
        <f t="shared" si="937"/>
        <v>0.90543370709137394</v>
      </c>
      <c r="N422" s="789">
        <f>CHOOSE(case,U422,AC422,AK422)</f>
        <v>20</v>
      </c>
      <c r="O422" s="790">
        <f t="shared" si="919"/>
        <v>20</v>
      </c>
      <c r="P422" s="790">
        <f t="shared" si="920"/>
        <v>20</v>
      </c>
      <c r="Q422" s="790">
        <f t="shared" si="921"/>
        <v>20</v>
      </c>
      <c r="R422" s="790">
        <f t="shared" si="922"/>
        <v>20</v>
      </c>
      <c r="S422" s="791">
        <f t="shared" si="923"/>
        <v>20</v>
      </c>
      <c r="T422" s="1493"/>
      <c r="U422" s="1515"/>
      <c r="V422" s="1515"/>
      <c r="W422" s="1515"/>
      <c r="X422" s="1515"/>
      <c r="Y422" s="1515"/>
      <c r="Z422" s="1515"/>
      <c r="AA422" s="1515"/>
      <c r="AB422" s="1321"/>
      <c r="AC422" s="737">
        <v>20</v>
      </c>
      <c r="AD422" s="737">
        <f>AC422</f>
        <v>20</v>
      </c>
      <c r="AE422" s="737">
        <f t="shared" si="930"/>
        <v>20</v>
      </c>
      <c r="AF422" s="737">
        <f t="shared" si="931"/>
        <v>20</v>
      </c>
      <c r="AG422" s="737">
        <f t="shared" si="932"/>
        <v>20</v>
      </c>
      <c r="AH422" s="737">
        <f t="shared" si="933"/>
        <v>20</v>
      </c>
      <c r="AI422" s="415"/>
      <c r="AJ422" s="1321"/>
      <c r="AK422" s="1515"/>
      <c r="AL422" s="1515"/>
      <c r="AM422" s="1515"/>
      <c r="AN422" s="1515"/>
      <c r="AO422" s="1515"/>
      <c r="AP422" s="1515"/>
      <c r="AQ422" s="1515"/>
    </row>
    <row r="423" spans="3:43" ht="14.5" outlineLevel="2">
      <c r="C423" s="18" t="s">
        <v>991</v>
      </c>
      <c r="D423" s="1"/>
      <c r="E423" s="1"/>
      <c r="H423" s="414">
        <v>63113</v>
      </c>
      <c r="I423" s="414">
        <v>80789</v>
      </c>
      <c r="J423" s="99">
        <f>SUM(J424:J428)</f>
        <v>64519</v>
      </c>
      <c r="K423" s="99">
        <f>SUM(K424:K428)</f>
        <v>23935</v>
      </c>
      <c r="L423" s="99">
        <f t="shared" ref="L423:M423" si="938">SUM(L424:L428)</f>
        <v>24532.277894205708</v>
      </c>
      <c r="M423" s="99">
        <f t="shared" si="938"/>
        <v>2299.005167748267</v>
      </c>
      <c r="N423" s="23">
        <f>SUM(N424:N428)</f>
        <v>5188.2567277883718</v>
      </c>
      <c r="O423" s="23">
        <f t="shared" ref="O423:S423" si="939">SUM(O424:O428)</f>
        <v>5188.2567277883718</v>
      </c>
      <c r="P423" s="23">
        <f t="shared" si="939"/>
        <v>5188.2567277883718</v>
      </c>
      <c r="Q423" s="23">
        <f t="shared" si="939"/>
        <v>5188.2567277883718</v>
      </c>
      <c r="R423" s="23">
        <f t="shared" si="939"/>
        <v>5188.2567277883718</v>
      </c>
      <c r="S423" s="23">
        <f t="shared" si="939"/>
        <v>5188.2567277883718</v>
      </c>
      <c r="T423" s="1480"/>
      <c r="U423" s="1515"/>
      <c r="V423" s="1515"/>
      <c r="W423" s="1515"/>
      <c r="X423" s="1515"/>
      <c r="Y423" s="1515"/>
      <c r="Z423" s="1515"/>
      <c r="AA423" s="1515"/>
      <c r="AB423" s="1321"/>
      <c r="AC423" s="1"/>
      <c r="AD423" s="1"/>
      <c r="AE423" s="1"/>
      <c r="AF423" s="1"/>
      <c r="AG423" s="1"/>
      <c r="AH423" s="1"/>
      <c r="AI423" s="415"/>
      <c r="AJ423" s="1321"/>
      <c r="AK423" s="1515"/>
      <c r="AL423" s="1515"/>
      <c r="AM423" s="1515"/>
      <c r="AN423" s="1515"/>
      <c r="AO423" s="1515"/>
      <c r="AP423" s="1515"/>
      <c r="AQ423" s="1515"/>
    </row>
    <row r="424" spans="3:43" ht="14.5" outlineLevel="2">
      <c r="C424" s="1"/>
      <c r="D424" s="27" t="s">
        <v>841</v>
      </c>
      <c r="E424" s="28"/>
      <c r="F424" s="28"/>
      <c r="G424" s="28"/>
      <c r="H424" s="114"/>
      <c r="I424" s="114"/>
      <c r="J424" s="398">
        <v>0</v>
      </c>
      <c r="K424" s="398">
        <v>0</v>
      </c>
      <c r="L424" s="398">
        <v>0</v>
      </c>
      <c r="M424" s="398">
        <v>0</v>
      </c>
      <c r="N424" s="29">
        <f>N400*N418</f>
        <v>0</v>
      </c>
      <c r="O424" s="29">
        <f t="shared" ref="O424:R424" si="940">O400*O418</f>
        <v>0</v>
      </c>
      <c r="P424" s="29">
        <f t="shared" si="940"/>
        <v>0</v>
      </c>
      <c r="Q424" s="29">
        <f t="shared" si="940"/>
        <v>0</v>
      </c>
      <c r="R424" s="29">
        <f t="shared" si="940"/>
        <v>0</v>
      </c>
      <c r="S424" s="30">
        <f>S400*S418</f>
        <v>0</v>
      </c>
      <c r="T424" s="1321"/>
      <c r="U424" s="1515"/>
      <c r="V424" s="1515"/>
      <c r="W424" s="1515"/>
      <c r="X424" s="1515"/>
      <c r="Y424" s="1515"/>
      <c r="Z424" s="1515"/>
      <c r="AA424" s="1515"/>
      <c r="AB424" s="1321"/>
      <c r="AC424" s="1"/>
      <c r="AD424" s="1"/>
      <c r="AE424" s="1"/>
      <c r="AF424" s="1"/>
      <c r="AG424" s="1"/>
      <c r="AH424" s="1"/>
      <c r="AI424" s="415"/>
      <c r="AJ424" s="1321"/>
      <c r="AK424" s="1515"/>
      <c r="AL424" s="1515"/>
      <c r="AM424" s="1515"/>
      <c r="AN424" s="1515"/>
      <c r="AO424" s="1515"/>
      <c r="AP424" s="1515"/>
      <c r="AQ424" s="1515"/>
    </row>
    <row r="425" spans="3:43" ht="14.5" outlineLevel="2">
      <c r="C425" s="1"/>
      <c r="D425" s="31" t="s">
        <v>842</v>
      </c>
      <c r="E425" s="1"/>
      <c r="F425" s="1"/>
      <c r="G425" s="1"/>
      <c r="H425" s="115"/>
      <c r="I425" s="115"/>
      <c r="J425" s="400">
        <v>0</v>
      </c>
      <c r="K425" s="400">
        <v>0</v>
      </c>
      <c r="L425" s="400">
        <v>0</v>
      </c>
      <c r="M425" s="400">
        <v>0</v>
      </c>
      <c r="N425" s="20">
        <f t="shared" ref="N425:S425" si="941">N401*N419</f>
        <v>0</v>
      </c>
      <c r="O425" s="20">
        <f t="shared" si="941"/>
        <v>0</v>
      </c>
      <c r="P425" s="20">
        <f t="shared" si="941"/>
        <v>0</v>
      </c>
      <c r="Q425" s="20">
        <f t="shared" si="941"/>
        <v>0</v>
      </c>
      <c r="R425" s="20">
        <f t="shared" si="941"/>
        <v>0</v>
      </c>
      <c r="S425" s="32">
        <f t="shared" si="941"/>
        <v>0</v>
      </c>
      <c r="T425" s="1321"/>
      <c r="U425" s="1515"/>
      <c r="V425" s="1515"/>
      <c r="W425" s="1515"/>
      <c r="X425" s="1515"/>
      <c r="Y425" s="1515"/>
      <c r="Z425" s="1515"/>
      <c r="AA425" s="1515"/>
      <c r="AB425" s="1321"/>
      <c r="AC425" s="1"/>
      <c r="AD425" s="1"/>
      <c r="AE425" s="1"/>
      <c r="AF425" s="1"/>
      <c r="AG425" s="1"/>
      <c r="AH425" s="1"/>
      <c r="AI425" s="415"/>
      <c r="AJ425" s="1321"/>
      <c r="AK425" s="1515"/>
      <c r="AL425" s="1515"/>
      <c r="AM425" s="1515"/>
      <c r="AN425" s="1515"/>
      <c r="AO425" s="1515"/>
      <c r="AP425" s="1515"/>
      <c r="AQ425" s="1515"/>
    </row>
    <row r="426" spans="3:43" ht="14.5" outlineLevel="2">
      <c r="C426" s="1"/>
      <c r="D426" s="31" t="s">
        <v>843</v>
      </c>
      <c r="E426" s="1"/>
      <c r="F426" s="1"/>
      <c r="G426" s="1"/>
      <c r="H426" s="115"/>
      <c r="I426" s="115"/>
      <c r="J426" s="400">
        <v>56057</v>
      </c>
      <c r="K426" s="400">
        <v>19385</v>
      </c>
      <c r="L426" s="400">
        <v>19979.737904565449</v>
      </c>
      <c r="M426" s="400">
        <v>2136.1816111185371</v>
      </c>
      <c r="N426" s="20">
        <f t="shared" ref="N426:S426" si="942">N402*N420</f>
        <v>4454.8367055499839</v>
      </c>
      <c r="O426" s="20">
        <f t="shared" si="942"/>
        <v>4454.8367055499839</v>
      </c>
      <c r="P426" s="20">
        <f t="shared" si="942"/>
        <v>4454.8367055499839</v>
      </c>
      <c r="Q426" s="20">
        <f t="shared" si="942"/>
        <v>4454.8367055499839</v>
      </c>
      <c r="R426" s="20">
        <f t="shared" si="942"/>
        <v>4454.8367055499839</v>
      </c>
      <c r="S426" s="32">
        <f t="shared" si="942"/>
        <v>4454.8367055499839</v>
      </c>
      <c r="T426" s="1321"/>
      <c r="U426" s="1515"/>
      <c r="V426" s="1515"/>
      <c r="W426" s="1515"/>
      <c r="X426" s="1515"/>
      <c r="Y426" s="1515"/>
      <c r="Z426" s="1515"/>
      <c r="AA426" s="1515"/>
      <c r="AB426" s="1321"/>
      <c r="AC426" s="1"/>
      <c r="AD426" s="1"/>
      <c r="AE426" s="1"/>
      <c r="AF426" s="1"/>
      <c r="AG426" s="1"/>
      <c r="AH426" s="1"/>
      <c r="AI426" s="415"/>
      <c r="AJ426" s="1321"/>
      <c r="AK426" s="1515"/>
      <c r="AL426" s="1515"/>
      <c r="AM426" s="1515"/>
      <c r="AN426" s="1515"/>
      <c r="AO426" s="1515"/>
      <c r="AP426" s="1515"/>
      <c r="AQ426" s="1515"/>
    </row>
    <row r="427" spans="3:43" ht="14.5" outlineLevel="2">
      <c r="C427" s="1"/>
      <c r="D427" s="31" t="s">
        <v>844</v>
      </c>
      <c r="E427" s="1"/>
      <c r="F427" s="1"/>
      <c r="G427" s="1"/>
      <c r="H427" s="115"/>
      <c r="I427" s="115"/>
      <c r="J427" s="400">
        <v>8099</v>
      </c>
      <c r="K427" s="400">
        <v>3790</v>
      </c>
      <c r="L427" s="400">
        <v>3792.9187518947119</v>
      </c>
      <c r="M427" s="400">
        <v>103.22972089638945</v>
      </c>
      <c r="N427" s="20">
        <f t="shared" ref="N427:S427" si="943">N403*N421</f>
        <v>185.02002223839526</v>
      </c>
      <c r="O427" s="20">
        <f t="shared" si="943"/>
        <v>185.02002223839526</v>
      </c>
      <c r="P427" s="20">
        <f t="shared" si="943"/>
        <v>185.02002223839526</v>
      </c>
      <c r="Q427" s="20">
        <f t="shared" si="943"/>
        <v>185.02002223839526</v>
      </c>
      <c r="R427" s="20">
        <f t="shared" si="943"/>
        <v>185.02002223839526</v>
      </c>
      <c r="S427" s="32">
        <f t="shared" si="943"/>
        <v>185.02002223839526</v>
      </c>
      <c r="T427" s="1321"/>
      <c r="U427" s="1515"/>
      <c r="V427" s="1515"/>
      <c r="W427" s="1515"/>
      <c r="X427" s="1515"/>
      <c r="Y427" s="1515"/>
      <c r="Z427" s="1515"/>
      <c r="AA427" s="1515"/>
      <c r="AB427" s="1321"/>
      <c r="AC427" s="1"/>
      <c r="AD427" s="1"/>
      <c r="AE427" s="1"/>
      <c r="AF427" s="1"/>
      <c r="AG427" s="1"/>
      <c r="AH427" s="1"/>
      <c r="AI427" s="415"/>
      <c r="AJ427" s="1321"/>
      <c r="AK427" s="1515"/>
      <c r="AL427" s="1515"/>
      <c r="AM427" s="1515"/>
      <c r="AN427" s="1515"/>
      <c r="AO427" s="1515"/>
      <c r="AP427" s="1515"/>
      <c r="AQ427" s="1515"/>
    </row>
    <row r="428" spans="3:43" ht="14.5" outlineLevel="2">
      <c r="C428" s="1"/>
      <c r="D428" s="33" t="s">
        <v>665</v>
      </c>
      <c r="E428" s="34"/>
      <c r="F428" s="34"/>
      <c r="G428" s="34"/>
      <c r="H428" s="116"/>
      <c r="I428" s="116"/>
      <c r="J428" s="402">
        <v>363</v>
      </c>
      <c r="K428" s="402">
        <v>760</v>
      </c>
      <c r="L428" s="402">
        <v>759.62123774554902</v>
      </c>
      <c r="M428" s="402">
        <v>59.593835733340036</v>
      </c>
      <c r="N428" s="35">
        <f t="shared" ref="N428:S428" si="944">N404*N422</f>
        <v>548.39999999999236</v>
      </c>
      <c r="O428" s="35">
        <f t="shared" si="944"/>
        <v>548.39999999999236</v>
      </c>
      <c r="P428" s="35">
        <f t="shared" si="944"/>
        <v>548.39999999999236</v>
      </c>
      <c r="Q428" s="35">
        <f t="shared" si="944"/>
        <v>548.39999999999236</v>
      </c>
      <c r="R428" s="35">
        <f t="shared" si="944"/>
        <v>548.39999999999236</v>
      </c>
      <c r="S428" s="36">
        <f t="shared" si="944"/>
        <v>548.39999999999236</v>
      </c>
      <c r="T428" s="1321"/>
      <c r="U428" s="1515"/>
      <c r="V428" s="1515"/>
      <c r="W428" s="1515"/>
      <c r="X428" s="1515"/>
      <c r="Y428" s="1515"/>
      <c r="Z428" s="1515"/>
      <c r="AA428" s="1515"/>
      <c r="AB428" s="1321"/>
      <c r="AC428" s="1"/>
      <c r="AD428" s="1"/>
      <c r="AE428" s="1"/>
      <c r="AF428" s="1"/>
      <c r="AG428" s="1"/>
      <c r="AH428" s="1"/>
      <c r="AI428" s="415"/>
      <c r="AJ428" s="1321"/>
      <c r="AK428" s="1515"/>
      <c r="AL428" s="1515"/>
      <c r="AM428" s="1515"/>
      <c r="AN428" s="1515"/>
      <c r="AO428" s="1515"/>
      <c r="AP428" s="1515"/>
      <c r="AQ428" s="1515"/>
    </row>
    <row r="429" spans="3:43" ht="14.5" outlineLevel="2">
      <c r="C429" s="1"/>
      <c r="D429" s="1"/>
      <c r="E429" s="1"/>
      <c r="AI429" s="424"/>
    </row>
    <row r="430" spans="3:43" ht="15" outlineLevel="2" thickBot="1">
      <c r="C430" s="37" t="s">
        <v>160</v>
      </c>
      <c r="D430" s="37"/>
      <c r="E430" s="37"/>
      <c r="F430" s="109"/>
      <c r="G430" s="109"/>
      <c r="H430" s="117">
        <f>1-H431/H423</f>
        <v>0</v>
      </c>
      <c r="I430" s="117">
        <f t="shared" ref="I430" si="945">1-I431/I423</f>
        <v>2.4755845474011551E-5</v>
      </c>
      <c r="J430" s="117">
        <f t="shared" ref="J430" si="946">1-J431/J423</f>
        <v>8.2766316898897907E-3</v>
      </c>
      <c r="K430" s="117">
        <f t="shared" ref="K430:M430" si="947">1-K431/K423</f>
        <v>-4.5957802381457746E-4</v>
      </c>
      <c r="L430" s="117">
        <f t="shared" si="947"/>
        <v>-4.5957802381457746E-4</v>
      </c>
      <c r="M430" s="117">
        <f t="shared" si="947"/>
        <v>-4.5957802381457746E-4</v>
      </c>
      <c r="N430" s="160">
        <f t="shared" ref="N430" si="948">L430</f>
        <v>-4.5957802381457746E-4</v>
      </c>
      <c r="O430" s="160">
        <f t="shared" ref="O430" si="949">N430</f>
        <v>-4.5957802381457746E-4</v>
      </c>
      <c r="P430" s="160">
        <f t="shared" ref="P430" si="950">O430</f>
        <v>-4.5957802381457746E-4</v>
      </c>
      <c r="Q430" s="160">
        <f t="shared" ref="Q430" si="951">P430</f>
        <v>-4.5957802381457746E-4</v>
      </c>
      <c r="R430" s="160">
        <f t="shared" ref="R430" si="952">Q430</f>
        <v>-4.5957802381457746E-4</v>
      </c>
      <c r="S430" s="160">
        <f t="shared" ref="S430" si="953">R430</f>
        <v>-4.5957802381457746E-4</v>
      </c>
      <c r="AI430" s="424"/>
    </row>
    <row r="431" spans="3:43" s="101" customFormat="1" ht="15" outlineLevel="2" thickBot="1">
      <c r="C431" s="76" t="s">
        <v>992</v>
      </c>
      <c r="D431" s="76"/>
      <c r="E431" s="76"/>
      <c r="F431" s="110"/>
      <c r="G431" s="110"/>
      <c r="H431" s="409">
        <v>63113</v>
      </c>
      <c r="I431" s="409">
        <v>80787</v>
      </c>
      <c r="J431" s="409">
        <v>63985</v>
      </c>
      <c r="K431" s="409">
        <v>23946</v>
      </c>
      <c r="L431" s="409">
        <v>24543.552389999997</v>
      </c>
      <c r="M431" s="409">
        <v>2300.0617400000001</v>
      </c>
      <c r="N431" s="113">
        <f t="shared" ref="N431:S431" si="954">N423*(1-N430)</f>
        <v>5190.6411365623717</v>
      </c>
      <c r="O431" s="113">
        <f t="shared" si="954"/>
        <v>5190.6411365623717</v>
      </c>
      <c r="P431" s="113">
        <f t="shared" si="954"/>
        <v>5190.6411365623717</v>
      </c>
      <c r="Q431" s="113">
        <f t="shared" si="954"/>
        <v>5190.6411365623717</v>
      </c>
      <c r="R431" s="113">
        <f t="shared" si="954"/>
        <v>5190.6411365623717</v>
      </c>
      <c r="S431" s="113">
        <f t="shared" si="954"/>
        <v>5190.6411365623717</v>
      </c>
      <c r="T431" s="525"/>
      <c r="U431" s="1512"/>
      <c r="V431" s="1512"/>
      <c r="W431" s="1512"/>
      <c r="X431" s="1512"/>
      <c r="Y431" s="1512"/>
      <c r="Z431" s="1512"/>
      <c r="AA431" s="1512"/>
      <c r="AI431" s="473"/>
      <c r="AK431" s="1512"/>
      <c r="AL431" s="1512"/>
      <c r="AM431" s="1512"/>
      <c r="AN431" s="1512"/>
      <c r="AO431" s="1512"/>
      <c r="AP431" s="1512"/>
      <c r="AQ431" s="1512"/>
    </row>
    <row r="432" spans="3:43" s="101" customFormat="1" ht="14.5" outlineLevel="2">
      <c r="C432" s="97" t="s">
        <v>659</v>
      </c>
      <c r="H432" s="394">
        <v>-64917</v>
      </c>
      <c r="I432" s="394">
        <v>-81219</v>
      </c>
      <c r="J432" s="394">
        <v>-61731</v>
      </c>
      <c r="K432" s="394">
        <v>-25651</v>
      </c>
      <c r="L432" s="394">
        <v>-26957.543723568579</v>
      </c>
      <c r="M432" s="394">
        <v>-3501.064685237689</v>
      </c>
      <c r="N432" s="20">
        <f>N433*N399</f>
        <v>-6785.507666781461</v>
      </c>
      <c r="O432" s="20">
        <f t="shared" ref="O432:S432" si="955">O433*O399</f>
        <v>-6692.2313868606061</v>
      </c>
      <c r="P432" s="20">
        <f t="shared" si="955"/>
        <v>-6625.2189064034819</v>
      </c>
      <c r="Q432" s="20">
        <f t="shared" si="955"/>
        <v>-6573.0860572986639</v>
      </c>
      <c r="R432" s="20">
        <f t="shared" si="955"/>
        <v>-6522.2172613493985</v>
      </c>
      <c r="S432" s="20">
        <f t="shared" si="955"/>
        <v>-6472.4475491651947</v>
      </c>
      <c r="U432" s="1512"/>
      <c r="V432" s="1512"/>
      <c r="W432" s="1512"/>
      <c r="X432" s="1512"/>
      <c r="Y432" s="1512"/>
      <c r="Z432" s="1512"/>
      <c r="AA432" s="1512"/>
      <c r="AI432" s="473"/>
      <c r="AK432" s="1512"/>
      <c r="AL432" s="1512"/>
      <c r="AM432" s="1512"/>
      <c r="AN432" s="1512"/>
      <c r="AO432" s="1512"/>
      <c r="AP432" s="1512"/>
      <c r="AQ432" s="1512"/>
    </row>
    <row r="433" spans="1:43" s="101" customFormat="1" ht="14.5" outlineLevel="2">
      <c r="C433" s="97"/>
      <c r="D433" s="1" t="s">
        <v>849</v>
      </c>
      <c r="E433" s="1"/>
      <c r="H433" s="394"/>
      <c r="I433" s="394"/>
      <c r="J433" s="744">
        <f t="shared" ref="J433" si="956">J432/J399</f>
        <v>-3.6305946009527732</v>
      </c>
      <c r="K433" s="744">
        <f t="shared" ref="K433" si="957">K432/K399</f>
        <v>-4.2751666666666663</v>
      </c>
      <c r="L433" s="744">
        <f t="shared" ref="L433" si="958">L432/L399</f>
        <v>-4.422584226008178</v>
      </c>
      <c r="M433" s="744">
        <f t="shared" ref="M433" si="959">M432/M399</f>
        <v>-4.1005868910579215</v>
      </c>
      <c r="N433" s="1039">
        <f>M433</f>
        <v>-4.1005868910579215</v>
      </c>
      <c r="O433" s="744">
        <f>N433*(1+O434)</f>
        <v>-4.0442185971183866</v>
      </c>
      <c r="P433" s="744">
        <f t="shared" ref="P433" si="960">O433*(1+P434)</f>
        <v>-4.0037219220877178</v>
      </c>
      <c r="Q433" s="744">
        <f t="shared" ref="Q433" si="961">P433*(1+Q434)</f>
        <v>-3.9722172376734246</v>
      </c>
      <c r="R433" s="744">
        <f t="shared" ref="R433" si="962">Q433*(1+R434)</f>
        <v>-3.9414764400681661</v>
      </c>
      <c r="S433" s="744">
        <f t="shared" ref="S433" si="963">R433*(1+S434)</f>
        <v>-3.9113998357260367</v>
      </c>
      <c r="U433" s="1512"/>
      <c r="V433" s="1512"/>
      <c r="W433" s="1512"/>
      <c r="X433" s="1512"/>
      <c r="Y433" s="1512"/>
      <c r="Z433" s="1512"/>
      <c r="AA433" s="1512"/>
      <c r="AI433" s="473"/>
      <c r="AK433" s="1512"/>
      <c r="AL433" s="1512"/>
      <c r="AM433" s="1512"/>
      <c r="AN433" s="1512"/>
      <c r="AO433" s="1512"/>
      <c r="AP433" s="1512"/>
      <c r="AQ433" s="1512"/>
    </row>
    <row r="434" spans="1:43" s="101" customFormat="1" ht="15" outlineLevel="2" thickBot="1">
      <c r="C434" s="109"/>
      <c r="D434" s="74"/>
      <c r="E434" s="74" t="s">
        <v>151</v>
      </c>
      <c r="H434" s="404"/>
      <c r="I434" s="404"/>
      <c r="J434" s="404"/>
      <c r="K434" s="404"/>
      <c r="L434" s="75">
        <f>L433/J433-1</f>
        <v>0.21814322779182338</v>
      </c>
      <c r="M434" s="404"/>
      <c r="N434" s="75">
        <f>N433/L433-1</f>
        <v>-7.2807507668630866E-2</v>
      </c>
      <c r="O434" s="161">
        <f>CHOOSE(case,V434,AD434,AL434)</f>
        <v>-1.3746396659087057E-2</v>
      </c>
      <c r="P434" s="161">
        <f t="shared" ref="P434" si="964">CHOOSE(case,W434,AE434,AM434)</f>
        <v>-1.0013473322021738E-2</v>
      </c>
      <c r="Q434" s="161">
        <f t="shared" ref="Q434" si="965">CHOOSE(case,X434,AF434,AN434)</f>
        <v>-7.8688492925765852E-3</v>
      </c>
      <c r="R434" s="161">
        <f t="shared" ref="R434" si="966">CHOOSE(case,Y434,AG434,AO434)</f>
        <v>-7.7389517657054929E-3</v>
      </c>
      <c r="S434" s="1044">
        <f t="shared" ref="S434" si="967">CHOOSE(case,Z434,AH434,AP434)</f>
        <v>-7.6307964285610153E-3</v>
      </c>
      <c r="U434" s="1512"/>
      <c r="V434" s="1512"/>
      <c r="W434" s="1512"/>
      <c r="X434" s="1512"/>
      <c r="Y434" s="1512"/>
      <c r="Z434" s="1512"/>
      <c r="AA434" s="1512"/>
      <c r="AC434" s="829"/>
      <c r="AD434" s="1042">
        <f>(SUMPRODUCT(O412:O415,各区域分剂型成本优化!K$195:K$198)+O416*O422)/(SUMPRODUCT(N412:N415,各区域分剂型成本优化!J$195:J$198)+N416*N422)-1</f>
        <v>-1.3746396659087057E-2</v>
      </c>
      <c r="AE434" s="1042">
        <f>(SUMPRODUCT(P412:P415,各区域分剂型成本优化!L$195:L$198)+P416*P422)/(SUMPRODUCT(O412:O415,各区域分剂型成本优化!K$195:K$198)+O416*O422)-1</f>
        <v>-1.0013473322021738E-2</v>
      </c>
      <c r="AF434" s="1042">
        <f>(SUMPRODUCT(Q412:Q415,各区域分剂型成本优化!M$195:M$198)+Q416*Q422)/(SUMPRODUCT(P412:P415,各区域分剂型成本优化!L$195:L$198)+P416*P422)-1</f>
        <v>-7.8688492925765852E-3</v>
      </c>
      <c r="AG434" s="1042">
        <f>(SUMPRODUCT(R412:R415,各区域分剂型成本优化!N$195:N$198)+R416*R422)/(SUMPRODUCT(Q412:Q415,各区域分剂型成本优化!M$195:M$198)+Q416*Q422)-1</f>
        <v>-7.7389517657054929E-3</v>
      </c>
      <c r="AH434" s="1042">
        <f>(SUMPRODUCT(S412:S415,各区域分剂型成本优化!O$195:O$198)+S416*S422)/(SUMPRODUCT(R412:R415,各区域分剂型成本优化!N$195:N$198)+R416*R422)-1</f>
        <v>-7.6307964285610153E-3</v>
      </c>
      <c r="AI434" s="473"/>
      <c r="AK434" s="1512"/>
      <c r="AL434" s="1512"/>
      <c r="AM434" s="1512"/>
      <c r="AN434" s="1512"/>
      <c r="AO434" s="1512"/>
      <c r="AP434" s="1512"/>
      <c r="AQ434" s="1512"/>
    </row>
    <row r="435" spans="1:43" s="101" customFormat="1" ht="15" outlineLevel="2" thickBot="1">
      <c r="C435" s="63" t="s">
        <v>846</v>
      </c>
      <c r="D435" s="63"/>
      <c r="E435" s="63"/>
      <c r="F435" s="110"/>
      <c r="G435" s="110"/>
      <c r="H435" s="64">
        <f>H431+H432</f>
        <v>-1804</v>
      </c>
      <c r="I435" s="64">
        <f t="shared" ref="I435:S435" si="968">I431+I432</f>
        <v>-432</v>
      </c>
      <c r="J435" s="77">
        <f t="shared" si="968"/>
        <v>2254</v>
      </c>
      <c r="K435" s="77">
        <f t="shared" si="968"/>
        <v>-1705</v>
      </c>
      <c r="L435" s="77">
        <f t="shared" si="968"/>
        <v>-2413.9913335685815</v>
      </c>
      <c r="M435" s="77">
        <f t="shared" si="968"/>
        <v>-1201.0029452376889</v>
      </c>
      <c r="N435" s="77">
        <f t="shared" si="968"/>
        <v>-1594.8665302190893</v>
      </c>
      <c r="O435" s="77">
        <f t="shared" si="968"/>
        <v>-1501.5902502982344</v>
      </c>
      <c r="P435" s="77">
        <f t="shared" si="968"/>
        <v>-1434.5777698411102</v>
      </c>
      <c r="Q435" s="77">
        <f t="shared" si="968"/>
        <v>-1382.4449207362923</v>
      </c>
      <c r="R435" s="77">
        <f t="shared" si="968"/>
        <v>-1331.5761247870269</v>
      </c>
      <c r="S435" s="77">
        <f t="shared" si="968"/>
        <v>-1281.806412602823</v>
      </c>
      <c r="U435" s="1512"/>
      <c r="V435" s="1512"/>
      <c r="W435" s="1512"/>
      <c r="X435" s="1512"/>
      <c r="Y435" s="1512"/>
      <c r="Z435" s="1512"/>
      <c r="AA435" s="1512"/>
      <c r="AC435" s="480"/>
      <c r="AI435" s="473"/>
      <c r="AK435" s="1512"/>
      <c r="AL435" s="1512"/>
      <c r="AM435" s="1512"/>
      <c r="AN435" s="1512"/>
      <c r="AO435" s="1512"/>
      <c r="AP435" s="1512"/>
      <c r="AQ435" s="1512"/>
    </row>
    <row r="436" spans="1:43" s="101" customFormat="1" ht="14.5" outlineLevel="2">
      <c r="C436" s="22" t="s">
        <v>660</v>
      </c>
      <c r="D436" s="18"/>
      <c r="E436" s="18"/>
      <c r="H436" s="94">
        <f>H435/H431</f>
        <v>-2.8583651545640361E-2</v>
      </c>
      <c r="I436" s="94">
        <f t="shared" ref="I436:S436" si="969">I435/I431</f>
        <v>-5.3473950016710613E-3</v>
      </c>
      <c r="J436" s="94">
        <f t="shared" si="969"/>
        <v>3.5227006329608505E-2</v>
      </c>
      <c r="K436" s="94">
        <f t="shared" si="969"/>
        <v>-7.1201870876137982E-2</v>
      </c>
      <c r="L436" s="94">
        <f t="shared" si="969"/>
        <v>-9.8355417146221091E-2</v>
      </c>
      <c r="M436" s="94">
        <f t="shared" si="969"/>
        <v>-0.52216117695940145</v>
      </c>
      <c r="N436" s="94">
        <f t="shared" si="969"/>
        <v>-0.30725809938679916</v>
      </c>
      <c r="O436" s="94">
        <f t="shared" si="969"/>
        <v>-0.28928801101682383</v>
      </c>
      <c r="P436" s="94">
        <f t="shared" si="969"/>
        <v>-0.27637775991410463</v>
      </c>
      <c r="Q436" s="94">
        <f t="shared" si="969"/>
        <v>-0.26633413568094405</v>
      </c>
      <c r="R436" s="94">
        <f t="shared" si="969"/>
        <v>-0.25653403688564291</v>
      </c>
      <c r="S436" s="94">
        <f t="shared" si="969"/>
        <v>-0.2469456814446106</v>
      </c>
      <c r="T436" s="1321"/>
      <c r="U436" s="1526">
        <f>AC436+0.3%</f>
        <v>3.0000000000000001E-3</v>
      </c>
      <c r="V436" s="1526">
        <f t="shared" ref="V436" si="970">AD436+0.3%</f>
        <v>3.0000000000000001E-3</v>
      </c>
      <c r="W436" s="1526">
        <f t="shared" ref="W436" si="971">AE436+0.3%</f>
        <v>3.0000000000000001E-3</v>
      </c>
      <c r="X436" s="1526">
        <f t="shared" ref="X436" si="972">AF436+0.3%</f>
        <v>3.0000000000000001E-3</v>
      </c>
      <c r="Y436" s="1526">
        <f t="shared" ref="Y436" si="973">AG436+0.3%</f>
        <v>3.0000000000000001E-3</v>
      </c>
      <c r="Z436" s="1526">
        <f t="shared" ref="Z436" si="974">AH436+0.3%</f>
        <v>3.0000000000000001E-3</v>
      </c>
      <c r="AA436" s="1515"/>
      <c r="AB436" s="1321"/>
      <c r="AC436" s="829"/>
      <c r="AD436" s="829"/>
      <c r="AE436" s="829"/>
      <c r="AF436" s="829"/>
      <c r="AG436" s="829"/>
      <c r="AH436" s="829"/>
      <c r="AI436" s="415"/>
      <c r="AJ436" s="1321"/>
      <c r="AK436" s="1526">
        <f>AC436-0.3%</f>
        <v>-3.0000000000000001E-3</v>
      </c>
      <c r="AL436" s="1526">
        <f t="shared" ref="AL436" si="975">AD436-0.3%</f>
        <v>-3.0000000000000001E-3</v>
      </c>
      <c r="AM436" s="1526">
        <f t="shared" ref="AM436" si="976">AE436-0.3%</f>
        <v>-3.0000000000000001E-3</v>
      </c>
      <c r="AN436" s="1526">
        <f t="shared" ref="AN436" si="977">AF436-0.3%</f>
        <v>-3.0000000000000001E-3</v>
      </c>
      <c r="AO436" s="1526">
        <f t="shared" ref="AO436" si="978">AG436-0.3%</f>
        <v>-3.0000000000000001E-3</v>
      </c>
      <c r="AP436" s="1526">
        <f t="shared" ref="AP436" si="979">AH436-0.3%</f>
        <v>-3.0000000000000001E-3</v>
      </c>
      <c r="AQ436" s="1515"/>
    </row>
    <row r="437" spans="1:43" ht="14.5" outlineLevel="2">
      <c r="C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AI437" s="424"/>
    </row>
    <row r="438" spans="1:43" s="1126" customFormat="1" ht="14.5" outlineLevel="2">
      <c r="A438" s="26" t="s">
        <v>8</v>
      </c>
      <c r="B438" s="26"/>
      <c r="C438" s="26" t="s">
        <v>181</v>
      </c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U438" s="1518"/>
      <c r="V438" s="1518"/>
      <c r="W438" s="1518"/>
      <c r="X438" s="1518"/>
      <c r="Y438" s="1518"/>
      <c r="Z438" s="1518"/>
      <c r="AA438" s="1518"/>
      <c r="AC438" s="26"/>
      <c r="AD438" s="26"/>
      <c r="AE438" s="26"/>
      <c r="AF438" s="26"/>
      <c r="AG438" s="26"/>
      <c r="AH438" s="26"/>
      <c r="AI438" s="474"/>
      <c r="AK438" s="1518"/>
      <c r="AL438" s="1518"/>
      <c r="AM438" s="1518"/>
      <c r="AN438" s="1518"/>
      <c r="AO438" s="1518"/>
      <c r="AP438" s="1518"/>
      <c r="AQ438" s="1518"/>
    </row>
    <row r="439" spans="1:43" ht="14.5" outlineLevel="2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AI439" s="424"/>
    </row>
    <row r="440" spans="1:43" s="99" customFormat="1" ht="14.5" outlineLevel="2">
      <c r="C440" s="18" t="s">
        <v>840</v>
      </c>
      <c r="D440" s="18"/>
      <c r="E440" s="18"/>
      <c r="H440" s="99">
        <f>SUM(H441:H445)</f>
        <v>0</v>
      </c>
      <c r="I440" s="99">
        <f t="shared" ref="I440" si="980">SUM(I441:I445)</f>
        <v>0</v>
      </c>
      <c r="J440" s="99">
        <f t="shared" ref="J440" si="981">SUM(J441:J445)</f>
        <v>2738</v>
      </c>
      <c r="K440" s="99">
        <f t="shared" ref="K440:M440" si="982">SUM(K441:K445)</f>
        <v>2672</v>
      </c>
      <c r="L440" s="99">
        <f t="shared" si="982"/>
        <v>2963.5407</v>
      </c>
      <c r="M440" s="99">
        <f t="shared" si="982"/>
        <v>362.46800000000002</v>
      </c>
      <c r="N440" s="23">
        <f t="shared" ref="N440:S440" si="983">SUM(N441:N445)</f>
        <v>684.45379799999773</v>
      </c>
      <c r="O440" s="23">
        <f t="shared" si="983"/>
        <v>742.25379799999519</v>
      </c>
      <c r="P440" s="23">
        <f t="shared" si="983"/>
        <v>800.05379799999264</v>
      </c>
      <c r="Q440" s="23">
        <f t="shared" si="983"/>
        <v>852.07379799999035</v>
      </c>
      <c r="R440" s="23">
        <f t="shared" si="983"/>
        <v>897.15779799998836</v>
      </c>
      <c r="S440" s="23">
        <f t="shared" si="983"/>
        <v>924.20819799998719</v>
      </c>
      <c r="T440" s="1126"/>
      <c r="U440" s="1519">
        <f>$L440*(1+$AA440)</f>
        <v>3082.082328</v>
      </c>
      <c r="V440" s="1519">
        <f>U440*(1+$AA440)</f>
        <v>3205.36562112</v>
      </c>
      <c r="W440" s="1519">
        <f t="shared" ref="W440:Z440" si="984">V440*(1+$AA440)</f>
        <v>3333.5802459648003</v>
      </c>
      <c r="X440" s="1519">
        <f t="shared" si="984"/>
        <v>3466.9234558033922</v>
      </c>
      <c r="Y440" s="1519">
        <f t="shared" si="984"/>
        <v>3605.6003940355281</v>
      </c>
      <c r="Z440" s="1519">
        <f t="shared" si="984"/>
        <v>3749.8244097969496</v>
      </c>
      <c r="AA440" s="1520">
        <v>0.04</v>
      </c>
      <c r="AB440" s="1321"/>
      <c r="AC440" s="20"/>
      <c r="AD440" s="20"/>
      <c r="AE440" s="20"/>
      <c r="AF440" s="20"/>
      <c r="AG440" s="20"/>
      <c r="AH440" s="20"/>
      <c r="AI440" s="472"/>
      <c r="AJ440" s="1321"/>
      <c r="AK440" s="1519">
        <f>$L440*(1+$AQ440)</f>
        <v>2963.5407</v>
      </c>
      <c r="AL440" s="1519">
        <f>AK440*(1+$AQ440)</f>
        <v>2963.5407</v>
      </c>
      <c r="AM440" s="1519">
        <f t="shared" ref="AM440:AN440" si="985">AL440*(1+$AQ440)</f>
        <v>2963.5407</v>
      </c>
      <c r="AN440" s="1519">
        <f t="shared" si="985"/>
        <v>2963.5407</v>
      </c>
      <c r="AO440" s="1519">
        <f>AN440*(1+$AQ440)</f>
        <v>2963.5407</v>
      </c>
      <c r="AP440" s="1519">
        <f t="shared" ref="AP440" si="986">AO440*(1+$AQ440)</f>
        <v>2963.5407</v>
      </c>
      <c r="AQ440" s="1520">
        <v>0</v>
      </c>
    </row>
    <row r="441" spans="1:43" s="101" customFormat="1" ht="14.5" outlineLevel="2">
      <c r="C441" s="1"/>
      <c r="D441" s="27" t="s">
        <v>841</v>
      </c>
      <c r="E441" s="28"/>
      <c r="F441" s="28"/>
      <c r="G441" s="28"/>
      <c r="H441" s="114"/>
      <c r="I441" s="114"/>
      <c r="J441" s="398">
        <v>340</v>
      </c>
      <c r="K441" s="398">
        <v>70</v>
      </c>
      <c r="L441" s="398">
        <v>70.456000000000003</v>
      </c>
      <c r="M441" s="398">
        <v>0</v>
      </c>
      <c r="N441" s="703">
        <f>L441*(1+N447)</f>
        <v>0</v>
      </c>
      <c r="O441" s="29">
        <f>N441*(1+O447)</f>
        <v>0</v>
      </c>
      <c r="P441" s="29">
        <f t="shared" ref="P441:P445" si="987">O441*(1+P447)</f>
        <v>0</v>
      </c>
      <c r="Q441" s="29">
        <f t="shared" ref="Q441:Q445" si="988">P441*(1+Q447)</f>
        <v>0</v>
      </c>
      <c r="R441" s="29">
        <f t="shared" ref="R441:R445" si="989">Q441*(1+R447)</f>
        <v>0</v>
      </c>
      <c r="S441" s="30">
        <f t="shared" ref="S441:S445" si="990">R441*(1+S447)</f>
        <v>0</v>
      </c>
      <c r="T441" s="1321"/>
      <c r="U441" s="1515"/>
      <c r="V441" s="1515"/>
      <c r="W441" s="1515"/>
      <c r="X441" s="1515"/>
      <c r="Y441" s="1515"/>
      <c r="Z441" s="1515"/>
      <c r="AA441" s="1515"/>
      <c r="AB441" s="1321"/>
      <c r="AC441" s="1"/>
      <c r="AD441" s="1"/>
      <c r="AE441" s="1"/>
      <c r="AF441" s="1"/>
      <c r="AG441" s="1"/>
      <c r="AH441" s="1"/>
      <c r="AI441" s="415"/>
      <c r="AJ441" s="1321"/>
      <c r="AK441" s="1515"/>
      <c r="AL441" s="1515"/>
      <c r="AM441" s="1515"/>
      <c r="AN441" s="1515"/>
      <c r="AO441" s="1515"/>
      <c r="AP441" s="1515"/>
      <c r="AQ441" s="1515"/>
    </row>
    <row r="442" spans="1:43" ht="14.5" outlineLevel="2">
      <c r="C442" s="1"/>
      <c r="D442" s="31" t="s">
        <v>842</v>
      </c>
      <c r="E442" s="1"/>
      <c r="F442" s="1"/>
      <c r="G442" s="1"/>
      <c r="H442" s="115"/>
      <c r="I442" s="115"/>
      <c r="J442" s="400">
        <v>0</v>
      </c>
      <c r="K442" s="400">
        <v>0</v>
      </c>
      <c r="L442" s="400">
        <v>0</v>
      </c>
      <c r="M442" s="400">
        <v>0</v>
      </c>
      <c r="N442" s="704">
        <f t="shared" ref="N442:N445" si="991">L442*(1+N448)</f>
        <v>0</v>
      </c>
      <c r="O442" s="20">
        <f t="shared" ref="O442:O445" si="992">N442*(1+O448)</f>
        <v>0</v>
      </c>
      <c r="P442" s="20">
        <f t="shared" si="987"/>
        <v>0</v>
      </c>
      <c r="Q442" s="20">
        <f t="shared" si="988"/>
        <v>0</v>
      </c>
      <c r="R442" s="20">
        <f t="shared" si="989"/>
        <v>0</v>
      </c>
      <c r="S442" s="32">
        <f t="shared" si="990"/>
        <v>0</v>
      </c>
      <c r="T442" s="1321"/>
      <c r="U442" s="1515"/>
      <c r="V442" s="1515"/>
      <c r="W442" s="1515"/>
      <c r="X442" s="1515"/>
      <c r="Y442" s="1515"/>
      <c r="Z442" s="1515"/>
      <c r="AA442" s="1515"/>
      <c r="AB442" s="1321"/>
      <c r="AC442" s="1"/>
      <c r="AD442" s="1"/>
      <c r="AE442" s="1"/>
      <c r="AF442" s="1"/>
      <c r="AG442" s="1"/>
      <c r="AH442" s="1"/>
      <c r="AI442" s="415"/>
      <c r="AJ442" s="1321"/>
      <c r="AK442" s="1515"/>
      <c r="AL442" s="1515"/>
      <c r="AM442" s="1515"/>
      <c r="AN442" s="1515"/>
      <c r="AO442" s="1515"/>
      <c r="AP442" s="1515"/>
      <c r="AQ442" s="1515"/>
    </row>
    <row r="443" spans="1:43" ht="14.5" outlineLevel="2">
      <c r="C443" s="1"/>
      <c r="D443" s="31" t="s">
        <v>843</v>
      </c>
      <c r="E443" s="1"/>
      <c r="F443" s="1"/>
      <c r="G443" s="1"/>
      <c r="H443" s="115"/>
      <c r="I443" s="115"/>
      <c r="J443" s="400">
        <v>649</v>
      </c>
      <c r="K443" s="400">
        <v>629</v>
      </c>
      <c r="L443" s="400">
        <v>817.02280000000007</v>
      </c>
      <c r="M443" s="400">
        <v>4.9349999999999996</v>
      </c>
      <c r="N443" s="704">
        <f t="shared" si="991"/>
        <v>8.1702280000000087</v>
      </c>
      <c r="O443" s="20">
        <f t="shared" si="992"/>
        <v>8.1702280000000087</v>
      </c>
      <c r="P443" s="20">
        <f t="shared" si="987"/>
        <v>8.1702280000000087</v>
      </c>
      <c r="Q443" s="20">
        <f t="shared" si="988"/>
        <v>8.1702280000000087</v>
      </c>
      <c r="R443" s="20">
        <f t="shared" si="989"/>
        <v>8.1702280000000087</v>
      </c>
      <c r="S443" s="32">
        <f t="shared" si="990"/>
        <v>8.1702280000000087</v>
      </c>
      <c r="T443" s="1321"/>
      <c r="U443" s="1515"/>
      <c r="V443" s="1515"/>
      <c r="W443" s="1515"/>
      <c r="X443" s="1515"/>
      <c r="Y443" s="1515"/>
      <c r="Z443" s="1515"/>
      <c r="AA443" s="1515"/>
      <c r="AB443" s="1321"/>
      <c r="AC443" s="1"/>
      <c r="AD443" s="1"/>
      <c r="AE443" s="1"/>
      <c r="AF443" s="1"/>
      <c r="AG443" s="1"/>
      <c r="AH443" s="1"/>
      <c r="AI443" s="415"/>
      <c r="AJ443" s="1321"/>
      <c r="AK443" s="1515"/>
      <c r="AL443" s="1515"/>
      <c r="AM443" s="1515"/>
      <c r="AN443" s="1515"/>
      <c r="AO443" s="1515"/>
      <c r="AP443" s="1515"/>
      <c r="AQ443" s="1515"/>
    </row>
    <row r="444" spans="1:43" ht="14.5" outlineLevel="2">
      <c r="C444" s="1"/>
      <c r="D444" s="31" t="s">
        <v>844</v>
      </c>
      <c r="E444" s="1"/>
      <c r="F444" s="1"/>
      <c r="G444" s="1"/>
      <c r="H444" s="115"/>
      <c r="I444" s="115"/>
      <c r="J444" s="400">
        <v>1390</v>
      </c>
      <c r="K444" s="400">
        <v>1968</v>
      </c>
      <c r="L444" s="400">
        <v>2061.6119000000003</v>
      </c>
      <c r="M444" s="400">
        <v>301.38</v>
      </c>
      <c r="N444" s="704">
        <f t="shared" si="991"/>
        <v>618.48357000000021</v>
      </c>
      <c r="O444" s="20">
        <f t="shared" si="992"/>
        <v>618.48357000000021</v>
      </c>
      <c r="P444" s="20">
        <f t="shared" si="987"/>
        <v>618.48357000000021</v>
      </c>
      <c r="Q444" s="20">
        <f t="shared" si="988"/>
        <v>618.48357000000021</v>
      </c>
      <c r="R444" s="20">
        <f t="shared" si="989"/>
        <v>618.48357000000021</v>
      </c>
      <c r="S444" s="32">
        <f t="shared" si="990"/>
        <v>618.48357000000021</v>
      </c>
      <c r="T444" s="1321"/>
      <c r="U444" s="1515"/>
      <c r="V444" s="1515"/>
      <c r="W444" s="1515"/>
      <c r="X444" s="1515"/>
      <c r="Y444" s="1515"/>
      <c r="Z444" s="1515"/>
      <c r="AA444" s="1515"/>
      <c r="AB444" s="1321"/>
      <c r="AC444" s="1"/>
      <c r="AD444" s="1"/>
      <c r="AE444" s="1"/>
      <c r="AF444" s="1"/>
      <c r="AG444" s="1"/>
      <c r="AH444" s="1"/>
      <c r="AI444" s="415"/>
      <c r="AJ444" s="1321"/>
      <c r="AK444" s="1515"/>
      <c r="AL444" s="1515"/>
      <c r="AM444" s="1515"/>
      <c r="AN444" s="1515"/>
      <c r="AO444" s="1515"/>
      <c r="AP444" s="1515"/>
      <c r="AQ444" s="1515"/>
    </row>
    <row r="445" spans="1:43" ht="14.5" outlineLevel="2">
      <c r="C445" s="1"/>
      <c r="D445" s="33" t="s">
        <v>665</v>
      </c>
      <c r="E445" s="34"/>
      <c r="F445" s="34"/>
      <c r="G445" s="34"/>
      <c r="H445" s="116"/>
      <c r="I445" s="116"/>
      <c r="J445" s="402">
        <v>359</v>
      </c>
      <c r="K445" s="402">
        <v>5</v>
      </c>
      <c r="L445" s="402">
        <v>14.449999999999363</v>
      </c>
      <c r="M445" s="402">
        <v>56.15300000000002</v>
      </c>
      <c r="N445" s="705">
        <f t="shared" si="991"/>
        <v>57.799999999997453</v>
      </c>
      <c r="O445" s="35">
        <f t="shared" si="992"/>
        <v>115.59999999999491</v>
      </c>
      <c r="P445" s="35">
        <f t="shared" si="987"/>
        <v>173.39999999999236</v>
      </c>
      <c r="Q445" s="35">
        <f t="shared" si="988"/>
        <v>225.41999999999007</v>
      </c>
      <c r="R445" s="35">
        <f t="shared" si="989"/>
        <v>270.50399999998808</v>
      </c>
      <c r="S445" s="36">
        <f t="shared" si="990"/>
        <v>297.55439999998691</v>
      </c>
      <c r="T445" s="1321"/>
      <c r="U445" s="1515"/>
      <c r="V445" s="1515"/>
      <c r="W445" s="1515"/>
      <c r="X445" s="1515"/>
      <c r="Y445" s="1515"/>
      <c r="Z445" s="1515"/>
      <c r="AA445" s="1515"/>
      <c r="AB445" s="1321"/>
      <c r="AC445" s="448"/>
      <c r="AD445" s="448"/>
      <c r="AE445" s="448"/>
      <c r="AF445" s="448"/>
      <c r="AG445" s="448"/>
      <c r="AH445" s="448"/>
      <c r="AI445" s="415"/>
      <c r="AJ445" s="1321"/>
      <c r="AK445" s="1515"/>
      <c r="AL445" s="1515"/>
      <c r="AM445" s="1515"/>
      <c r="AN445" s="1515"/>
      <c r="AO445" s="1515"/>
      <c r="AP445" s="1515"/>
      <c r="AQ445" s="1515"/>
    </row>
    <row r="446" spans="1:43" s="1365" customFormat="1" ht="14.5" outlineLevel="3">
      <c r="A446" s="22"/>
      <c r="B446" s="22"/>
      <c r="C446" s="22" t="s">
        <v>847</v>
      </c>
      <c r="D446" s="22"/>
      <c r="E446" s="22"/>
      <c r="F446" s="22"/>
      <c r="G446" s="22"/>
      <c r="H446" s="219"/>
      <c r="I446" s="24"/>
      <c r="J446" s="24"/>
      <c r="K446" s="24"/>
      <c r="L446" s="754">
        <f>L440/J440-1</f>
        <v>8.2374251278305444E-2</v>
      </c>
      <c r="M446" s="24"/>
      <c r="N446" s="24">
        <f>N440/L440-1</f>
        <v>-0.76904187683334402</v>
      </c>
      <c r="O446" s="24">
        <f>O440/N440-1</f>
        <v>8.4446897904418838E-2</v>
      </c>
      <c r="P446" s="24">
        <f t="shared" ref="P446" si="993">P440/O440-1</f>
        <v>7.7870938694742486E-2</v>
      </c>
      <c r="Q446" s="24">
        <f t="shared" ref="Q446" si="994">Q440/P440-1</f>
        <v>6.5020627525348207E-2</v>
      </c>
      <c r="R446" s="24">
        <f t="shared" ref="R446" si="995">R440/Q440-1</f>
        <v>5.2910909953832963E-2</v>
      </c>
      <c r="S446" s="24">
        <f t="shared" ref="S446" si="996">S440/R440-1</f>
        <v>3.0151217612221171E-2</v>
      </c>
      <c r="T446" s="726"/>
      <c r="U446" s="1521"/>
      <c r="V446" s="1521"/>
      <c r="W446" s="1521"/>
      <c r="X446" s="1521"/>
      <c r="Y446" s="1521"/>
      <c r="Z446" s="1521"/>
      <c r="AA446" s="1522"/>
      <c r="AC446" s="219"/>
      <c r="AD446" s="219"/>
      <c r="AE446" s="219"/>
      <c r="AF446" s="219"/>
      <c r="AG446" s="219"/>
      <c r="AH446" s="219"/>
      <c r="AI446" s="706"/>
      <c r="AK446" s="1521"/>
      <c r="AL446" s="1521"/>
      <c r="AM446" s="1521"/>
      <c r="AN446" s="1521"/>
      <c r="AO446" s="1521"/>
      <c r="AP446" s="1521"/>
      <c r="AQ446" s="1522"/>
    </row>
    <row r="447" spans="1:43" s="1365" customFormat="1" ht="14.5" outlineLevel="3">
      <c r="A447" s="22"/>
      <c r="B447" s="22"/>
      <c r="C447" s="22"/>
      <c r="D447" s="707" t="s">
        <v>841</v>
      </c>
      <c r="E447" s="708"/>
      <c r="F447" s="708"/>
      <c r="G447" s="708"/>
      <c r="H447" s="709"/>
      <c r="I447" s="710"/>
      <c r="J447" s="710"/>
      <c r="K447" s="710"/>
      <c r="L447" s="1040">
        <f t="shared" ref="L447" si="997">IFERROR(L441/J441-1,"NA")</f>
        <v>-0.7927764705882353</v>
      </c>
      <c r="M447" s="710"/>
      <c r="N447" s="711">
        <f t="shared" ref="N447:N451" si="998">CHOOSE(case,U447,AC447,AK447)</f>
        <v>-1</v>
      </c>
      <c r="O447" s="712">
        <f t="shared" ref="O447:O451" si="999">CHOOSE(case,V447,AD447,AL447)</f>
        <v>0</v>
      </c>
      <c r="P447" s="712">
        <f t="shared" ref="P447:P451" si="1000">CHOOSE(case,W447,AE447,AM447)</f>
        <v>0</v>
      </c>
      <c r="Q447" s="712">
        <f t="shared" ref="Q447:Q451" si="1001">CHOOSE(case,X447,AF447,AN447)</f>
        <v>0</v>
      </c>
      <c r="R447" s="712">
        <f t="shared" ref="R447:R451" si="1002">CHOOSE(case,Y447,AG447,AO447)</f>
        <v>0</v>
      </c>
      <c r="S447" s="713">
        <f t="shared" ref="S447:S451" si="1003">CHOOSE(case,Z447,AH447,AP447)</f>
        <v>0</v>
      </c>
      <c r="T447" s="726"/>
      <c r="U447" s="1521"/>
      <c r="V447" s="1521"/>
      <c r="W447" s="1521"/>
      <c r="X447" s="1521"/>
      <c r="Y447" s="1521"/>
      <c r="Z447" s="1521"/>
      <c r="AA447" s="1523"/>
      <c r="AC447" s="714">
        <v>-1</v>
      </c>
      <c r="AD447" s="714">
        <v>0</v>
      </c>
      <c r="AE447" s="714">
        <v>0</v>
      </c>
      <c r="AF447" s="714">
        <v>0</v>
      </c>
      <c r="AG447" s="714">
        <v>0</v>
      </c>
      <c r="AH447" s="714">
        <v>0</v>
      </c>
      <c r="AI447" s="22"/>
      <c r="AK447" s="1521"/>
      <c r="AL447" s="1521"/>
      <c r="AM447" s="1521"/>
      <c r="AN447" s="1521"/>
      <c r="AO447" s="1521"/>
      <c r="AP447" s="1521"/>
      <c r="AQ447" s="1523"/>
    </row>
    <row r="448" spans="1:43" s="1365" customFormat="1" ht="14.5" outlineLevel="3">
      <c r="A448" s="22"/>
      <c r="B448" s="22"/>
      <c r="C448" s="22"/>
      <c r="D448" s="715" t="s">
        <v>842</v>
      </c>
      <c r="E448" s="22"/>
      <c r="F448" s="22"/>
      <c r="G448" s="22"/>
      <c r="H448" s="219"/>
      <c r="I448" s="175"/>
      <c r="J448" s="175"/>
      <c r="K448" s="175"/>
      <c r="L448" s="1040" t="str">
        <f>IFERROR(L442/J442-1,"NA")</f>
        <v>NA</v>
      </c>
      <c r="M448" s="175"/>
      <c r="N448" s="716">
        <f t="shared" si="998"/>
        <v>0</v>
      </c>
      <c r="O448" s="717">
        <f t="shared" si="999"/>
        <v>0</v>
      </c>
      <c r="P448" s="717">
        <f t="shared" si="1000"/>
        <v>0</v>
      </c>
      <c r="Q448" s="717">
        <f t="shared" si="1001"/>
        <v>0</v>
      </c>
      <c r="R448" s="717">
        <f t="shared" si="1002"/>
        <v>0</v>
      </c>
      <c r="S448" s="718">
        <f t="shared" si="1003"/>
        <v>0</v>
      </c>
      <c r="T448" s="726"/>
      <c r="U448" s="1521"/>
      <c r="V448" s="1521"/>
      <c r="W448" s="1521"/>
      <c r="X448" s="1521"/>
      <c r="Y448" s="1521"/>
      <c r="Z448" s="1521"/>
      <c r="AA448" s="1523"/>
      <c r="AC448" s="714">
        <v>0</v>
      </c>
      <c r="AD448" s="714">
        <v>0</v>
      </c>
      <c r="AE448" s="714">
        <v>0</v>
      </c>
      <c r="AF448" s="714">
        <v>0</v>
      </c>
      <c r="AG448" s="714">
        <v>0</v>
      </c>
      <c r="AH448" s="714">
        <v>0</v>
      </c>
      <c r="AI448" s="22"/>
      <c r="AK448" s="1521"/>
      <c r="AL448" s="1521"/>
      <c r="AM448" s="1521"/>
      <c r="AN448" s="1521"/>
      <c r="AO448" s="1521"/>
      <c r="AP448" s="1521"/>
      <c r="AQ448" s="1523"/>
    </row>
    <row r="449" spans="1:43" s="1365" customFormat="1" ht="14.5" outlineLevel="3">
      <c r="A449" s="22"/>
      <c r="B449" s="22"/>
      <c r="C449" s="22"/>
      <c r="D449" s="715" t="s">
        <v>843</v>
      </c>
      <c r="E449" s="22"/>
      <c r="F449" s="22"/>
      <c r="G449" s="22"/>
      <c r="H449" s="219"/>
      <c r="I449" s="175"/>
      <c r="J449" s="175"/>
      <c r="K449" s="175"/>
      <c r="L449" s="1040">
        <f t="shared" ref="L449:L451" si="1004">IFERROR(L443/J443-1,"NA")</f>
        <v>0.25889491525423747</v>
      </c>
      <c r="M449" s="175"/>
      <c r="N449" s="716">
        <f t="shared" si="998"/>
        <v>-0.99</v>
      </c>
      <c r="O449" s="717">
        <f t="shared" si="999"/>
        <v>0</v>
      </c>
      <c r="P449" s="717">
        <f t="shared" si="1000"/>
        <v>0</v>
      </c>
      <c r="Q449" s="717">
        <f t="shared" si="1001"/>
        <v>0</v>
      </c>
      <c r="R449" s="717">
        <f t="shared" si="1002"/>
        <v>0</v>
      </c>
      <c r="S449" s="718">
        <f t="shared" si="1003"/>
        <v>0</v>
      </c>
      <c r="T449" s="726"/>
      <c r="U449" s="1521"/>
      <c r="V449" s="1521"/>
      <c r="W449" s="1521"/>
      <c r="X449" s="1521"/>
      <c r="Y449" s="1521"/>
      <c r="Z449" s="1521"/>
      <c r="AA449" s="1523"/>
      <c r="AC449" s="714">
        <v>-0.99</v>
      </c>
      <c r="AD449" s="714">
        <v>0</v>
      </c>
      <c r="AE449" s="714">
        <v>0</v>
      </c>
      <c r="AF449" s="714">
        <v>0</v>
      </c>
      <c r="AG449" s="714">
        <v>0</v>
      </c>
      <c r="AH449" s="714">
        <v>0</v>
      </c>
      <c r="AI449" s="22"/>
      <c r="AK449" s="1521"/>
      <c r="AL449" s="1521"/>
      <c r="AM449" s="1521"/>
      <c r="AN449" s="1521"/>
      <c r="AO449" s="1521"/>
      <c r="AP449" s="1521"/>
      <c r="AQ449" s="1523"/>
    </row>
    <row r="450" spans="1:43" s="1365" customFormat="1" ht="14.5" outlineLevel="3">
      <c r="A450" s="22"/>
      <c r="B450" s="22"/>
      <c r="C450" s="22"/>
      <c r="D450" s="715" t="s">
        <v>844</v>
      </c>
      <c r="E450" s="22"/>
      <c r="F450" s="22"/>
      <c r="G450" s="22"/>
      <c r="H450" s="219"/>
      <c r="I450" s="175"/>
      <c r="J450" s="175"/>
      <c r="K450" s="175"/>
      <c r="L450" s="1040">
        <f t="shared" si="1004"/>
        <v>0.48317402877697857</v>
      </c>
      <c r="M450" s="175"/>
      <c r="N450" s="716">
        <f t="shared" si="998"/>
        <v>-0.7</v>
      </c>
      <c r="O450" s="717">
        <f t="shared" si="999"/>
        <v>0</v>
      </c>
      <c r="P450" s="717">
        <f t="shared" si="1000"/>
        <v>0</v>
      </c>
      <c r="Q450" s="717">
        <f t="shared" si="1001"/>
        <v>0</v>
      </c>
      <c r="R450" s="717">
        <f t="shared" si="1002"/>
        <v>0</v>
      </c>
      <c r="S450" s="718">
        <f t="shared" si="1003"/>
        <v>0</v>
      </c>
      <c r="T450" s="726"/>
      <c r="U450" s="1521"/>
      <c r="V450" s="1521"/>
      <c r="W450" s="1521"/>
      <c r="X450" s="1521"/>
      <c r="Y450" s="1521"/>
      <c r="Z450" s="1521"/>
      <c r="AA450" s="1523"/>
      <c r="AC450" s="714">
        <v>-0.7</v>
      </c>
      <c r="AD450" s="714">
        <v>0</v>
      </c>
      <c r="AE450" s="714">
        <v>0</v>
      </c>
      <c r="AF450" s="714">
        <v>0</v>
      </c>
      <c r="AG450" s="714">
        <v>0</v>
      </c>
      <c r="AH450" s="714">
        <v>0</v>
      </c>
      <c r="AI450" s="22"/>
      <c r="AK450" s="1521"/>
      <c r="AL450" s="1521"/>
      <c r="AM450" s="1521"/>
      <c r="AN450" s="1521"/>
      <c r="AO450" s="1521"/>
      <c r="AP450" s="1521"/>
      <c r="AQ450" s="1523"/>
    </row>
    <row r="451" spans="1:43" s="1365" customFormat="1" ht="14.5" outlineLevel="3">
      <c r="A451" s="22"/>
      <c r="B451" s="22"/>
      <c r="C451" s="22"/>
      <c r="D451" s="719" t="s">
        <v>665</v>
      </c>
      <c r="E451" s="720"/>
      <c r="F451" s="720"/>
      <c r="G451" s="720"/>
      <c r="H451" s="721"/>
      <c r="I451" s="722"/>
      <c r="J451" s="722"/>
      <c r="K451" s="722"/>
      <c r="L451" s="1041">
        <f t="shared" si="1004"/>
        <v>-0.95974930362117172</v>
      </c>
      <c r="M451" s="722"/>
      <c r="N451" s="723">
        <f t="shared" si="998"/>
        <v>3</v>
      </c>
      <c r="O451" s="724">
        <f t="shared" si="999"/>
        <v>1</v>
      </c>
      <c r="P451" s="724">
        <f t="shared" si="1000"/>
        <v>0.5</v>
      </c>
      <c r="Q451" s="724">
        <f t="shared" si="1001"/>
        <v>0.3</v>
      </c>
      <c r="R451" s="724">
        <f t="shared" si="1002"/>
        <v>0.2</v>
      </c>
      <c r="S451" s="725">
        <f t="shared" si="1003"/>
        <v>0.1</v>
      </c>
      <c r="T451" s="726"/>
      <c r="U451" s="1521"/>
      <c r="V451" s="1521"/>
      <c r="W451" s="1521"/>
      <c r="X451" s="1521"/>
      <c r="Y451" s="1521"/>
      <c r="Z451" s="1521"/>
      <c r="AA451" s="1523"/>
      <c r="AC451" s="714">
        <v>3</v>
      </c>
      <c r="AD451" s="714">
        <v>1</v>
      </c>
      <c r="AE451" s="714">
        <v>0.5</v>
      </c>
      <c r="AF451" s="714">
        <v>0.3</v>
      </c>
      <c r="AG451" s="714">
        <v>0.2</v>
      </c>
      <c r="AH451" s="714">
        <v>0.1</v>
      </c>
      <c r="AI451" s="22"/>
      <c r="AK451" s="1521"/>
      <c r="AL451" s="1521"/>
      <c r="AM451" s="1521"/>
      <c r="AN451" s="1521"/>
      <c r="AO451" s="1521"/>
      <c r="AP451" s="1521"/>
      <c r="AQ451" s="1523"/>
    </row>
    <row r="452" spans="1:43" s="1365" customFormat="1" ht="14.5" outlineLevel="3">
      <c r="A452" s="22"/>
      <c r="B452" s="22"/>
      <c r="C452" s="22" t="s">
        <v>848</v>
      </c>
      <c r="D452" s="22"/>
      <c r="E452" s="22"/>
      <c r="F452" s="22"/>
      <c r="G452" s="22"/>
      <c r="H452" s="24"/>
      <c r="I452" s="24"/>
      <c r="J452" s="24">
        <f>J440/J$440</f>
        <v>1</v>
      </c>
      <c r="K452" s="24">
        <f t="shared" ref="K452:S452" si="1005">K440/K$440</f>
        <v>1</v>
      </c>
      <c r="L452" s="24">
        <f t="shared" si="1005"/>
        <v>1</v>
      </c>
      <c r="M452" s="24">
        <f t="shared" si="1005"/>
        <v>1</v>
      </c>
      <c r="N452" s="24">
        <f t="shared" si="1005"/>
        <v>1</v>
      </c>
      <c r="O452" s="24">
        <f t="shared" si="1005"/>
        <v>1</v>
      </c>
      <c r="P452" s="24">
        <f t="shared" si="1005"/>
        <v>1</v>
      </c>
      <c r="Q452" s="24">
        <f t="shared" si="1005"/>
        <v>1</v>
      </c>
      <c r="R452" s="24">
        <f t="shared" si="1005"/>
        <v>1</v>
      </c>
      <c r="S452" s="24">
        <f t="shared" si="1005"/>
        <v>1</v>
      </c>
      <c r="T452" s="726"/>
      <c r="U452" s="1521"/>
      <c r="V452" s="1521"/>
      <c r="W452" s="1521"/>
      <c r="X452" s="1521"/>
      <c r="Y452" s="1521"/>
      <c r="Z452" s="1521"/>
      <c r="AA452" s="1522"/>
      <c r="AC452" s="219"/>
      <c r="AD452" s="219"/>
      <c r="AE452" s="219"/>
      <c r="AF452" s="219"/>
      <c r="AG452" s="219"/>
      <c r="AH452" s="219"/>
      <c r="AI452" s="706"/>
      <c r="AK452" s="1521"/>
      <c r="AL452" s="1521"/>
      <c r="AM452" s="1521"/>
      <c r="AN452" s="1521"/>
      <c r="AO452" s="1521"/>
      <c r="AP452" s="1521"/>
      <c r="AQ452" s="1522"/>
    </row>
    <row r="453" spans="1:43" s="1365" customFormat="1" ht="14.5" outlineLevel="3">
      <c r="A453" s="22"/>
      <c r="B453" s="22"/>
      <c r="C453" s="22"/>
      <c r="D453" s="707" t="s">
        <v>841</v>
      </c>
      <c r="E453" s="708"/>
      <c r="F453" s="708"/>
      <c r="G453" s="708"/>
      <c r="H453" s="793"/>
      <c r="I453" s="793"/>
      <c r="J453" s="793">
        <f t="shared" ref="J453:S453" si="1006">J441/J$440</f>
        <v>0.1241782322863404</v>
      </c>
      <c r="K453" s="793">
        <f t="shared" si="1006"/>
        <v>2.619760479041916E-2</v>
      </c>
      <c r="L453" s="793">
        <f t="shared" si="1006"/>
        <v>2.3774264345348791E-2</v>
      </c>
      <c r="M453" s="793">
        <f t="shared" si="1006"/>
        <v>0</v>
      </c>
      <c r="N453" s="793">
        <f t="shared" si="1006"/>
        <v>0</v>
      </c>
      <c r="O453" s="793">
        <f t="shared" si="1006"/>
        <v>0</v>
      </c>
      <c r="P453" s="793">
        <f t="shared" si="1006"/>
        <v>0</v>
      </c>
      <c r="Q453" s="793">
        <f t="shared" si="1006"/>
        <v>0</v>
      </c>
      <c r="R453" s="793">
        <f t="shared" si="1006"/>
        <v>0</v>
      </c>
      <c r="S453" s="803">
        <f t="shared" si="1006"/>
        <v>0</v>
      </c>
      <c r="T453" s="726"/>
      <c r="U453" s="1521"/>
      <c r="V453" s="1521"/>
      <c r="W453" s="1521"/>
      <c r="X453" s="1521"/>
      <c r="Y453" s="1521"/>
      <c r="Z453" s="1521"/>
      <c r="AA453" s="1523"/>
      <c r="AC453" s="728"/>
      <c r="AD453" s="728"/>
      <c r="AE453" s="728"/>
      <c r="AF453" s="728"/>
      <c r="AG453" s="728"/>
      <c r="AH453" s="728"/>
      <c r="AI453" s="22"/>
      <c r="AK453" s="1521"/>
      <c r="AL453" s="1521"/>
      <c r="AM453" s="1521"/>
      <c r="AN453" s="1521"/>
      <c r="AO453" s="1521"/>
      <c r="AP453" s="1521"/>
      <c r="AQ453" s="1523"/>
    </row>
    <row r="454" spans="1:43" s="1365" customFormat="1" ht="14.5" outlineLevel="3">
      <c r="A454" s="22"/>
      <c r="B454" s="22"/>
      <c r="C454" s="22"/>
      <c r="D454" s="715" t="s">
        <v>842</v>
      </c>
      <c r="E454" s="22"/>
      <c r="F454" s="22"/>
      <c r="G454" s="22"/>
      <c r="H454" s="91"/>
      <c r="I454" s="91"/>
      <c r="J454" s="91">
        <f t="shared" ref="J454:S454" si="1007">J442/J$440</f>
        <v>0</v>
      </c>
      <c r="K454" s="91">
        <f t="shared" si="1007"/>
        <v>0</v>
      </c>
      <c r="L454" s="91">
        <f t="shared" si="1007"/>
        <v>0</v>
      </c>
      <c r="M454" s="91">
        <f t="shared" si="1007"/>
        <v>0</v>
      </c>
      <c r="N454" s="91">
        <f t="shared" si="1007"/>
        <v>0</v>
      </c>
      <c r="O454" s="91">
        <f t="shared" si="1007"/>
        <v>0</v>
      </c>
      <c r="P454" s="91">
        <f t="shared" si="1007"/>
        <v>0</v>
      </c>
      <c r="Q454" s="91">
        <f t="shared" si="1007"/>
        <v>0</v>
      </c>
      <c r="R454" s="91">
        <f t="shared" si="1007"/>
        <v>0</v>
      </c>
      <c r="S454" s="804">
        <f t="shared" si="1007"/>
        <v>0</v>
      </c>
      <c r="T454" s="726"/>
      <c r="U454" s="1521"/>
      <c r="V454" s="1521"/>
      <c r="W454" s="1521"/>
      <c r="X454" s="1521"/>
      <c r="Y454" s="1521"/>
      <c r="Z454" s="1521"/>
      <c r="AA454" s="1523"/>
      <c r="AC454" s="728"/>
      <c r="AD454" s="728"/>
      <c r="AE454" s="728"/>
      <c r="AF454" s="728"/>
      <c r="AG454" s="728"/>
      <c r="AH454" s="728"/>
      <c r="AI454" s="22"/>
      <c r="AK454" s="1521"/>
      <c r="AL454" s="1521"/>
      <c r="AM454" s="1521"/>
      <c r="AN454" s="1521"/>
      <c r="AO454" s="1521"/>
      <c r="AP454" s="1521"/>
      <c r="AQ454" s="1523"/>
    </row>
    <row r="455" spans="1:43" s="1365" customFormat="1" ht="14.5" outlineLevel="3">
      <c r="A455" s="22"/>
      <c r="B455" s="22"/>
      <c r="C455" s="22"/>
      <c r="D455" s="715" t="s">
        <v>843</v>
      </c>
      <c r="E455" s="22"/>
      <c r="F455" s="22"/>
      <c r="G455" s="22"/>
      <c r="H455" s="91"/>
      <c r="I455" s="91"/>
      <c r="J455" s="91">
        <f t="shared" ref="J455:S455" si="1008">J443/J$440</f>
        <v>0.23703433162892623</v>
      </c>
      <c r="K455" s="91">
        <f t="shared" si="1008"/>
        <v>0.23540419161676646</v>
      </c>
      <c r="L455" s="91">
        <f t="shared" si="1008"/>
        <v>0.27569143896016007</v>
      </c>
      <c r="M455" s="91">
        <f t="shared" si="1008"/>
        <v>1.3614994978867099E-2</v>
      </c>
      <c r="N455" s="91">
        <f t="shared" si="1008"/>
        <v>1.1936858300551115E-2</v>
      </c>
      <c r="O455" s="91">
        <f t="shared" si="1008"/>
        <v>1.100732393962107E-2</v>
      </c>
      <c r="P455" s="91">
        <f t="shared" si="1008"/>
        <v>1.0212098261922237E-2</v>
      </c>
      <c r="Q455" s="91">
        <f t="shared" si="1008"/>
        <v>9.5886389408727027E-3</v>
      </c>
      <c r="R455" s="91">
        <f t="shared" si="1008"/>
        <v>9.1067903753539181E-3</v>
      </c>
      <c r="S455" s="804">
        <f t="shared" si="1008"/>
        <v>8.8402461887706844E-3</v>
      </c>
      <c r="T455" s="726"/>
      <c r="U455" s="1521"/>
      <c r="V455" s="1521"/>
      <c r="W455" s="1521"/>
      <c r="X455" s="1521"/>
      <c r="Y455" s="1521"/>
      <c r="Z455" s="1521"/>
      <c r="AA455" s="1523"/>
      <c r="AC455" s="728"/>
      <c r="AD455" s="728"/>
      <c r="AE455" s="728"/>
      <c r="AF455" s="728"/>
      <c r="AG455" s="728"/>
      <c r="AH455" s="728"/>
      <c r="AI455" s="22"/>
      <c r="AK455" s="1521"/>
      <c r="AL455" s="1521"/>
      <c r="AM455" s="1521"/>
      <c r="AN455" s="1521"/>
      <c r="AO455" s="1521"/>
      <c r="AP455" s="1521"/>
      <c r="AQ455" s="1523"/>
    </row>
    <row r="456" spans="1:43" s="1365" customFormat="1" ht="14.5" outlineLevel="3">
      <c r="A456" s="22"/>
      <c r="B456" s="22"/>
      <c r="C456" s="22"/>
      <c r="D456" s="715" t="s">
        <v>844</v>
      </c>
      <c r="E456" s="22"/>
      <c r="F456" s="22"/>
      <c r="G456" s="22"/>
      <c r="H456" s="91"/>
      <c r="I456" s="91"/>
      <c r="J456" s="91">
        <f t="shared" ref="J456:S456" si="1009">J444/J$440</f>
        <v>0.50766983199415627</v>
      </c>
      <c r="K456" s="91">
        <f t="shared" si="1009"/>
        <v>0.73652694610778446</v>
      </c>
      <c r="L456" s="91">
        <f t="shared" si="1009"/>
        <v>0.69565837243267836</v>
      </c>
      <c r="M456" s="91">
        <f t="shared" si="1009"/>
        <v>0.83146650187050986</v>
      </c>
      <c r="N456" s="91">
        <f t="shared" si="1009"/>
        <v>0.90361624379503003</v>
      </c>
      <c r="O456" s="91">
        <f t="shared" si="1009"/>
        <v>0.83325079867089369</v>
      </c>
      <c r="P456" s="91">
        <f t="shared" si="1009"/>
        <v>0.77305247665358356</v>
      </c>
      <c r="Q456" s="91">
        <f t="shared" si="1009"/>
        <v>0.72585681128996205</v>
      </c>
      <c r="R456" s="91">
        <f t="shared" si="1009"/>
        <v>0.6893810335024344</v>
      </c>
      <c r="S456" s="804">
        <f t="shared" si="1009"/>
        <v>0.66920372632315561</v>
      </c>
      <c r="T456" s="726"/>
      <c r="U456" s="1521"/>
      <c r="V456" s="1521"/>
      <c r="W456" s="1521"/>
      <c r="X456" s="1521"/>
      <c r="Y456" s="1521"/>
      <c r="Z456" s="1521"/>
      <c r="AA456" s="1523"/>
      <c r="AC456" s="728"/>
      <c r="AD456" s="728"/>
      <c r="AE456" s="728"/>
      <c r="AF456" s="728"/>
      <c r="AG456" s="728"/>
      <c r="AH456" s="728"/>
      <c r="AI456" s="22"/>
      <c r="AK456" s="1521"/>
      <c r="AL456" s="1521"/>
      <c r="AM456" s="1521"/>
      <c r="AN456" s="1521"/>
      <c r="AO456" s="1521"/>
      <c r="AP456" s="1521"/>
      <c r="AQ456" s="1523"/>
    </row>
    <row r="457" spans="1:43" s="1365" customFormat="1" ht="14.5" outlineLevel="3">
      <c r="A457" s="22"/>
      <c r="B457" s="22"/>
      <c r="C457" s="22"/>
      <c r="D457" s="719" t="s">
        <v>665</v>
      </c>
      <c r="E457" s="720"/>
      <c r="F457" s="720"/>
      <c r="G457" s="720"/>
      <c r="H457" s="794"/>
      <c r="I457" s="794"/>
      <c r="J457" s="794">
        <f t="shared" ref="J457:S457" si="1010">J445/J$440</f>
        <v>0.13111760409057707</v>
      </c>
      <c r="K457" s="794">
        <f t="shared" si="1010"/>
        <v>1.8712574850299401E-3</v>
      </c>
      <c r="L457" s="794">
        <f t="shared" si="1010"/>
        <v>4.8759242618126898E-3</v>
      </c>
      <c r="M457" s="794">
        <f t="shared" si="1010"/>
        <v>0.154918503150623</v>
      </c>
      <c r="N457" s="794">
        <f t="shared" si="1010"/>
        <v>8.4446897904418741E-2</v>
      </c>
      <c r="O457" s="794">
        <f t="shared" si="1010"/>
        <v>0.15574187738948511</v>
      </c>
      <c r="P457" s="794">
        <f t="shared" si="1010"/>
        <v>0.21673542508449409</v>
      </c>
      <c r="Q457" s="794">
        <f t="shared" si="1010"/>
        <v>0.2645545497691652</v>
      </c>
      <c r="R457" s="794">
        <f t="shared" si="1010"/>
        <v>0.30151217612221165</v>
      </c>
      <c r="S457" s="805">
        <f t="shared" si="1010"/>
        <v>0.32195602748807367</v>
      </c>
      <c r="T457" s="726"/>
      <c r="U457" s="1521"/>
      <c r="V457" s="1521"/>
      <c r="W457" s="1521"/>
      <c r="X457" s="1521"/>
      <c r="Y457" s="1521"/>
      <c r="Z457" s="1521"/>
      <c r="AA457" s="1523"/>
      <c r="AC457" s="728"/>
      <c r="AD457" s="728"/>
      <c r="AE457" s="728"/>
      <c r="AF457" s="728"/>
      <c r="AG457" s="728"/>
      <c r="AH457" s="728"/>
      <c r="AI457" s="22"/>
      <c r="AK457" s="1521"/>
      <c r="AL457" s="1521"/>
      <c r="AM457" s="1521"/>
      <c r="AN457" s="1521"/>
      <c r="AO457" s="1521"/>
      <c r="AP457" s="1521"/>
      <c r="AQ457" s="1523"/>
    </row>
    <row r="458" spans="1:43" ht="14.5" outlineLevel="2">
      <c r="C458" s="18" t="s">
        <v>31</v>
      </c>
      <c r="D458" s="1"/>
      <c r="E458" s="1"/>
      <c r="H458" s="764" t="str">
        <f>IFERROR(H464/H440,"NA")</f>
        <v>NA</v>
      </c>
      <c r="I458" s="764" t="str">
        <f t="shared" ref="I458:J458" si="1011">IFERROR(I464/I440,"NA")</f>
        <v>NA</v>
      </c>
      <c r="J458" s="764">
        <f t="shared" si="1011"/>
        <v>3.0807158509861212</v>
      </c>
      <c r="K458" s="764">
        <f t="shared" ref="K458:S458" si="1012">IFERROR(K464/K440,"NA")</f>
        <v>3.1661676646706587</v>
      </c>
      <c r="L458" s="764">
        <f t="shared" si="1012"/>
        <v>3.2542034902514838</v>
      </c>
      <c r="M458" s="764">
        <f t="shared" si="1012"/>
        <v>4.1387244247105315</v>
      </c>
      <c r="N458" s="764">
        <f t="shared" si="1012"/>
        <v>4.2117638090849177</v>
      </c>
      <c r="O458" s="764">
        <f t="shared" si="1012"/>
        <v>3.9721851875998868</v>
      </c>
      <c r="P458" s="764">
        <f t="shared" si="1012"/>
        <v>3.7672233490273319</v>
      </c>
      <c r="Q458" s="764">
        <f t="shared" si="1012"/>
        <v>3.6065326516553795</v>
      </c>
      <c r="R458" s="764">
        <f t="shared" si="1012"/>
        <v>3.4823407767299313</v>
      </c>
      <c r="S458" s="764">
        <f t="shared" si="1012"/>
        <v>3.4136415532579054</v>
      </c>
      <c r="T458" s="1479"/>
      <c r="U458" s="1524">
        <f>$L458*(1+$AA458)</f>
        <v>3.3192875600565137</v>
      </c>
      <c r="V458" s="1524">
        <f>U458*(1+$AA458)</f>
        <v>3.3856733112576443</v>
      </c>
      <c r="W458" s="1524">
        <f t="shared" ref="W458" si="1013">V458*(1+$AA458)</f>
        <v>3.4533867774827973</v>
      </c>
      <c r="X458" s="1524">
        <f t="shared" ref="X458" si="1014">W458*(1+$AA458)</f>
        <v>3.5224545130324532</v>
      </c>
      <c r="Y458" s="1524">
        <f t="shared" ref="Y458" si="1015">X458*(1+$AA458)</f>
        <v>3.5929036032931023</v>
      </c>
      <c r="Z458" s="1524">
        <f t="shared" ref="Z458" si="1016">Y458*(1+$AA458)</f>
        <v>3.6647616753589642</v>
      </c>
      <c r="AA458" s="1525">
        <v>0.02</v>
      </c>
      <c r="AB458" s="1126"/>
      <c r="AC458" s="733"/>
      <c r="AD458" s="733"/>
      <c r="AE458" s="733"/>
      <c r="AF458" s="733"/>
      <c r="AG458" s="733"/>
      <c r="AH458" s="733"/>
      <c r="AI458" s="472"/>
      <c r="AJ458" s="1321"/>
      <c r="AK458" s="1529">
        <f>$L458*(1+$AQ458)</f>
        <v>3.2542034902514838</v>
      </c>
      <c r="AL458" s="1529">
        <f>AK458*(1+$AQ458)</f>
        <v>3.2542034902514838</v>
      </c>
      <c r="AM458" s="1529">
        <f t="shared" ref="AM458:AN458" si="1017">AL458*(1+$AQ458)</f>
        <v>3.2542034902514838</v>
      </c>
      <c r="AN458" s="1529">
        <f t="shared" si="1017"/>
        <v>3.2542034902514838</v>
      </c>
      <c r="AO458" s="1529">
        <f>AN458*(1+$AQ458)</f>
        <v>3.2542034902514838</v>
      </c>
      <c r="AP458" s="1529">
        <f t="shared" ref="AP458" si="1018">AO458*(1+$AQ458)</f>
        <v>3.2542034902514838</v>
      </c>
      <c r="AQ458" s="1520">
        <v>0</v>
      </c>
    </row>
    <row r="459" spans="1:43" ht="14.5" outlineLevel="2">
      <c r="C459" s="1"/>
      <c r="D459" s="27" t="s">
        <v>841</v>
      </c>
      <c r="E459" s="28"/>
      <c r="F459" s="28"/>
      <c r="G459" s="28"/>
      <c r="H459" s="759" t="str">
        <f>IFERROR(H465/H441,"NA")</f>
        <v>NA</v>
      </c>
      <c r="I459" s="759" t="str">
        <f t="shared" ref="I459:J459" si="1019">IFERROR(I465/I441,"NA")</f>
        <v>NA</v>
      </c>
      <c r="J459" s="759">
        <f t="shared" si="1019"/>
        <v>3.9764705882352942</v>
      </c>
      <c r="K459" s="759">
        <f t="shared" ref="K459:M459" si="1020">IFERROR(K465/K441,"NA")</f>
        <v>2.5857142857142859</v>
      </c>
      <c r="L459" s="759">
        <f t="shared" si="1020"/>
        <v>2.5869047828283986</v>
      </c>
      <c r="M459" s="759" t="str">
        <f t="shared" si="1020"/>
        <v>NA</v>
      </c>
      <c r="N459" s="780">
        <f>CHOOSE(case,U459,AC459,AK459)</f>
        <v>0</v>
      </c>
      <c r="O459" s="781">
        <f t="shared" ref="O459:O463" si="1021">CHOOSE(case,V459,AD459,AL459)</f>
        <v>0</v>
      </c>
      <c r="P459" s="781">
        <f t="shared" ref="P459:P463" si="1022">CHOOSE(case,W459,AE459,AM459)</f>
        <v>0</v>
      </c>
      <c r="Q459" s="781">
        <f t="shared" ref="Q459:Q463" si="1023">CHOOSE(case,X459,AF459,AN459)</f>
        <v>0</v>
      </c>
      <c r="R459" s="781">
        <f t="shared" ref="R459:R463" si="1024">CHOOSE(case,Y459,AG459,AO459)</f>
        <v>0</v>
      </c>
      <c r="S459" s="782">
        <f t="shared" ref="S459:S463" si="1025">CHOOSE(case,Z459,AH459,AP459)</f>
        <v>0</v>
      </c>
      <c r="T459" s="1493"/>
      <c r="U459" s="1515"/>
      <c r="V459" s="1515"/>
      <c r="W459" s="1515"/>
      <c r="X459" s="1515"/>
      <c r="Y459" s="1515"/>
      <c r="Z459" s="1515"/>
      <c r="AA459" s="1515"/>
      <c r="AB459" s="1321"/>
      <c r="AC459" s="737"/>
      <c r="AD459" s="737"/>
      <c r="AE459" s="737"/>
      <c r="AF459" s="737"/>
      <c r="AG459" s="737"/>
      <c r="AH459" s="737"/>
      <c r="AI459" s="415"/>
      <c r="AJ459" s="1321"/>
      <c r="AK459" s="1515"/>
      <c r="AL459" s="1515"/>
      <c r="AM459" s="1515"/>
      <c r="AN459" s="1515"/>
      <c r="AO459" s="1515"/>
      <c r="AP459" s="1515"/>
      <c r="AQ459" s="1515"/>
    </row>
    <row r="460" spans="1:43" ht="14.5" outlineLevel="2">
      <c r="C460" s="1"/>
      <c r="D460" s="31" t="s">
        <v>842</v>
      </c>
      <c r="E460" s="1"/>
      <c r="F460" s="1"/>
      <c r="G460" s="1"/>
      <c r="H460" s="764" t="str">
        <f t="shared" ref="H460:J460" si="1026">IFERROR(H466/H442,"NA")</f>
        <v>NA</v>
      </c>
      <c r="I460" s="764" t="str">
        <f t="shared" si="1026"/>
        <v>NA</v>
      </c>
      <c r="J460" s="764" t="str">
        <f t="shared" si="1026"/>
        <v>NA</v>
      </c>
      <c r="K460" s="764" t="str">
        <f t="shared" ref="K460:M460" si="1027">IFERROR(K466/K442,"NA")</f>
        <v>NA</v>
      </c>
      <c r="L460" s="764" t="str">
        <f t="shared" si="1027"/>
        <v>NA</v>
      </c>
      <c r="M460" s="764" t="str">
        <f t="shared" si="1027"/>
        <v>NA</v>
      </c>
      <c r="N460" s="785">
        <f>CHOOSE(case,U460,AC460,AK460)</f>
        <v>0</v>
      </c>
      <c r="O460" s="786">
        <f t="shared" si="1021"/>
        <v>0</v>
      </c>
      <c r="P460" s="786">
        <f t="shared" si="1022"/>
        <v>0</v>
      </c>
      <c r="Q460" s="786">
        <f t="shared" si="1023"/>
        <v>0</v>
      </c>
      <c r="R460" s="786">
        <f t="shared" si="1024"/>
        <v>0</v>
      </c>
      <c r="S460" s="787">
        <f t="shared" si="1025"/>
        <v>0</v>
      </c>
      <c r="T460" s="1493"/>
      <c r="U460" s="1515"/>
      <c r="V460" s="1515"/>
      <c r="W460" s="1515"/>
      <c r="X460" s="1515"/>
      <c r="Y460" s="1515"/>
      <c r="Z460" s="1515"/>
      <c r="AA460" s="1515"/>
      <c r="AB460" s="1321"/>
      <c r="AC460" s="737"/>
      <c r="AD460" s="737"/>
      <c r="AE460" s="737"/>
      <c r="AF460" s="737"/>
      <c r="AG460" s="737"/>
      <c r="AH460" s="737"/>
      <c r="AI460" s="415"/>
      <c r="AJ460" s="1321"/>
      <c r="AK460" s="1515"/>
      <c r="AL460" s="1515"/>
      <c r="AM460" s="1515"/>
      <c r="AN460" s="1515"/>
      <c r="AO460" s="1515"/>
      <c r="AP460" s="1515"/>
      <c r="AQ460" s="1515"/>
    </row>
    <row r="461" spans="1:43" ht="14.5" outlineLevel="2">
      <c r="C461" s="1"/>
      <c r="D461" s="31" t="s">
        <v>843</v>
      </c>
      <c r="E461" s="1"/>
      <c r="F461" s="1"/>
      <c r="G461" s="1"/>
      <c r="H461" s="764" t="str">
        <f t="shared" ref="H461:J461" si="1028">IFERROR(H467/H443,"NA")</f>
        <v>NA</v>
      </c>
      <c r="I461" s="764" t="str">
        <f t="shared" si="1028"/>
        <v>NA</v>
      </c>
      <c r="J461" s="764">
        <f t="shared" si="1028"/>
        <v>4.6810477657935285</v>
      </c>
      <c r="K461" s="764">
        <f t="shared" ref="K461:M461" si="1029">IFERROR(K467/K443,"NA")</f>
        <v>5.7821939586645472</v>
      </c>
      <c r="L461" s="764">
        <f t="shared" si="1029"/>
        <v>4.8964113261710738</v>
      </c>
      <c r="M461" s="764">
        <f t="shared" si="1029"/>
        <v>66.737017941722002</v>
      </c>
      <c r="N461" s="785">
        <f>CHOOSE(case,U461,AC461,AK461)</f>
        <v>66.737017941722002</v>
      </c>
      <c r="O461" s="786">
        <f t="shared" si="1021"/>
        <v>66.737017941722002</v>
      </c>
      <c r="P461" s="786">
        <f t="shared" si="1022"/>
        <v>66.737017941722002</v>
      </c>
      <c r="Q461" s="786">
        <f t="shared" si="1023"/>
        <v>66.737017941722002</v>
      </c>
      <c r="R461" s="786">
        <f t="shared" si="1024"/>
        <v>66.737017941722002</v>
      </c>
      <c r="S461" s="787">
        <f t="shared" si="1025"/>
        <v>66.737017941722002</v>
      </c>
      <c r="T461" s="1493"/>
      <c r="U461" s="1515"/>
      <c r="V461" s="1515"/>
      <c r="W461" s="1515"/>
      <c r="X461" s="1515"/>
      <c r="Y461" s="1515"/>
      <c r="Z461" s="1515"/>
      <c r="AA461" s="1515"/>
      <c r="AB461" s="1321"/>
      <c r="AC461" s="737">
        <f t="shared" ref="AC461:AC462" si="1030">M461</f>
        <v>66.737017941722002</v>
      </c>
      <c r="AD461" s="737">
        <f t="shared" ref="AD461:AD462" si="1031">N461</f>
        <v>66.737017941722002</v>
      </c>
      <c r="AE461" s="737">
        <f t="shared" ref="AE461:AE463" si="1032">O461</f>
        <v>66.737017941722002</v>
      </c>
      <c r="AF461" s="737">
        <f t="shared" ref="AF461:AF463" si="1033">P461</f>
        <v>66.737017941722002</v>
      </c>
      <c r="AG461" s="737">
        <f t="shared" ref="AG461:AG463" si="1034">Q461</f>
        <v>66.737017941722002</v>
      </c>
      <c r="AH461" s="737">
        <f t="shared" ref="AH461:AH463" si="1035">R461</f>
        <v>66.737017941722002</v>
      </c>
      <c r="AI461" s="415"/>
      <c r="AJ461" s="1321"/>
      <c r="AK461" s="1515"/>
      <c r="AL461" s="1515"/>
      <c r="AM461" s="1515"/>
      <c r="AN461" s="1515"/>
      <c r="AO461" s="1515"/>
      <c r="AP461" s="1515"/>
      <c r="AQ461" s="1515"/>
    </row>
    <row r="462" spans="1:43" ht="14.5" outlineLevel="2">
      <c r="C462" s="1"/>
      <c r="D462" s="31" t="s">
        <v>844</v>
      </c>
      <c r="E462" s="1"/>
      <c r="F462" s="1"/>
      <c r="G462" s="1"/>
      <c r="H462" s="764" t="str">
        <f t="shared" ref="H462:J462" si="1036">IFERROR(H468/H444,"NA")</f>
        <v>NA</v>
      </c>
      <c r="I462" s="764" t="str">
        <f t="shared" si="1036"/>
        <v>NA</v>
      </c>
      <c r="J462" s="764">
        <f t="shared" si="1036"/>
        <v>2.7172661870503596</v>
      </c>
      <c r="K462" s="764">
        <f t="shared" ref="K462:M462" si="1037">IFERROR(K468/K444,"NA")</f>
        <v>2.3709349593495936</v>
      </c>
      <c r="L462" s="764">
        <f t="shared" si="1037"/>
        <v>2.3643364214138147</v>
      </c>
      <c r="M462" s="764">
        <f t="shared" si="1037"/>
        <v>3.6733219547528475</v>
      </c>
      <c r="N462" s="785">
        <f>CHOOSE(case,U462,AC462,AK462)</f>
        <v>3.6733219547528475</v>
      </c>
      <c r="O462" s="786">
        <f t="shared" si="1021"/>
        <v>3.6733219547528475</v>
      </c>
      <c r="P462" s="786">
        <f t="shared" si="1022"/>
        <v>3.6733219547528475</v>
      </c>
      <c r="Q462" s="786">
        <f t="shared" si="1023"/>
        <v>3.6733219547528475</v>
      </c>
      <c r="R462" s="786">
        <f t="shared" si="1024"/>
        <v>3.6733219547528475</v>
      </c>
      <c r="S462" s="787">
        <f t="shared" si="1025"/>
        <v>3.6733219547528475</v>
      </c>
      <c r="T462" s="1493"/>
      <c r="U462" s="1515"/>
      <c r="V462" s="1515"/>
      <c r="W462" s="1515"/>
      <c r="X462" s="1515"/>
      <c r="Y462" s="1515"/>
      <c r="Z462" s="1515"/>
      <c r="AA462" s="1515"/>
      <c r="AB462" s="1321"/>
      <c r="AC462" s="737">
        <f t="shared" si="1030"/>
        <v>3.6733219547528475</v>
      </c>
      <c r="AD462" s="737">
        <f t="shared" si="1031"/>
        <v>3.6733219547528475</v>
      </c>
      <c r="AE462" s="737">
        <f t="shared" si="1032"/>
        <v>3.6733219547528475</v>
      </c>
      <c r="AF462" s="737">
        <f t="shared" si="1033"/>
        <v>3.6733219547528475</v>
      </c>
      <c r="AG462" s="737">
        <f t="shared" si="1034"/>
        <v>3.6733219547528475</v>
      </c>
      <c r="AH462" s="737">
        <f t="shared" si="1035"/>
        <v>3.6733219547528475</v>
      </c>
      <c r="AI462" s="415"/>
      <c r="AJ462" s="1321"/>
      <c r="AK462" s="1515"/>
      <c r="AL462" s="1515"/>
      <c r="AM462" s="1515"/>
      <c r="AN462" s="1515"/>
      <c r="AO462" s="1515"/>
      <c r="AP462" s="1515"/>
      <c r="AQ462" s="1515"/>
    </row>
    <row r="463" spans="1:43" ht="15" outlineLevel="2" thickBot="1">
      <c r="C463" s="37"/>
      <c r="D463" s="33" t="s">
        <v>665</v>
      </c>
      <c r="E463" s="37"/>
      <c r="F463" s="37"/>
      <c r="G463" s="37"/>
      <c r="H463" s="774" t="str">
        <f t="shared" ref="H463:J463" si="1038">IFERROR(H469/H445,"NA")</f>
        <v>NA</v>
      </c>
      <c r="I463" s="774" t="str">
        <f t="shared" si="1038"/>
        <v>NA</v>
      </c>
      <c r="J463" s="774">
        <f t="shared" si="1038"/>
        <v>0.74651810584958223</v>
      </c>
      <c r="K463" s="774">
        <f t="shared" ref="K463:M463" si="1039">IFERROR(K469/K445,"NA")</f>
        <v>-4.8</v>
      </c>
      <c r="L463" s="774">
        <f t="shared" si="1039"/>
        <v>40.614375945553867</v>
      </c>
      <c r="M463" s="774">
        <f t="shared" si="1039"/>
        <v>1.135152360696063</v>
      </c>
      <c r="N463" s="789">
        <f>CHOOSE(case,U463,AC463,AK463)</f>
        <v>1.135152360696063</v>
      </c>
      <c r="O463" s="790">
        <f t="shared" si="1021"/>
        <v>1.135152360696063</v>
      </c>
      <c r="P463" s="790">
        <f t="shared" si="1022"/>
        <v>1.135152360696063</v>
      </c>
      <c r="Q463" s="790">
        <f t="shared" si="1023"/>
        <v>1.135152360696063</v>
      </c>
      <c r="R463" s="790">
        <f t="shared" si="1024"/>
        <v>1.135152360696063</v>
      </c>
      <c r="S463" s="791">
        <f t="shared" si="1025"/>
        <v>1.135152360696063</v>
      </c>
      <c r="T463" s="1493"/>
      <c r="U463" s="1515"/>
      <c r="V463" s="1515"/>
      <c r="W463" s="1515"/>
      <c r="X463" s="1515"/>
      <c r="Y463" s="1515"/>
      <c r="Z463" s="1515"/>
      <c r="AA463" s="1515"/>
      <c r="AB463" s="1321"/>
      <c r="AC463" s="737">
        <f>M463</f>
        <v>1.135152360696063</v>
      </c>
      <c r="AD463" s="737">
        <f>AC463</f>
        <v>1.135152360696063</v>
      </c>
      <c r="AE463" s="737">
        <f t="shared" si="1032"/>
        <v>1.135152360696063</v>
      </c>
      <c r="AF463" s="737">
        <f t="shared" si="1033"/>
        <v>1.135152360696063</v>
      </c>
      <c r="AG463" s="737">
        <f t="shared" si="1034"/>
        <v>1.135152360696063</v>
      </c>
      <c r="AH463" s="737">
        <f t="shared" si="1035"/>
        <v>1.135152360696063</v>
      </c>
      <c r="AI463" s="415"/>
      <c r="AJ463" s="1321"/>
      <c r="AK463" s="1515"/>
      <c r="AL463" s="1515"/>
      <c r="AM463" s="1515"/>
      <c r="AN463" s="1515"/>
      <c r="AO463" s="1515"/>
      <c r="AP463" s="1515"/>
      <c r="AQ463" s="1515"/>
    </row>
    <row r="464" spans="1:43" ht="14.5" outlineLevel="2">
      <c r="C464" s="18" t="s">
        <v>991</v>
      </c>
      <c r="D464" s="1"/>
      <c r="E464" s="1"/>
      <c r="H464" s="414">
        <v>37427</v>
      </c>
      <c r="I464" s="414">
        <v>21599</v>
      </c>
      <c r="J464" s="99">
        <f t="shared" ref="J464" si="1040">SUM(J465:J469)</f>
        <v>8435</v>
      </c>
      <c r="K464" s="99">
        <f t="shared" ref="K464:M464" si="1041">SUM(K465:K469)</f>
        <v>8460</v>
      </c>
      <c r="L464" s="99">
        <f t="shared" si="1041"/>
        <v>9643.9644894423254</v>
      </c>
      <c r="M464" s="99">
        <f t="shared" si="1041"/>
        <v>1500.155164775977</v>
      </c>
      <c r="N464" s="23">
        <f>SUM(N465:N469)</f>
        <v>2882.7577354071095</v>
      </c>
      <c r="O464" s="23">
        <f t="shared" ref="O464:S464" si="1042">SUM(O465:O469)</f>
        <v>2948.3695418553393</v>
      </c>
      <c r="P464" s="23">
        <f t="shared" si="1042"/>
        <v>3013.9813483035687</v>
      </c>
      <c r="Q464" s="23">
        <f t="shared" si="1042"/>
        <v>3073.0319741069752</v>
      </c>
      <c r="R464" s="23">
        <f t="shared" si="1042"/>
        <v>3124.2091831365942</v>
      </c>
      <c r="S464" s="23">
        <f t="shared" si="1042"/>
        <v>3154.9155085543662</v>
      </c>
      <c r="T464" s="1321"/>
      <c r="U464" s="1515"/>
      <c r="V464" s="1515"/>
      <c r="W464" s="1515"/>
      <c r="X464" s="1515"/>
      <c r="Y464" s="1515"/>
      <c r="Z464" s="1515"/>
      <c r="AA464" s="1515"/>
      <c r="AB464" s="1321"/>
      <c r="AC464" s="1"/>
      <c r="AD464" s="1"/>
      <c r="AE464" s="1"/>
      <c r="AF464" s="1"/>
      <c r="AG464" s="1"/>
      <c r="AH464" s="1"/>
      <c r="AI464" s="415"/>
      <c r="AJ464" s="1321"/>
      <c r="AK464" s="1515"/>
      <c r="AL464" s="1515"/>
      <c r="AM464" s="1515"/>
      <c r="AN464" s="1515"/>
      <c r="AO464" s="1515"/>
      <c r="AP464" s="1515"/>
      <c r="AQ464" s="1515"/>
    </row>
    <row r="465" spans="1:43" ht="14.5" outlineLevel="2">
      <c r="C465" s="1"/>
      <c r="D465" s="27" t="s">
        <v>841</v>
      </c>
      <c r="E465" s="28"/>
      <c r="F465" s="28"/>
      <c r="G465" s="28"/>
      <c r="H465" s="114"/>
      <c r="I465" s="114"/>
      <c r="J465" s="398">
        <v>1352</v>
      </c>
      <c r="K465" s="398">
        <v>181</v>
      </c>
      <c r="L465" s="398">
        <v>182.26296337895766</v>
      </c>
      <c r="M465" s="398">
        <v>0</v>
      </c>
      <c r="N465" s="29">
        <f>N441*N459</f>
        <v>0</v>
      </c>
      <c r="O465" s="29">
        <f t="shared" ref="O465:R465" si="1043">O441*O459</f>
        <v>0</v>
      </c>
      <c r="P465" s="29">
        <f t="shared" si="1043"/>
        <v>0</v>
      </c>
      <c r="Q465" s="29">
        <f t="shared" si="1043"/>
        <v>0</v>
      </c>
      <c r="R465" s="29">
        <f t="shared" si="1043"/>
        <v>0</v>
      </c>
      <c r="S465" s="30">
        <f>S441*S459</f>
        <v>0</v>
      </c>
      <c r="T465" s="1321"/>
      <c r="U465" s="1515"/>
      <c r="V465" s="1515"/>
      <c r="W465" s="1515"/>
      <c r="X465" s="1515"/>
      <c r="Y465" s="1515"/>
      <c r="Z465" s="1515"/>
      <c r="AA465" s="1515"/>
      <c r="AB465" s="1321"/>
      <c r="AC465" s="1"/>
      <c r="AD465" s="1"/>
      <c r="AE465" s="1"/>
      <c r="AF465" s="1"/>
      <c r="AG465" s="1"/>
      <c r="AH465" s="1"/>
      <c r="AI465" s="415"/>
      <c r="AJ465" s="1321"/>
      <c r="AK465" s="1515"/>
      <c r="AL465" s="1515"/>
      <c r="AM465" s="1515"/>
      <c r="AN465" s="1515"/>
      <c r="AO465" s="1515"/>
      <c r="AP465" s="1515"/>
      <c r="AQ465" s="1515"/>
    </row>
    <row r="466" spans="1:43" ht="14.5" outlineLevel="2">
      <c r="C466" s="1"/>
      <c r="D466" s="31" t="s">
        <v>842</v>
      </c>
      <c r="E466" s="1"/>
      <c r="F466" s="1"/>
      <c r="G466" s="1"/>
      <c r="H466" s="115"/>
      <c r="I466" s="115"/>
      <c r="J466" s="400">
        <v>0</v>
      </c>
      <c r="K466" s="400">
        <v>0</v>
      </c>
      <c r="L466" s="400">
        <v>0</v>
      </c>
      <c r="M466" s="400">
        <v>0</v>
      </c>
      <c r="N466" s="20">
        <f t="shared" ref="N466:S466" si="1044">N442*N460</f>
        <v>0</v>
      </c>
      <c r="O466" s="20">
        <f t="shared" si="1044"/>
        <v>0</v>
      </c>
      <c r="P466" s="20">
        <f t="shared" si="1044"/>
        <v>0</v>
      </c>
      <c r="Q466" s="20">
        <f t="shared" si="1044"/>
        <v>0</v>
      </c>
      <c r="R466" s="20">
        <f t="shared" si="1044"/>
        <v>0</v>
      </c>
      <c r="S466" s="32">
        <f t="shared" si="1044"/>
        <v>0</v>
      </c>
      <c r="T466" s="1321"/>
      <c r="U466" s="1515"/>
      <c r="V466" s="1515"/>
      <c r="W466" s="1515"/>
      <c r="X466" s="1515"/>
      <c r="Y466" s="1515"/>
      <c r="Z466" s="1515"/>
      <c r="AA466" s="1515"/>
      <c r="AB466" s="1321"/>
      <c r="AC466" s="1"/>
      <c r="AD466" s="1"/>
      <c r="AE466" s="1"/>
      <c r="AF466" s="1"/>
      <c r="AG466" s="1"/>
      <c r="AH466" s="1"/>
      <c r="AI466" s="415"/>
      <c r="AJ466" s="1321"/>
      <c r="AK466" s="1515"/>
      <c r="AL466" s="1515"/>
      <c r="AM466" s="1515"/>
      <c r="AN466" s="1515"/>
      <c r="AO466" s="1515"/>
      <c r="AP466" s="1515"/>
      <c r="AQ466" s="1515"/>
    </row>
    <row r="467" spans="1:43" ht="14.5" outlineLevel="2">
      <c r="C467" s="1"/>
      <c r="D467" s="31" t="s">
        <v>843</v>
      </c>
      <c r="E467" s="1"/>
      <c r="F467" s="1"/>
      <c r="G467" s="1"/>
      <c r="H467" s="115"/>
      <c r="I467" s="115"/>
      <c r="J467" s="400">
        <v>3038</v>
      </c>
      <c r="K467" s="400">
        <v>3637</v>
      </c>
      <c r="L467" s="400">
        <v>4000.4796916600044</v>
      </c>
      <c r="M467" s="400">
        <v>329.34718354239806</v>
      </c>
      <c r="N467" s="20">
        <f>N443*N461</f>
        <v>545.25665262396001</v>
      </c>
      <c r="O467" s="20">
        <f t="shared" ref="O467:S467" si="1045">O443*O461</f>
        <v>545.25665262396001</v>
      </c>
      <c r="P467" s="20">
        <f t="shared" si="1045"/>
        <v>545.25665262396001</v>
      </c>
      <c r="Q467" s="20">
        <f t="shared" si="1045"/>
        <v>545.25665262396001</v>
      </c>
      <c r="R467" s="20">
        <f t="shared" si="1045"/>
        <v>545.25665262396001</v>
      </c>
      <c r="S467" s="32">
        <f t="shared" si="1045"/>
        <v>545.25665262396001</v>
      </c>
      <c r="T467" s="1321"/>
      <c r="U467" s="1515"/>
      <c r="V467" s="1515"/>
      <c r="W467" s="1515"/>
      <c r="X467" s="1515"/>
      <c r="Y467" s="1515"/>
      <c r="Z467" s="1515"/>
      <c r="AA467" s="1515"/>
      <c r="AB467" s="1321"/>
      <c r="AC467" s="1"/>
      <c r="AD467" s="1"/>
      <c r="AE467" s="1"/>
      <c r="AF467" s="1"/>
      <c r="AG467" s="1"/>
      <c r="AH467" s="1"/>
      <c r="AI467" s="415"/>
      <c r="AJ467" s="1321"/>
      <c r="AK467" s="1515"/>
      <c r="AL467" s="1515"/>
      <c r="AM467" s="1515"/>
      <c r="AN467" s="1515"/>
      <c r="AO467" s="1515"/>
      <c r="AP467" s="1515"/>
      <c r="AQ467" s="1515"/>
    </row>
    <row r="468" spans="1:43" ht="14.5" outlineLevel="2">
      <c r="C468" s="1"/>
      <c r="D468" s="31" t="s">
        <v>844</v>
      </c>
      <c r="E468" s="1"/>
      <c r="F468" s="1"/>
      <c r="G468" s="1"/>
      <c r="H468" s="115"/>
      <c r="I468" s="115"/>
      <c r="J468" s="400">
        <v>3777</v>
      </c>
      <c r="K468" s="400">
        <v>4666</v>
      </c>
      <c r="L468" s="400">
        <v>4874.3441019901356</v>
      </c>
      <c r="M468" s="400">
        <v>1107.0657707234132</v>
      </c>
      <c r="N468" s="20">
        <f t="shared" ref="N468:S468" si="1046">N444*N462</f>
        <v>2271.8892763349204</v>
      </c>
      <c r="O468" s="20">
        <f t="shared" si="1046"/>
        <v>2271.8892763349204</v>
      </c>
      <c r="P468" s="20">
        <f t="shared" si="1046"/>
        <v>2271.8892763349204</v>
      </c>
      <c r="Q468" s="20">
        <f t="shared" si="1046"/>
        <v>2271.8892763349204</v>
      </c>
      <c r="R468" s="20">
        <f t="shared" si="1046"/>
        <v>2271.8892763349204</v>
      </c>
      <c r="S468" s="32">
        <f t="shared" si="1046"/>
        <v>2271.8892763349204</v>
      </c>
      <c r="T468" s="1321"/>
      <c r="U468" s="1515"/>
      <c r="V468" s="1515"/>
      <c r="W468" s="1515"/>
      <c r="X468" s="1515"/>
      <c r="Y468" s="1515"/>
      <c r="Z468" s="1515"/>
      <c r="AA468" s="1515"/>
      <c r="AB468" s="1321"/>
      <c r="AC468" s="1"/>
      <c r="AD468" s="1"/>
      <c r="AE468" s="1"/>
      <c r="AF468" s="1"/>
      <c r="AG468" s="1"/>
      <c r="AH468" s="1"/>
      <c r="AI468" s="415"/>
      <c r="AJ468" s="1321"/>
      <c r="AK468" s="1515"/>
      <c r="AL468" s="1515"/>
      <c r="AM468" s="1515"/>
      <c r="AN468" s="1515"/>
      <c r="AO468" s="1515"/>
      <c r="AP468" s="1515"/>
      <c r="AQ468" s="1515"/>
    </row>
    <row r="469" spans="1:43" ht="14.5" outlineLevel="2">
      <c r="C469" s="1"/>
      <c r="D469" s="33" t="s">
        <v>665</v>
      </c>
      <c r="E469" s="34"/>
      <c r="F469" s="34"/>
      <c r="G469" s="34"/>
      <c r="H469" s="116"/>
      <c r="I469" s="116"/>
      <c r="J469" s="402">
        <v>268</v>
      </c>
      <c r="K469" s="402">
        <v>-24</v>
      </c>
      <c r="L469" s="402">
        <v>586.87773241322748</v>
      </c>
      <c r="M469" s="402">
        <v>63.742210510166046</v>
      </c>
      <c r="N469" s="35">
        <f t="shared" ref="N469:S469" si="1047">N445*N463</f>
        <v>65.611806448229544</v>
      </c>
      <c r="O469" s="35">
        <f t="shared" si="1047"/>
        <v>131.22361289645909</v>
      </c>
      <c r="P469" s="35">
        <f t="shared" si="1047"/>
        <v>196.83541934468863</v>
      </c>
      <c r="Q469" s="35">
        <f t="shared" si="1047"/>
        <v>255.88604514809523</v>
      </c>
      <c r="R469" s="35">
        <f t="shared" si="1047"/>
        <v>307.06325417771427</v>
      </c>
      <c r="S469" s="36">
        <f t="shared" si="1047"/>
        <v>337.76957959548577</v>
      </c>
      <c r="T469" s="1321"/>
      <c r="U469" s="1515"/>
      <c r="V469" s="1515"/>
      <c r="W469" s="1515"/>
      <c r="X469" s="1515"/>
      <c r="Y469" s="1515"/>
      <c r="Z469" s="1515"/>
      <c r="AA469" s="1515"/>
      <c r="AB469" s="1321"/>
      <c r="AC469" s="1"/>
      <c r="AD469" s="1"/>
      <c r="AE469" s="1"/>
      <c r="AF469" s="1"/>
      <c r="AG469" s="1"/>
      <c r="AH469" s="1"/>
      <c r="AI469" s="415"/>
      <c r="AJ469" s="1321"/>
      <c r="AK469" s="1515"/>
      <c r="AL469" s="1515"/>
      <c r="AM469" s="1515"/>
      <c r="AN469" s="1515"/>
      <c r="AO469" s="1515"/>
      <c r="AP469" s="1515"/>
      <c r="AQ469" s="1515"/>
    </row>
    <row r="470" spans="1:43" ht="14.5" outlineLevel="2">
      <c r="C470" s="1"/>
      <c r="D470" s="1"/>
      <c r="E470" s="1"/>
      <c r="AI470" s="424"/>
    </row>
    <row r="471" spans="1:43" ht="15" outlineLevel="2" thickBot="1">
      <c r="C471" s="37" t="s">
        <v>160</v>
      </c>
      <c r="D471" s="37"/>
      <c r="E471" s="37"/>
      <c r="F471" s="109"/>
      <c r="G471" s="109"/>
      <c r="H471" s="117">
        <f>1-H472/H464</f>
        <v>2.0840569642236462E-3</v>
      </c>
      <c r="I471" s="117">
        <f t="shared" ref="I471" si="1048">1-I472/I464</f>
        <v>-2.4538173063568536E-3</v>
      </c>
      <c r="J471" s="117">
        <f t="shared" ref="J471" si="1049">1-J472/J464</f>
        <v>-7.9430942501481638E-3</v>
      </c>
      <c r="K471" s="117">
        <f t="shared" ref="K471:M471" si="1050">1-K472/K464</f>
        <v>8.0378250591016664E-3</v>
      </c>
      <c r="L471" s="117">
        <f t="shared" si="1050"/>
        <v>8.0378250591017775E-3</v>
      </c>
      <c r="M471" s="117">
        <f t="shared" si="1050"/>
        <v>8.0378250591014444E-3</v>
      </c>
      <c r="N471" s="160">
        <f t="shared" ref="N471" si="1051">L471</f>
        <v>8.0378250591017775E-3</v>
      </c>
      <c r="O471" s="160">
        <f t="shared" ref="O471" si="1052">N471</f>
        <v>8.0378250591017775E-3</v>
      </c>
      <c r="P471" s="160">
        <f t="shared" ref="P471" si="1053">O471</f>
        <v>8.0378250591017775E-3</v>
      </c>
      <c r="Q471" s="160">
        <f t="shared" ref="Q471" si="1054">P471</f>
        <v>8.0378250591017775E-3</v>
      </c>
      <c r="R471" s="160">
        <f t="shared" ref="R471" si="1055">Q471</f>
        <v>8.0378250591017775E-3</v>
      </c>
      <c r="S471" s="160">
        <f t="shared" ref="S471" si="1056">R471</f>
        <v>8.0378250591017775E-3</v>
      </c>
      <c r="AI471" s="424"/>
    </row>
    <row r="472" spans="1:43" s="101" customFormat="1" ht="15" outlineLevel="2" thickBot="1">
      <c r="C472" s="76" t="s">
        <v>992</v>
      </c>
      <c r="D472" s="76"/>
      <c r="E472" s="76"/>
      <c r="F472" s="110"/>
      <c r="G472" s="110"/>
      <c r="H472" s="409">
        <v>37349</v>
      </c>
      <c r="I472" s="409">
        <v>21652</v>
      </c>
      <c r="J472" s="409">
        <v>8502</v>
      </c>
      <c r="K472" s="409">
        <v>8392</v>
      </c>
      <c r="L472" s="409">
        <v>9566.4479899999988</v>
      </c>
      <c r="M472" s="409">
        <v>1488.0971800000002</v>
      </c>
      <c r="N472" s="113">
        <f t="shared" ref="N472:S472" si="1057">N464*(1-N471)</f>
        <v>2859.586633042135</v>
      </c>
      <c r="O472" s="113">
        <f t="shared" si="1057"/>
        <v>2924.6710632683221</v>
      </c>
      <c r="P472" s="113">
        <f t="shared" si="1057"/>
        <v>2989.7554934945088</v>
      </c>
      <c r="Q472" s="113">
        <f t="shared" si="1057"/>
        <v>3048.331480698077</v>
      </c>
      <c r="R472" s="113">
        <f t="shared" si="1057"/>
        <v>3099.097336274503</v>
      </c>
      <c r="S472" s="113">
        <f t="shared" si="1057"/>
        <v>3129.5568496203591</v>
      </c>
      <c r="T472" s="525"/>
      <c r="U472" s="1512"/>
      <c r="V472" s="1512"/>
      <c r="W472" s="1512"/>
      <c r="X472" s="1512"/>
      <c r="Y472" s="1512"/>
      <c r="Z472" s="1512"/>
      <c r="AA472" s="1512"/>
      <c r="AI472" s="473"/>
      <c r="AK472" s="1512"/>
      <c r="AL472" s="1512"/>
      <c r="AM472" s="1512"/>
      <c r="AN472" s="1512"/>
      <c r="AO472" s="1512"/>
      <c r="AP472" s="1512"/>
      <c r="AQ472" s="1512"/>
    </row>
    <row r="473" spans="1:43" s="101" customFormat="1" ht="14.5" outlineLevel="2">
      <c r="C473" s="97" t="s">
        <v>659</v>
      </c>
      <c r="H473" s="394">
        <v>-27622</v>
      </c>
      <c r="I473" s="394">
        <v>-17218</v>
      </c>
      <c r="J473" s="394">
        <v>-7812</v>
      </c>
      <c r="K473" s="394">
        <v>-7857</v>
      </c>
      <c r="L473" s="394">
        <v>-8279.7853606059416</v>
      </c>
      <c r="M473" s="394">
        <v>-1175.4280267561564</v>
      </c>
      <c r="N473" s="20">
        <f>N474*N440</f>
        <v>-2219.5784929673632</v>
      </c>
      <c r="O473" s="20">
        <f t="shared" ref="O473:S473" si="1058">O474*O440</f>
        <v>-2235.5303689703833</v>
      </c>
      <c r="P473" s="20">
        <f t="shared" si="1058"/>
        <v>-2272.5695498560726</v>
      </c>
      <c r="Q473" s="20">
        <f t="shared" si="1058"/>
        <v>-2312.4596289865885</v>
      </c>
      <c r="R473" s="20">
        <f t="shared" si="1058"/>
        <v>-2345.9293710775664</v>
      </c>
      <c r="S473" s="20">
        <f t="shared" si="1058"/>
        <v>-2359.5957133279203</v>
      </c>
      <c r="U473" s="1512"/>
      <c r="V473" s="1512"/>
      <c r="W473" s="1512"/>
      <c r="X473" s="1512"/>
      <c r="Y473" s="1512"/>
      <c r="Z473" s="1512"/>
      <c r="AA473" s="1512"/>
      <c r="AI473" s="473"/>
      <c r="AK473" s="1512"/>
      <c r="AL473" s="1512"/>
      <c r="AM473" s="1512"/>
      <c r="AN473" s="1512"/>
      <c r="AO473" s="1512"/>
      <c r="AP473" s="1512"/>
      <c r="AQ473" s="1512"/>
    </row>
    <row r="474" spans="1:43" s="101" customFormat="1" ht="14.5" outlineLevel="2">
      <c r="C474" s="97"/>
      <c r="D474" s="1" t="s">
        <v>849</v>
      </c>
      <c r="E474" s="1"/>
      <c r="H474" s="394"/>
      <c r="I474" s="394"/>
      <c r="J474" s="744">
        <f t="shared" ref="J474" si="1059">J473/J440</f>
        <v>-2.8531775018261505</v>
      </c>
      <c r="K474" s="744">
        <f>K473/K440</f>
        <v>-2.9404940119760479</v>
      </c>
      <c r="L474" s="744">
        <f t="shared" ref="L474" si="1060">L473/L440</f>
        <v>-2.7938827904762507</v>
      </c>
      <c r="M474" s="744">
        <f t="shared" ref="M474" si="1061">M473/M440</f>
        <v>-3.2428463388662072</v>
      </c>
      <c r="N474" s="1039">
        <f>M474</f>
        <v>-3.2428463388662072</v>
      </c>
      <c r="O474" s="744">
        <f>N474*(1+O475)</f>
        <v>-3.0118139846424845</v>
      </c>
      <c r="P474" s="744">
        <f t="shared" ref="P474" si="1062">O474*(1+P475)</f>
        <v>-2.8405209193895904</v>
      </c>
      <c r="Q474" s="744">
        <f t="shared" ref="Q474" si="1063">P474*(1+Q475)</f>
        <v>-2.7139194215506373</v>
      </c>
      <c r="R474" s="744">
        <f t="shared" ref="R474" si="1064">Q474*(1+R475)</f>
        <v>-2.6148458791834486</v>
      </c>
      <c r="S474" s="744">
        <f t="shared" ref="S474" si="1065">R474*(1+S475)</f>
        <v>-2.5530997435795877</v>
      </c>
      <c r="U474" s="1512"/>
      <c r="V474" s="1512"/>
      <c r="W474" s="1512"/>
      <c r="X474" s="1512"/>
      <c r="Y474" s="1512"/>
      <c r="Z474" s="1512"/>
      <c r="AA474" s="1512"/>
      <c r="AI474" s="473"/>
      <c r="AK474" s="1512"/>
      <c r="AL474" s="1512"/>
      <c r="AM474" s="1512"/>
      <c r="AN474" s="1512"/>
      <c r="AO474" s="1512"/>
      <c r="AP474" s="1512"/>
      <c r="AQ474" s="1512"/>
    </row>
    <row r="475" spans="1:43" s="101" customFormat="1" ht="15" outlineLevel="2" thickBot="1">
      <c r="C475" s="109"/>
      <c r="D475" s="74"/>
      <c r="E475" s="74" t="s">
        <v>151</v>
      </c>
      <c r="H475" s="404"/>
      <c r="I475" s="404"/>
      <c r="J475" s="404"/>
      <c r="K475" s="404"/>
      <c r="L475" s="75">
        <f>L474/J474-1</f>
        <v>-2.0781991766004371E-2</v>
      </c>
      <c r="M475" s="404"/>
      <c r="N475" s="75">
        <f>N474/L474-1</f>
        <v>0.16069519806642485</v>
      </c>
      <c r="O475" s="161">
        <f>CHOOSE(case,V475,AD475,AL475)</f>
        <v>-7.1243694607034058E-2</v>
      </c>
      <c r="P475" s="161">
        <f t="shared" ref="P475" si="1066">CHOOSE(case,W475,AE475,AM475)</f>
        <v>-5.6873719999420036E-2</v>
      </c>
      <c r="Q475" s="161">
        <f t="shared" ref="Q475" si="1067">CHOOSE(case,X475,AF475,AN475)</f>
        <v>-4.4569817097548037E-2</v>
      </c>
      <c r="R475" s="161">
        <f t="shared" ref="R475" si="1068">CHOOSE(case,Y475,AG475,AO475)</f>
        <v>-3.6505705210135408E-2</v>
      </c>
      <c r="S475" s="1044">
        <f t="shared" ref="S475" si="1069">CHOOSE(case,Z475,AH475,AP475)</f>
        <v>-2.3613680674419935E-2</v>
      </c>
      <c r="U475" s="1512"/>
      <c r="V475" s="1512"/>
      <c r="W475" s="1512"/>
      <c r="X475" s="1512"/>
      <c r="Y475" s="1512"/>
      <c r="Z475" s="1512"/>
      <c r="AA475" s="1512"/>
      <c r="AC475" s="829"/>
      <c r="AD475" s="1042">
        <f>(SUMPRODUCT(O453:O456,各区域分剂型成本优化!K$195:K$198)+O457*O463)/(SUMPRODUCT(N453:N456,各区域分剂型成本优化!J$195:J$198)+N457*N463)-1</f>
        <v>-7.1243694607034058E-2</v>
      </c>
      <c r="AE475" s="1042">
        <f>(SUMPRODUCT(P453:P456,各区域分剂型成本优化!L$195:L$198)+P457*P463)/(SUMPRODUCT(O453:O456,各区域分剂型成本优化!K$195:K$198)+O457*O463)-1</f>
        <v>-5.6873719999420036E-2</v>
      </c>
      <c r="AF475" s="1042">
        <f>(SUMPRODUCT(Q453:Q456,各区域分剂型成本优化!M$195:M$198)+Q457*Q463)/(SUMPRODUCT(P453:P456,各区域分剂型成本优化!L$195:L$198)+P457*P463)-1</f>
        <v>-4.4569817097548037E-2</v>
      </c>
      <c r="AG475" s="1042">
        <f>(SUMPRODUCT(R453:R456,各区域分剂型成本优化!N$195:N$198)+R457*R463)/(SUMPRODUCT(Q453:Q456,各区域分剂型成本优化!M$195:M$198)+Q457*Q463)-1</f>
        <v>-3.6505705210135408E-2</v>
      </c>
      <c r="AH475" s="1042">
        <f>(SUMPRODUCT(S453:S456,各区域分剂型成本优化!O$195:O$198)+S457*S463)/(SUMPRODUCT(R453:R456,各区域分剂型成本优化!N$195:N$198)+R457*R463)-1</f>
        <v>-2.3613680674419935E-2</v>
      </c>
      <c r="AI475" s="473"/>
      <c r="AK475" s="1512"/>
      <c r="AL475" s="1512"/>
      <c r="AM475" s="1512"/>
      <c r="AN475" s="1512"/>
      <c r="AO475" s="1512"/>
      <c r="AP475" s="1512"/>
      <c r="AQ475" s="1512"/>
    </row>
    <row r="476" spans="1:43" s="101" customFormat="1" ht="15" outlineLevel="2" thickBot="1">
      <c r="C476" s="63" t="s">
        <v>846</v>
      </c>
      <c r="D476" s="63"/>
      <c r="E476" s="63"/>
      <c r="F476" s="110"/>
      <c r="G476" s="110"/>
      <c r="H476" s="113">
        <f>H472+H473</f>
        <v>9727</v>
      </c>
      <c r="I476" s="113">
        <f t="shared" ref="I476:N476" si="1070">I472+I473</f>
        <v>4434</v>
      </c>
      <c r="J476" s="77">
        <f t="shared" si="1070"/>
        <v>690</v>
      </c>
      <c r="K476" s="77">
        <f t="shared" si="1070"/>
        <v>535</v>
      </c>
      <c r="L476" s="77">
        <f t="shared" si="1070"/>
        <v>1286.6626293940571</v>
      </c>
      <c r="M476" s="77">
        <f t="shared" si="1070"/>
        <v>312.66915324384377</v>
      </c>
      <c r="N476" s="77">
        <f t="shared" si="1070"/>
        <v>640.00814007477175</v>
      </c>
      <c r="O476" s="77">
        <f t="shared" ref="O476:S476" si="1071">O472+O473</f>
        <v>689.14069429793881</v>
      </c>
      <c r="P476" s="77">
        <f t="shared" si="1071"/>
        <v>717.18594363843613</v>
      </c>
      <c r="Q476" s="77">
        <f t="shared" si="1071"/>
        <v>735.87185171148849</v>
      </c>
      <c r="R476" s="77">
        <f t="shared" si="1071"/>
        <v>753.16796519693662</v>
      </c>
      <c r="S476" s="77">
        <f t="shared" si="1071"/>
        <v>769.96113629243882</v>
      </c>
      <c r="U476" s="1512"/>
      <c r="V476" s="1512"/>
      <c r="W476" s="1512"/>
      <c r="X476" s="1512"/>
      <c r="Y476" s="1512"/>
      <c r="Z476" s="1512"/>
      <c r="AA476" s="1512"/>
      <c r="AC476" s="480"/>
      <c r="AI476" s="473"/>
      <c r="AK476" s="1512"/>
      <c r="AL476" s="1512"/>
      <c r="AM476" s="1512"/>
      <c r="AN476" s="1512"/>
      <c r="AO476" s="1512"/>
      <c r="AP476" s="1512"/>
      <c r="AQ476" s="1512"/>
    </row>
    <row r="477" spans="1:43" s="101" customFormat="1" ht="14.5" outlineLevel="2">
      <c r="C477" s="22" t="s">
        <v>660</v>
      </c>
      <c r="D477" s="18"/>
      <c r="E477" s="18"/>
      <c r="H477" s="94">
        <f>H476/H472</f>
        <v>0.26043535302149989</v>
      </c>
      <c r="I477" s="94">
        <f t="shared" ref="I477:N477" si="1072">I476/I472</f>
        <v>0.20478477738777018</v>
      </c>
      <c r="J477" s="94">
        <f t="shared" si="1072"/>
        <v>8.1157374735356391E-2</v>
      </c>
      <c r="K477" s="94">
        <f t="shared" si="1072"/>
        <v>6.3751191611058147E-2</v>
      </c>
      <c r="L477" s="94">
        <f t="shared" si="1072"/>
        <v>0.134497425872072</v>
      </c>
      <c r="M477" s="94">
        <f t="shared" si="1072"/>
        <v>0.21011339679028471</v>
      </c>
      <c r="N477" s="94">
        <f t="shared" si="1072"/>
        <v>0.22381141829366688</v>
      </c>
      <c r="O477" s="94">
        <f t="shared" ref="O477:S477" si="1073">O476/O472</f>
        <v>0.23563015443105029</v>
      </c>
      <c r="P477" s="94">
        <f t="shared" si="1073"/>
        <v>0.23988113583166942</v>
      </c>
      <c r="Q477" s="94">
        <f t="shared" si="1073"/>
        <v>0.24140151960867839</v>
      </c>
      <c r="R477" s="94">
        <f t="shared" si="1073"/>
        <v>0.24302817352046688</v>
      </c>
      <c r="S477" s="94">
        <f t="shared" si="1073"/>
        <v>0.24602880640619817</v>
      </c>
      <c r="T477" s="1321"/>
      <c r="U477" s="1526">
        <f>AC477+0.3%</f>
        <v>3.0000000000000001E-3</v>
      </c>
      <c r="V477" s="1526">
        <f t="shared" ref="V477" si="1074">AD477+0.3%</f>
        <v>3.0000000000000001E-3</v>
      </c>
      <c r="W477" s="1526">
        <f t="shared" ref="W477" si="1075">AE477+0.3%</f>
        <v>3.0000000000000001E-3</v>
      </c>
      <c r="X477" s="1526">
        <f t="shared" ref="X477" si="1076">AF477+0.3%</f>
        <v>3.0000000000000001E-3</v>
      </c>
      <c r="Y477" s="1526">
        <f t="shared" ref="Y477" si="1077">AG477+0.3%</f>
        <v>3.0000000000000001E-3</v>
      </c>
      <c r="Z477" s="1526">
        <f t="shared" ref="Z477" si="1078">AH477+0.3%</f>
        <v>3.0000000000000001E-3</v>
      </c>
      <c r="AA477" s="1515"/>
      <c r="AB477" s="1321"/>
      <c r="AC477" s="829"/>
      <c r="AD477" s="829"/>
      <c r="AE477" s="829"/>
      <c r="AF477" s="829"/>
      <c r="AG477" s="829"/>
      <c r="AH477" s="829"/>
      <c r="AI477" s="415"/>
      <c r="AJ477" s="1321"/>
      <c r="AK477" s="1526">
        <f>AC477-0.3%</f>
        <v>-3.0000000000000001E-3</v>
      </c>
      <c r="AL477" s="1526">
        <f t="shared" ref="AL477" si="1079">AD477-0.3%</f>
        <v>-3.0000000000000001E-3</v>
      </c>
      <c r="AM477" s="1526">
        <f t="shared" ref="AM477" si="1080">AE477-0.3%</f>
        <v>-3.0000000000000001E-3</v>
      </c>
      <c r="AN477" s="1526">
        <f t="shared" ref="AN477" si="1081">AF477-0.3%</f>
        <v>-3.0000000000000001E-3</v>
      </c>
      <c r="AO477" s="1526">
        <f t="shared" ref="AO477" si="1082">AG477-0.3%</f>
        <v>-3.0000000000000001E-3</v>
      </c>
      <c r="AP477" s="1526">
        <f t="shared" ref="AP477" si="1083">AH477-0.3%</f>
        <v>-3.0000000000000001E-3</v>
      </c>
      <c r="AQ477" s="1515"/>
    </row>
    <row r="478" spans="1:43" ht="14.5" outlineLevel="2">
      <c r="AI478" s="424"/>
    </row>
    <row r="479" spans="1:43" s="1126" customFormat="1" ht="14.5" outlineLevel="2">
      <c r="A479" s="26" t="s">
        <v>8</v>
      </c>
      <c r="B479" s="26"/>
      <c r="C479" s="26" t="s">
        <v>182</v>
      </c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U479" s="1518"/>
      <c r="V479" s="1518"/>
      <c r="W479" s="1518"/>
      <c r="X479" s="1518"/>
      <c r="Y479" s="1518"/>
      <c r="Z479" s="1518"/>
      <c r="AA479" s="1518"/>
      <c r="AC479" s="26"/>
      <c r="AD479" s="26"/>
      <c r="AE479" s="26"/>
      <c r="AF479" s="26"/>
      <c r="AG479" s="26"/>
      <c r="AH479" s="26"/>
      <c r="AI479" s="474"/>
      <c r="AK479" s="1518"/>
      <c r="AL479" s="1518"/>
      <c r="AM479" s="1518"/>
      <c r="AN479" s="1518"/>
      <c r="AO479" s="1518"/>
      <c r="AP479" s="1518"/>
      <c r="AQ479" s="1518"/>
    </row>
    <row r="480" spans="1:43" ht="14.5" outlineLevel="2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AI480" s="424"/>
    </row>
    <row r="481" spans="1:43" s="99" customFormat="1" ht="14.5" outlineLevel="2">
      <c r="C481" s="18" t="s">
        <v>840</v>
      </c>
      <c r="D481" s="18"/>
      <c r="E481" s="18"/>
      <c r="H481" s="99">
        <f>SUM(H482:H486)</f>
        <v>0</v>
      </c>
      <c r="I481" s="99">
        <f t="shared" ref="I481" si="1084">SUM(I482:I486)</f>
        <v>0</v>
      </c>
      <c r="J481" s="99">
        <f t="shared" ref="J481" si="1085">SUM(J482:J486)</f>
        <v>2262</v>
      </c>
      <c r="K481" s="99">
        <f t="shared" ref="K481:M481" si="1086">SUM(K482:K486)</f>
        <v>1862</v>
      </c>
      <c r="L481" s="99">
        <f t="shared" si="1086"/>
        <v>2651.1594500000001</v>
      </c>
      <c r="M481" s="99">
        <f t="shared" si="1086"/>
        <v>2729.5976100000003</v>
      </c>
      <c r="N481" s="23">
        <f t="shared" ref="N481:S481" si="1087">SUM(N482:N486)</f>
        <v>4622.4165899999998</v>
      </c>
      <c r="O481" s="23">
        <f t="shared" si="1087"/>
        <v>5081.6582490000001</v>
      </c>
      <c r="P481" s="23">
        <f t="shared" si="1087"/>
        <v>5340.7124464500002</v>
      </c>
      <c r="Q481" s="23">
        <f t="shared" si="1087"/>
        <v>5354.9567734500015</v>
      </c>
      <c r="R481" s="23">
        <f t="shared" si="1087"/>
        <v>5370.460158150001</v>
      </c>
      <c r="S481" s="23">
        <f t="shared" si="1087"/>
        <v>5387.3402375700007</v>
      </c>
      <c r="T481" s="1126"/>
      <c r="U481" s="1519">
        <f>$L481*(1+$AA481)</f>
        <v>2757.2058280000001</v>
      </c>
      <c r="V481" s="1519">
        <f>U481*(1+$AA481)</f>
        <v>2867.4940611200004</v>
      </c>
      <c r="W481" s="1519">
        <f t="shared" ref="W481:Z481" si="1088">V481*(1+$AA481)</f>
        <v>2982.1938235648004</v>
      </c>
      <c r="X481" s="1519">
        <f t="shared" si="1088"/>
        <v>3101.4815765073927</v>
      </c>
      <c r="Y481" s="1519">
        <f t="shared" si="1088"/>
        <v>3225.5408395676886</v>
      </c>
      <c r="Z481" s="1519">
        <f t="shared" si="1088"/>
        <v>3354.5624731503963</v>
      </c>
      <c r="AA481" s="1520">
        <v>0.04</v>
      </c>
      <c r="AB481" s="1321"/>
      <c r="AC481" s="20"/>
      <c r="AD481" s="20"/>
      <c r="AE481" s="20"/>
      <c r="AF481" s="20"/>
      <c r="AG481" s="20"/>
      <c r="AH481" s="20"/>
      <c r="AI481" s="472"/>
      <c r="AJ481" s="1321"/>
      <c r="AK481" s="1519">
        <f>$L481*(1+$AQ481)</f>
        <v>2651.1594500000001</v>
      </c>
      <c r="AL481" s="1519">
        <f>AK481*(1+$AQ481)</f>
        <v>2651.1594500000001</v>
      </c>
      <c r="AM481" s="1519">
        <f t="shared" ref="AM481:AN481" si="1089">AL481*(1+$AQ481)</f>
        <v>2651.1594500000001</v>
      </c>
      <c r="AN481" s="1519">
        <f t="shared" si="1089"/>
        <v>2651.1594500000001</v>
      </c>
      <c r="AO481" s="1519">
        <f>AN481*(1+$AQ481)</f>
        <v>2651.1594500000001</v>
      </c>
      <c r="AP481" s="1519">
        <f t="shared" ref="AP481" si="1090">AO481*(1+$AQ481)</f>
        <v>2651.1594500000001</v>
      </c>
      <c r="AQ481" s="1520">
        <v>0</v>
      </c>
    </row>
    <row r="482" spans="1:43" s="101" customFormat="1" ht="14.5" outlineLevel="2">
      <c r="C482" s="1"/>
      <c r="D482" s="27" t="s">
        <v>841</v>
      </c>
      <c r="E482" s="28"/>
      <c r="F482" s="28"/>
      <c r="G482" s="28"/>
      <c r="H482" s="114"/>
      <c r="I482" s="114"/>
      <c r="J482" s="398">
        <v>66</v>
      </c>
      <c r="K482" s="398">
        <v>0</v>
      </c>
      <c r="L482" s="398">
        <v>0.21493000000000001</v>
      </c>
      <c r="M482" s="398">
        <v>30.78</v>
      </c>
      <c r="N482" s="159">
        <v>60</v>
      </c>
      <c r="O482" s="29">
        <f>N482*(1+O488)</f>
        <v>63</v>
      </c>
      <c r="P482" s="29">
        <f t="shared" ref="P482:P486" si="1091">O482*(1+P488)</f>
        <v>66.150000000000006</v>
      </c>
      <c r="Q482" s="29">
        <f t="shared" ref="Q482:Q486" si="1092">P482*(1+Q488)</f>
        <v>69.45750000000001</v>
      </c>
      <c r="R482" s="29">
        <f t="shared" ref="R482:R486" si="1093">Q482*(1+R488)</f>
        <v>72.930375000000012</v>
      </c>
      <c r="S482" s="30">
        <f t="shared" ref="S482:S486" si="1094">R482*(1+S488)</f>
        <v>76.576893750000011</v>
      </c>
      <c r="T482" s="1321"/>
      <c r="U482" s="1515"/>
      <c r="V482" s="1515"/>
      <c r="W482" s="1515"/>
      <c r="X482" s="1515"/>
      <c r="Y482" s="1515"/>
      <c r="Z482" s="1515"/>
      <c r="AA482" s="1515"/>
      <c r="AB482" s="1321"/>
      <c r="AC482" s="1"/>
      <c r="AD482" s="1"/>
      <c r="AE482" s="1"/>
      <c r="AF482" s="1"/>
      <c r="AG482" s="1"/>
      <c r="AH482" s="1"/>
      <c r="AI482" s="415"/>
      <c r="AJ482" s="1321"/>
      <c r="AK482" s="1515"/>
      <c r="AL482" s="1515"/>
      <c r="AM482" s="1515"/>
      <c r="AN482" s="1515"/>
      <c r="AO482" s="1515"/>
      <c r="AP482" s="1515"/>
      <c r="AQ482" s="1515"/>
    </row>
    <row r="483" spans="1:43" ht="14.5" outlineLevel="2">
      <c r="C483" s="1"/>
      <c r="D483" s="31" t="s">
        <v>842</v>
      </c>
      <c r="E483" s="1"/>
      <c r="F483" s="1"/>
      <c r="G483" s="1"/>
      <c r="H483" s="115"/>
      <c r="I483" s="115"/>
      <c r="J483" s="400">
        <v>0</v>
      </c>
      <c r="K483" s="400">
        <v>0</v>
      </c>
      <c r="L483" s="400">
        <v>0</v>
      </c>
      <c r="M483" s="400">
        <v>0</v>
      </c>
      <c r="N483" s="704">
        <f t="shared" ref="N483:N486" si="1095">L483*(1+N489)</f>
        <v>0</v>
      </c>
      <c r="O483" s="20">
        <f t="shared" ref="O483:O486" si="1096">N483*(1+O489)</f>
        <v>0</v>
      </c>
      <c r="P483" s="20">
        <f t="shared" si="1091"/>
        <v>0</v>
      </c>
      <c r="Q483" s="20">
        <f t="shared" si="1092"/>
        <v>0</v>
      </c>
      <c r="R483" s="20">
        <f t="shared" si="1093"/>
        <v>0</v>
      </c>
      <c r="S483" s="32">
        <f t="shared" si="1094"/>
        <v>0</v>
      </c>
      <c r="T483" s="1321"/>
      <c r="U483" s="1515"/>
      <c r="V483" s="1515"/>
      <c r="W483" s="1515"/>
      <c r="X483" s="1515"/>
      <c r="Y483" s="1515"/>
      <c r="Z483" s="1515"/>
      <c r="AA483" s="1515"/>
      <c r="AB483" s="1321"/>
      <c r="AC483" s="1"/>
      <c r="AD483" s="1"/>
      <c r="AE483" s="1"/>
      <c r="AF483" s="1"/>
      <c r="AG483" s="1"/>
      <c r="AH483" s="1"/>
      <c r="AI483" s="415"/>
      <c r="AJ483" s="1321"/>
      <c r="AK483" s="1515"/>
      <c r="AL483" s="1515"/>
      <c r="AM483" s="1515"/>
      <c r="AN483" s="1515"/>
      <c r="AO483" s="1515"/>
      <c r="AP483" s="1515"/>
      <c r="AQ483" s="1515"/>
    </row>
    <row r="484" spans="1:43" ht="14.5" outlineLevel="2">
      <c r="C484" s="1"/>
      <c r="D484" s="31" t="s">
        <v>843</v>
      </c>
      <c r="E484" s="1"/>
      <c r="F484" s="1"/>
      <c r="G484" s="1"/>
      <c r="H484" s="115"/>
      <c r="I484" s="115"/>
      <c r="J484" s="400">
        <v>722</v>
      </c>
      <c r="K484" s="400">
        <v>1067</v>
      </c>
      <c r="L484" s="400">
        <v>1237.7356200000002</v>
      </c>
      <c r="M484" s="400">
        <v>1571.7876100000001</v>
      </c>
      <c r="N484" s="704">
        <f t="shared" si="1095"/>
        <v>2475.4712400000003</v>
      </c>
      <c r="O484" s="20">
        <f t="shared" si="1096"/>
        <v>2723.0183640000005</v>
      </c>
      <c r="P484" s="20">
        <f t="shared" si="1091"/>
        <v>2859.1692822000005</v>
      </c>
      <c r="Q484" s="20">
        <f t="shared" si="1092"/>
        <v>2859.1692822000005</v>
      </c>
      <c r="R484" s="20">
        <f t="shared" si="1093"/>
        <v>2859.1692822000005</v>
      </c>
      <c r="S484" s="32">
        <f t="shared" si="1094"/>
        <v>2859.1692822000005</v>
      </c>
      <c r="T484" s="1321"/>
      <c r="U484" s="1515"/>
      <c r="V484" s="1515"/>
      <c r="W484" s="1515"/>
      <c r="X484" s="1515"/>
      <c r="Y484" s="1515"/>
      <c r="Z484" s="1515"/>
      <c r="AA484" s="1515"/>
      <c r="AB484" s="1321"/>
      <c r="AC484" s="1"/>
      <c r="AD484" s="1"/>
      <c r="AE484" s="1"/>
      <c r="AF484" s="1"/>
      <c r="AG484" s="1"/>
      <c r="AH484" s="1"/>
      <c r="AI484" s="415"/>
      <c r="AJ484" s="1321"/>
      <c r="AK484" s="1515"/>
      <c r="AL484" s="1515"/>
      <c r="AM484" s="1515"/>
      <c r="AN484" s="1515"/>
      <c r="AO484" s="1515"/>
      <c r="AP484" s="1515"/>
      <c r="AQ484" s="1515"/>
    </row>
    <row r="485" spans="1:43" ht="14.5" outlineLevel="2">
      <c r="C485" s="1"/>
      <c r="D485" s="31" t="s">
        <v>844</v>
      </c>
      <c r="E485" s="1"/>
      <c r="F485" s="1"/>
      <c r="G485" s="1"/>
      <c r="H485" s="115"/>
      <c r="I485" s="115"/>
      <c r="J485" s="400">
        <v>1474</v>
      </c>
      <c r="K485" s="400">
        <v>713</v>
      </c>
      <c r="L485" s="400">
        <v>1331.0389</v>
      </c>
      <c r="M485" s="400">
        <v>1083.943</v>
      </c>
      <c r="N485" s="704">
        <f t="shared" si="1095"/>
        <v>1996.55835</v>
      </c>
      <c r="O485" s="20">
        <f t="shared" si="1096"/>
        <v>2196.2141850000003</v>
      </c>
      <c r="P485" s="20">
        <f t="shared" si="1091"/>
        <v>2306.0248942500002</v>
      </c>
      <c r="Q485" s="20">
        <f t="shared" si="1092"/>
        <v>2306.0248942500002</v>
      </c>
      <c r="R485" s="20">
        <f t="shared" si="1093"/>
        <v>2306.0248942500002</v>
      </c>
      <c r="S485" s="32">
        <f t="shared" si="1094"/>
        <v>2306.0248942500002</v>
      </c>
      <c r="T485" s="1321"/>
      <c r="U485" s="1515"/>
      <c r="V485" s="1515"/>
      <c r="W485" s="1515"/>
      <c r="X485" s="1515"/>
      <c r="Y485" s="1515"/>
      <c r="Z485" s="1515"/>
      <c r="AA485" s="1515"/>
      <c r="AB485" s="1321"/>
      <c r="AC485" s="1"/>
      <c r="AD485" s="1"/>
      <c r="AE485" s="1"/>
      <c r="AF485" s="1"/>
      <c r="AG485" s="1"/>
      <c r="AH485" s="1"/>
      <c r="AI485" s="415"/>
      <c r="AJ485" s="1321"/>
      <c r="AK485" s="1515"/>
      <c r="AL485" s="1515"/>
      <c r="AM485" s="1515"/>
      <c r="AN485" s="1515"/>
      <c r="AO485" s="1515"/>
      <c r="AP485" s="1515"/>
      <c r="AQ485" s="1515"/>
    </row>
    <row r="486" spans="1:43" ht="14.5" outlineLevel="2">
      <c r="C486" s="1"/>
      <c r="D486" s="33" t="s">
        <v>665</v>
      </c>
      <c r="E486" s="34"/>
      <c r="F486" s="34"/>
      <c r="G486" s="34"/>
      <c r="H486" s="116"/>
      <c r="I486" s="116"/>
      <c r="J486" s="402">
        <v>0</v>
      </c>
      <c r="K486" s="402">
        <v>82</v>
      </c>
      <c r="L486" s="402">
        <v>82.170000000000073</v>
      </c>
      <c r="M486" s="402">
        <v>43.086999999999989</v>
      </c>
      <c r="N486" s="705">
        <f t="shared" si="1095"/>
        <v>90.387000000000086</v>
      </c>
      <c r="O486" s="35">
        <f t="shared" si="1096"/>
        <v>99.425700000000106</v>
      </c>
      <c r="P486" s="35">
        <f t="shared" si="1091"/>
        <v>109.36827000000012</v>
      </c>
      <c r="Q486" s="35">
        <f t="shared" si="1092"/>
        <v>120.30509700000015</v>
      </c>
      <c r="R486" s="35">
        <f t="shared" si="1093"/>
        <v>132.33560670000017</v>
      </c>
      <c r="S486" s="36">
        <f t="shared" si="1094"/>
        <v>145.5691673700002</v>
      </c>
      <c r="T486" s="1321"/>
      <c r="U486" s="1515"/>
      <c r="V486" s="1515"/>
      <c r="W486" s="1515"/>
      <c r="X486" s="1515"/>
      <c r="Y486" s="1515"/>
      <c r="Z486" s="1515"/>
      <c r="AA486" s="1515"/>
      <c r="AB486" s="1321"/>
      <c r="AC486" s="448"/>
      <c r="AD486" s="448"/>
      <c r="AE486" s="448"/>
      <c r="AF486" s="448"/>
      <c r="AG486" s="448"/>
      <c r="AH486" s="448"/>
      <c r="AI486" s="415"/>
      <c r="AJ486" s="1321"/>
      <c r="AK486" s="1515"/>
      <c r="AL486" s="1515"/>
      <c r="AM486" s="1515"/>
      <c r="AN486" s="1515"/>
      <c r="AO486" s="1515"/>
      <c r="AP486" s="1515"/>
      <c r="AQ486" s="1515"/>
    </row>
    <row r="487" spans="1:43" s="1365" customFormat="1" ht="14.5" outlineLevel="3">
      <c r="A487" s="22"/>
      <c r="B487" s="22"/>
      <c r="C487" s="22" t="s">
        <v>847</v>
      </c>
      <c r="D487" s="22"/>
      <c r="E487" s="22"/>
      <c r="F487" s="22"/>
      <c r="G487" s="22"/>
      <c r="H487" s="219"/>
      <c r="I487" s="24"/>
      <c r="J487" s="24"/>
      <c r="K487" s="24"/>
      <c r="L487" s="754">
        <f>L481/J481-1</f>
        <v>0.17204219717064539</v>
      </c>
      <c r="M487" s="24"/>
      <c r="N487" s="24">
        <f>N481/L481-1</f>
        <v>0.74354529675685854</v>
      </c>
      <c r="O487" s="24">
        <f>O481/N481-1</f>
        <v>9.9350988829849385E-2</v>
      </c>
      <c r="P487" s="24">
        <f t="shared" ref="P487" si="1097">P481/O481-1</f>
        <v>5.0978280072450533E-2</v>
      </c>
      <c r="Q487" s="24">
        <f t="shared" ref="Q487" si="1098">Q481/P481-1</f>
        <v>2.6671211271578343E-3</v>
      </c>
      <c r="R487" s="24">
        <f t="shared" ref="R487" si="1099">R481/Q481-1</f>
        <v>2.89514656343548E-3</v>
      </c>
      <c r="S487" s="24">
        <f t="shared" ref="S487" si="1100">S481/R481-1</f>
        <v>3.1431346519503744E-3</v>
      </c>
      <c r="T487" s="726"/>
      <c r="U487" s="1521"/>
      <c r="V487" s="1521"/>
      <c r="W487" s="1521"/>
      <c r="X487" s="1521"/>
      <c r="Y487" s="1521"/>
      <c r="Z487" s="1521"/>
      <c r="AA487" s="1522"/>
      <c r="AC487" s="219"/>
      <c r="AD487" s="219"/>
      <c r="AE487" s="219"/>
      <c r="AF487" s="219"/>
      <c r="AG487" s="219"/>
      <c r="AH487" s="219"/>
      <c r="AI487" s="706"/>
      <c r="AK487" s="1521"/>
      <c r="AL487" s="1521"/>
      <c r="AM487" s="1521"/>
      <c r="AN487" s="1521"/>
      <c r="AO487" s="1521"/>
      <c r="AP487" s="1521"/>
      <c r="AQ487" s="1522"/>
    </row>
    <row r="488" spans="1:43" s="1365" customFormat="1" ht="14.5" outlineLevel="3">
      <c r="A488" s="22"/>
      <c r="B488" s="22"/>
      <c r="C488" s="22"/>
      <c r="D488" s="707" t="s">
        <v>841</v>
      </c>
      <c r="E488" s="708"/>
      <c r="F488" s="708"/>
      <c r="G488" s="708"/>
      <c r="H488" s="709"/>
      <c r="I488" s="710"/>
      <c r="J488" s="710"/>
      <c r="K488" s="710"/>
      <c r="L488" s="1040">
        <f t="shared" ref="L488" si="1101">IFERROR(L482/J482-1,"NA")</f>
        <v>-0.99674348484848485</v>
      </c>
      <c r="M488" s="710"/>
      <c r="N488" s="1177"/>
      <c r="O488" s="712">
        <f t="shared" ref="O488:O492" si="1102">CHOOSE(case,V488,AD488,AL488)</f>
        <v>0.05</v>
      </c>
      <c r="P488" s="712">
        <f t="shared" ref="P488:P492" si="1103">CHOOSE(case,W488,AE488,AM488)</f>
        <v>0.05</v>
      </c>
      <c r="Q488" s="712">
        <f t="shared" ref="Q488:Q492" si="1104">CHOOSE(case,X488,AF488,AN488)</f>
        <v>0.05</v>
      </c>
      <c r="R488" s="712">
        <f t="shared" ref="R488:R492" si="1105">CHOOSE(case,Y488,AG488,AO488)</f>
        <v>0.05</v>
      </c>
      <c r="S488" s="713">
        <f t="shared" ref="S488:S492" si="1106">CHOOSE(case,Z488,AH488,AP488)</f>
        <v>0.05</v>
      </c>
      <c r="T488" s="726"/>
      <c r="U488" s="1521"/>
      <c r="V488" s="1521"/>
      <c r="W488" s="1521"/>
      <c r="X488" s="1521"/>
      <c r="Y488" s="1521"/>
      <c r="Z488" s="1521"/>
      <c r="AA488" s="1523"/>
      <c r="AC488" s="728"/>
      <c r="AD488" s="714">
        <v>0.05</v>
      </c>
      <c r="AE488" s="714">
        <v>0.05</v>
      </c>
      <c r="AF488" s="714">
        <v>0.05</v>
      </c>
      <c r="AG488" s="714">
        <v>0.05</v>
      </c>
      <c r="AH488" s="714">
        <v>0.05</v>
      </c>
      <c r="AI488" s="22"/>
      <c r="AK488" s="1521"/>
      <c r="AL488" s="1521"/>
      <c r="AM488" s="1521"/>
      <c r="AN488" s="1521"/>
      <c r="AO488" s="1521"/>
      <c r="AP488" s="1521"/>
      <c r="AQ488" s="1523"/>
    </row>
    <row r="489" spans="1:43" s="1365" customFormat="1" ht="14.5" outlineLevel="3">
      <c r="A489" s="22"/>
      <c r="B489" s="22"/>
      <c r="C489" s="22"/>
      <c r="D489" s="715" t="s">
        <v>842</v>
      </c>
      <c r="E489" s="22"/>
      <c r="F489" s="22"/>
      <c r="G489" s="22"/>
      <c r="H489" s="219"/>
      <c r="I489" s="175"/>
      <c r="J489" s="175"/>
      <c r="K489" s="175"/>
      <c r="L489" s="1040" t="str">
        <f>IFERROR(L483/J483-1,"NA")</f>
        <v>NA</v>
      </c>
      <c r="M489" s="175"/>
      <c r="N489" s="716">
        <f t="shared" ref="N489:N492" si="1107">CHOOSE(case,U489,AC489,AK489)</f>
        <v>0</v>
      </c>
      <c r="O489" s="717">
        <f t="shared" si="1102"/>
        <v>0</v>
      </c>
      <c r="P489" s="717">
        <f t="shared" si="1103"/>
        <v>0</v>
      </c>
      <c r="Q489" s="717">
        <f t="shared" si="1104"/>
        <v>0</v>
      </c>
      <c r="R489" s="717">
        <f t="shared" si="1105"/>
        <v>0</v>
      </c>
      <c r="S489" s="718">
        <f t="shared" si="1106"/>
        <v>0</v>
      </c>
      <c r="T489" s="726"/>
      <c r="U489" s="1521"/>
      <c r="V489" s="1521"/>
      <c r="W489" s="1521"/>
      <c r="X489" s="1521"/>
      <c r="Y489" s="1521"/>
      <c r="Z489" s="1521"/>
      <c r="AA489" s="1523"/>
      <c r="AC489" s="714">
        <v>0</v>
      </c>
      <c r="AD489" s="714">
        <v>0</v>
      </c>
      <c r="AE489" s="714">
        <v>0</v>
      </c>
      <c r="AF489" s="714">
        <v>0</v>
      </c>
      <c r="AG489" s="714">
        <v>0</v>
      </c>
      <c r="AH489" s="714">
        <v>0</v>
      </c>
      <c r="AI489" s="22"/>
      <c r="AK489" s="1521"/>
      <c r="AL489" s="1521"/>
      <c r="AM489" s="1521"/>
      <c r="AN489" s="1521"/>
      <c r="AO489" s="1521"/>
      <c r="AP489" s="1521"/>
      <c r="AQ489" s="1523"/>
    </row>
    <row r="490" spans="1:43" s="1365" customFormat="1" ht="14.5" outlineLevel="3">
      <c r="A490" s="22"/>
      <c r="B490" s="22"/>
      <c r="C490" s="22"/>
      <c r="D490" s="715" t="s">
        <v>843</v>
      </c>
      <c r="E490" s="22"/>
      <c r="F490" s="22"/>
      <c r="G490" s="22"/>
      <c r="H490" s="219"/>
      <c r="I490" s="175"/>
      <c r="J490" s="175"/>
      <c r="K490" s="175"/>
      <c r="L490" s="1040">
        <f t="shared" ref="L490:L492" si="1108">IFERROR(L484/J484-1,"NA")</f>
        <v>0.71431526315789484</v>
      </c>
      <c r="M490" s="175"/>
      <c r="N490" s="716">
        <f t="shared" si="1107"/>
        <v>1</v>
      </c>
      <c r="O490" s="717">
        <f t="shared" si="1102"/>
        <v>0.1</v>
      </c>
      <c r="P490" s="717">
        <f t="shared" si="1103"/>
        <v>0.05</v>
      </c>
      <c r="Q490" s="717">
        <f t="shared" si="1104"/>
        <v>0</v>
      </c>
      <c r="R490" s="717">
        <f t="shared" si="1105"/>
        <v>0</v>
      </c>
      <c r="S490" s="718">
        <f t="shared" si="1106"/>
        <v>0</v>
      </c>
      <c r="T490" s="726"/>
      <c r="U490" s="1521"/>
      <c r="V490" s="1521"/>
      <c r="W490" s="1521"/>
      <c r="X490" s="1521"/>
      <c r="Y490" s="1521"/>
      <c r="Z490" s="1521"/>
      <c r="AA490" s="1523"/>
      <c r="AC490" s="714">
        <v>1</v>
      </c>
      <c r="AD490" s="714">
        <v>0.1</v>
      </c>
      <c r="AE490" s="714">
        <v>0.05</v>
      </c>
      <c r="AF490" s="714">
        <v>0</v>
      </c>
      <c r="AG490" s="714">
        <v>0</v>
      </c>
      <c r="AH490" s="714">
        <v>0</v>
      </c>
      <c r="AI490" s="22"/>
      <c r="AK490" s="1521"/>
      <c r="AL490" s="1521"/>
      <c r="AM490" s="1521"/>
      <c r="AN490" s="1521"/>
      <c r="AO490" s="1521"/>
      <c r="AP490" s="1521"/>
      <c r="AQ490" s="1523"/>
    </row>
    <row r="491" spans="1:43" s="1365" customFormat="1" ht="14.5" outlineLevel="3">
      <c r="A491" s="22"/>
      <c r="B491" s="22"/>
      <c r="C491" s="22"/>
      <c r="D491" s="715" t="s">
        <v>844</v>
      </c>
      <c r="E491" s="22"/>
      <c r="F491" s="22"/>
      <c r="G491" s="22"/>
      <c r="H491" s="219"/>
      <c r="I491" s="175"/>
      <c r="J491" s="175"/>
      <c r="K491" s="175"/>
      <c r="L491" s="1040">
        <f t="shared" si="1108"/>
        <v>-9.6988534599728671E-2</v>
      </c>
      <c r="M491" s="175"/>
      <c r="N491" s="716">
        <f t="shared" si="1107"/>
        <v>0.5</v>
      </c>
      <c r="O491" s="717">
        <f t="shared" si="1102"/>
        <v>0.1</v>
      </c>
      <c r="P491" s="717">
        <f t="shared" si="1103"/>
        <v>0.05</v>
      </c>
      <c r="Q491" s="717">
        <f t="shared" si="1104"/>
        <v>0</v>
      </c>
      <c r="R491" s="717">
        <f t="shared" si="1105"/>
        <v>0</v>
      </c>
      <c r="S491" s="718">
        <f t="shared" si="1106"/>
        <v>0</v>
      </c>
      <c r="T491" s="726"/>
      <c r="U491" s="1521"/>
      <c r="V491" s="1521"/>
      <c r="W491" s="1521"/>
      <c r="X491" s="1521"/>
      <c r="Y491" s="1521"/>
      <c r="Z491" s="1521"/>
      <c r="AA491" s="1523"/>
      <c r="AC491" s="714">
        <v>0.5</v>
      </c>
      <c r="AD491" s="714">
        <v>0.1</v>
      </c>
      <c r="AE491" s="714">
        <v>0.05</v>
      </c>
      <c r="AF491" s="714">
        <v>0</v>
      </c>
      <c r="AG491" s="714">
        <v>0</v>
      </c>
      <c r="AH491" s="714">
        <v>0</v>
      </c>
      <c r="AI491" s="22"/>
      <c r="AK491" s="1521"/>
      <c r="AL491" s="1521"/>
      <c r="AM491" s="1521"/>
      <c r="AN491" s="1521"/>
      <c r="AO491" s="1521"/>
      <c r="AP491" s="1521"/>
      <c r="AQ491" s="1523"/>
    </row>
    <row r="492" spans="1:43" s="1365" customFormat="1" ht="14.5" outlineLevel="3">
      <c r="A492" s="22"/>
      <c r="B492" s="22"/>
      <c r="C492" s="22"/>
      <c r="D492" s="719" t="s">
        <v>665</v>
      </c>
      <c r="E492" s="720"/>
      <c r="F492" s="720"/>
      <c r="G492" s="720"/>
      <c r="H492" s="721"/>
      <c r="I492" s="722"/>
      <c r="J492" s="722"/>
      <c r="K492" s="722"/>
      <c r="L492" s="1041" t="str">
        <f t="shared" si="1108"/>
        <v>NA</v>
      </c>
      <c r="M492" s="722"/>
      <c r="N492" s="723">
        <f t="shared" si="1107"/>
        <v>0.1</v>
      </c>
      <c r="O492" s="724">
        <f t="shared" si="1102"/>
        <v>0.1</v>
      </c>
      <c r="P492" s="724">
        <f t="shared" si="1103"/>
        <v>0.1</v>
      </c>
      <c r="Q492" s="724">
        <f t="shared" si="1104"/>
        <v>0.1</v>
      </c>
      <c r="R492" s="724">
        <f t="shared" si="1105"/>
        <v>0.1</v>
      </c>
      <c r="S492" s="725">
        <f t="shared" si="1106"/>
        <v>0.1</v>
      </c>
      <c r="T492" s="726"/>
      <c r="U492" s="1521"/>
      <c r="V492" s="1521"/>
      <c r="W492" s="1521"/>
      <c r="X492" s="1521"/>
      <c r="Y492" s="1521"/>
      <c r="Z492" s="1521"/>
      <c r="AA492" s="1523"/>
      <c r="AC492" s="714">
        <v>0.1</v>
      </c>
      <c r="AD492" s="714">
        <v>0.1</v>
      </c>
      <c r="AE492" s="714">
        <v>0.1</v>
      </c>
      <c r="AF492" s="714">
        <v>0.1</v>
      </c>
      <c r="AG492" s="714">
        <v>0.1</v>
      </c>
      <c r="AH492" s="714">
        <v>0.1</v>
      </c>
      <c r="AI492" s="22"/>
      <c r="AK492" s="1521"/>
      <c r="AL492" s="1521"/>
      <c r="AM492" s="1521"/>
      <c r="AN492" s="1521"/>
      <c r="AO492" s="1521"/>
      <c r="AP492" s="1521"/>
      <c r="AQ492" s="1523"/>
    </row>
    <row r="493" spans="1:43" s="1365" customFormat="1" ht="14.5" outlineLevel="3">
      <c r="A493" s="22"/>
      <c r="B493" s="22"/>
      <c r="C493" s="22" t="s">
        <v>848</v>
      </c>
      <c r="D493" s="22"/>
      <c r="E493" s="22"/>
      <c r="F493" s="22"/>
      <c r="G493" s="22"/>
      <c r="H493" s="24"/>
      <c r="I493" s="24"/>
      <c r="J493" s="24">
        <f>J481/J$481</f>
        <v>1</v>
      </c>
      <c r="K493" s="24">
        <f t="shared" ref="K493:S493" si="1109">K481/K$481</f>
        <v>1</v>
      </c>
      <c r="L493" s="24">
        <f t="shared" si="1109"/>
        <v>1</v>
      </c>
      <c r="M493" s="24">
        <f t="shared" si="1109"/>
        <v>1</v>
      </c>
      <c r="N493" s="24">
        <f t="shared" si="1109"/>
        <v>1</v>
      </c>
      <c r="O493" s="24">
        <f t="shared" si="1109"/>
        <v>1</v>
      </c>
      <c r="P493" s="24">
        <f t="shared" si="1109"/>
        <v>1</v>
      </c>
      <c r="Q493" s="24">
        <f t="shared" si="1109"/>
        <v>1</v>
      </c>
      <c r="R493" s="24">
        <f t="shared" si="1109"/>
        <v>1</v>
      </c>
      <c r="S493" s="24">
        <f t="shared" si="1109"/>
        <v>1</v>
      </c>
      <c r="T493" s="726"/>
      <c r="U493" s="1521"/>
      <c r="V493" s="1521"/>
      <c r="W493" s="1521"/>
      <c r="X493" s="1521"/>
      <c r="Y493" s="1521"/>
      <c r="Z493" s="1521"/>
      <c r="AA493" s="1522"/>
      <c r="AC493" s="219"/>
      <c r="AD493" s="219"/>
      <c r="AE493" s="219"/>
      <c r="AF493" s="219"/>
      <c r="AG493" s="219"/>
      <c r="AH493" s="219"/>
      <c r="AI493" s="706"/>
      <c r="AK493" s="1521"/>
      <c r="AL493" s="1521"/>
      <c r="AM493" s="1521"/>
      <c r="AN493" s="1521"/>
      <c r="AO493" s="1521"/>
      <c r="AP493" s="1521"/>
      <c r="AQ493" s="1522"/>
    </row>
    <row r="494" spans="1:43" s="1365" customFormat="1" ht="14.5" outlineLevel="3">
      <c r="A494" s="22"/>
      <c r="B494" s="22"/>
      <c r="C494" s="22"/>
      <c r="D494" s="707" t="s">
        <v>841</v>
      </c>
      <c r="E494" s="708"/>
      <c r="F494" s="708"/>
      <c r="G494" s="708"/>
      <c r="H494" s="793"/>
      <c r="I494" s="793"/>
      <c r="J494" s="793">
        <f t="shared" ref="J494:S498" si="1110">J482/J$481</f>
        <v>2.9177718832891247E-2</v>
      </c>
      <c r="K494" s="793">
        <f t="shared" si="1110"/>
        <v>0</v>
      </c>
      <c r="L494" s="793">
        <f t="shared" si="1110"/>
        <v>8.1070189874848911E-5</v>
      </c>
      <c r="M494" s="793">
        <f t="shared" si="1110"/>
        <v>1.1276387364656287E-2</v>
      </c>
      <c r="N494" s="793">
        <f t="shared" si="1110"/>
        <v>1.2980223403014397E-2</v>
      </c>
      <c r="O494" s="793">
        <f t="shared" si="1110"/>
        <v>1.2397527915695143E-2</v>
      </c>
      <c r="P494" s="793">
        <f t="shared" si="1110"/>
        <v>1.2385987948849457E-2</v>
      </c>
      <c r="Q494" s="793">
        <f t="shared" si="1110"/>
        <v>1.2970692937125447E-2</v>
      </c>
      <c r="R494" s="793">
        <f t="shared" si="1110"/>
        <v>1.3579911749149413E-2</v>
      </c>
      <c r="S494" s="803">
        <f t="shared" si="1110"/>
        <v>1.4214230097436834E-2</v>
      </c>
      <c r="T494" s="726"/>
      <c r="U494" s="1521"/>
      <c r="V494" s="1521"/>
      <c r="W494" s="1521"/>
      <c r="X494" s="1521"/>
      <c r="Y494" s="1521"/>
      <c r="Z494" s="1521"/>
      <c r="AA494" s="1523"/>
      <c r="AC494" s="728"/>
      <c r="AD494" s="728"/>
      <c r="AE494" s="728"/>
      <c r="AF494" s="728"/>
      <c r="AG494" s="728"/>
      <c r="AH494" s="728"/>
      <c r="AI494" s="22"/>
      <c r="AK494" s="1521"/>
      <c r="AL494" s="1521"/>
      <c r="AM494" s="1521"/>
      <c r="AN494" s="1521"/>
      <c r="AO494" s="1521"/>
      <c r="AP494" s="1521"/>
      <c r="AQ494" s="1523"/>
    </row>
    <row r="495" spans="1:43" s="1365" customFormat="1" ht="14.5" outlineLevel="3">
      <c r="A495" s="22"/>
      <c r="B495" s="22"/>
      <c r="C495" s="22"/>
      <c r="D495" s="715" t="s">
        <v>842</v>
      </c>
      <c r="E495" s="22"/>
      <c r="F495" s="22"/>
      <c r="G495" s="22"/>
      <c r="H495" s="91"/>
      <c r="I495" s="91"/>
      <c r="J495" s="91">
        <f t="shared" si="1110"/>
        <v>0</v>
      </c>
      <c r="K495" s="91">
        <f t="shared" si="1110"/>
        <v>0</v>
      </c>
      <c r="L495" s="91">
        <f t="shared" si="1110"/>
        <v>0</v>
      </c>
      <c r="M495" s="91">
        <f t="shared" si="1110"/>
        <v>0</v>
      </c>
      <c r="N495" s="91">
        <f t="shared" si="1110"/>
        <v>0</v>
      </c>
      <c r="O495" s="91">
        <f t="shared" si="1110"/>
        <v>0</v>
      </c>
      <c r="P495" s="91">
        <f t="shared" si="1110"/>
        <v>0</v>
      </c>
      <c r="Q495" s="91">
        <f t="shared" si="1110"/>
        <v>0</v>
      </c>
      <c r="R495" s="91">
        <f t="shared" si="1110"/>
        <v>0</v>
      </c>
      <c r="S495" s="804">
        <f t="shared" si="1110"/>
        <v>0</v>
      </c>
      <c r="T495" s="726"/>
      <c r="U495" s="1521"/>
      <c r="V495" s="1521"/>
      <c r="W495" s="1521"/>
      <c r="X495" s="1521"/>
      <c r="Y495" s="1521"/>
      <c r="Z495" s="1521"/>
      <c r="AA495" s="1523"/>
      <c r="AC495" s="728"/>
      <c r="AD495" s="728"/>
      <c r="AE495" s="728"/>
      <c r="AF495" s="728"/>
      <c r="AG495" s="728"/>
      <c r="AH495" s="728"/>
      <c r="AI495" s="22"/>
      <c r="AK495" s="1521"/>
      <c r="AL495" s="1521"/>
      <c r="AM495" s="1521"/>
      <c r="AN495" s="1521"/>
      <c r="AO495" s="1521"/>
      <c r="AP495" s="1521"/>
      <c r="AQ495" s="1523"/>
    </row>
    <row r="496" spans="1:43" s="1365" customFormat="1" ht="14.5" outlineLevel="3">
      <c r="A496" s="22"/>
      <c r="B496" s="22"/>
      <c r="C496" s="22"/>
      <c r="D496" s="715" t="s">
        <v>843</v>
      </c>
      <c r="E496" s="22"/>
      <c r="F496" s="22"/>
      <c r="G496" s="22"/>
      <c r="H496" s="91"/>
      <c r="I496" s="91"/>
      <c r="J496" s="91">
        <f t="shared" si="1110"/>
        <v>0.31918656056587091</v>
      </c>
      <c r="K496" s="91">
        <f t="shared" si="1110"/>
        <v>0.57303974221267451</v>
      </c>
      <c r="L496" s="91">
        <f t="shared" si="1110"/>
        <v>0.46686577829183384</v>
      </c>
      <c r="M496" s="91">
        <f t="shared" si="1110"/>
        <v>0.57583125228483767</v>
      </c>
      <c r="N496" s="91">
        <f t="shared" si="1110"/>
        <v>0.53553616204895116</v>
      </c>
      <c r="O496" s="91">
        <f t="shared" si="1110"/>
        <v>0.53585232035937336</v>
      </c>
      <c r="P496" s="91">
        <f t="shared" si="1110"/>
        <v>0.53535353398412333</v>
      </c>
      <c r="Q496" s="91">
        <f t="shared" si="1110"/>
        <v>0.53392947938923196</v>
      </c>
      <c r="R496" s="91">
        <f t="shared" si="1110"/>
        <v>0.53238813770195026</v>
      </c>
      <c r="S496" s="804">
        <f t="shared" si="1110"/>
        <v>0.53072001323785889</v>
      </c>
      <c r="T496" s="726"/>
      <c r="U496" s="1521"/>
      <c r="V496" s="1521"/>
      <c r="W496" s="1521"/>
      <c r="X496" s="1521"/>
      <c r="Y496" s="1521"/>
      <c r="Z496" s="1521"/>
      <c r="AA496" s="1523"/>
      <c r="AC496" s="728"/>
      <c r="AD496" s="728"/>
      <c r="AE496" s="728"/>
      <c r="AF496" s="728"/>
      <c r="AG496" s="728"/>
      <c r="AH496" s="728"/>
      <c r="AI496" s="22"/>
      <c r="AK496" s="1521"/>
      <c r="AL496" s="1521"/>
      <c r="AM496" s="1521"/>
      <c r="AN496" s="1521"/>
      <c r="AO496" s="1521"/>
      <c r="AP496" s="1521"/>
      <c r="AQ496" s="1523"/>
    </row>
    <row r="497" spans="1:43" s="1365" customFormat="1" ht="14.5" outlineLevel="3">
      <c r="A497" s="22"/>
      <c r="B497" s="22"/>
      <c r="C497" s="22"/>
      <c r="D497" s="715" t="s">
        <v>844</v>
      </c>
      <c r="E497" s="22"/>
      <c r="F497" s="22"/>
      <c r="G497" s="22"/>
      <c r="H497" s="91"/>
      <c r="I497" s="91"/>
      <c r="J497" s="91">
        <f t="shared" si="1110"/>
        <v>0.65163572060123787</v>
      </c>
      <c r="K497" s="91">
        <f t="shared" si="1110"/>
        <v>0.38292158968850698</v>
      </c>
      <c r="L497" s="91">
        <f t="shared" si="1110"/>
        <v>0.50205916509472859</v>
      </c>
      <c r="M497" s="91">
        <f t="shared" si="1110"/>
        <v>0.39710724981181378</v>
      </c>
      <c r="N497" s="91">
        <f t="shared" si="1110"/>
        <v>0.43192955700256347</v>
      </c>
      <c r="O497" s="91">
        <f t="shared" si="1110"/>
        <v>0.43218455027592317</v>
      </c>
      <c r="P497" s="91">
        <f t="shared" si="1110"/>
        <v>0.43178226076987669</v>
      </c>
      <c r="Q497" s="91">
        <f t="shared" si="1110"/>
        <v>0.4306337085078491</v>
      </c>
      <c r="R497" s="91">
        <f t="shared" si="1110"/>
        <v>0.42939055990397151</v>
      </c>
      <c r="S497" s="804">
        <f t="shared" si="1110"/>
        <v>0.42804515634047824</v>
      </c>
      <c r="T497" s="726"/>
      <c r="U497" s="1521"/>
      <c r="V497" s="1521"/>
      <c r="W497" s="1521"/>
      <c r="X497" s="1521"/>
      <c r="Y497" s="1521"/>
      <c r="Z497" s="1521"/>
      <c r="AA497" s="1523"/>
      <c r="AC497" s="728"/>
      <c r="AD497" s="728"/>
      <c r="AE497" s="728"/>
      <c r="AF497" s="728"/>
      <c r="AG497" s="728"/>
      <c r="AH497" s="728"/>
      <c r="AI497" s="22"/>
      <c r="AK497" s="1521"/>
      <c r="AL497" s="1521"/>
      <c r="AM497" s="1521"/>
      <c r="AN497" s="1521"/>
      <c r="AO497" s="1521"/>
      <c r="AP497" s="1521"/>
      <c r="AQ497" s="1523"/>
    </row>
    <row r="498" spans="1:43" s="1365" customFormat="1" ht="14.5" outlineLevel="3">
      <c r="A498" s="22"/>
      <c r="B498" s="22"/>
      <c r="C498" s="22"/>
      <c r="D498" s="719" t="s">
        <v>665</v>
      </c>
      <c r="E498" s="720"/>
      <c r="F498" s="720"/>
      <c r="G498" s="720"/>
      <c r="H498" s="794"/>
      <c r="I498" s="794"/>
      <c r="J498" s="794">
        <f t="shared" si="1110"/>
        <v>0</v>
      </c>
      <c r="K498" s="794">
        <f t="shared" si="1110"/>
        <v>4.4038668098818477E-2</v>
      </c>
      <c r="L498" s="794">
        <f t="shared" si="1110"/>
        <v>3.0993986423562742E-2</v>
      </c>
      <c r="M498" s="794">
        <f t="shared" si="1110"/>
        <v>1.5785110538692179E-2</v>
      </c>
      <c r="N498" s="794">
        <f t="shared" si="1110"/>
        <v>1.9554057545471057E-2</v>
      </c>
      <c r="O498" s="794">
        <f t="shared" si="1110"/>
        <v>1.9565601449008443E-2</v>
      </c>
      <c r="P498" s="794">
        <f t="shared" si="1110"/>
        <v>2.0478217297150644E-2</v>
      </c>
      <c r="Q498" s="794">
        <f t="shared" si="1110"/>
        <v>2.2466119165793379E-2</v>
      </c>
      <c r="R498" s="794">
        <f t="shared" si="1110"/>
        <v>2.464139064492878E-2</v>
      </c>
      <c r="S498" s="805">
        <f t="shared" si="1110"/>
        <v>2.7020600324226086E-2</v>
      </c>
      <c r="T498" s="726"/>
      <c r="U498" s="1521"/>
      <c r="V498" s="1521"/>
      <c r="W498" s="1521"/>
      <c r="X498" s="1521"/>
      <c r="Y498" s="1521"/>
      <c r="Z498" s="1521"/>
      <c r="AA498" s="1523"/>
      <c r="AC498" s="728"/>
      <c r="AD498" s="728"/>
      <c r="AE498" s="728"/>
      <c r="AF498" s="728"/>
      <c r="AG498" s="728"/>
      <c r="AH498" s="728"/>
      <c r="AI498" s="22"/>
      <c r="AK498" s="1521"/>
      <c r="AL498" s="1521"/>
      <c r="AM498" s="1521"/>
      <c r="AN498" s="1521"/>
      <c r="AO498" s="1521"/>
      <c r="AP498" s="1521"/>
      <c r="AQ498" s="1523"/>
    </row>
    <row r="499" spans="1:43" ht="14.5" outlineLevel="2">
      <c r="C499" s="18" t="s">
        <v>31</v>
      </c>
      <c r="D499" s="1"/>
      <c r="E499" s="1"/>
      <c r="H499" s="52" t="str">
        <f>IFERROR(H505/H481,"NA")</f>
        <v>NA</v>
      </c>
      <c r="I499" s="52" t="str">
        <f t="shared" ref="I499:J499" si="1111">IFERROR(I505/I481,"NA")</f>
        <v>NA</v>
      </c>
      <c r="J499" s="764">
        <f t="shared" si="1111"/>
        <v>3.0490716180371353</v>
      </c>
      <c r="K499" s="764">
        <f t="shared" ref="K499:S499" si="1112">IFERROR(K505/K481,"NA")</f>
        <v>3.5660580021482278</v>
      </c>
      <c r="L499" s="764">
        <f t="shared" si="1112"/>
        <v>2.9618279225214832</v>
      </c>
      <c r="M499" s="764">
        <f t="shared" si="1112"/>
        <v>3.2821861097702318</v>
      </c>
      <c r="N499" s="764">
        <f t="shared" si="1112"/>
        <v>3.3089595491743</v>
      </c>
      <c r="O499" s="764">
        <f t="shared" si="1112"/>
        <v>3.3088417055827484</v>
      </c>
      <c r="P499" s="764">
        <f t="shared" si="1112"/>
        <v>3.3228324709346118</v>
      </c>
      <c r="Q499" s="764">
        <f t="shared" si="1112"/>
        <v>3.3536164286736598</v>
      </c>
      <c r="R499" s="764">
        <f t="shared" si="1112"/>
        <v>3.3872864423367171</v>
      </c>
      <c r="S499" s="764">
        <f t="shared" si="1112"/>
        <v>3.4240969174641021</v>
      </c>
      <c r="T499" s="1479"/>
      <c r="U499" s="1524">
        <f>$L499*(1+$AA499)</f>
        <v>3.0210644809719129</v>
      </c>
      <c r="V499" s="1524">
        <f>U499*(1+$AA499)</f>
        <v>3.0814857705913514</v>
      </c>
      <c r="W499" s="1524">
        <f t="shared" ref="W499" si="1113">V499*(1+$AA499)</f>
        <v>3.1431154860031785</v>
      </c>
      <c r="X499" s="1524">
        <f t="shared" ref="X499" si="1114">W499*(1+$AA499)</f>
        <v>3.2059777957232423</v>
      </c>
      <c r="Y499" s="1524">
        <f t="shared" ref="Y499" si="1115">X499*(1+$AA499)</f>
        <v>3.2700973516377072</v>
      </c>
      <c r="Z499" s="1524">
        <f t="shared" ref="Z499" si="1116">Y499*(1+$AA499)</f>
        <v>3.3354992986704612</v>
      </c>
      <c r="AA499" s="1525">
        <v>0.02</v>
      </c>
      <c r="AB499" s="1126"/>
      <c r="AC499" s="733"/>
      <c r="AD499" s="733"/>
      <c r="AE499" s="733"/>
      <c r="AF499" s="733"/>
      <c r="AG499" s="733"/>
      <c r="AH499" s="733"/>
      <c r="AI499" s="472"/>
      <c r="AJ499" s="1321"/>
      <c r="AK499" s="1529">
        <f>$L499*(1+$AQ499)</f>
        <v>2.9618279225214832</v>
      </c>
      <c r="AL499" s="1529">
        <f>AK499*(1+$AQ499)</f>
        <v>2.9618279225214832</v>
      </c>
      <c r="AM499" s="1529">
        <f t="shared" ref="AM499:AN499" si="1117">AL499*(1+$AQ499)</f>
        <v>2.9618279225214832</v>
      </c>
      <c r="AN499" s="1529">
        <f t="shared" si="1117"/>
        <v>2.9618279225214832</v>
      </c>
      <c r="AO499" s="1529">
        <f>AN499*(1+$AQ499)</f>
        <v>2.9618279225214832</v>
      </c>
      <c r="AP499" s="1529">
        <f t="shared" ref="AP499" si="1118">AO499*(1+$AQ499)</f>
        <v>2.9618279225214832</v>
      </c>
      <c r="AQ499" s="1520">
        <v>0</v>
      </c>
    </row>
    <row r="500" spans="1:43" ht="14.5" outlineLevel="2">
      <c r="C500" s="1"/>
      <c r="D500" s="27" t="s">
        <v>841</v>
      </c>
      <c r="E500" s="28"/>
      <c r="F500" s="28"/>
      <c r="G500" s="28"/>
      <c r="H500" s="50" t="str">
        <f>IFERROR(H506/H482,"NA")</f>
        <v>NA</v>
      </c>
      <c r="I500" s="50" t="str">
        <f t="shared" ref="I500:J500" si="1119">IFERROR(I506/I482,"NA")</f>
        <v>NA</v>
      </c>
      <c r="J500" s="759">
        <f t="shared" si="1119"/>
        <v>3.4090909090909092</v>
      </c>
      <c r="K500" s="759" t="str">
        <f t="shared" ref="K500:M500" si="1120">IFERROR(K506/K482,"NA")</f>
        <v>NA</v>
      </c>
      <c r="L500" s="759">
        <f t="shared" si="1120"/>
        <v>54.719591457702663</v>
      </c>
      <c r="M500" s="759">
        <f t="shared" si="1120"/>
        <v>3.5085731688746762</v>
      </c>
      <c r="N500" s="780">
        <f>CHOOSE(case,U500,AC500,AK500)</f>
        <v>3.5085731688746762</v>
      </c>
      <c r="O500" s="781">
        <f t="shared" ref="O500:O504" si="1121">CHOOSE(case,V500,AD500,AL500)</f>
        <v>3.5085731688746762</v>
      </c>
      <c r="P500" s="781">
        <f t="shared" ref="P500:P504" si="1122">CHOOSE(case,W500,AE500,AM500)</f>
        <v>3.5085731688746762</v>
      </c>
      <c r="Q500" s="781">
        <f t="shared" ref="Q500:Q504" si="1123">CHOOSE(case,X500,AF500,AN500)</f>
        <v>3.5085731688746762</v>
      </c>
      <c r="R500" s="781">
        <f t="shared" ref="R500:R504" si="1124">CHOOSE(case,Y500,AG500,AO500)</f>
        <v>3.5085731688746762</v>
      </c>
      <c r="S500" s="782">
        <f t="shared" ref="S500:S504" si="1125">CHOOSE(case,Z500,AH500,AP500)</f>
        <v>3.5085731688746762</v>
      </c>
      <c r="T500" s="1493"/>
      <c r="U500" s="1515"/>
      <c r="V500" s="1515"/>
      <c r="W500" s="1515"/>
      <c r="X500" s="1515"/>
      <c r="Y500" s="1515"/>
      <c r="Z500" s="1515"/>
      <c r="AA500" s="1515"/>
      <c r="AB500" s="1321"/>
      <c r="AC500" s="737">
        <f>M500</f>
        <v>3.5085731688746762</v>
      </c>
      <c r="AD500" s="737">
        <f>AC500</f>
        <v>3.5085731688746762</v>
      </c>
      <c r="AE500" s="737">
        <f t="shared" ref="AE500:AH500" si="1126">AD500</f>
        <v>3.5085731688746762</v>
      </c>
      <c r="AF500" s="737">
        <f t="shared" si="1126"/>
        <v>3.5085731688746762</v>
      </c>
      <c r="AG500" s="737">
        <f t="shared" si="1126"/>
        <v>3.5085731688746762</v>
      </c>
      <c r="AH500" s="737">
        <f t="shared" si="1126"/>
        <v>3.5085731688746762</v>
      </c>
      <c r="AI500" s="415"/>
      <c r="AJ500" s="1321"/>
      <c r="AK500" s="1515"/>
      <c r="AL500" s="1515"/>
      <c r="AM500" s="1515"/>
      <c r="AN500" s="1515"/>
      <c r="AO500" s="1515"/>
      <c r="AP500" s="1515"/>
      <c r="AQ500" s="1515"/>
    </row>
    <row r="501" spans="1:43" ht="14.5" outlineLevel="2">
      <c r="C501" s="1"/>
      <c r="D501" s="31" t="s">
        <v>842</v>
      </c>
      <c r="E501" s="1"/>
      <c r="F501" s="1"/>
      <c r="G501" s="1"/>
      <c r="H501" s="52" t="str">
        <f t="shared" ref="H501:J501" si="1127">IFERROR(H507/H483,"NA")</f>
        <v>NA</v>
      </c>
      <c r="I501" s="52" t="str">
        <f t="shared" si="1127"/>
        <v>NA</v>
      </c>
      <c r="J501" s="764" t="str">
        <f t="shared" si="1127"/>
        <v>NA</v>
      </c>
      <c r="K501" s="764" t="str">
        <f t="shared" ref="K501:M501" si="1128">IFERROR(K507/K483,"NA")</f>
        <v>NA</v>
      </c>
      <c r="L501" s="764" t="str">
        <f t="shared" si="1128"/>
        <v>NA</v>
      </c>
      <c r="M501" s="764" t="str">
        <f t="shared" si="1128"/>
        <v>NA</v>
      </c>
      <c r="N501" s="785">
        <f>CHOOSE(case,U501,AC501,AK501)</f>
        <v>0</v>
      </c>
      <c r="O501" s="786">
        <f t="shared" si="1121"/>
        <v>0</v>
      </c>
      <c r="P501" s="786">
        <f t="shared" si="1122"/>
        <v>0</v>
      </c>
      <c r="Q501" s="786">
        <f t="shared" si="1123"/>
        <v>0</v>
      </c>
      <c r="R501" s="786">
        <f t="shared" si="1124"/>
        <v>0</v>
      </c>
      <c r="S501" s="787">
        <f t="shared" si="1125"/>
        <v>0</v>
      </c>
      <c r="T501" s="1493"/>
      <c r="U501" s="1515"/>
      <c r="V501" s="1515"/>
      <c r="W501" s="1515"/>
      <c r="X501" s="1515"/>
      <c r="Y501" s="1515"/>
      <c r="Z501" s="1515"/>
      <c r="AA501" s="1515"/>
      <c r="AB501" s="1321"/>
      <c r="AC501" s="737"/>
      <c r="AD501" s="737"/>
      <c r="AE501" s="737"/>
      <c r="AF501" s="737"/>
      <c r="AG501" s="737"/>
      <c r="AH501" s="737"/>
      <c r="AI501" s="415"/>
      <c r="AJ501" s="1321"/>
      <c r="AK501" s="1515"/>
      <c r="AL501" s="1515"/>
      <c r="AM501" s="1515"/>
      <c r="AN501" s="1515"/>
      <c r="AO501" s="1515"/>
      <c r="AP501" s="1515"/>
      <c r="AQ501" s="1515"/>
    </row>
    <row r="502" spans="1:43" ht="14.5" outlineLevel="2">
      <c r="C502" s="1"/>
      <c r="D502" s="31" t="s">
        <v>843</v>
      </c>
      <c r="E502" s="1"/>
      <c r="F502" s="1"/>
      <c r="G502" s="1"/>
      <c r="H502" s="52" t="str">
        <f t="shared" ref="H502:J502" si="1129">IFERROR(H508/H484,"NA")</f>
        <v>NA</v>
      </c>
      <c r="I502" s="52" t="str">
        <f t="shared" si="1129"/>
        <v>NA</v>
      </c>
      <c r="J502" s="764">
        <f t="shared" si="1129"/>
        <v>2.6842105263157894</v>
      </c>
      <c r="K502" s="764">
        <f t="shared" ref="K502:M502" si="1130">IFERROR(K508/K484,"NA")</f>
        <v>2.9821930646672916</v>
      </c>
      <c r="L502" s="764">
        <f t="shared" si="1130"/>
        <v>2.945908280884411</v>
      </c>
      <c r="M502" s="764">
        <f t="shared" si="1130"/>
        <v>3.3845753831668781</v>
      </c>
      <c r="N502" s="785">
        <f>CHOOSE(case,U502,AC502,AK502)</f>
        <v>3.3845753831668781</v>
      </c>
      <c r="O502" s="786">
        <f t="shared" si="1121"/>
        <v>3.3845753831668781</v>
      </c>
      <c r="P502" s="786">
        <f t="shared" si="1122"/>
        <v>3.3845753831668781</v>
      </c>
      <c r="Q502" s="786">
        <f t="shared" si="1123"/>
        <v>3.3845753831668781</v>
      </c>
      <c r="R502" s="786">
        <f t="shared" si="1124"/>
        <v>3.3845753831668781</v>
      </c>
      <c r="S502" s="787">
        <f t="shared" si="1125"/>
        <v>3.3845753831668781</v>
      </c>
      <c r="T502" s="1493"/>
      <c r="U502" s="1515"/>
      <c r="V502" s="1515"/>
      <c r="W502" s="1515"/>
      <c r="X502" s="1515"/>
      <c r="Y502" s="1515"/>
      <c r="Z502" s="1515"/>
      <c r="AA502" s="1515"/>
      <c r="AB502" s="1321"/>
      <c r="AC502" s="737">
        <f t="shared" ref="AC502:AC503" si="1131">M502</f>
        <v>3.3845753831668781</v>
      </c>
      <c r="AD502" s="737">
        <f t="shared" ref="AD502:AD503" si="1132">N502</f>
        <v>3.3845753831668781</v>
      </c>
      <c r="AE502" s="737">
        <f t="shared" ref="AE502:AE504" si="1133">O502</f>
        <v>3.3845753831668781</v>
      </c>
      <c r="AF502" s="737">
        <f t="shared" ref="AF502:AF504" si="1134">P502</f>
        <v>3.3845753831668781</v>
      </c>
      <c r="AG502" s="737">
        <f t="shared" ref="AG502:AG504" si="1135">Q502</f>
        <v>3.3845753831668781</v>
      </c>
      <c r="AH502" s="737">
        <f t="shared" ref="AH502:AH504" si="1136">R502</f>
        <v>3.3845753831668781</v>
      </c>
      <c r="AI502" s="415"/>
      <c r="AJ502" s="1321"/>
      <c r="AK502" s="1515"/>
      <c r="AL502" s="1515"/>
      <c r="AM502" s="1515"/>
      <c r="AN502" s="1515"/>
      <c r="AO502" s="1515"/>
      <c r="AP502" s="1515"/>
      <c r="AQ502" s="1515"/>
    </row>
    <row r="503" spans="1:43" ht="14.5" outlineLevel="2">
      <c r="C503" s="1"/>
      <c r="D503" s="31" t="s">
        <v>844</v>
      </c>
      <c r="E503" s="1"/>
      <c r="F503" s="1"/>
      <c r="G503" s="1"/>
      <c r="H503" s="52" t="str">
        <f t="shared" ref="H503:J503" si="1137">IFERROR(H509/H485,"NA")</f>
        <v>NA</v>
      </c>
      <c r="I503" s="52" t="str">
        <f t="shared" si="1137"/>
        <v>NA</v>
      </c>
      <c r="J503" s="764">
        <f t="shared" si="1137"/>
        <v>3.2116689280868385</v>
      </c>
      <c r="K503" s="764">
        <f t="shared" ref="K503:M503" si="1138">IFERROR(K509/K485,"NA")</f>
        <v>2.9088359046283312</v>
      </c>
      <c r="L503" s="764">
        <f t="shared" si="1138"/>
        <v>2.1021718362424617</v>
      </c>
      <c r="M503" s="764">
        <f t="shared" si="1138"/>
        <v>2.5287627944616817</v>
      </c>
      <c r="N503" s="785">
        <f>CHOOSE(case,U503,AC503,AK503)</f>
        <v>2.5287627944616817</v>
      </c>
      <c r="O503" s="786">
        <f t="shared" si="1121"/>
        <v>2.5287627944616817</v>
      </c>
      <c r="P503" s="786">
        <f t="shared" si="1122"/>
        <v>2.5287627944616817</v>
      </c>
      <c r="Q503" s="786">
        <f t="shared" si="1123"/>
        <v>2.5287627944616817</v>
      </c>
      <c r="R503" s="786">
        <f t="shared" si="1124"/>
        <v>2.5287627944616817</v>
      </c>
      <c r="S503" s="787">
        <f t="shared" si="1125"/>
        <v>2.5287627944616817</v>
      </c>
      <c r="T503" s="1493"/>
      <c r="U503" s="1515"/>
      <c r="V503" s="1515"/>
      <c r="W503" s="1515"/>
      <c r="X503" s="1515"/>
      <c r="Y503" s="1515"/>
      <c r="Z503" s="1515"/>
      <c r="AA503" s="1515"/>
      <c r="AB503" s="1321"/>
      <c r="AC503" s="737">
        <f t="shared" si="1131"/>
        <v>2.5287627944616817</v>
      </c>
      <c r="AD503" s="737">
        <f t="shared" si="1132"/>
        <v>2.5287627944616817</v>
      </c>
      <c r="AE503" s="737">
        <f t="shared" si="1133"/>
        <v>2.5287627944616817</v>
      </c>
      <c r="AF503" s="737">
        <f t="shared" si="1134"/>
        <v>2.5287627944616817</v>
      </c>
      <c r="AG503" s="737">
        <f t="shared" si="1135"/>
        <v>2.5287627944616817</v>
      </c>
      <c r="AH503" s="737">
        <f t="shared" si="1136"/>
        <v>2.5287627944616817</v>
      </c>
      <c r="AI503" s="415"/>
      <c r="AJ503" s="1321"/>
      <c r="AK503" s="1515"/>
      <c r="AL503" s="1515"/>
      <c r="AM503" s="1515"/>
      <c r="AN503" s="1515"/>
      <c r="AO503" s="1515"/>
      <c r="AP503" s="1515"/>
      <c r="AQ503" s="1515"/>
    </row>
    <row r="504" spans="1:43" ht="15" outlineLevel="2" thickBot="1">
      <c r="C504" s="37"/>
      <c r="D504" s="33" t="s">
        <v>665</v>
      </c>
      <c r="E504" s="37"/>
      <c r="F504" s="37"/>
      <c r="G504" s="37"/>
      <c r="H504" s="54" t="str">
        <f t="shared" ref="H504:J504" si="1139">IFERROR(H510/H486,"NA")</f>
        <v>NA</v>
      </c>
      <c r="I504" s="54" t="str">
        <f t="shared" si="1139"/>
        <v>NA</v>
      </c>
      <c r="J504" s="774" t="str">
        <f t="shared" si="1139"/>
        <v>NA</v>
      </c>
      <c r="K504" s="774">
        <f t="shared" ref="K504:M504" si="1140">IFERROR(K510/K486,"NA")</f>
        <v>16.878048780487806</v>
      </c>
      <c r="L504" s="774">
        <f t="shared" si="1140"/>
        <v>16.99147016244304</v>
      </c>
      <c r="M504" s="774">
        <f t="shared" si="1140"/>
        <v>18.33929251459092</v>
      </c>
      <c r="N504" s="789">
        <f>CHOOSE(case,U504,AC504,AK504)</f>
        <v>18.33929251459092</v>
      </c>
      <c r="O504" s="790">
        <f t="shared" si="1121"/>
        <v>18.33929251459092</v>
      </c>
      <c r="P504" s="790">
        <f t="shared" si="1122"/>
        <v>18.33929251459092</v>
      </c>
      <c r="Q504" s="790">
        <f t="shared" si="1123"/>
        <v>18.33929251459092</v>
      </c>
      <c r="R504" s="790">
        <f t="shared" si="1124"/>
        <v>18.33929251459092</v>
      </c>
      <c r="S504" s="791">
        <f t="shared" si="1125"/>
        <v>18.33929251459092</v>
      </c>
      <c r="T504" s="1493"/>
      <c r="U504" s="1515"/>
      <c r="V504" s="1515"/>
      <c r="W504" s="1515"/>
      <c r="X504" s="1515"/>
      <c r="Y504" s="1515"/>
      <c r="Z504" s="1515"/>
      <c r="AA504" s="1515"/>
      <c r="AB504" s="1321"/>
      <c r="AC504" s="737">
        <f>M504</f>
        <v>18.33929251459092</v>
      </c>
      <c r="AD504" s="737">
        <f>AC504</f>
        <v>18.33929251459092</v>
      </c>
      <c r="AE504" s="737">
        <f t="shared" si="1133"/>
        <v>18.33929251459092</v>
      </c>
      <c r="AF504" s="737">
        <f t="shared" si="1134"/>
        <v>18.33929251459092</v>
      </c>
      <c r="AG504" s="737">
        <f t="shared" si="1135"/>
        <v>18.33929251459092</v>
      </c>
      <c r="AH504" s="737">
        <f t="shared" si="1136"/>
        <v>18.33929251459092</v>
      </c>
      <c r="AI504" s="415"/>
      <c r="AJ504" s="1321"/>
      <c r="AK504" s="1515"/>
      <c r="AL504" s="1515"/>
      <c r="AM504" s="1515"/>
      <c r="AN504" s="1515"/>
      <c r="AO504" s="1515"/>
      <c r="AP504" s="1515"/>
      <c r="AQ504" s="1515"/>
    </row>
    <row r="505" spans="1:43" ht="14.5" outlineLevel="2">
      <c r="C505" s="18" t="s">
        <v>991</v>
      </c>
      <c r="D505" s="1"/>
      <c r="E505" s="1"/>
      <c r="H505" s="414">
        <v>16409</v>
      </c>
      <c r="I505" s="414">
        <v>21407</v>
      </c>
      <c r="J505" s="99">
        <f t="shared" ref="J505:M505" si="1141">SUM(J506:J510)</f>
        <v>6897</v>
      </c>
      <c r="K505" s="99">
        <f t="shared" si="1141"/>
        <v>6640</v>
      </c>
      <c r="L505" s="99">
        <f t="shared" si="1141"/>
        <v>7852.2780860666981</v>
      </c>
      <c r="M505" s="99">
        <f t="shared" si="1141"/>
        <v>8959.0473608040229</v>
      </c>
      <c r="N505" s="23">
        <f>SUM(N506:N510)</f>
        <v>15295.389515742205</v>
      </c>
      <c r="O505" s="23">
        <f t="shared" ref="O505:S505" si="1142">SUM(O506:O510)</f>
        <v>16814.402747809803</v>
      </c>
      <c r="P505" s="23">
        <f t="shared" si="1142"/>
        <v>17746.292734988689</v>
      </c>
      <c r="Q505" s="23">
        <f t="shared" si="1142"/>
        <v>17958.47101027922</v>
      </c>
      <c r="R505" s="23">
        <f t="shared" si="1142"/>
        <v>18191.286882811</v>
      </c>
      <c r="S505" s="23">
        <f t="shared" si="1142"/>
        <v>18446.775100793762</v>
      </c>
      <c r="T505" s="1321"/>
      <c r="U505" s="1515"/>
      <c r="V505" s="1515"/>
      <c r="W505" s="1515"/>
      <c r="X505" s="1515"/>
      <c r="Y505" s="1515"/>
      <c r="Z505" s="1515"/>
      <c r="AA505" s="1515"/>
      <c r="AB505" s="1321"/>
      <c r="AC505" s="1"/>
      <c r="AD505" s="1"/>
      <c r="AE505" s="1"/>
      <c r="AF505" s="1"/>
      <c r="AG505" s="1"/>
      <c r="AH505" s="1"/>
      <c r="AI505" s="415"/>
      <c r="AJ505" s="1321"/>
      <c r="AK505" s="1515"/>
      <c r="AL505" s="1515"/>
      <c r="AM505" s="1515"/>
      <c r="AN505" s="1515"/>
      <c r="AO505" s="1515"/>
      <c r="AP505" s="1515"/>
      <c r="AQ505" s="1515"/>
    </row>
    <row r="506" spans="1:43" ht="14.5" outlineLevel="2">
      <c r="C506" s="1"/>
      <c r="D506" s="27" t="s">
        <v>841</v>
      </c>
      <c r="E506" s="28"/>
      <c r="F506" s="28"/>
      <c r="G506" s="28"/>
      <c r="H506" s="114"/>
      <c r="I506" s="114"/>
      <c r="J506" s="398">
        <v>225</v>
      </c>
      <c r="K506" s="398">
        <v>0</v>
      </c>
      <c r="L506" s="398">
        <v>11.760881792004033</v>
      </c>
      <c r="M506" s="398">
        <v>107.99388213796254</v>
      </c>
      <c r="N506" s="29">
        <f>N482*N500</f>
        <v>210.51439013248057</v>
      </c>
      <c r="O506" s="29">
        <f t="shared" ref="O506:R506" si="1143">O482*O500</f>
        <v>221.0401096391046</v>
      </c>
      <c r="P506" s="29">
        <f t="shared" si="1143"/>
        <v>232.09211512105986</v>
      </c>
      <c r="Q506" s="29">
        <f t="shared" si="1143"/>
        <v>243.69672087711285</v>
      </c>
      <c r="R506" s="29">
        <f t="shared" si="1143"/>
        <v>255.88155692096851</v>
      </c>
      <c r="S506" s="30">
        <f>S482*S500</f>
        <v>268.6756347670169</v>
      </c>
      <c r="T506" s="1321"/>
      <c r="U506" s="1515"/>
      <c r="V506" s="1515"/>
      <c r="W506" s="1515"/>
      <c r="X506" s="1515"/>
      <c r="Y506" s="1515"/>
      <c r="Z506" s="1515"/>
      <c r="AA506" s="1515"/>
      <c r="AB506" s="1321"/>
      <c r="AC506" s="1"/>
      <c r="AD506" s="1"/>
      <c r="AE506" s="1"/>
      <c r="AF506" s="1"/>
      <c r="AG506" s="1"/>
      <c r="AH506" s="1"/>
      <c r="AI506" s="415"/>
      <c r="AJ506" s="1321"/>
      <c r="AK506" s="1515"/>
      <c r="AL506" s="1515"/>
      <c r="AM506" s="1515"/>
      <c r="AN506" s="1515"/>
      <c r="AO506" s="1515"/>
      <c r="AP506" s="1515"/>
      <c r="AQ506" s="1515"/>
    </row>
    <row r="507" spans="1:43" ht="14.5" outlineLevel="2">
      <c r="C507" s="1"/>
      <c r="D507" s="31" t="s">
        <v>842</v>
      </c>
      <c r="E507" s="1"/>
      <c r="F507" s="1"/>
      <c r="G507" s="1"/>
      <c r="H507" s="115"/>
      <c r="I507" s="115"/>
      <c r="J507" s="400">
        <v>0</v>
      </c>
      <c r="K507" s="400">
        <v>0</v>
      </c>
      <c r="L507" s="400">
        <v>0</v>
      </c>
      <c r="M507" s="400">
        <v>0</v>
      </c>
      <c r="N507" s="20">
        <f t="shared" ref="N507:S507" si="1144">N483*N501</f>
        <v>0</v>
      </c>
      <c r="O507" s="20">
        <f t="shared" si="1144"/>
        <v>0</v>
      </c>
      <c r="P507" s="20">
        <f t="shared" si="1144"/>
        <v>0</v>
      </c>
      <c r="Q507" s="20">
        <f t="shared" si="1144"/>
        <v>0</v>
      </c>
      <c r="R507" s="20">
        <f t="shared" si="1144"/>
        <v>0</v>
      </c>
      <c r="S507" s="32">
        <f t="shared" si="1144"/>
        <v>0</v>
      </c>
      <c r="T507" s="1321"/>
      <c r="U507" s="1515"/>
      <c r="V507" s="1515"/>
      <c r="W507" s="1515"/>
      <c r="X507" s="1515"/>
      <c r="Y507" s="1515"/>
      <c r="Z507" s="1515"/>
      <c r="AA507" s="1515"/>
      <c r="AB507" s="1321"/>
      <c r="AC507" s="1"/>
      <c r="AD507" s="1"/>
      <c r="AE507" s="1"/>
      <c r="AF507" s="1"/>
      <c r="AG507" s="1"/>
      <c r="AH507" s="1"/>
      <c r="AI507" s="415"/>
      <c r="AJ507" s="1321"/>
      <c r="AK507" s="1515"/>
      <c r="AL507" s="1515"/>
      <c r="AM507" s="1515"/>
      <c r="AN507" s="1515"/>
      <c r="AO507" s="1515"/>
      <c r="AP507" s="1515"/>
      <c r="AQ507" s="1515"/>
    </row>
    <row r="508" spans="1:43" ht="14.5" outlineLevel="2">
      <c r="C508" s="1"/>
      <c r="D508" s="31" t="s">
        <v>843</v>
      </c>
      <c r="E508" s="1"/>
      <c r="F508" s="1"/>
      <c r="G508" s="1"/>
      <c r="H508" s="115"/>
      <c r="I508" s="115"/>
      <c r="J508" s="400">
        <v>1938</v>
      </c>
      <c r="K508" s="400">
        <v>3182</v>
      </c>
      <c r="L508" s="400">
        <v>3646.2556125036012</v>
      </c>
      <c r="M508" s="400">
        <v>5319.8336523727021</v>
      </c>
      <c r="N508" s="20">
        <f>N484*N502</f>
        <v>8378.4190206415878</v>
      </c>
      <c r="O508" s="20">
        <f t="shared" ref="O508:S508" si="1145">O484*O502</f>
        <v>9216.2609227057474</v>
      </c>
      <c r="P508" s="20">
        <f t="shared" si="1145"/>
        <v>9677.073968841034</v>
      </c>
      <c r="Q508" s="20">
        <f t="shared" si="1145"/>
        <v>9677.073968841034</v>
      </c>
      <c r="R508" s="20">
        <f t="shared" si="1145"/>
        <v>9677.073968841034</v>
      </c>
      <c r="S508" s="32">
        <f t="shared" si="1145"/>
        <v>9677.073968841034</v>
      </c>
      <c r="T508" s="1321"/>
      <c r="U508" s="1515"/>
      <c r="V508" s="1515"/>
      <c r="W508" s="1515"/>
      <c r="X508" s="1515"/>
      <c r="Y508" s="1515"/>
      <c r="Z508" s="1515"/>
      <c r="AA508" s="1515"/>
      <c r="AB508" s="1321"/>
      <c r="AC508" s="1"/>
      <c r="AD508" s="1"/>
      <c r="AE508" s="1"/>
      <c r="AF508" s="1"/>
      <c r="AG508" s="1"/>
      <c r="AH508" s="1"/>
      <c r="AI508" s="415"/>
      <c r="AJ508" s="1321"/>
      <c r="AK508" s="1515"/>
      <c r="AL508" s="1515"/>
      <c r="AM508" s="1515"/>
      <c r="AN508" s="1515"/>
      <c r="AO508" s="1515"/>
      <c r="AP508" s="1515"/>
      <c r="AQ508" s="1515"/>
    </row>
    <row r="509" spans="1:43" ht="14.5" outlineLevel="2">
      <c r="C509" s="1"/>
      <c r="D509" s="31" t="s">
        <v>844</v>
      </c>
      <c r="E509" s="1"/>
      <c r="F509" s="1"/>
      <c r="G509" s="1"/>
      <c r="H509" s="115"/>
      <c r="I509" s="115"/>
      <c r="J509" s="400">
        <v>4734</v>
      </c>
      <c r="K509" s="400">
        <v>2074</v>
      </c>
      <c r="L509" s="400">
        <v>2798.0724885231466</v>
      </c>
      <c r="M509" s="400">
        <v>2741.0347297171788</v>
      </c>
      <c r="N509" s="20">
        <f t="shared" ref="N509:S509" si="1146">N485*N503</f>
        <v>5048.8224724518041</v>
      </c>
      <c r="O509" s="20">
        <f t="shared" si="1146"/>
        <v>5553.7047196969852</v>
      </c>
      <c r="P509" s="20">
        <f t="shared" si="1146"/>
        <v>5831.3899556818351</v>
      </c>
      <c r="Q509" s="20">
        <f t="shared" si="1146"/>
        <v>5831.3899556818351</v>
      </c>
      <c r="R509" s="20">
        <f t="shared" si="1146"/>
        <v>5831.3899556818351</v>
      </c>
      <c r="S509" s="32">
        <f t="shared" si="1146"/>
        <v>5831.3899556818351</v>
      </c>
      <c r="T509" s="1321"/>
      <c r="U509" s="1515"/>
      <c r="V509" s="1515"/>
      <c r="W509" s="1515"/>
      <c r="X509" s="1515"/>
      <c r="Y509" s="1515"/>
      <c r="Z509" s="1515"/>
      <c r="AA509" s="1515"/>
      <c r="AB509" s="1321"/>
      <c r="AC509" s="1"/>
      <c r="AD509" s="1"/>
      <c r="AE509" s="1"/>
      <c r="AF509" s="1"/>
      <c r="AG509" s="1"/>
      <c r="AH509" s="1"/>
      <c r="AI509" s="415"/>
      <c r="AJ509" s="1321"/>
      <c r="AK509" s="1515"/>
      <c r="AL509" s="1515"/>
      <c r="AM509" s="1515"/>
      <c r="AN509" s="1515"/>
      <c r="AO509" s="1515"/>
      <c r="AP509" s="1515"/>
      <c r="AQ509" s="1515"/>
    </row>
    <row r="510" spans="1:43" ht="14.5" outlineLevel="2">
      <c r="C510" s="1"/>
      <c r="D510" s="33" t="s">
        <v>665</v>
      </c>
      <c r="E510" s="34"/>
      <c r="F510" s="34"/>
      <c r="G510" s="34"/>
      <c r="H510" s="116"/>
      <c r="I510" s="116"/>
      <c r="J510" s="402">
        <v>0</v>
      </c>
      <c r="K510" s="402">
        <v>1384</v>
      </c>
      <c r="L510" s="402">
        <v>1396.1891032479459</v>
      </c>
      <c r="M510" s="402">
        <v>790.18509657617869</v>
      </c>
      <c r="N510" s="35">
        <f t="shared" ref="N510:S510" si="1147">N486*N504</f>
        <v>1657.6336325163311</v>
      </c>
      <c r="O510" s="35">
        <f t="shared" si="1147"/>
        <v>1823.3969957679644</v>
      </c>
      <c r="P510" s="35">
        <f t="shared" si="1147"/>
        <v>2005.7366953447608</v>
      </c>
      <c r="Q510" s="35">
        <f t="shared" si="1147"/>
        <v>2206.3103648792371</v>
      </c>
      <c r="R510" s="35">
        <f t="shared" si="1147"/>
        <v>2426.9414013671612</v>
      </c>
      <c r="S510" s="36">
        <f t="shared" si="1147"/>
        <v>2669.6355415038774</v>
      </c>
      <c r="T510" s="1321"/>
      <c r="U510" s="1515"/>
      <c r="V510" s="1515"/>
      <c r="W510" s="1515"/>
      <c r="X510" s="1515"/>
      <c r="Y510" s="1515"/>
      <c r="Z510" s="1515"/>
      <c r="AA510" s="1515"/>
      <c r="AB510" s="1321"/>
      <c r="AC510" s="1"/>
      <c r="AD510" s="1"/>
      <c r="AE510" s="1"/>
      <c r="AF510" s="1"/>
      <c r="AG510" s="1"/>
      <c r="AH510" s="1"/>
      <c r="AI510" s="415"/>
      <c r="AJ510" s="1321"/>
      <c r="AK510" s="1515"/>
      <c r="AL510" s="1515"/>
      <c r="AM510" s="1515"/>
      <c r="AN510" s="1515"/>
      <c r="AO510" s="1515"/>
      <c r="AP510" s="1515"/>
      <c r="AQ510" s="1515"/>
    </row>
    <row r="511" spans="1:43" ht="14.5" outlineLevel="2">
      <c r="C511" s="1"/>
      <c r="D511" s="1"/>
      <c r="E511" s="1"/>
      <c r="AI511" s="424"/>
    </row>
    <row r="512" spans="1:43" ht="15" outlineLevel="2" thickBot="1">
      <c r="C512" s="37" t="s">
        <v>160</v>
      </c>
      <c r="D512" s="37"/>
      <c r="E512" s="37"/>
      <c r="F512" s="109"/>
      <c r="G512" s="109"/>
      <c r="H512" s="117">
        <f>1-H513/H505</f>
        <v>1.7673228106527272E-3</v>
      </c>
      <c r="I512" s="117">
        <f t="shared" ref="I512" si="1148">1-I513/I505</f>
        <v>1.5415518288410812E-3</v>
      </c>
      <c r="J512" s="117">
        <f t="shared" ref="J512" si="1149">1-J513/J505</f>
        <v>2.1313614615049992E-2</v>
      </c>
      <c r="K512" s="117">
        <f t="shared" ref="K512:M512" si="1150">1-K513/K505</f>
        <v>1.0993975903614506E-2</v>
      </c>
      <c r="L512" s="117">
        <f t="shared" si="1150"/>
        <v>1.0993975903614617E-2</v>
      </c>
      <c r="M512" s="117">
        <f t="shared" si="1150"/>
        <v>1.0993975903614728E-2</v>
      </c>
      <c r="N512" s="160">
        <f t="shared" ref="N512" si="1151">L512</f>
        <v>1.0993975903614617E-2</v>
      </c>
      <c r="O512" s="160">
        <f t="shared" ref="O512" si="1152">N512</f>
        <v>1.0993975903614617E-2</v>
      </c>
      <c r="P512" s="160">
        <f t="shared" ref="P512" si="1153">O512</f>
        <v>1.0993975903614617E-2</v>
      </c>
      <c r="Q512" s="160">
        <f t="shared" ref="Q512" si="1154">P512</f>
        <v>1.0993975903614617E-2</v>
      </c>
      <c r="R512" s="160">
        <f t="shared" ref="R512" si="1155">Q512</f>
        <v>1.0993975903614617E-2</v>
      </c>
      <c r="S512" s="160">
        <f t="shared" ref="S512" si="1156">R512</f>
        <v>1.0993975903614617E-2</v>
      </c>
      <c r="AI512" s="424"/>
    </row>
    <row r="513" spans="1:43" s="101" customFormat="1" ht="15" outlineLevel="2" thickBot="1">
      <c r="C513" s="76" t="s">
        <v>992</v>
      </c>
      <c r="D513" s="76"/>
      <c r="E513" s="76"/>
      <c r="F513" s="110"/>
      <c r="G513" s="110"/>
      <c r="H513" s="409">
        <v>16380</v>
      </c>
      <c r="I513" s="409">
        <v>21374</v>
      </c>
      <c r="J513" s="409">
        <v>6750</v>
      </c>
      <c r="K513" s="409">
        <v>6567</v>
      </c>
      <c r="L513" s="409">
        <v>7765.9503299999997</v>
      </c>
      <c r="M513" s="409">
        <v>8860.5518100000008</v>
      </c>
      <c r="N513" s="113">
        <f t="shared" ref="N513:S513" si="1157">N505*(1-N512)</f>
        <v>15127.232371969736</v>
      </c>
      <c r="O513" s="113">
        <f t="shared" si="1157"/>
        <v>16629.545609166711</v>
      </c>
      <c r="P513" s="113">
        <f t="shared" si="1157"/>
        <v>17551.190420281731</v>
      </c>
      <c r="Q513" s="113">
        <f t="shared" si="1157"/>
        <v>17761.036012726447</v>
      </c>
      <c r="R513" s="113">
        <f t="shared" si="1157"/>
        <v>17991.292313165635</v>
      </c>
      <c r="S513" s="113">
        <f t="shared" si="1157"/>
        <v>18243.971699836238</v>
      </c>
      <c r="T513" s="525"/>
      <c r="U513" s="1512"/>
      <c r="V513" s="1512"/>
      <c r="W513" s="1512"/>
      <c r="X513" s="1512"/>
      <c r="Y513" s="1512"/>
      <c r="Z513" s="1512"/>
      <c r="AA513" s="1512"/>
      <c r="AI513" s="473"/>
      <c r="AK513" s="1512"/>
      <c r="AL513" s="1512"/>
      <c r="AM513" s="1512"/>
      <c r="AN513" s="1512"/>
      <c r="AO513" s="1512"/>
      <c r="AP513" s="1512"/>
      <c r="AQ513" s="1512"/>
    </row>
    <row r="514" spans="1:43" s="101" customFormat="1" ht="14.5" outlineLevel="2">
      <c r="C514" s="97" t="s">
        <v>659</v>
      </c>
      <c r="H514" s="394">
        <v>-18031</v>
      </c>
      <c r="I514" s="394">
        <v>-18736</v>
      </c>
      <c r="J514" s="394">
        <v>-6213</v>
      </c>
      <c r="K514" s="394">
        <v>-6312</v>
      </c>
      <c r="L514" s="394">
        <v>-7368.9554990398165</v>
      </c>
      <c r="M514" s="394">
        <v>-8139.1672114078383</v>
      </c>
      <c r="N514" s="20">
        <f>N515*N481</f>
        <v>-13783.211638581271</v>
      </c>
      <c r="O514" s="20">
        <f t="shared" ref="O514:S514" si="1158">O515*O481</f>
        <v>-14910.754679486472</v>
      </c>
      <c r="P514" s="20">
        <f t="shared" si="1158"/>
        <v>-15545.533442326183</v>
      </c>
      <c r="Q514" s="20">
        <f t="shared" si="1158"/>
        <v>-15555.693002096055</v>
      </c>
      <c r="R514" s="20">
        <f t="shared" si="1158"/>
        <v>-15584.294866480639</v>
      </c>
      <c r="S514" s="20">
        <f t="shared" si="1158"/>
        <v>-15631.024505091667</v>
      </c>
      <c r="U514" s="1512"/>
      <c r="V514" s="1512"/>
      <c r="W514" s="1512"/>
      <c r="X514" s="1512"/>
      <c r="Y514" s="1512"/>
      <c r="Z514" s="1512"/>
      <c r="AA514" s="1512"/>
      <c r="AI514" s="473"/>
      <c r="AK514" s="1512"/>
      <c r="AL514" s="1512"/>
      <c r="AM514" s="1512"/>
      <c r="AN514" s="1512"/>
      <c r="AO514" s="1512"/>
      <c r="AP514" s="1512"/>
      <c r="AQ514" s="1512"/>
    </row>
    <row r="515" spans="1:43" s="101" customFormat="1" ht="14.5" outlineLevel="2">
      <c r="C515" s="97"/>
      <c r="D515" s="1" t="s">
        <v>849</v>
      </c>
      <c r="E515" s="1"/>
      <c r="H515" s="394"/>
      <c r="I515" s="394"/>
      <c r="J515" s="744">
        <f t="shared" ref="J515" si="1159">J514/J481</f>
        <v>-2.7466843501326261</v>
      </c>
      <c r="K515" s="744">
        <f>K514/K481</f>
        <v>-3.3899033297529537</v>
      </c>
      <c r="L515" s="744">
        <f t="shared" ref="L515" si="1160">L514/L481</f>
        <v>-2.7795218047106958</v>
      </c>
      <c r="M515" s="744">
        <f t="shared" ref="M515" si="1161">M514/M481</f>
        <v>-2.9818194379968839</v>
      </c>
      <c r="N515" s="1039">
        <f>M515</f>
        <v>-2.9818194379968839</v>
      </c>
      <c r="O515" s="744">
        <f>N515*(1+O516)</f>
        <v>-2.9342301171907224</v>
      </c>
      <c r="P515" s="744">
        <f t="shared" ref="P515" si="1162">O515*(1+P516)</f>
        <v>-2.9107602399862178</v>
      </c>
      <c r="Q515" s="744">
        <f t="shared" ref="Q515" si="1163">P515*(1+Q516)</f>
        <v>-2.9049147659270638</v>
      </c>
      <c r="R515" s="744">
        <f t="shared" ref="R515" si="1164">Q515*(1+R516)</f>
        <v>-2.9018546656249784</v>
      </c>
      <c r="S515" s="744">
        <f t="shared" ref="S515" si="1165">R515*(1+S516)</f>
        <v>-2.9014362961679501</v>
      </c>
      <c r="U515" s="1512"/>
      <c r="V515" s="1512"/>
      <c r="W515" s="1512"/>
      <c r="X515" s="1512"/>
      <c r="Y515" s="1512"/>
      <c r="Z515" s="1512"/>
      <c r="AA515" s="1512"/>
      <c r="AI515" s="473"/>
      <c r="AK515" s="1512"/>
      <c r="AL515" s="1512"/>
      <c r="AM515" s="1512"/>
      <c r="AN515" s="1512"/>
      <c r="AO515" s="1512"/>
      <c r="AP515" s="1512"/>
      <c r="AQ515" s="1512"/>
    </row>
    <row r="516" spans="1:43" s="101" customFormat="1" ht="15" outlineLevel="2" thickBot="1">
      <c r="C516" s="109"/>
      <c r="D516" s="74"/>
      <c r="E516" s="74" t="s">
        <v>151</v>
      </c>
      <c r="H516" s="404"/>
      <c r="I516" s="404"/>
      <c r="J516" s="404"/>
      <c r="K516" s="404"/>
      <c r="L516" s="75">
        <f>L515/J515-1</f>
        <v>1.1955306978205904E-2</v>
      </c>
      <c r="M516" s="404"/>
      <c r="N516" s="75">
        <f>N515/L515-1</f>
        <v>7.278145217041887E-2</v>
      </c>
      <c r="O516" s="161">
        <f>CHOOSE(case,V516,AD516,AL516)</f>
        <v>-1.595982647364147E-2</v>
      </c>
      <c r="P516" s="161">
        <f t="shared" ref="P516" si="1166">CHOOSE(case,W516,AE516,AM516)</f>
        <v>-7.9986491403662985E-3</v>
      </c>
      <c r="Q516" s="161">
        <f t="shared" ref="Q516" si="1167">CHOOSE(case,X516,AF516,AN516)</f>
        <v>-2.0082293205920809E-3</v>
      </c>
      <c r="R516" s="161">
        <f t="shared" ref="R516" si="1168">CHOOSE(case,Y516,AG516,AO516)</f>
        <v>-1.0534217175589555E-3</v>
      </c>
      <c r="S516" s="1044">
        <f t="shared" ref="S516" si="1169">CHOOSE(case,Z516,AH516,AP516)</f>
        <v>-1.4417312554770856E-4</v>
      </c>
      <c r="U516" s="1512"/>
      <c r="V516" s="1512"/>
      <c r="W516" s="1512"/>
      <c r="X516" s="1512"/>
      <c r="Y516" s="1512"/>
      <c r="Z516" s="1512"/>
      <c r="AA516" s="1512"/>
      <c r="AC516" s="829"/>
      <c r="AD516" s="1042">
        <f>(SUMPRODUCT(O494:O497,各区域分剂型成本优化!K$195:K$198)+O498*O504)/(SUMPRODUCT(N494:N497,各区域分剂型成本优化!J$195:J$198)+N498*N504)-1</f>
        <v>-1.595982647364147E-2</v>
      </c>
      <c r="AE516" s="1042">
        <f>(SUMPRODUCT(P494:P497,各区域分剂型成本优化!L$195:L$198)+P498*P504)/(SUMPRODUCT(O494:O497,各区域分剂型成本优化!K$195:K$198)+O498*O504)-1</f>
        <v>-7.9986491403662985E-3</v>
      </c>
      <c r="AF516" s="1042">
        <f>(SUMPRODUCT(Q494:Q497,各区域分剂型成本优化!M$195:M$198)+Q498*Q504)/(SUMPRODUCT(P494:P497,各区域分剂型成本优化!L$195:L$198)+P498*P504)-1</f>
        <v>-2.0082293205920809E-3</v>
      </c>
      <c r="AG516" s="1042">
        <f>(SUMPRODUCT(R494:R497,各区域分剂型成本优化!N$195:N$198)+R498*R504)/(SUMPRODUCT(Q494:Q497,各区域分剂型成本优化!M$195:M$198)+Q498*Q504)-1</f>
        <v>-1.0534217175589555E-3</v>
      </c>
      <c r="AH516" s="1042">
        <f>(SUMPRODUCT(S494:S497,各区域分剂型成本优化!O$195:O$198)+S498*S504)/(SUMPRODUCT(R494:R497,各区域分剂型成本优化!N$195:N$198)+R498*R504)-1</f>
        <v>-1.4417312554770856E-4</v>
      </c>
      <c r="AI516" s="473"/>
      <c r="AK516" s="1512"/>
      <c r="AL516" s="1512"/>
      <c r="AM516" s="1512"/>
      <c r="AN516" s="1512"/>
      <c r="AO516" s="1512"/>
      <c r="AP516" s="1512"/>
      <c r="AQ516" s="1512"/>
    </row>
    <row r="517" spans="1:43" s="101" customFormat="1" ht="15" outlineLevel="2" thickBot="1">
      <c r="C517" s="63" t="s">
        <v>846</v>
      </c>
      <c r="D517" s="63"/>
      <c r="E517" s="63"/>
      <c r="F517" s="110"/>
      <c r="G517" s="110"/>
      <c r="H517" s="64">
        <f>H513+H514</f>
        <v>-1651</v>
      </c>
      <c r="I517" s="64">
        <f t="shared" ref="I517" si="1170">I513+I514</f>
        <v>2638</v>
      </c>
      <c r="J517" s="64">
        <f t="shared" ref="J517" si="1171">J513+J514</f>
        <v>537</v>
      </c>
      <c r="K517" s="64">
        <f t="shared" ref="K517:L517" si="1172">K513+K514</f>
        <v>255</v>
      </c>
      <c r="L517" s="64">
        <f t="shared" si="1172"/>
        <v>396.99483096018321</v>
      </c>
      <c r="M517" s="64">
        <f t="shared" ref="M517:S517" si="1173">M513+M514</f>
        <v>721.38459859216255</v>
      </c>
      <c r="N517" s="64">
        <f t="shared" si="1173"/>
        <v>1344.0207333884646</v>
      </c>
      <c r="O517" s="64">
        <f t="shared" si="1173"/>
        <v>1718.7909296802391</v>
      </c>
      <c r="P517" s="64">
        <f t="shared" si="1173"/>
        <v>2005.6569779555484</v>
      </c>
      <c r="Q517" s="64">
        <f t="shared" si="1173"/>
        <v>2205.3430106303913</v>
      </c>
      <c r="R517" s="64">
        <f t="shared" si="1173"/>
        <v>2406.9974466849962</v>
      </c>
      <c r="S517" s="64">
        <f t="shared" si="1173"/>
        <v>2612.9471947445709</v>
      </c>
      <c r="U517" s="1512"/>
      <c r="V517" s="1512"/>
      <c r="W517" s="1512"/>
      <c r="X517" s="1512"/>
      <c r="Y517" s="1512"/>
      <c r="Z517" s="1512"/>
      <c r="AA517" s="1512"/>
      <c r="AI517" s="473"/>
      <c r="AK517" s="1512"/>
      <c r="AL517" s="1512"/>
      <c r="AM517" s="1512"/>
      <c r="AN517" s="1512"/>
      <c r="AO517" s="1512"/>
      <c r="AP517" s="1512"/>
      <c r="AQ517" s="1512"/>
    </row>
    <row r="518" spans="1:43" s="101" customFormat="1" ht="14.5" outlineLevel="2">
      <c r="C518" s="22" t="s">
        <v>660</v>
      </c>
      <c r="D518" s="18"/>
      <c r="E518" s="18"/>
      <c r="H518" s="94">
        <f>H517/H513</f>
        <v>-0.1007936507936508</v>
      </c>
      <c r="I518" s="94">
        <f t="shared" ref="I518" si="1174">I517/I513</f>
        <v>0.1234209787592402</v>
      </c>
      <c r="J518" s="94">
        <f t="shared" ref="J518" si="1175">J517/J513</f>
        <v>7.955555555555556E-2</v>
      </c>
      <c r="K518" s="94">
        <f t="shared" ref="K518:L518" si="1176">K517/K513</f>
        <v>3.8830516217450893E-2</v>
      </c>
      <c r="L518" s="94">
        <f t="shared" si="1176"/>
        <v>5.1119929189681439E-2</v>
      </c>
      <c r="M518" s="94">
        <f t="shared" ref="M518:S518" si="1177">M517/M513</f>
        <v>8.141531295804956E-2</v>
      </c>
      <c r="N518" s="94">
        <f>N517/N513</f>
        <v>8.884776146355039E-2</v>
      </c>
      <c r="O518" s="94">
        <f t="shared" si="1177"/>
        <v>0.1033576605203686</v>
      </c>
      <c r="P518" s="94">
        <f t="shared" si="1177"/>
        <v>0.11427469760899293</v>
      </c>
      <c r="Q518" s="94">
        <f t="shared" si="1177"/>
        <v>0.12416747587529131</v>
      </c>
      <c r="R518" s="94">
        <f t="shared" si="1177"/>
        <v>0.13378680112509805</v>
      </c>
      <c r="S518" s="94">
        <f t="shared" si="1177"/>
        <v>0.14322249769593895</v>
      </c>
      <c r="T518" s="1321"/>
      <c r="U518" s="1526">
        <f>AC518+0.3%</f>
        <v>3.0000000000000001E-3</v>
      </c>
      <c r="V518" s="1526">
        <f t="shared" ref="V518" si="1178">AD518+0.3%</f>
        <v>3.0000000000000001E-3</v>
      </c>
      <c r="W518" s="1526">
        <f t="shared" ref="W518" si="1179">AE518+0.3%</f>
        <v>3.0000000000000001E-3</v>
      </c>
      <c r="X518" s="1526">
        <f t="shared" ref="X518" si="1180">AF518+0.3%</f>
        <v>3.0000000000000001E-3</v>
      </c>
      <c r="Y518" s="1526">
        <f t="shared" ref="Y518" si="1181">AG518+0.3%</f>
        <v>3.0000000000000001E-3</v>
      </c>
      <c r="Z518" s="1526">
        <f t="shared" ref="Z518" si="1182">AH518+0.3%</f>
        <v>3.0000000000000001E-3</v>
      </c>
      <c r="AA518" s="1515"/>
      <c r="AB518" s="1321"/>
      <c r="AC518" s="65"/>
      <c r="AD518" s="65"/>
      <c r="AE518" s="65"/>
      <c r="AF518" s="65"/>
      <c r="AG518" s="65"/>
      <c r="AH518" s="65"/>
      <c r="AI518" s="415"/>
      <c r="AJ518" s="1321"/>
      <c r="AK518" s="1526">
        <f>AC518-0.3%</f>
        <v>-3.0000000000000001E-3</v>
      </c>
      <c r="AL518" s="1526">
        <f t="shared" ref="AL518" si="1183">AD518-0.3%</f>
        <v>-3.0000000000000001E-3</v>
      </c>
      <c r="AM518" s="1526">
        <f t="shared" ref="AM518" si="1184">AE518-0.3%</f>
        <v>-3.0000000000000001E-3</v>
      </c>
      <c r="AN518" s="1526">
        <f t="shared" ref="AN518" si="1185">AF518-0.3%</f>
        <v>-3.0000000000000001E-3</v>
      </c>
      <c r="AO518" s="1526">
        <f t="shared" ref="AO518" si="1186">AG518-0.3%</f>
        <v>-3.0000000000000001E-3</v>
      </c>
      <c r="AP518" s="1526">
        <f t="shared" ref="AP518" si="1187">AH518-0.3%</f>
        <v>-3.0000000000000001E-3</v>
      </c>
      <c r="AQ518" s="1515"/>
    </row>
    <row r="519" spans="1:43" ht="14.5" outlineLevel="2">
      <c r="AI519" s="424"/>
    </row>
    <row r="520" spans="1:43" s="1126" customFormat="1" ht="14.5" outlineLevel="2">
      <c r="A520" s="26" t="s">
        <v>8</v>
      </c>
      <c r="B520" s="26"/>
      <c r="C520" s="26" t="s">
        <v>183</v>
      </c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U520" s="1518"/>
      <c r="V520" s="1518"/>
      <c r="W520" s="1518"/>
      <c r="X520" s="1518"/>
      <c r="Y520" s="1518"/>
      <c r="Z520" s="1518"/>
      <c r="AA520" s="1518"/>
      <c r="AC520" s="26"/>
      <c r="AD520" s="26"/>
      <c r="AE520" s="26"/>
      <c r="AF520" s="26"/>
      <c r="AG520" s="26"/>
      <c r="AH520" s="26"/>
      <c r="AI520" s="474"/>
      <c r="AK520" s="1518"/>
      <c r="AL520" s="1518"/>
      <c r="AM520" s="1518"/>
      <c r="AN520" s="1518"/>
      <c r="AO520" s="1518"/>
      <c r="AP520" s="1518"/>
      <c r="AQ520" s="1518"/>
    </row>
    <row r="521" spans="1:43" ht="14.5" outlineLevel="2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1024">
        <f>L546/K546</f>
        <v>1.0620552391629297</v>
      </c>
      <c r="M521" s="1024">
        <f>M546/K546</f>
        <v>0.25861112107623319</v>
      </c>
      <c r="N521" s="99"/>
      <c r="O521" s="99"/>
      <c r="P521" s="99"/>
      <c r="Q521" s="99"/>
      <c r="R521" s="99"/>
      <c r="S521" s="99"/>
      <c r="AI521" s="424"/>
    </row>
    <row r="522" spans="1:43" s="99" customFormat="1" ht="14.5" outlineLevel="2">
      <c r="C522" s="18" t="s">
        <v>840</v>
      </c>
      <c r="D522" s="18"/>
      <c r="E522" s="18"/>
      <c r="H522" s="99">
        <f>SUM(H523:H527)</f>
        <v>0</v>
      </c>
      <c r="I522" s="99">
        <f t="shared" ref="I522" si="1188">SUM(I523:I527)</f>
        <v>0</v>
      </c>
      <c r="J522" s="99">
        <f t="shared" ref="J522" si="1189">SUM(J523:J527)</f>
        <v>275</v>
      </c>
      <c r="K522" s="99">
        <f t="shared" ref="K522" si="1190">SUM(K523:K527)</f>
        <v>245</v>
      </c>
      <c r="L522" s="23">
        <f>SUM(L523:L527)</f>
        <v>260.20353359491776</v>
      </c>
      <c r="M522" s="23">
        <f>SUM(M523:M527)</f>
        <v>63.359724663677142</v>
      </c>
      <c r="N522" s="23">
        <f t="shared" ref="N522:S522" si="1191">SUM(N523:N527)</f>
        <v>260.20353359491776</v>
      </c>
      <c r="O522" s="23">
        <f t="shared" si="1191"/>
        <v>260.20353359491776</v>
      </c>
      <c r="P522" s="23">
        <f t="shared" si="1191"/>
        <v>260.20353359491776</v>
      </c>
      <c r="Q522" s="23">
        <f t="shared" si="1191"/>
        <v>260.20353359491776</v>
      </c>
      <c r="R522" s="23">
        <f t="shared" si="1191"/>
        <v>260.20353359491776</v>
      </c>
      <c r="S522" s="23">
        <f t="shared" si="1191"/>
        <v>260.20353359491776</v>
      </c>
      <c r="T522" s="1126"/>
      <c r="U522" s="1519">
        <f>$L522*(1+$AA522)</f>
        <v>270.61167493871449</v>
      </c>
      <c r="V522" s="1519">
        <f>U522*(1+$AA522)</f>
        <v>281.43614193626308</v>
      </c>
      <c r="W522" s="1519">
        <f t="shared" ref="W522:Z522" si="1192">V522*(1+$AA522)</f>
        <v>292.69358761371359</v>
      </c>
      <c r="X522" s="1519">
        <f t="shared" si="1192"/>
        <v>304.40133111826214</v>
      </c>
      <c r="Y522" s="1519">
        <f t="shared" si="1192"/>
        <v>316.57738436299263</v>
      </c>
      <c r="Z522" s="1519">
        <f t="shared" si="1192"/>
        <v>329.24047973751237</v>
      </c>
      <c r="AA522" s="1520">
        <v>0.04</v>
      </c>
      <c r="AB522" s="1321"/>
      <c r="AC522" s="20"/>
      <c r="AD522" s="20"/>
      <c r="AE522" s="20"/>
      <c r="AF522" s="20"/>
      <c r="AG522" s="20"/>
      <c r="AH522" s="20"/>
      <c r="AI522" s="472"/>
      <c r="AJ522" s="1321"/>
      <c r="AK522" s="1519">
        <f>$L522*(1+$AQ522)</f>
        <v>254.99946292301939</v>
      </c>
      <c r="AL522" s="1519">
        <f>AK522*(1+$AQ522)</f>
        <v>249.899473664559</v>
      </c>
      <c r="AM522" s="1519">
        <f t="shared" ref="AM522:AN522" si="1193">AL522*(1+$AQ522)</f>
        <v>244.90148419126783</v>
      </c>
      <c r="AN522" s="1519">
        <f t="shared" si="1193"/>
        <v>240.00345450744246</v>
      </c>
      <c r="AO522" s="1519">
        <f>AN522*(1+$AQ522)</f>
        <v>235.20338541729359</v>
      </c>
      <c r="AP522" s="1519">
        <f t="shared" ref="AP522" si="1194">AO522*(1+$AQ522)</f>
        <v>230.4993177089477</v>
      </c>
      <c r="AQ522" s="1520">
        <f>AI522-2%</f>
        <v>-0.02</v>
      </c>
    </row>
    <row r="523" spans="1:43" s="101" customFormat="1" ht="14.5" outlineLevel="2">
      <c r="C523" s="1"/>
      <c r="D523" s="27" t="s">
        <v>841</v>
      </c>
      <c r="E523" s="28"/>
      <c r="F523" s="28"/>
      <c r="G523" s="28"/>
      <c r="H523" s="114"/>
      <c r="I523" s="114"/>
      <c r="J523" s="398">
        <v>0</v>
      </c>
      <c r="K523" s="398">
        <v>0</v>
      </c>
      <c r="L523" s="29">
        <f>IFERROR(L547/L541,0)</f>
        <v>0</v>
      </c>
      <c r="M523" s="29">
        <f>IFERROR(M547/M541,0)</f>
        <v>0</v>
      </c>
      <c r="N523" s="703">
        <f>L523*(1+N529)</f>
        <v>0</v>
      </c>
      <c r="O523" s="29">
        <f>N523*(1+O529)</f>
        <v>0</v>
      </c>
      <c r="P523" s="29">
        <f t="shared" ref="P523:P527" si="1195">O523*(1+P529)</f>
        <v>0</v>
      </c>
      <c r="Q523" s="29">
        <f t="shared" ref="Q523:Q527" si="1196">P523*(1+Q529)</f>
        <v>0</v>
      </c>
      <c r="R523" s="29">
        <f t="shared" ref="R523:R527" si="1197">Q523*(1+R529)</f>
        <v>0</v>
      </c>
      <c r="S523" s="30">
        <f t="shared" ref="S523:S527" si="1198">R523*(1+S529)</f>
        <v>0</v>
      </c>
      <c r="T523" s="1321"/>
      <c r="U523" s="1515"/>
      <c r="V523" s="1515"/>
      <c r="W523" s="1515"/>
      <c r="X523" s="1515"/>
      <c r="Y523" s="1515"/>
      <c r="Z523" s="1515"/>
      <c r="AA523" s="1515"/>
      <c r="AB523" s="1321"/>
      <c r="AC523" s="1"/>
      <c r="AD523" s="1"/>
      <c r="AE523" s="1"/>
      <c r="AF523" s="1"/>
      <c r="AG523" s="1"/>
      <c r="AH523" s="1"/>
      <c r="AI523" s="415"/>
      <c r="AJ523" s="1321"/>
      <c r="AK523" s="1515"/>
      <c r="AL523" s="1515"/>
      <c r="AM523" s="1515"/>
      <c r="AN523" s="1515"/>
      <c r="AO523" s="1515"/>
      <c r="AP523" s="1515"/>
      <c r="AQ523" s="1515"/>
    </row>
    <row r="524" spans="1:43" ht="14.5" outlineLevel="2">
      <c r="C524" s="1"/>
      <c r="D524" s="31" t="s">
        <v>842</v>
      </c>
      <c r="E524" s="1"/>
      <c r="F524" s="1"/>
      <c r="G524" s="1"/>
      <c r="H524" s="115"/>
      <c r="I524" s="115"/>
      <c r="J524" s="400">
        <v>0</v>
      </c>
      <c r="K524" s="400">
        <v>0</v>
      </c>
      <c r="L524" s="20">
        <f t="shared" ref="L524:M527" si="1199">IFERROR(L548/L542,0)</f>
        <v>0</v>
      </c>
      <c r="M524" s="20">
        <f t="shared" si="1199"/>
        <v>0</v>
      </c>
      <c r="N524" s="704">
        <f t="shared" ref="N524:N527" si="1200">L524*(1+N530)</f>
        <v>0</v>
      </c>
      <c r="O524" s="20">
        <f t="shared" ref="O524:O527" si="1201">N524*(1+O530)</f>
        <v>0</v>
      </c>
      <c r="P524" s="20">
        <f t="shared" si="1195"/>
        <v>0</v>
      </c>
      <c r="Q524" s="20">
        <f t="shared" si="1196"/>
        <v>0</v>
      </c>
      <c r="R524" s="20">
        <f t="shared" si="1197"/>
        <v>0</v>
      </c>
      <c r="S524" s="32">
        <f t="shared" si="1198"/>
        <v>0</v>
      </c>
      <c r="T524" s="1321"/>
      <c r="U524" s="1515"/>
      <c r="V524" s="1515"/>
      <c r="W524" s="1515"/>
      <c r="X524" s="1515"/>
      <c r="Y524" s="1515"/>
      <c r="Z524" s="1515"/>
      <c r="AA524" s="1515"/>
      <c r="AB524" s="1321"/>
      <c r="AC524" s="1"/>
      <c r="AD524" s="1"/>
      <c r="AE524" s="1"/>
      <c r="AF524" s="1"/>
      <c r="AG524" s="1"/>
      <c r="AH524" s="1"/>
      <c r="AI524" s="415"/>
      <c r="AJ524" s="1321"/>
      <c r="AK524" s="1515"/>
      <c r="AL524" s="1515"/>
      <c r="AM524" s="1515"/>
      <c r="AN524" s="1515"/>
      <c r="AO524" s="1515"/>
      <c r="AP524" s="1515"/>
      <c r="AQ524" s="1515"/>
    </row>
    <row r="525" spans="1:43" ht="14.5" outlineLevel="2">
      <c r="C525" s="1"/>
      <c r="D525" s="31" t="s">
        <v>843</v>
      </c>
      <c r="E525" s="1"/>
      <c r="F525" s="1"/>
      <c r="G525" s="1"/>
      <c r="H525" s="115"/>
      <c r="I525" s="115"/>
      <c r="J525" s="400">
        <v>76</v>
      </c>
      <c r="K525" s="400">
        <v>84</v>
      </c>
      <c r="L525" s="20">
        <f t="shared" si="1199"/>
        <v>89.212640089686076</v>
      </c>
      <c r="M525" s="20">
        <f t="shared" si="1199"/>
        <v>21.723334170403589</v>
      </c>
      <c r="N525" s="704">
        <f t="shared" si="1200"/>
        <v>89.212640089686076</v>
      </c>
      <c r="O525" s="20">
        <f t="shared" si="1201"/>
        <v>89.212640089686076</v>
      </c>
      <c r="P525" s="20">
        <f t="shared" si="1195"/>
        <v>89.212640089686076</v>
      </c>
      <c r="Q525" s="20">
        <f t="shared" si="1196"/>
        <v>89.212640089686076</v>
      </c>
      <c r="R525" s="20">
        <f t="shared" si="1197"/>
        <v>89.212640089686076</v>
      </c>
      <c r="S525" s="32">
        <f t="shared" si="1198"/>
        <v>89.212640089686076</v>
      </c>
      <c r="T525" s="1321"/>
      <c r="U525" s="1515"/>
      <c r="V525" s="1515"/>
      <c r="W525" s="1515"/>
      <c r="X525" s="1515"/>
      <c r="Y525" s="1515"/>
      <c r="Z525" s="1515"/>
      <c r="AA525" s="1515"/>
      <c r="AB525" s="1321"/>
      <c r="AC525" s="1"/>
      <c r="AD525" s="1"/>
      <c r="AE525" s="1"/>
      <c r="AF525" s="1"/>
      <c r="AG525" s="1"/>
      <c r="AH525" s="1"/>
      <c r="AI525" s="415"/>
      <c r="AJ525" s="1321"/>
      <c r="AK525" s="1515"/>
      <c r="AL525" s="1515"/>
      <c r="AM525" s="1515"/>
      <c r="AN525" s="1515"/>
      <c r="AO525" s="1515"/>
      <c r="AP525" s="1515"/>
      <c r="AQ525" s="1515"/>
    </row>
    <row r="526" spans="1:43" ht="14.5" outlineLevel="2">
      <c r="C526" s="1"/>
      <c r="D526" s="31" t="s">
        <v>844</v>
      </c>
      <c r="E526" s="1"/>
      <c r="F526" s="1"/>
      <c r="G526" s="1"/>
      <c r="H526" s="115"/>
      <c r="I526" s="115"/>
      <c r="J526" s="400">
        <v>0</v>
      </c>
      <c r="K526" s="400">
        <v>0</v>
      </c>
      <c r="L526" s="20">
        <f t="shared" si="1199"/>
        <v>0</v>
      </c>
      <c r="M526" s="20">
        <f t="shared" si="1199"/>
        <v>0</v>
      </c>
      <c r="N526" s="704">
        <f t="shared" si="1200"/>
        <v>0</v>
      </c>
      <c r="O526" s="20">
        <f t="shared" si="1201"/>
        <v>0</v>
      </c>
      <c r="P526" s="20">
        <f t="shared" si="1195"/>
        <v>0</v>
      </c>
      <c r="Q526" s="20">
        <f t="shared" si="1196"/>
        <v>0</v>
      </c>
      <c r="R526" s="20">
        <f t="shared" si="1197"/>
        <v>0</v>
      </c>
      <c r="S526" s="32">
        <f t="shared" si="1198"/>
        <v>0</v>
      </c>
      <c r="T526" s="1321"/>
      <c r="U526" s="1515"/>
      <c r="V526" s="1515"/>
      <c r="W526" s="1515"/>
      <c r="X526" s="1515"/>
      <c r="Y526" s="1515"/>
      <c r="Z526" s="1515"/>
      <c r="AA526" s="1515"/>
      <c r="AB526" s="1321"/>
      <c r="AC526" s="1"/>
      <c r="AD526" s="1"/>
      <c r="AE526" s="1"/>
      <c r="AF526" s="1"/>
      <c r="AG526" s="1"/>
      <c r="AH526" s="1"/>
      <c r="AI526" s="415"/>
      <c r="AJ526" s="1321"/>
      <c r="AK526" s="1515"/>
      <c r="AL526" s="1515"/>
      <c r="AM526" s="1515"/>
      <c r="AN526" s="1515"/>
      <c r="AO526" s="1515"/>
      <c r="AP526" s="1515"/>
      <c r="AQ526" s="1515"/>
    </row>
    <row r="527" spans="1:43" ht="14.5" outlineLevel="2">
      <c r="C527" s="1"/>
      <c r="D527" s="33" t="s">
        <v>665</v>
      </c>
      <c r="E527" s="34"/>
      <c r="F527" s="34"/>
      <c r="G527" s="34"/>
      <c r="H527" s="116"/>
      <c r="I527" s="116"/>
      <c r="J527" s="402">
        <v>199</v>
      </c>
      <c r="K527" s="402">
        <v>161</v>
      </c>
      <c r="L527" s="35">
        <f t="shared" si="1199"/>
        <v>170.9908935052317</v>
      </c>
      <c r="M527" s="35">
        <f t="shared" si="1199"/>
        <v>41.636390493273552</v>
      </c>
      <c r="N527" s="705">
        <f t="shared" si="1200"/>
        <v>170.9908935052317</v>
      </c>
      <c r="O527" s="35">
        <f t="shared" si="1201"/>
        <v>170.9908935052317</v>
      </c>
      <c r="P527" s="35">
        <f t="shared" si="1195"/>
        <v>170.9908935052317</v>
      </c>
      <c r="Q527" s="35">
        <f t="shared" si="1196"/>
        <v>170.9908935052317</v>
      </c>
      <c r="R527" s="35">
        <f t="shared" si="1197"/>
        <v>170.9908935052317</v>
      </c>
      <c r="S527" s="36">
        <f t="shared" si="1198"/>
        <v>170.9908935052317</v>
      </c>
      <c r="T527" s="1321"/>
      <c r="U527" s="1515"/>
      <c r="V527" s="1515"/>
      <c r="W527" s="1515"/>
      <c r="X527" s="1515"/>
      <c r="Y527" s="1515"/>
      <c r="Z527" s="1515"/>
      <c r="AA527" s="1515"/>
      <c r="AB527" s="1321"/>
      <c r="AC527" s="448"/>
      <c r="AD527" s="448"/>
      <c r="AE527" s="448"/>
      <c r="AF527" s="448"/>
      <c r="AG527" s="448"/>
      <c r="AH527" s="448"/>
      <c r="AI527" s="415"/>
      <c r="AJ527" s="1321"/>
      <c r="AK527" s="1515"/>
      <c r="AL527" s="1515"/>
      <c r="AM527" s="1515"/>
      <c r="AN527" s="1515"/>
      <c r="AO527" s="1515"/>
      <c r="AP527" s="1515"/>
      <c r="AQ527" s="1515"/>
    </row>
    <row r="528" spans="1:43" s="1365" customFormat="1" ht="14.5" outlineLevel="3">
      <c r="A528" s="22"/>
      <c r="B528" s="22"/>
      <c r="C528" s="22" t="s">
        <v>847</v>
      </c>
      <c r="D528" s="22"/>
      <c r="E528" s="22"/>
      <c r="F528" s="22"/>
      <c r="G528" s="22"/>
      <c r="H528" s="219"/>
      <c r="I528" s="24"/>
      <c r="J528" s="24"/>
      <c r="K528" s="24"/>
      <c r="L528" s="754">
        <f>L522/J522-1</f>
        <v>-5.3805332382117266E-2</v>
      </c>
      <c r="M528" s="24"/>
      <c r="N528" s="24">
        <f>N522/L522-1</f>
        <v>0</v>
      </c>
      <c r="O528" s="24">
        <f>O522/N522-1</f>
        <v>0</v>
      </c>
      <c r="P528" s="24">
        <f t="shared" ref="P528" si="1202">P522/O522-1</f>
        <v>0</v>
      </c>
      <c r="Q528" s="24">
        <f t="shared" ref="Q528" si="1203">Q522/P522-1</f>
        <v>0</v>
      </c>
      <c r="R528" s="24">
        <f t="shared" ref="R528" si="1204">R522/Q522-1</f>
        <v>0</v>
      </c>
      <c r="S528" s="24">
        <f t="shared" ref="S528" si="1205">S522/R522-1</f>
        <v>0</v>
      </c>
      <c r="T528" s="726"/>
      <c r="U528" s="1521"/>
      <c r="V528" s="1521"/>
      <c r="W528" s="1521"/>
      <c r="X528" s="1521"/>
      <c r="Y528" s="1521"/>
      <c r="Z528" s="1521"/>
      <c r="AA528" s="1522"/>
      <c r="AC528" s="219"/>
      <c r="AD528" s="219"/>
      <c r="AE528" s="219"/>
      <c r="AF528" s="219"/>
      <c r="AG528" s="219"/>
      <c r="AH528" s="219"/>
      <c r="AI528" s="706"/>
      <c r="AK528" s="1521"/>
      <c r="AL528" s="1521"/>
      <c r="AM528" s="1521"/>
      <c r="AN528" s="1521"/>
      <c r="AO528" s="1521"/>
      <c r="AP528" s="1521"/>
      <c r="AQ528" s="1522"/>
    </row>
    <row r="529" spans="1:43" s="1365" customFormat="1" ht="14.5" outlineLevel="3">
      <c r="A529" s="22"/>
      <c r="B529" s="22"/>
      <c r="C529" s="22"/>
      <c r="D529" s="707" t="s">
        <v>841</v>
      </c>
      <c r="E529" s="708"/>
      <c r="F529" s="708"/>
      <c r="G529" s="708"/>
      <c r="H529" s="709"/>
      <c r="I529" s="710"/>
      <c r="J529" s="710"/>
      <c r="K529" s="710"/>
      <c r="L529" s="1040" t="str">
        <f t="shared" ref="L529" si="1206">IFERROR(L523/J523-1,"NA")</f>
        <v>NA</v>
      </c>
      <c r="M529" s="710"/>
      <c r="N529" s="711">
        <f t="shared" ref="N529:N533" si="1207">CHOOSE(case,U529,AC529,AK529)</f>
        <v>0</v>
      </c>
      <c r="O529" s="712">
        <f t="shared" ref="O529:O533" si="1208">CHOOSE(case,V529,AD529,AL529)</f>
        <v>0</v>
      </c>
      <c r="P529" s="712">
        <f t="shared" ref="P529:P533" si="1209">CHOOSE(case,W529,AE529,AM529)</f>
        <v>0</v>
      </c>
      <c r="Q529" s="712">
        <f t="shared" ref="Q529:Q533" si="1210">CHOOSE(case,X529,AF529,AN529)</f>
        <v>0</v>
      </c>
      <c r="R529" s="712">
        <f t="shared" ref="R529:R533" si="1211">CHOOSE(case,Y529,AG529,AO529)</f>
        <v>0</v>
      </c>
      <c r="S529" s="713">
        <f t="shared" ref="S529:S533" si="1212">CHOOSE(case,Z529,AH529,AP529)</f>
        <v>0</v>
      </c>
      <c r="T529" s="726"/>
      <c r="U529" s="1521"/>
      <c r="V529" s="1521"/>
      <c r="W529" s="1521"/>
      <c r="X529" s="1521"/>
      <c r="Y529" s="1521"/>
      <c r="Z529" s="1521"/>
      <c r="AA529" s="1523"/>
      <c r="AC529" s="714">
        <v>0</v>
      </c>
      <c r="AD529" s="714">
        <v>0</v>
      </c>
      <c r="AE529" s="714">
        <v>0</v>
      </c>
      <c r="AF529" s="714">
        <v>0</v>
      </c>
      <c r="AG529" s="714">
        <v>0</v>
      </c>
      <c r="AH529" s="714">
        <v>0</v>
      </c>
      <c r="AI529" s="22"/>
      <c r="AK529" s="1521"/>
      <c r="AL529" s="1521"/>
      <c r="AM529" s="1521"/>
      <c r="AN529" s="1521"/>
      <c r="AO529" s="1521"/>
      <c r="AP529" s="1521"/>
      <c r="AQ529" s="1523"/>
    </row>
    <row r="530" spans="1:43" s="1365" customFormat="1" ht="14.5" outlineLevel="3">
      <c r="A530" s="22"/>
      <c r="B530" s="22"/>
      <c r="C530" s="22"/>
      <c r="D530" s="715" t="s">
        <v>842</v>
      </c>
      <c r="E530" s="22"/>
      <c r="F530" s="22"/>
      <c r="G530" s="22"/>
      <c r="H530" s="219"/>
      <c r="I530" s="175"/>
      <c r="J530" s="175"/>
      <c r="K530" s="175"/>
      <c r="L530" s="1040" t="str">
        <f>IFERROR(L524/J524-1,"NA")</f>
        <v>NA</v>
      </c>
      <c r="M530" s="175"/>
      <c r="N530" s="716">
        <f t="shared" si="1207"/>
        <v>0</v>
      </c>
      <c r="O530" s="717">
        <f t="shared" si="1208"/>
        <v>0</v>
      </c>
      <c r="P530" s="717">
        <f t="shared" si="1209"/>
        <v>0</v>
      </c>
      <c r="Q530" s="717">
        <f t="shared" si="1210"/>
        <v>0</v>
      </c>
      <c r="R530" s="717">
        <f t="shared" si="1211"/>
        <v>0</v>
      </c>
      <c r="S530" s="718">
        <f t="shared" si="1212"/>
        <v>0</v>
      </c>
      <c r="T530" s="726"/>
      <c r="U530" s="1521"/>
      <c r="V530" s="1521"/>
      <c r="W530" s="1521"/>
      <c r="X530" s="1521"/>
      <c r="Y530" s="1521"/>
      <c r="Z530" s="1521"/>
      <c r="AA530" s="1523"/>
      <c r="AC530" s="714">
        <v>0</v>
      </c>
      <c r="AD530" s="714">
        <v>0</v>
      </c>
      <c r="AE530" s="714">
        <v>0</v>
      </c>
      <c r="AF530" s="714">
        <v>0</v>
      </c>
      <c r="AG530" s="714">
        <v>0</v>
      </c>
      <c r="AH530" s="714">
        <v>0</v>
      </c>
      <c r="AI530" s="22"/>
      <c r="AK530" s="1521"/>
      <c r="AL530" s="1521"/>
      <c r="AM530" s="1521"/>
      <c r="AN530" s="1521"/>
      <c r="AO530" s="1521"/>
      <c r="AP530" s="1521"/>
      <c r="AQ530" s="1523"/>
    </row>
    <row r="531" spans="1:43" s="1365" customFormat="1" ht="14.5" outlineLevel="3">
      <c r="A531" s="22"/>
      <c r="B531" s="22"/>
      <c r="C531" s="22"/>
      <c r="D531" s="715" t="s">
        <v>843</v>
      </c>
      <c r="E531" s="22"/>
      <c r="F531" s="22"/>
      <c r="G531" s="22"/>
      <c r="H531" s="219"/>
      <c r="I531" s="175"/>
      <c r="J531" s="175"/>
      <c r="K531" s="175"/>
      <c r="L531" s="1040">
        <f t="shared" ref="L531:L533" si="1213">IFERROR(L525/J525-1,"NA")</f>
        <v>0.17385052749586949</v>
      </c>
      <c r="M531" s="175"/>
      <c r="N531" s="716">
        <f t="shared" si="1207"/>
        <v>0</v>
      </c>
      <c r="O531" s="717">
        <f t="shared" si="1208"/>
        <v>0</v>
      </c>
      <c r="P531" s="717">
        <f t="shared" si="1209"/>
        <v>0</v>
      </c>
      <c r="Q531" s="717">
        <f t="shared" si="1210"/>
        <v>0</v>
      </c>
      <c r="R531" s="717">
        <f t="shared" si="1211"/>
        <v>0</v>
      </c>
      <c r="S531" s="718">
        <f t="shared" si="1212"/>
        <v>0</v>
      </c>
      <c r="T531" s="726"/>
      <c r="U531" s="1521"/>
      <c r="V531" s="1521"/>
      <c r="W531" s="1521"/>
      <c r="X531" s="1521"/>
      <c r="Y531" s="1521"/>
      <c r="Z531" s="1521"/>
      <c r="AA531" s="1523"/>
      <c r="AC531" s="714">
        <v>0</v>
      </c>
      <c r="AD531" s="714">
        <v>0</v>
      </c>
      <c r="AE531" s="714">
        <v>0</v>
      </c>
      <c r="AF531" s="714">
        <v>0</v>
      </c>
      <c r="AG531" s="714">
        <v>0</v>
      </c>
      <c r="AH531" s="714">
        <v>0</v>
      </c>
      <c r="AI531" s="22"/>
      <c r="AK531" s="1521"/>
      <c r="AL531" s="1521"/>
      <c r="AM531" s="1521"/>
      <c r="AN531" s="1521"/>
      <c r="AO531" s="1521"/>
      <c r="AP531" s="1521"/>
      <c r="AQ531" s="1523"/>
    </row>
    <row r="532" spans="1:43" s="1365" customFormat="1" ht="14.5" outlineLevel="3">
      <c r="A532" s="22"/>
      <c r="B532" s="22"/>
      <c r="C532" s="22"/>
      <c r="D532" s="715" t="s">
        <v>844</v>
      </c>
      <c r="E532" s="22"/>
      <c r="F532" s="22"/>
      <c r="G532" s="22"/>
      <c r="H532" s="219"/>
      <c r="I532" s="175"/>
      <c r="J532" s="175"/>
      <c r="K532" s="175"/>
      <c r="L532" s="1040" t="str">
        <f t="shared" si="1213"/>
        <v>NA</v>
      </c>
      <c r="M532" s="175"/>
      <c r="N532" s="716">
        <f t="shared" si="1207"/>
        <v>0</v>
      </c>
      <c r="O532" s="717">
        <f t="shared" si="1208"/>
        <v>0</v>
      </c>
      <c r="P532" s="717">
        <f t="shared" si="1209"/>
        <v>0</v>
      </c>
      <c r="Q532" s="717">
        <f t="shared" si="1210"/>
        <v>0</v>
      </c>
      <c r="R532" s="717">
        <f t="shared" si="1211"/>
        <v>0</v>
      </c>
      <c r="S532" s="718">
        <f t="shared" si="1212"/>
        <v>0</v>
      </c>
      <c r="T532" s="726"/>
      <c r="U532" s="1521"/>
      <c r="V532" s="1521"/>
      <c r="W532" s="1521"/>
      <c r="X532" s="1521"/>
      <c r="Y532" s="1521"/>
      <c r="Z532" s="1521"/>
      <c r="AA532" s="1523"/>
      <c r="AC532" s="714">
        <v>0</v>
      </c>
      <c r="AD532" s="714">
        <v>0</v>
      </c>
      <c r="AE532" s="714">
        <v>0</v>
      </c>
      <c r="AF532" s="714">
        <v>0</v>
      </c>
      <c r="AG532" s="714">
        <v>0</v>
      </c>
      <c r="AH532" s="714">
        <v>0</v>
      </c>
      <c r="AI532" s="22"/>
      <c r="AK532" s="1521"/>
      <c r="AL532" s="1521"/>
      <c r="AM532" s="1521"/>
      <c r="AN532" s="1521"/>
      <c r="AO532" s="1521"/>
      <c r="AP532" s="1521"/>
      <c r="AQ532" s="1523"/>
    </row>
    <row r="533" spans="1:43" s="1365" customFormat="1" ht="14.5" outlineLevel="3">
      <c r="A533" s="22"/>
      <c r="B533" s="22"/>
      <c r="C533" s="22"/>
      <c r="D533" s="719" t="s">
        <v>665</v>
      </c>
      <c r="E533" s="720"/>
      <c r="F533" s="720"/>
      <c r="G533" s="720"/>
      <c r="H533" s="721"/>
      <c r="I533" s="722"/>
      <c r="J533" s="722"/>
      <c r="K533" s="722"/>
      <c r="L533" s="1041">
        <f t="shared" si="1213"/>
        <v>-0.14074927886818245</v>
      </c>
      <c r="M533" s="722"/>
      <c r="N533" s="723">
        <f t="shared" si="1207"/>
        <v>0</v>
      </c>
      <c r="O533" s="724">
        <f t="shared" si="1208"/>
        <v>0</v>
      </c>
      <c r="P533" s="724">
        <f t="shared" si="1209"/>
        <v>0</v>
      </c>
      <c r="Q533" s="724">
        <f t="shared" si="1210"/>
        <v>0</v>
      </c>
      <c r="R533" s="724">
        <f t="shared" si="1211"/>
        <v>0</v>
      </c>
      <c r="S533" s="725">
        <f t="shared" si="1212"/>
        <v>0</v>
      </c>
      <c r="T533" s="726"/>
      <c r="U533" s="1521"/>
      <c r="V533" s="1521"/>
      <c r="W533" s="1521"/>
      <c r="X533" s="1521"/>
      <c r="Y533" s="1521"/>
      <c r="Z533" s="1521"/>
      <c r="AA533" s="1523"/>
      <c r="AC533" s="714">
        <v>0</v>
      </c>
      <c r="AD533" s="714">
        <v>0</v>
      </c>
      <c r="AE533" s="714">
        <v>0</v>
      </c>
      <c r="AF533" s="714">
        <v>0</v>
      </c>
      <c r="AG533" s="714">
        <v>0</v>
      </c>
      <c r="AH533" s="714">
        <v>0</v>
      </c>
      <c r="AI533" s="22"/>
      <c r="AK533" s="1521"/>
      <c r="AL533" s="1521"/>
      <c r="AM533" s="1521"/>
      <c r="AN533" s="1521"/>
      <c r="AO533" s="1521"/>
      <c r="AP533" s="1521"/>
      <c r="AQ533" s="1523"/>
    </row>
    <row r="534" spans="1:43" s="1365" customFormat="1" ht="14.5" outlineLevel="3">
      <c r="A534" s="22"/>
      <c r="B534" s="22"/>
      <c r="C534" s="22" t="s">
        <v>848</v>
      </c>
      <c r="D534" s="22"/>
      <c r="E534" s="22"/>
      <c r="F534" s="22"/>
      <c r="G534" s="22"/>
      <c r="H534" s="24"/>
      <c r="I534" s="24"/>
      <c r="J534" s="24">
        <f>J522/J$522</f>
        <v>1</v>
      </c>
      <c r="K534" s="24">
        <f t="shared" ref="K534:S534" si="1214">K522/K$522</f>
        <v>1</v>
      </c>
      <c r="L534" s="24">
        <f t="shared" si="1214"/>
        <v>1</v>
      </c>
      <c r="M534" s="24">
        <f t="shared" si="1214"/>
        <v>1</v>
      </c>
      <c r="N534" s="24">
        <f t="shared" si="1214"/>
        <v>1</v>
      </c>
      <c r="O534" s="24">
        <f t="shared" si="1214"/>
        <v>1</v>
      </c>
      <c r="P534" s="24">
        <f t="shared" si="1214"/>
        <v>1</v>
      </c>
      <c r="Q534" s="24">
        <f t="shared" si="1214"/>
        <v>1</v>
      </c>
      <c r="R534" s="24">
        <f t="shared" si="1214"/>
        <v>1</v>
      </c>
      <c r="S534" s="24">
        <f t="shared" si="1214"/>
        <v>1</v>
      </c>
      <c r="T534" s="726"/>
      <c r="U534" s="1521"/>
      <c r="V534" s="1521"/>
      <c r="W534" s="1521"/>
      <c r="X534" s="1521"/>
      <c r="Y534" s="1521"/>
      <c r="Z534" s="1521"/>
      <c r="AA534" s="1522"/>
      <c r="AC534" s="219"/>
      <c r="AD534" s="219"/>
      <c r="AE534" s="219"/>
      <c r="AF534" s="219"/>
      <c r="AG534" s="219"/>
      <c r="AH534" s="219"/>
      <c r="AI534" s="706"/>
      <c r="AK534" s="1521"/>
      <c r="AL534" s="1521"/>
      <c r="AM534" s="1521"/>
      <c r="AN534" s="1521"/>
      <c r="AO534" s="1521"/>
      <c r="AP534" s="1521"/>
      <c r="AQ534" s="1522"/>
    </row>
    <row r="535" spans="1:43" s="1365" customFormat="1" ht="14.5" outlineLevel="3">
      <c r="A535" s="22"/>
      <c r="B535" s="22"/>
      <c r="C535" s="22"/>
      <c r="D535" s="707" t="s">
        <v>841</v>
      </c>
      <c r="E535" s="708"/>
      <c r="F535" s="708"/>
      <c r="G535" s="708"/>
      <c r="H535" s="793"/>
      <c r="I535" s="793"/>
      <c r="J535" s="793">
        <f t="shared" ref="J535:S535" si="1215">J523/J$522</f>
        <v>0</v>
      </c>
      <c r="K535" s="793">
        <f t="shared" si="1215"/>
        <v>0</v>
      </c>
      <c r="L535" s="793">
        <f t="shared" si="1215"/>
        <v>0</v>
      </c>
      <c r="M535" s="793">
        <f t="shared" si="1215"/>
        <v>0</v>
      </c>
      <c r="N535" s="793">
        <f t="shared" si="1215"/>
        <v>0</v>
      </c>
      <c r="O535" s="793">
        <f t="shared" si="1215"/>
        <v>0</v>
      </c>
      <c r="P535" s="793">
        <f t="shared" si="1215"/>
        <v>0</v>
      </c>
      <c r="Q535" s="793">
        <f t="shared" si="1215"/>
        <v>0</v>
      </c>
      <c r="R535" s="793">
        <f t="shared" si="1215"/>
        <v>0</v>
      </c>
      <c r="S535" s="803">
        <f t="shared" si="1215"/>
        <v>0</v>
      </c>
      <c r="T535" s="726"/>
      <c r="U535" s="1521"/>
      <c r="V535" s="1521"/>
      <c r="W535" s="1521"/>
      <c r="X535" s="1521"/>
      <c r="Y535" s="1521"/>
      <c r="Z535" s="1521"/>
      <c r="AA535" s="1523"/>
      <c r="AC535" s="728"/>
      <c r="AD535" s="728"/>
      <c r="AE535" s="728"/>
      <c r="AF535" s="728"/>
      <c r="AG535" s="728"/>
      <c r="AH535" s="728"/>
      <c r="AI535" s="22"/>
      <c r="AK535" s="1521"/>
      <c r="AL535" s="1521"/>
      <c r="AM535" s="1521"/>
      <c r="AN535" s="1521"/>
      <c r="AO535" s="1521"/>
      <c r="AP535" s="1521"/>
      <c r="AQ535" s="1523"/>
    </row>
    <row r="536" spans="1:43" s="1365" customFormat="1" ht="14.5" outlineLevel="3">
      <c r="A536" s="22"/>
      <c r="B536" s="22"/>
      <c r="C536" s="22"/>
      <c r="D536" s="715" t="s">
        <v>842</v>
      </c>
      <c r="E536" s="22"/>
      <c r="F536" s="22"/>
      <c r="G536" s="22"/>
      <c r="H536" s="91"/>
      <c r="I536" s="91"/>
      <c r="J536" s="91">
        <f t="shared" ref="J536:S536" si="1216">J524/J$522</f>
        <v>0</v>
      </c>
      <c r="K536" s="91">
        <f t="shared" si="1216"/>
        <v>0</v>
      </c>
      <c r="L536" s="91">
        <f t="shared" si="1216"/>
        <v>0</v>
      </c>
      <c r="M536" s="91">
        <f t="shared" si="1216"/>
        <v>0</v>
      </c>
      <c r="N536" s="91">
        <f t="shared" si="1216"/>
        <v>0</v>
      </c>
      <c r="O536" s="91">
        <f t="shared" si="1216"/>
        <v>0</v>
      </c>
      <c r="P536" s="91">
        <f t="shared" si="1216"/>
        <v>0</v>
      </c>
      <c r="Q536" s="91">
        <f t="shared" si="1216"/>
        <v>0</v>
      </c>
      <c r="R536" s="91">
        <f t="shared" si="1216"/>
        <v>0</v>
      </c>
      <c r="S536" s="804">
        <f t="shared" si="1216"/>
        <v>0</v>
      </c>
      <c r="T536" s="726"/>
      <c r="U536" s="1521"/>
      <c r="V536" s="1521"/>
      <c r="W536" s="1521"/>
      <c r="X536" s="1521"/>
      <c r="Y536" s="1521"/>
      <c r="Z536" s="1521"/>
      <c r="AA536" s="1523"/>
      <c r="AC536" s="728"/>
      <c r="AD536" s="728"/>
      <c r="AE536" s="728"/>
      <c r="AF536" s="728"/>
      <c r="AG536" s="728"/>
      <c r="AH536" s="728"/>
      <c r="AI536" s="22"/>
      <c r="AK536" s="1521"/>
      <c r="AL536" s="1521"/>
      <c r="AM536" s="1521"/>
      <c r="AN536" s="1521"/>
      <c r="AO536" s="1521"/>
      <c r="AP536" s="1521"/>
      <c r="AQ536" s="1523"/>
    </row>
    <row r="537" spans="1:43" s="1365" customFormat="1" ht="14.5" outlineLevel="3">
      <c r="A537" s="22"/>
      <c r="B537" s="22"/>
      <c r="C537" s="22"/>
      <c r="D537" s="715" t="s">
        <v>843</v>
      </c>
      <c r="E537" s="22"/>
      <c r="F537" s="22"/>
      <c r="G537" s="22"/>
      <c r="H537" s="91"/>
      <c r="I537" s="91"/>
      <c r="J537" s="91">
        <f t="shared" ref="J537:S537" si="1217">J525/J$522</f>
        <v>0.27636363636363637</v>
      </c>
      <c r="K537" s="91">
        <f t="shared" si="1217"/>
        <v>0.34285714285714286</v>
      </c>
      <c r="L537" s="91">
        <f t="shared" si="1217"/>
        <v>0.3428571428571428</v>
      </c>
      <c r="M537" s="91">
        <f t="shared" si="1217"/>
        <v>0.3428571428571428</v>
      </c>
      <c r="N537" s="91">
        <f t="shared" si="1217"/>
        <v>0.3428571428571428</v>
      </c>
      <c r="O537" s="91">
        <f t="shared" si="1217"/>
        <v>0.3428571428571428</v>
      </c>
      <c r="P537" s="91">
        <f t="shared" si="1217"/>
        <v>0.3428571428571428</v>
      </c>
      <c r="Q537" s="91">
        <f t="shared" si="1217"/>
        <v>0.3428571428571428</v>
      </c>
      <c r="R537" s="91">
        <f t="shared" si="1217"/>
        <v>0.3428571428571428</v>
      </c>
      <c r="S537" s="804">
        <f t="shared" si="1217"/>
        <v>0.3428571428571428</v>
      </c>
      <c r="T537" s="726"/>
      <c r="U537" s="1521"/>
      <c r="V537" s="1521"/>
      <c r="W537" s="1521"/>
      <c r="X537" s="1521"/>
      <c r="Y537" s="1521"/>
      <c r="Z537" s="1521"/>
      <c r="AA537" s="1523"/>
      <c r="AC537" s="728"/>
      <c r="AD537" s="728"/>
      <c r="AE537" s="728"/>
      <c r="AF537" s="728"/>
      <c r="AG537" s="728"/>
      <c r="AH537" s="728"/>
      <c r="AI537" s="22"/>
      <c r="AK537" s="1521"/>
      <c r="AL537" s="1521"/>
      <c r="AM537" s="1521"/>
      <c r="AN537" s="1521"/>
      <c r="AO537" s="1521"/>
      <c r="AP537" s="1521"/>
      <c r="AQ537" s="1523"/>
    </row>
    <row r="538" spans="1:43" s="1365" customFormat="1" ht="14.5" outlineLevel="3">
      <c r="A538" s="22"/>
      <c r="B538" s="22"/>
      <c r="C538" s="22"/>
      <c r="D538" s="715" t="s">
        <v>844</v>
      </c>
      <c r="E538" s="22"/>
      <c r="F538" s="22"/>
      <c r="G538" s="22"/>
      <c r="H538" s="91"/>
      <c r="I538" s="91"/>
      <c r="J538" s="91">
        <f t="shared" ref="J538:S538" si="1218">J526/J$522</f>
        <v>0</v>
      </c>
      <c r="K538" s="91">
        <f t="shared" si="1218"/>
        <v>0</v>
      </c>
      <c r="L538" s="91">
        <f t="shared" si="1218"/>
        <v>0</v>
      </c>
      <c r="M538" s="91">
        <f t="shared" si="1218"/>
        <v>0</v>
      </c>
      <c r="N538" s="91">
        <f t="shared" si="1218"/>
        <v>0</v>
      </c>
      <c r="O538" s="91">
        <f t="shared" si="1218"/>
        <v>0</v>
      </c>
      <c r="P538" s="91">
        <f t="shared" si="1218"/>
        <v>0</v>
      </c>
      <c r="Q538" s="91">
        <f t="shared" si="1218"/>
        <v>0</v>
      </c>
      <c r="R538" s="91">
        <f t="shared" si="1218"/>
        <v>0</v>
      </c>
      <c r="S538" s="804">
        <f t="shared" si="1218"/>
        <v>0</v>
      </c>
      <c r="T538" s="726"/>
      <c r="U538" s="1521"/>
      <c r="V538" s="1521"/>
      <c r="W538" s="1521"/>
      <c r="X538" s="1521"/>
      <c r="Y538" s="1521"/>
      <c r="Z538" s="1521"/>
      <c r="AA538" s="1523"/>
      <c r="AC538" s="728"/>
      <c r="AD538" s="728"/>
      <c r="AE538" s="728"/>
      <c r="AF538" s="728"/>
      <c r="AG538" s="728"/>
      <c r="AH538" s="728"/>
      <c r="AI538" s="22"/>
      <c r="AK538" s="1521"/>
      <c r="AL538" s="1521"/>
      <c r="AM538" s="1521"/>
      <c r="AN538" s="1521"/>
      <c r="AO538" s="1521"/>
      <c r="AP538" s="1521"/>
      <c r="AQ538" s="1523"/>
    </row>
    <row r="539" spans="1:43" s="1365" customFormat="1" ht="14.5" outlineLevel="3">
      <c r="A539" s="22"/>
      <c r="B539" s="22"/>
      <c r="C539" s="22"/>
      <c r="D539" s="719" t="s">
        <v>665</v>
      </c>
      <c r="E539" s="720"/>
      <c r="F539" s="720"/>
      <c r="G539" s="720"/>
      <c r="H539" s="794"/>
      <c r="I539" s="794"/>
      <c r="J539" s="794">
        <f t="shared" ref="J539:S539" si="1219">J527/J$522</f>
        <v>0.72363636363636363</v>
      </c>
      <c r="K539" s="794">
        <f t="shared" si="1219"/>
        <v>0.65714285714285714</v>
      </c>
      <c r="L539" s="794">
        <f t="shared" si="1219"/>
        <v>0.65714285714285725</v>
      </c>
      <c r="M539" s="794">
        <f t="shared" si="1219"/>
        <v>0.65714285714285714</v>
      </c>
      <c r="N539" s="794">
        <f t="shared" si="1219"/>
        <v>0.65714285714285725</v>
      </c>
      <c r="O539" s="794">
        <f t="shared" si="1219"/>
        <v>0.65714285714285725</v>
      </c>
      <c r="P539" s="794">
        <f t="shared" si="1219"/>
        <v>0.65714285714285725</v>
      </c>
      <c r="Q539" s="794">
        <f t="shared" si="1219"/>
        <v>0.65714285714285725</v>
      </c>
      <c r="R539" s="794">
        <f t="shared" si="1219"/>
        <v>0.65714285714285725</v>
      </c>
      <c r="S539" s="805">
        <f t="shared" si="1219"/>
        <v>0.65714285714285725</v>
      </c>
      <c r="T539" s="726"/>
      <c r="U539" s="1521"/>
      <c r="V539" s="1521"/>
      <c r="W539" s="1521"/>
      <c r="X539" s="1521"/>
      <c r="Y539" s="1521"/>
      <c r="Z539" s="1521"/>
      <c r="AA539" s="1523"/>
      <c r="AC539" s="728"/>
      <c r="AD539" s="728"/>
      <c r="AE539" s="728"/>
      <c r="AF539" s="728"/>
      <c r="AG539" s="728"/>
      <c r="AH539" s="728"/>
      <c r="AI539" s="22"/>
      <c r="AK539" s="1521"/>
      <c r="AL539" s="1521"/>
      <c r="AM539" s="1521"/>
      <c r="AN539" s="1521"/>
      <c r="AO539" s="1521"/>
      <c r="AP539" s="1521"/>
      <c r="AQ539" s="1523"/>
    </row>
    <row r="540" spans="1:43" ht="14.5" outlineLevel="2">
      <c r="C540" s="18" t="s">
        <v>31</v>
      </c>
      <c r="D540" s="1"/>
      <c r="E540" s="1"/>
      <c r="H540" s="52" t="str">
        <f>IFERROR(H546/H522,"NA")</f>
        <v>NA</v>
      </c>
      <c r="I540" s="52" t="str">
        <f t="shared" ref="I540:K540" si="1220">IFERROR(I546/I522,"NA")</f>
        <v>NA</v>
      </c>
      <c r="J540" s="52">
        <f t="shared" si="1220"/>
        <v>12.901818181818182</v>
      </c>
      <c r="K540" s="52">
        <f t="shared" si="1220"/>
        <v>10.922448979591836</v>
      </c>
      <c r="L540" s="57">
        <f>IFERROR(L546/L522,"NA")</f>
        <v>10.922448979591836</v>
      </c>
      <c r="M540" s="57">
        <f>IFERROR(M546/M522,"NA")</f>
        <v>10.922448979591834</v>
      </c>
      <c r="N540" s="764">
        <f t="shared" ref="N540:S540" si="1221">IFERROR(N546/N522,"NA")</f>
        <v>10.922448979591836</v>
      </c>
      <c r="O540" s="764">
        <f t="shared" si="1221"/>
        <v>10.922448979591836</v>
      </c>
      <c r="P540" s="764">
        <f t="shared" si="1221"/>
        <v>10.922448979591836</v>
      </c>
      <c r="Q540" s="764">
        <f t="shared" si="1221"/>
        <v>10.922448979591836</v>
      </c>
      <c r="R540" s="764">
        <f t="shared" si="1221"/>
        <v>10.922448979591836</v>
      </c>
      <c r="S540" s="764">
        <f t="shared" si="1221"/>
        <v>10.922448979591836</v>
      </c>
      <c r="T540" s="1479"/>
      <c r="U540" s="1524">
        <f>$L540*(1+$AA540)</f>
        <v>11.140897959183674</v>
      </c>
      <c r="V540" s="1524">
        <f>U540*(1+$AA540)</f>
        <v>11.363715918367348</v>
      </c>
      <c r="W540" s="1524">
        <f t="shared" ref="W540" si="1222">V540*(1+$AA540)</f>
        <v>11.590990236734696</v>
      </c>
      <c r="X540" s="1524">
        <f t="shared" ref="X540" si="1223">W540*(1+$AA540)</f>
        <v>11.82281004146939</v>
      </c>
      <c r="Y540" s="1524">
        <f t="shared" ref="Y540" si="1224">X540*(1+$AA540)</f>
        <v>12.059266242298778</v>
      </c>
      <c r="Z540" s="1524">
        <f t="shared" ref="Z540" si="1225">Y540*(1+$AA540)</f>
        <v>12.300451567144753</v>
      </c>
      <c r="AA540" s="1525">
        <v>0.02</v>
      </c>
      <c r="AB540" s="1126"/>
      <c r="AC540" s="733"/>
      <c r="AD540" s="733"/>
      <c r="AE540" s="733"/>
      <c r="AF540" s="733"/>
      <c r="AG540" s="733"/>
      <c r="AH540" s="733"/>
      <c r="AI540" s="472">
        <v>0.01</v>
      </c>
      <c r="AJ540" s="1321"/>
      <c r="AK540" s="1529">
        <f>$L540*(1+$AQ540)</f>
        <v>10.922448979591836</v>
      </c>
      <c r="AL540" s="1529">
        <f>AK540*(1+$AQ540)</f>
        <v>10.922448979591836</v>
      </c>
      <c r="AM540" s="1529">
        <f t="shared" ref="AM540:AN540" si="1226">AL540*(1+$AQ540)</f>
        <v>10.922448979591836</v>
      </c>
      <c r="AN540" s="1529">
        <f t="shared" si="1226"/>
        <v>10.922448979591836</v>
      </c>
      <c r="AO540" s="1529">
        <f>AN540*(1+$AQ540)</f>
        <v>10.922448979591836</v>
      </c>
      <c r="AP540" s="1529">
        <f t="shared" ref="AP540" si="1227">AO540*(1+$AQ540)</f>
        <v>10.922448979591836</v>
      </c>
      <c r="AQ540" s="1520">
        <v>0</v>
      </c>
    </row>
    <row r="541" spans="1:43" ht="14.5" outlineLevel="2">
      <c r="C541" s="1"/>
      <c r="D541" s="27" t="s">
        <v>841</v>
      </c>
      <c r="E541" s="28"/>
      <c r="F541" s="28"/>
      <c r="G541" s="28"/>
      <c r="H541" s="50" t="str">
        <f>IFERROR(H547/H523,"NA")</f>
        <v>NA</v>
      </c>
      <c r="I541" s="50" t="str">
        <f t="shared" ref="I541:K541" si="1228">IFERROR(I547/I523,"NA")</f>
        <v>NA</v>
      </c>
      <c r="J541" s="50" t="str">
        <f t="shared" si="1228"/>
        <v>NA</v>
      </c>
      <c r="K541" s="51" t="str">
        <f t="shared" si="1228"/>
        <v>NA</v>
      </c>
      <c r="L541" s="81" t="s">
        <v>778</v>
      </c>
      <c r="M541" s="81" t="str">
        <f>L541</f>
        <v>NA</v>
      </c>
      <c r="N541" s="780">
        <f>CHOOSE(case,U541,AC541,AK541)</f>
        <v>0</v>
      </c>
      <c r="O541" s="781">
        <f t="shared" ref="O541:O545" si="1229">CHOOSE(case,V541,AD541,AL541)</f>
        <v>0</v>
      </c>
      <c r="P541" s="781">
        <f t="shared" ref="P541:P545" si="1230">CHOOSE(case,W541,AE541,AM541)</f>
        <v>0</v>
      </c>
      <c r="Q541" s="781">
        <f t="shared" ref="Q541:Q545" si="1231">CHOOSE(case,X541,AF541,AN541)</f>
        <v>0</v>
      </c>
      <c r="R541" s="781">
        <f t="shared" ref="R541:R545" si="1232">CHOOSE(case,Y541,AG541,AO541)</f>
        <v>0</v>
      </c>
      <c r="S541" s="782">
        <f t="shared" ref="S541:S545" si="1233">CHOOSE(case,Z541,AH541,AP541)</f>
        <v>0</v>
      </c>
      <c r="T541" s="1493"/>
      <c r="U541" s="1515"/>
      <c r="V541" s="1515"/>
      <c r="W541" s="1515"/>
      <c r="X541" s="1515"/>
      <c r="Y541" s="1515"/>
      <c r="Z541" s="1515"/>
      <c r="AA541" s="1515"/>
      <c r="AB541" s="1321"/>
      <c r="AC541" s="737"/>
      <c r="AD541" s="737"/>
      <c r="AE541" s="737"/>
      <c r="AF541" s="737"/>
      <c r="AG541" s="737"/>
      <c r="AH541" s="737"/>
      <c r="AI541" s="415"/>
      <c r="AJ541" s="1321"/>
      <c r="AK541" s="1515"/>
      <c r="AL541" s="1515"/>
      <c r="AM541" s="1515"/>
      <c r="AN541" s="1515"/>
      <c r="AO541" s="1515"/>
      <c r="AP541" s="1515"/>
      <c r="AQ541" s="1515"/>
    </row>
    <row r="542" spans="1:43" ht="14.5" outlineLevel="2">
      <c r="C542" s="1"/>
      <c r="D542" s="31" t="s">
        <v>842</v>
      </c>
      <c r="E542" s="1"/>
      <c r="F542" s="1"/>
      <c r="G542" s="1"/>
      <c r="H542" s="52" t="str">
        <f t="shared" ref="H542:K542" si="1234">IFERROR(H548/H524,"NA")</f>
        <v>NA</v>
      </c>
      <c r="I542" s="52" t="str">
        <f t="shared" si="1234"/>
        <v>NA</v>
      </c>
      <c r="J542" s="52" t="str">
        <f t="shared" si="1234"/>
        <v>NA</v>
      </c>
      <c r="K542" s="53" t="str">
        <f t="shared" si="1234"/>
        <v>NA</v>
      </c>
      <c r="L542" s="82" t="s">
        <v>778</v>
      </c>
      <c r="M542" s="82" t="str">
        <f t="shared" ref="M542:M545" si="1235">L542</f>
        <v>NA</v>
      </c>
      <c r="N542" s="785">
        <f>CHOOSE(case,U542,AC542,AK542)</f>
        <v>0</v>
      </c>
      <c r="O542" s="786">
        <f t="shared" si="1229"/>
        <v>0</v>
      </c>
      <c r="P542" s="786">
        <f t="shared" si="1230"/>
        <v>0</v>
      </c>
      <c r="Q542" s="786">
        <f t="shared" si="1231"/>
        <v>0</v>
      </c>
      <c r="R542" s="786">
        <f t="shared" si="1232"/>
        <v>0</v>
      </c>
      <c r="S542" s="787">
        <f t="shared" si="1233"/>
        <v>0</v>
      </c>
      <c r="T542" s="1493"/>
      <c r="U542" s="1515"/>
      <c r="V542" s="1515"/>
      <c r="W542" s="1515"/>
      <c r="X542" s="1515"/>
      <c r="Y542" s="1515"/>
      <c r="Z542" s="1515"/>
      <c r="AA542" s="1515"/>
      <c r="AB542" s="1321"/>
      <c r="AC542" s="737"/>
      <c r="AD542" s="737"/>
      <c r="AE542" s="737"/>
      <c r="AF542" s="737"/>
      <c r="AG542" s="737"/>
      <c r="AH542" s="737"/>
      <c r="AI542" s="415"/>
      <c r="AJ542" s="1321"/>
      <c r="AK542" s="1515"/>
      <c r="AL542" s="1515"/>
      <c r="AM542" s="1515"/>
      <c r="AN542" s="1515"/>
      <c r="AO542" s="1515"/>
      <c r="AP542" s="1515"/>
      <c r="AQ542" s="1515"/>
    </row>
    <row r="543" spans="1:43" ht="14.5" outlineLevel="2">
      <c r="C543" s="1"/>
      <c r="D543" s="31" t="s">
        <v>843</v>
      </c>
      <c r="E543" s="1"/>
      <c r="F543" s="1"/>
      <c r="G543" s="1"/>
      <c r="H543" s="52" t="str">
        <f t="shared" ref="H543:K543" si="1236">IFERROR(H549/H525,"NA")</f>
        <v>NA</v>
      </c>
      <c r="I543" s="52" t="str">
        <f t="shared" si="1236"/>
        <v>NA</v>
      </c>
      <c r="J543" s="52">
        <f t="shared" si="1236"/>
        <v>7.4078947368421053</v>
      </c>
      <c r="K543" s="53">
        <f t="shared" si="1236"/>
        <v>6.2261904761904763</v>
      </c>
      <c r="L543" s="82">
        <f t="shared" ref="L543" si="1237">K543</f>
        <v>6.2261904761904763</v>
      </c>
      <c r="M543" s="82">
        <f t="shared" si="1235"/>
        <v>6.2261904761904763</v>
      </c>
      <c r="N543" s="785">
        <f>CHOOSE(case,U543,AC543,AK543)</f>
        <v>6.2261904761904763</v>
      </c>
      <c r="O543" s="786">
        <f t="shared" si="1229"/>
        <v>6.2261904761904763</v>
      </c>
      <c r="P543" s="786">
        <f t="shared" si="1230"/>
        <v>6.2261904761904763</v>
      </c>
      <c r="Q543" s="786">
        <f t="shared" si="1231"/>
        <v>6.2261904761904763</v>
      </c>
      <c r="R543" s="786">
        <f t="shared" si="1232"/>
        <v>6.2261904761904763</v>
      </c>
      <c r="S543" s="787">
        <f t="shared" si="1233"/>
        <v>6.2261904761904763</v>
      </c>
      <c r="T543" s="1493"/>
      <c r="U543" s="1515"/>
      <c r="V543" s="1515"/>
      <c r="W543" s="1515"/>
      <c r="X543" s="1515"/>
      <c r="Y543" s="1515"/>
      <c r="Z543" s="1515"/>
      <c r="AA543" s="1515"/>
      <c r="AB543" s="1321"/>
      <c r="AC543" s="737">
        <f t="shared" ref="AC543" si="1238">M543</f>
        <v>6.2261904761904763</v>
      </c>
      <c r="AD543" s="737">
        <f t="shared" ref="AD543" si="1239">N543</f>
        <v>6.2261904761904763</v>
      </c>
      <c r="AE543" s="737">
        <f t="shared" ref="AE543:AE545" si="1240">O543</f>
        <v>6.2261904761904763</v>
      </c>
      <c r="AF543" s="737">
        <f t="shared" ref="AF543:AF545" si="1241">P543</f>
        <v>6.2261904761904763</v>
      </c>
      <c r="AG543" s="737">
        <f t="shared" ref="AG543:AG545" si="1242">Q543</f>
        <v>6.2261904761904763</v>
      </c>
      <c r="AH543" s="737">
        <f t="shared" ref="AH543:AH545" si="1243">R543</f>
        <v>6.2261904761904763</v>
      </c>
      <c r="AI543" s="415"/>
      <c r="AJ543" s="1321"/>
      <c r="AK543" s="1515"/>
      <c r="AL543" s="1515"/>
      <c r="AM543" s="1515"/>
      <c r="AN543" s="1515"/>
      <c r="AO543" s="1515"/>
      <c r="AP543" s="1515"/>
      <c r="AQ543" s="1515"/>
    </row>
    <row r="544" spans="1:43" ht="14.5" outlineLevel="2">
      <c r="C544" s="1"/>
      <c r="D544" s="31" t="s">
        <v>844</v>
      </c>
      <c r="E544" s="1"/>
      <c r="F544" s="1"/>
      <c r="G544" s="1"/>
      <c r="H544" s="52" t="str">
        <f t="shared" ref="H544:K544" si="1244">IFERROR(H550/H526,"NA")</f>
        <v>NA</v>
      </c>
      <c r="I544" s="52" t="str">
        <f t="shared" si="1244"/>
        <v>NA</v>
      </c>
      <c r="J544" s="52" t="str">
        <f t="shared" si="1244"/>
        <v>NA</v>
      </c>
      <c r="K544" s="53" t="str">
        <f t="shared" si="1244"/>
        <v>NA</v>
      </c>
      <c r="L544" s="82" t="s">
        <v>778</v>
      </c>
      <c r="M544" s="82" t="str">
        <f t="shared" si="1235"/>
        <v>NA</v>
      </c>
      <c r="N544" s="785">
        <f>CHOOSE(case,U544,AC544,AK544)</f>
        <v>0</v>
      </c>
      <c r="O544" s="786">
        <f t="shared" si="1229"/>
        <v>0</v>
      </c>
      <c r="P544" s="786">
        <f t="shared" si="1230"/>
        <v>0</v>
      </c>
      <c r="Q544" s="786">
        <f t="shared" si="1231"/>
        <v>0</v>
      </c>
      <c r="R544" s="786">
        <f t="shared" si="1232"/>
        <v>0</v>
      </c>
      <c r="S544" s="787">
        <f t="shared" si="1233"/>
        <v>0</v>
      </c>
      <c r="T544" s="1493"/>
      <c r="U544" s="1515"/>
      <c r="V544" s="1515"/>
      <c r="W544" s="1515"/>
      <c r="X544" s="1515"/>
      <c r="Y544" s="1515"/>
      <c r="Z544" s="1515"/>
      <c r="AA544" s="1515"/>
      <c r="AB544" s="1321"/>
      <c r="AC544" s="737"/>
      <c r="AD544" s="737"/>
      <c r="AE544" s="737"/>
      <c r="AF544" s="737"/>
      <c r="AG544" s="737"/>
      <c r="AH544" s="737"/>
      <c r="AI544" s="415"/>
      <c r="AJ544" s="1321"/>
      <c r="AK544" s="1515"/>
      <c r="AL544" s="1515"/>
      <c r="AM544" s="1515"/>
      <c r="AN544" s="1515"/>
      <c r="AO544" s="1515"/>
      <c r="AP544" s="1515"/>
      <c r="AQ544" s="1515"/>
    </row>
    <row r="545" spans="3:43" ht="15" outlineLevel="2" thickBot="1">
      <c r="C545" s="37"/>
      <c r="D545" s="33" t="s">
        <v>665</v>
      </c>
      <c r="E545" s="37"/>
      <c r="F545" s="37"/>
      <c r="G545" s="37"/>
      <c r="H545" s="54" t="str">
        <f t="shared" ref="H545:K545" si="1245">IFERROR(H551/H527,"NA")</f>
        <v>NA</v>
      </c>
      <c r="I545" s="54" t="str">
        <f t="shared" si="1245"/>
        <v>NA</v>
      </c>
      <c r="J545" s="54">
        <f t="shared" si="1245"/>
        <v>15</v>
      </c>
      <c r="K545" s="55">
        <f t="shared" si="1245"/>
        <v>13.372670807453416</v>
      </c>
      <c r="L545" s="86">
        <f>K545</f>
        <v>13.372670807453416</v>
      </c>
      <c r="M545" s="86">
        <f t="shared" si="1235"/>
        <v>13.372670807453416</v>
      </c>
      <c r="N545" s="789">
        <f>CHOOSE(case,U545,AC545,AK545)</f>
        <v>13.372670807453416</v>
      </c>
      <c r="O545" s="790">
        <f t="shared" si="1229"/>
        <v>13.372670807453416</v>
      </c>
      <c r="P545" s="790">
        <f t="shared" si="1230"/>
        <v>13.372670807453416</v>
      </c>
      <c r="Q545" s="790">
        <f t="shared" si="1231"/>
        <v>13.372670807453416</v>
      </c>
      <c r="R545" s="790">
        <f t="shared" si="1232"/>
        <v>13.372670807453416</v>
      </c>
      <c r="S545" s="791">
        <f t="shared" si="1233"/>
        <v>13.372670807453416</v>
      </c>
      <c r="T545" s="1493"/>
      <c r="U545" s="1515"/>
      <c r="V545" s="1515"/>
      <c r="W545" s="1515"/>
      <c r="X545" s="1515"/>
      <c r="Y545" s="1515"/>
      <c r="Z545" s="1515"/>
      <c r="AA545" s="1515"/>
      <c r="AB545" s="1321"/>
      <c r="AC545" s="737">
        <f>M545</f>
        <v>13.372670807453416</v>
      </c>
      <c r="AD545" s="737">
        <f>AC545</f>
        <v>13.372670807453416</v>
      </c>
      <c r="AE545" s="737">
        <f t="shared" si="1240"/>
        <v>13.372670807453416</v>
      </c>
      <c r="AF545" s="737">
        <f t="shared" si="1241"/>
        <v>13.372670807453416</v>
      </c>
      <c r="AG545" s="737">
        <f t="shared" si="1242"/>
        <v>13.372670807453416</v>
      </c>
      <c r="AH545" s="737">
        <f t="shared" si="1243"/>
        <v>13.372670807453416</v>
      </c>
      <c r="AI545" s="415"/>
      <c r="AJ545" s="1321"/>
      <c r="AK545" s="1515"/>
      <c r="AL545" s="1515"/>
      <c r="AM545" s="1515"/>
      <c r="AN545" s="1515"/>
      <c r="AO545" s="1515"/>
      <c r="AP545" s="1515"/>
      <c r="AQ545" s="1515"/>
    </row>
    <row r="546" spans="3:43" ht="14.5" outlineLevel="2">
      <c r="C546" s="18" t="s">
        <v>991</v>
      </c>
      <c r="D546" s="1"/>
      <c r="E546" s="1"/>
      <c r="H546" s="414">
        <v>4618</v>
      </c>
      <c r="I546" s="414">
        <v>8512</v>
      </c>
      <c r="J546" s="99">
        <f t="shared" ref="J546" si="1246">SUM(J547:J551)</f>
        <v>3548</v>
      </c>
      <c r="K546" s="99">
        <f t="shared" ref="K546" si="1247">SUM(K547:K551)</f>
        <v>2676</v>
      </c>
      <c r="L546" s="23">
        <f>L554/(1-L553)</f>
        <v>2842.0598199999995</v>
      </c>
      <c r="M546" s="23">
        <f>M554/(1-M553)</f>
        <v>692.04336000000001</v>
      </c>
      <c r="N546" s="23">
        <f>SUM(N547:N551)</f>
        <v>2842.0598199999995</v>
      </c>
      <c r="O546" s="23">
        <f t="shared" ref="O546:S546" si="1248">SUM(O547:O551)</f>
        <v>2842.0598199999995</v>
      </c>
      <c r="P546" s="23">
        <f t="shared" si="1248"/>
        <v>2842.0598199999995</v>
      </c>
      <c r="Q546" s="23">
        <f t="shared" si="1248"/>
        <v>2842.0598199999995</v>
      </c>
      <c r="R546" s="23">
        <f t="shared" si="1248"/>
        <v>2842.0598199999995</v>
      </c>
      <c r="S546" s="23">
        <f t="shared" si="1248"/>
        <v>2842.0598199999995</v>
      </c>
      <c r="T546" s="1321"/>
      <c r="U546" s="1515"/>
      <c r="V546" s="1515"/>
      <c r="W546" s="1515"/>
      <c r="X546" s="1515"/>
      <c r="Y546" s="1515"/>
      <c r="Z546" s="1515"/>
      <c r="AA546" s="1515"/>
      <c r="AB546" s="1321"/>
      <c r="AC546" s="1"/>
      <c r="AD546" s="1"/>
      <c r="AE546" s="1"/>
      <c r="AF546" s="1"/>
      <c r="AG546" s="1"/>
      <c r="AH546" s="1"/>
      <c r="AI546" s="415"/>
      <c r="AJ546" s="1321"/>
      <c r="AK546" s="1515"/>
      <c r="AL546" s="1515"/>
      <c r="AM546" s="1515"/>
      <c r="AN546" s="1515"/>
      <c r="AO546" s="1515"/>
      <c r="AP546" s="1515"/>
      <c r="AQ546" s="1515"/>
    </row>
    <row r="547" spans="3:43" ht="14.5" outlineLevel="2">
      <c r="C547" s="1"/>
      <c r="D547" s="27" t="s">
        <v>841</v>
      </c>
      <c r="E547" s="28"/>
      <c r="F547" s="28"/>
      <c r="G547" s="28"/>
      <c r="H547" s="114"/>
      <c r="I547" s="114"/>
      <c r="J547" s="398">
        <v>0</v>
      </c>
      <c r="K547" s="398">
        <v>0</v>
      </c>
      <c r="L547" s="837">
        <f>K547*$L$521</f>
        <v>0</v>
      </c>
      <c r="M547" s="837">
        <f>K547*$M$521</f>
        <v>0</v>
      </c>
      <c r="N547" s="29">
        <f>N523*N541</f>
        <v>0</v>
      </c>
      <c r="O547" s="29">
        <f t="shared" ref="O547:R547" si="1249">O523*O541</f>
        <v>0</v>
      </c>
      <c r="P547" s="29">
        <f t="shared" si="1249"/>
        <v>0</v>
      </c>
      <c r="Q547" s="29">
        <f t="shared" si="1249"/>
        <v>0</v>
      </c>
      <c r="R547" s="29">
        <f t="shared" si="1249"/>
        <v>0</v>
      </c>
      <c r="S547" s="30">
        <f>S523*S541</f>
        <v>0</v>
      </c>
      <c r="T547" s="1321"/>
      <c r="U547" s="1515"/>
      <c r="V547" s="1515"/>
      <c r="W547" s="1515"/>
      <c r="X547" s="1515"/>
      <c r="Y547" s="1515"/>
      <c r="Z547" s="1515"/>
      <c r="AA547" s="1515"/>
      <c r="AB547" s="1321"/>
      <c r="AC547" s="1"/>
      <c r="AD547" s="1"/>
      <c r="AE547" s="1"/>
      <c r="AF547" s="1"/>
      <c r="AG547" s="1"/>
      <c r="AH547" s="1"/>
      <c r="AI547" s="415"/>
      <c r="AJ547" s="1321"/>
      <c r="AK547" s="1515"/>
      <c r="AL547" s="1515"/>
      <c r="AM547" s="1515"/>
      <c r="AN547" s="1515"/>
      <c r="AO547" s="1515"/>
      <c r="AP547" s="1515"/>
      <c r="AQ547" s="1515"/>
    </row>
    <row r="548" spans="3:43" ht="14.5" outlineLevel="2">
      <c r="C548" s="1"/>
      <c r="D548" s="31" t="s">
        <v>842</v>
      </c>
      <c r="E548" s="1"/>
      <c r="F548" s="1"/>
      <c r="G548" s="1"/>
      <c r="H548" s="115"/>
      <c r="I548" s="115"/>
      <c r="J548" s="400">
        <v>0</v>
      </c>
      <c r="K548" s="400">
        <v>0</v>
      </c>
      <c r="L548" s="80">
        <f t="shared" ref="L548:L551" si="1250">K548*$L$521</f>
        <v>0</v>
      </c>
      <c r="M548" s="80">
        <f t="shared" ref="M548:M551" si="1251">K548*$M$521</f>
        <v>0</v>
      </c>
      <c r="N548" s="20">
        <f t="shared" ref="N548:S548" si="1252">N524*N542</f>
        <v>0</v>
      </c>
      <c r="O548" s="20">
        <f>O524*O542</f>
        <v>0</v>
      </c>
      <c r="P548" s="20">
        <f t="shared" si="1252"/>
        <v>0</v>
      </c>
      <c r="Q548" s="20">
        <f t="shared" si="1252"/>
        <v>0</v>
      </c>
      <c r="R548" s="20">
        <f t="shared" si="1252"/>
        <v>0</v>
      </c>
      <c r="S548" s="32">
        <f t="shared" si="1252"/>
        <v>0</v>
      </c>
      <c r="T548" s="1321"/>
      <c r="U548" s="1515"/>
      <c r="V548" s="1515"/>
      <c r="W548" s="1515"/>
      <c r="X548" s="1515"/>
      <c r="Y548" s="1515"/>
      <c r="Z548" s="1515"/>
      <c r="AA548" s="1515"/>
      <c r="AB548" s="1321"/>
      <c r="AC548" s="1"/>
      <c r="AD548" s="1"/>
      <c r="AE548" s="1"/>
      <c r="AF548" s="1"/>
      <c r="AG548" s="1"/>
      <c r="AH548" s="1"/>
      <c r="AI548" s="415"/>
      <c r="AJ548" s="1321"/>
      <c r="AK548" s="1515"/>
      <c r="AL548" s="1515"/>
      <c r="AM548" s="1515"/>
      <c r="AN548" s="1515"/>
      <c r="AO548" s="1515"/>
      <c r="AP548" s="1515"/>
      <c r="AQ548" s="1515"/>
    </row>
    <row r="549" spans="3:43" ht="14.5" outlineLevel="2">
      <c r="C549" s="1"/>
      <c r="D549" s="31" t="s">
        <v>843</v>
      </c>
      <c r="E549" s="1"/>
      <c r="F549" s="1"/>
      <c r="G549" s="1"/>
      <c r="H549" s="115"/>
      <c r="I549" s="115"/>
      <c r="J549" s="400">
        <v>563</v>
      </c>
      <c r="K549" s="400">
        <v>523</v>
      </c>
      <c r="L549" s="80">
        <f t="shared" si="1250"/>
        <v>555.45489008221216</v>
      </c>
      <c r="M549" s="80">
        <f t="shared" si="1251"/>
        <v>135.25361632286996</v>
      </c>
      <c r="N549" s="20">
        <f>N525*N543</f>
        <v>555.45489008221216</v>
      </c>
      <c r="O549" s="20">
        <f t="shared" ref="O549:S549" si="1253">O525*O543</f>
        <v>555.45489008221216</v>
      </c>
      <c r="P549" s="20">
        <f t="shared" si="1253"/>
        <v>555.45489008221216</v>
      </c>
      <c r="Q549" s="20">
        <f t="shared" si="1253"/>
        <v>555.45489008221216</v>
      </c>
      <c r="R549" s="20">
        <f t="shared" si="1253"/>
        <v>555.45489008221216</v>
      </c>
      <c r="S549" s="32">
        <f t="shared" si="1253"/>
        <v>555.45489008221216</v>
      </c>
      <c r="T549" s="1321"/>
      <c r="U549" s="1515"/>
      <c r="V549" s="1515"/>
      <c r="W549" s="1515"/>
      <c r="X549" s="1515"/>
      <c r="Y549" s="1515"/>
      <c r="Z549" s="1515"/>
      <c r="AA549" s="1515"/>
      <c r="AB549" s="1321"/>
      <c r="AC549" s="1"/>
      <c r="AD549" s="1"/>
      <c r="AE549" s="1"/>
      <c r="AF549" s="1"/>
      <c r="AG549" s="1"/>
      <c r="AH549" s="1"/>
      <c r="AI549" s="415"/>
      <c r="AJ549" s="1321"/>
      <c r="AK549" s="1515"/>
      <c r="AL549" s="1515"/>
      <c r="AM549" s="1515"/>
      <c r="AN549" s="1515"/>
      <c r="AO549" s="1515"/>
      <c r="AP549" s="1515"/>
      <c r="AQ549" s="1515"/>
    </row>
    <row r="550" spans="3:43" ht="14.5" outlineLevel="2">
      <c r="C550" s="1"/>
      <c r="D550" s="31" t="s">
        <v>844</v>
      </c>
      <c r="E550" s="1"/>
      <c r="F550" s="1"/>
      <c r="G550" s="1"/>
      <c r="H550" s="115"/>
      <c r="I550" s="115"/>
      <c r="J550" s="400">
        <v>0</v>
      </c>
      <c r="K550" s="400">
        <v>0</v>
      </c>
      <c r="L550" s="80">
        <f t="shared" si="1250"/>
        <v>0</v>
      </c>
      <c r="M550" s="80">
        <f t="shared" si="1251"/>
        <v>0</v>
      </c>
      <c r="N550" s="20">
        <f t="shared" ref="N550:S550" si="1254">N526*N544</f>
        <v>0</v>
      </c>
      <c r="O550" s="20">
        <f t="shared" si="1254"/>
        <v>0</v>
      </c>
      <c r="P550" s="20">
        <f t="shared" si="1254"/>
        <v>0</v>
      </c>
      <c r="Q550" s="20">
        <f t="shared" si="1254"/>
        <v>0</v>
      </c>
      <c r="R550" s="20">
        <f t="shared" si="1254"/>
        <v>0</v>
      </c>
      <c r="S550" s="32">
        <f t="shared" si="1254"/>
        <v>0</v>
      </c>
      <c r="T550" s="1321"/>
      <c r="U550" s="1515"/>
      <c r="V550" s="1515"/>
      <c r="W550" s="1515"/>
      <c r="X550" s="1515"/>
      <c r="Y550" s="1515"/>
      <c r="Z550" s="1515"/>
      <c r="AA550" s="1515"/>
      <c r="AB550" s="1321"/>
      <c r="AC550" s="1"/>
      <c r="AD550" s="1"/>
      <c r="AE550" s="1"/>
      <c r="AF550" s="1"/>
      <c r="AG550" s="1"/>
      <c r="AH550" s="1"/>
      <c r="AI550" s="415"/>
      <c r="AJ550" s="1321"/>
      <c r="AK550" s="1515"/>
      <c r="AL550" s="1515"/>
      <c r="AM550" s="1515"/>
      <c r="AN550" s="1515"/>
      <c r="AO550" s="1515"/>
      <c r="AP550" s="1515"/>
      <c r="AQ550" s="1515"/>
    </row>
    <row r="551" spans="3:43" ht="14.5" outlineLevel="2">
      <c r="C551" s="1"/>
      <c r="D551" s="33" t="s">
        <v>665</v>
      </c>
      <c r="E551" s="34"/>
      <c r="F551" s="34"/>
      <c r="G551" s="34"/>
      <c r="H551" s="116"/>
      <c r="I551" s="116"/>
      <c r="J551" s="402">
        <v>2985</v>
      </c>
      <c r="K551" s="402">
        <v>2153</v>
      </c>
      <c r="L551" s="838">
        <f t="shared" si="1250"/>
        <v>2286.6049299177876</v>
      </c>
      <c r="M551" s="838">
        <f t="shared" si="1251"/>
        <v>556.7897436771301</v>
      </c>
      <c r="N551" s="35">
        <f t="shared" ref="N551:S551" si="1255">N527*N545</f>
        <v>2286.6049299177876</v>
      </c>
      <c r="O551" s="35">
        <f t="shared" si="1255"/>
        <v>2286.6049299177876</v>
      </c>
      <c r="P551" s="35">
        <f t="shared" si="1255"/>
        <v>2286.6049299177876</v>
      </c>
      <c r="Q551" s="35">
        <f t="shared" si="1255"/>
        <v>2286.6049299177876</v>
      </c>
      <c r="R551" s="35">
        <f t="shared" si="1255"/>
        <v>2286.6049299177876</v>
      </c>
      <c r="S551" s="36">
        <f t="shared" si="1255"/>
        <v>2286.6049299177876</v>
      </c>
      <c r="T551" s="1321"/>
      <c r="U551" s="1515"/>
      <c r="V551" s="1515"/>
      <c r="W551" s="1515"/>
      <c r="X551" s="1515"/>
      <c r="Y551" s="1515"/>
      <c r="Z551" s="1515"/>
      <c r="AA551" s="1515"/>
      <c r="AB551" s="1321"/>
      <c r="AC551" s="1"/>
      <c r="AD551" s="1"/>
      <c r="AE551" s="1"/>
      <c r="AF551" s="1"/>
      <c r="AG551" s="1"/>
      <c r="AH551" s="1"/>
      <c r="AI551" s="415"/>
      <c r="AJ551" s="1321"/>
      <c r="AK551" s="1515"/>
      <c r="AL551" s="1515"/>
      <c r="AM551" s="1515"/>
      <c r="AN551" s="1515"/>
      <c r="AO551" s="1515"/>
      <c r="AP551" s="1515"/>
      <c r="AQ551" s="1515"/>
    </row>
    <row r="552" spans="3:43" ht="14.5" outlineLevel="2">
      <c r="C552" s="1"/>
      <c r="D552" s="1"/>
      <c r="E552" s="1"/>
      <c r="AI552" s="424"/>
    </row>
    <row r="553" spans="3:43" ht="15" outlineLevel="2" thickBot="1">
      <c r="C553" s="37" t="s">
        <v>160</v>
      </c>
      <c r="D553" s="37"/>
      <c r="E553" s="37"/>
      <c r="F553" s="109"/>
      <c r="G553" s="109"/>
      <c r="H553" s="117">
        <f>1-H554/H546</f>
        <v>2.3819835426591718E-3</v>
      </c>
      <c r="I553" s="117">
        <f t="shared" ref="I553" si="1256">1-I554/I546</f>
        <v>2.3496240601506013E-4</v>
      </c>
      <c r="J553" s="117">
        <f t="shared" ref="J553" si="1257">1-J554/J546</f>
        <v>-1.6910935738443378E-3</v>
      </c>
      <c r="K553" s="117">
        <f t="shared" ref="K553" si="1258">1-K554/K546</f>
        <v>0</v>
      </c>
      <c r="L553" s="160">
        <f>K553</f>
        <v>0</v>
      </c>
      <c r="M553" s="160">
        <f>L553</f>
        <v>0</v>
      </c>
      <c r="N553" s="160">
        <f t="shared" ref="N553:S553" si="1259">M553</f>
        <v>0</v>
      </c>
      <c r="O553" s="160">
        <f t="shared" si="1259"/>
        <v>0</v>
      </c>
      <c r="P553" s="160">
        <f t="shared" si="1259"/>
        <v>0</v>
      </c>
      <c r="Q553" s="160">
        <f t="shared" si="1259"/>
        <v>0</v>
      </c>
      <c r="R553" s="160">
        <f t="shared" si="1259"/>
        <v>0</v>
      </c>
      <c r="S553" s="160">
        <f t="shared" si="1259"/>
        <v>0</v>
      </c>
      <c r="AI553" s="424"/>
    </row>
    <row r="554" spans="3:43" s="101" customFormat="1" ht="15" outlineLevel="2" thickBot="1">
      <c r="C554" s="76" t="s">
        <v>992</v>
      </c>
      <c r="D554" s="76"/>
      <c r="E554" s="76"/>
      <c r="F554" s="110"/>
      <c r="G554" s="110"/>
      <c r="H554" s="409">
        <v>4607</v>
      </c>
      <c r="I554" s="409">
        <v>8510</v>
      </c>
      <c r="J554" s="409">
        <v>3554</v>
      </c>
      <c r="K554" s="409">
        <v>2676</v>
      </c>
      <c r="L554" s="409">
        <v>2842.0598199999995</v>
      </c>
      <c r="M554" s="409">
        <v>692.04336000000001</v>
      </c>
      <c r="N554" s="113">
        <f t="shared" ref="N554:S554" si="1260">N546*(1-N553)</f>
        <v>2842.0598199999995</v>
      </c>
      <c r="O554" s="113">
        <f t="shared" si="1260"/>
        <v>2842.0598199999995</v>
      </c>
      <c r="P554" s="113">
        <f t="shared" si="1260"/>
        <v>2842.0598199999995</v>
      </c>
      <c r="Q554" s="113">
        <f t="shared" si="1260"/>
        <v>2842.0598199999995</v>
      </c>
      <c r="R554" s="113">
        <f t="shared" si="1260"/>
        <v>2842.0598199999995</v>
      </c>
      <c r="S554" s="113">
        <f t="shared" si="1260"/>
        <v>2842.0598199999995</v>
      </c>
      <c r="T554" s="525"/>
      <c r="U554" s="1512"/>
      <c r="V554" s="1512"/>
      <c r="W554" s="1512"/>
      <c r="X554" s="1512"/>
      <c r="Y554" s="1512"/>
      <c r="Z554" s="1512"/>
      <c r="AA554" s="1512"/>
      <c r="AI554" s="473"/>
      <c r="AK554" s="1512"/>
      <c r="AL554" s="1512"/>
      <c r="AM554" s="1512"/>
      <c r="AN554" s="1512"/>
      <c r="AO554" s="1512"/>
      <c r="AP554" s="1512"/>
      <c r="AQ554" s="1512"/>
    </row>
    <row r="555" spans="3:43" s="101" customFormat="1" ht="14.5" outlineLevel="2">
      <c r="C555" s="97" t="s">
        <v>659</v>
      </c>
      <c r="H555" s="394">
        <v>-4664</v>
      </c>
      <c r="I555" s="394">
        <v>-7193</v>
      </c>
      <c r="J555" s="394">
        <v>-3863</v>
      </c>
      <c r="K555" s="394">
        <v>-2574</v>
      </c>
      <c r="L555" s="394">
        <v>-2738.1619314131694</v>
      </c>
      <c r="M555" s="394">
        <v>-841.29520629217836</v>
      </c>
      <c r="N555" s="20">
        <f>N556*N522</f>
        <v>-3455.002158479796</v>
      </c>
      <c r="O555" s="20">
        <f t="shared" ref="O555:S555" si="1261">O556*O522</f>
        <v>-3446.6410928473242</v>
      </c>
      <c r="P555" s="20">
        <f t="shared" si="1261"/>
        <v>-3440.5560919386662</v>
      </c>
      <c r="Q555" s="20">
        <f t="shared" si="1261"/>
        <v>-3435.7884759459621</v>
      </c>
      <c r="R555" s="20">
        <f t="shared" si="1261"/>
        <v>-3431.1242666164644</v>
      </c>
      <c r="S555" s="20">
        <f t="shared" si="1261"/>
        <v>-3426.554759270025</v>
      </c>
      <c r="U555" s="1512"/>
      <c r="V555" s="1512"/>
      <c r="W555" s="1512"/>
      <c r="X555" s="1512"/>
      <c r="Y555" s="1512"/>
      <c r="Z555" s="1512"/>
      <c r="AA555" s="1512"/>
      <c r="AI555" s="473"/>
      <c r="AK555" s="1512"/>
      <c r="AL555" s="1512"/>
      <c r="AM555" s="1512"/>
      <c r="AN555" s="1512"/>
      <c r="AO555" s="1512"/>
      <c r="AP555" s="1512"/>
      <c r="AQ555" s="1512"/>
    </row>
    <row r="556" spans="3:43" s="101" customFormat="1" ht="14.5" outlineLevel="2">
      <c r="C556" s="97"/>
      <c r="D556" s="1" t="s">
        <v>849</v>
      </c>
      <c r="E556" s="1"/>
      <c r="H556" s="394"/>
      <c r="I556" s="394"/>
      <c r="J556" s="744">
        <f>J555/J522</f>
        <v>-14.047272727272727</v>
      </c>
      <c r="K556" s="744">
        <f>K555/K522</f>
        <v>-10.506122448979593</v>
      </c>
      <c r="L556" s="744">
        <f t="shared" ref="L556" si="1262">L555/L522</f>
        <v>-10.523154292269959</v>
      </c>
      <c r="M556" s="744">
        <f t="shared" ref="M556" si="1263">M555/M522</f>
        <v>-13.278075477093669</v>
      </c>
      <c r="N556" s="1039">
        <f>M556</f>
        <v>-13.278075477093669</v>
      </c>
      <c r="O556" s="744">
        <f>N556*(1+O557)</f>
        <v>-13.245942686593258</v>
      </c>
      <c r="P556" s="744">
        <f t="shared" ref="P556" si="1264">O556*(1+P557)</f>
        <v>-13.222557143650821</v>
      </c>
      <c r="Q556" s="744">
        <f t="shared" ref="Q556" si="1265">P556*(1+Q557)</f>
        <v>-13.204234502421336</v>
      </c>
      <c r="R556" s="744">
        <f t="shared" ref="R556" si="1266">Q556*(1+R557)</f>
        <v>-13.186309268028635</v>
      </c>
      <c r="S556" s="744">
        <f t="shared" ref="S556" si="1267">R556*(1+S557)</f>
        <v>-13.168747987121693</v>
      </c>
      <c r="U556" s="1512"/>
      <c r="V556" s="1512"/>
      <c r="W556" s="1512"/>
      <c r="X556" s="1512"/>
      <c r="Y556" s="1512"/>
      <c r="Z556" s="1512"/>
      <c r="AA556" s="1512"/>
      <c r="AI556" s="473"/>
      <c r="AK556" s="1512"/>
      <c r="AL556" s="1512"/>
      <c r="AM556" s="1512"/>
      <c r="AN556" s="1512"/>
      <c r="AO556" s="1512"/>
      <c r="AP556" s="1512"/>
      <c r="AQ556" s="1512"/>
    </row>
    <row r="557" spans="3:43" s="101" customFormat="1" ht="15" outlineLevel="2" thickBot="1">
      <c r="C557" s="109"/>
      <c r="D557" s="74"/>
      <c r="E557" s="74" t="s">
        <v>151</v>
      </c>
      <c r="H557" s="404"/>
      <c r="I557" s="404"/>
      <c r="J557" s="404"/>
      <c r="K557" s="404"/>
      <c r="L557" s="75">
        <f>L556/J556-1</f>
        <v>-0.25087563283089853</v>
      </c>
      <c r="M557" s="404"/>
      <c r="N557" s="75">
        <f>N556/L556-1</f>
        <v>0.26179614099618442</v>
      </c>
      <c r="O557" s="161">
        <f>CHOOSE(case,V557,AD557,AL557)</f>
        <v>-2.4199885409481592E-3</v>
      </c>
      <c r="P557" s="161">
        <f t="shared" ref="P557" si="1268">CHOOSE(case,W557,AE557,AM557)</f>
        <v>-1.7654872511343456E-3</v>
      </c>
      <c r="Q557" s="161">
        <f t="shared" ref="Q557" si="1269">CHOOSE(case,X557,AF557,AN557)</f>
        <v>-1.3857108750165992E-3</v>
      </c>
      <c r="R557" s="161">
        <f t="shared" ref="R557" si="1270">CHOOSE(case,Y557,AG557,AO557)</f>
        <v>-1.3575368105901431E-3</v>
      </c>
      <c r="S557" s="1044">
        <f t="shared" ref="S557" si="1271">CHOOSE(case,Z557,AH557,AP557)</f>
        <v>-1.3317813612578888E-3</v>
      </c>
      <c r="U557" s="1512"/>
      <c r="V557" s="1512"/>
      <c r="W557" s="1512"/>
      <c r="X557" s="1512"/>
      <c r="Y557" s="1512"/>
      <c r="Z557" s="1512"/>
      <c r="AA557" s="1512"/>
      <c r="AC557" s="829"/>
      <c r="AD557" s="1042">
        <f>(SUMPRODUCT(O535:O538,各区域分剂型成本优化!K$195:K$198)+O539*O545)/(SUMPRODUCT(N535:N538,各区域分剂型成本优化!J$195:J$198)+N539*N545)-1</f>
        <v>-2.4199885409481592E-3</v>
      </c>
      <c r="AE557" s="1042">
        <f>(SUMPRODUCT(P535:P538,各区域分剂型成本优化!L$195:L$198)+P539*P545)/(SUMPRODUCT(O535:O538,各区域分剂型成本优化!K$195:K$198)+O539*O545)-1</f>
        <v>-1.7654872511343456E-3</v>
      </c>
      <c r="AF557" s="1042">
        <f>(SUMPRODUCT(Q535:Q538,各区域分剂型成本优化!M$195:M$198)+Q539*Q545)/(SUMPRODUCT(P535:P538,各区域分剂型成本优化!L$195:L$198)+P539*P545)-1</f>
        <v>-1.3857108750165992E-3</v>
      </c>
      <c r="AG557" s="1042">
        <f>(SUMPRODUCT(R535:R538,各区域分剂型成本优化!N$195:N$198)+R539*R545)/(SUMPRODUCT(Q535:Q538,各区域分剂型成本优化!M$195:M$198)+Q539*Q545)-1</f>
        <v>-1.3575368105901431E-3</v>
      </c>
      <c r="AH557" s="1042">
        <f>(SUMPRODUCT(S535:S538,各区域分剂型成本优化!O$195:O$198)+S539*S545)/(SUMPRODUCT(R535:R538,各区域分剂型成本优化!N$195:N$198)+R539*R545)-1</f>
        <v>-1.3317813612578888E-3</v>
      </c>
      <c r="AI557" s="473"/>
      <c r="AK557" s="1512"/>
      <c r="AL557" s="1512"/>
      <c r="AM557" s="1512"/>
      <c r="AN557" s="1512"/>
      <c r="AO557" s="1512"/>
      <c r="AP557" s="1512"/>
      <c r="AQ557" s="1512"/>
    </row>
    <row r="558" spans="3:43" s="101" customFormat="1" ht="15" outlineLevel="2" thickBot="1">
      <c r="C558" s="63" t="s">
        <v>846</v>
      </c>
      <c r="D558" s="63"/>
      <c r="E558" s="63"/>
      <c r="F558" s="110"/>
      <c r="G558" s="110"/>
      <c r="H558" s="64">
        <f>H554+H555</f>
        <v>-57</v>
      </c>
      <c r="I558" s="64">
        <f t="shared" ref="I558" si="1272">I554+I555</f>
        <v>1317</v>
      </c>
      <c r="J558" s="64">
        <f t="shared" ref="J558" si="1273">J554+J555</f>
        <v>-309</v>
      </c>
      <c r="K558" s="64">
        <f t="shared" ref="K558:L558" si="1274">K554+K555</f>
        <v>102</v>
      </c>
      <c r="L558" s="64">
        <f t="shared" si="1274"/>
        <v>103.89788858683005</v>
      </c>
      <c r="M558" s="64">
        <f t="shared" ref="M558:S558" si="1275">M554+M555</f>
        <v>-149.25184629217836</v>
      </c>
      <c r="N558" s="64">
        <f t="shared" si="1275"/>
        <v>-612.94233847979649</v>
      </c>
      <c r="O558" s="64">
        <f t="shared" si="1275"/>
        <v>-604.58127284732473</v>
      </c>
      <c r="P558" s="64">
        <f t="shared" si="1275"/>
        <v>-598.49627193866672</v>
      </c>
      <c r="Q558" s="64">
        <f t="shared" si="1275"/>
        <v>-593.7286559459626</v>
      </c>
      <c r="R558" s="64">
        <f t="shared" si="1275"/>
        <v>-589.06444661646492</v>
      </c>
      <c r="S558" s="64">
        <f t="shared" si="1275"/>
        <v>-584.4949392700255</v>
      </c>
      <c r="U558" s="1512"/>
      <c r="V558" s="1512"/>
      <c r="W558" s="1512"/>
      <c r="X558" s="1512"/>
      <c r="Y558" s="1512"/>
      <c r="Z558" s="1512"/>
      <c r="AA558" s="1512"/>
      <c r="AI558" s="473"/>
      <c r="AK558" s="1512"/>
      <c r="AL558" s="1512"/>
      <c r="AM558" s="1512"/>
      <c r="AN558" s="1512"/>
      <c r="AO558" s="1512"/>
      <c r="AP558" s="1512"/>
      <c r="AQ558" s="1512"/>
    </row>
    <row r="559" spans="3:43" s="101" customFormat="1" ht="14.5" outlineLevel="2">
      <c r="C559" s="22" t="s">
        <v>660</v>
      </c>
      <c r="D559" s="18"/>
      <c r="E559" s="18"/>
      <c r="H559" s="94">
        <f>H558/H554</f>
        <v>-1.2372476665943131E-2</v>
      </c>
      <c r="I559" s="94">
        <f t="shared" ref="I559" si="1276">I558/I554</f>
        <v>0.15475910693301997</v>
      </c>
      <c r="J559" s="94">
        <f t="shared" ref="J559" si="1277">J558/J554</f>
        <v>-8.6944288126055147E-2</v>
      </c>
      <c r="K559" s="94">
        <f t="shared" ref="K559:L559" si="1278">K558/K554</f>
        <v>3.811659192825112E-2</v>
      </c>
      <c r="L559" s="94">
        <f t="shared" si="1278"/>
        <v>3.6557249026106027E-2</v>
      </c>
      <c r="M559" s="94">
        <f t="shared" ref="M559:S559" si="1279">M558/M554</f>
        <v>-0.21566834524960743</v>
      </c>
      <c r="N559" s="94">
        <f t="shared" si="1279"/>
        <v>-0.21566834524960724</v>
      </c>
      <c r="O559" s="94">
        <f t="shared" si="1279"/>
        <v>-0.21272644178450995</v>
      </c>
      <c r="P559" s="94">
        <f t="shared" si="1279"/>
        <v>-0.21058538871242577</v>
      </c>
      <c r="Q559" s="94">
        <f t="shared" si="1279"/>
        <v>-0.20890786737415074</v>
      </c>
      <c r="R559" s="94">
        <f t="shared" si="1279"/>
        <v>-0.20726673044357843</v>
      </c>
      <c r="S559" s="94">
        <f t="shared" si="1279"/>
        <v>-0.20565891511390694</v>
      </c>
      <c r="T559" s="1321"/>
      <c r="U559" s="1526">
        <f>AC559+0.3%</f>
        <v>3.0000000000000001E-3</v>
      </c>
      <c r="V559" s="1526">
        <f t="shared" ref="V559" si="1280">AD559+0.3%</f>
        <v>3.0000000000000001E-3</v>
      </c>
      <c r="W559" s="1526">
        <f t="shared" ref="W559" si="1281">AE559+0.3%</f>
        <v>3.0000000000000001E-3</v>
      </c>
      <c r="X559" s="1526">
        <f t="shared" ref="X559" si="1282">AF559+0.3%</f>
        <v>3.0000000000000001E-3</v>
      </c>
      <c r="Y559" s="1526">
        <f t="shared" ref="Y559" si="1283">AG559+0.3%</f>
        <v>3.0000000000000001E-3</v>
      </c>
      <c r="Z559" s="1526">
        <f t="shared" ref="Z559" si="1284">AH559+0.3%</f>
        <v>3.0000000000000001E-3</v>
      </c>
      <c r="AA559" s="1515"/>
      <c r="AB559" s="1321"/>
      <c r="AC559" s="65"/>
      <c r="AD559" s="65"/>
      <c r="AE559" s="65"/>
      <c r="AF559" s="65"/>
      <c r="AG559" s="65"/>
      <c r="AH559" s="65"/>
      <c r="AI559" s="415"/>
      <c r="AJ559" s="1321"/>
      <c r="AK559" s="1526">
        <f>AC559-0.3%</f>
        <v>-3.0000000000000001E-3</v>
      </c>
      <c r="AL559" s="1526">
        <f t="shared" ref="AL559" si="1285">AD559-0.3%</f>
        <v>-3.0000000000000001E-3</v>
      </c>
      <c r="AM559" s="1526">
        <f t="shared" ref="AM559" si="1286">AE559-0.3%</f>
        <v>-3.0000000000000001E-3</v>
      </c>
      <c r="AN559" s="1526">
        <f t="shared" ref="AN559" si="1287">AF559-0.3%</f>
        <v>-3.0000000000000001E-3</v>
      </c>
      <c r="AO559" s="1526">
        <f t="shared" ref="AO559" si="1288">AG559-0.3%</f>
        <v>-3.0000000000000001E-3</v>
      </c>
      <c r="AP559" s="1526">
        <f t="shared" ref="AP559" si="1289">AH559-0.3%</f>
        <v>-3.0000000000000001E-3</v>
      </c>
      <c r="AQ559" s="1515"/>
    </row>
    <row r="560" spans="3:43" ht="14.5" outlineLevel="2">
      <c r="AI560" s="424"/>
    </row>
    <row r="561" spans="1:43" s="1126" customFormat="1" ht="14.5" outlineLevel="2">
      <c r="A561" s="26" t="s">
        <v>8</v>
      </c>
      <c r="B561" s="26"/>
      <c r="C561" s="26" t="s">
        <v>184</v>
      </c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U561" s="1518"/>
      <c r="V561" s="1518"/>
      <c r="W561" s="1518"/>
      <c r="X561" s="1518"/>
      <c r="Y561" s="1518"/>
      <c r="Z561" s="1518"/>
      <c r="AA561" s="1518"/>
      <c r="AC561" s="26"/>
      <c r="AD561" s="26"/>
      <c r="AE561" s="26"/>
      <c r="AF561" s="26"/>
      <c r="AG561" s="26"/>
      <c r="AH561" s="26"/>
      <c r="AI561" s="474"/>
      <c r="AK561" s="1518"/>
      <c r="AL561" s="1518"/>
      <c r="AM561" s="1518"/>
      <c r="AN561" s="1518"/>
      <c r="AO561" s="1518"/>
      <c r="AP561" s="1518"/>
      <c r="AQ561" s="1518"/>
    </row>
    <row r="562" spans="1:43" ht="14.5" outlineLevel="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1025">
        <f>L587/K587</f>
        <v>1.1333819225110346</v>
      </c>
      <c r="M562" s="1025">
        <f>M587/K587</f>
        <v>0.93975928886709159</v>
      </c>
      <c r="N562" s="99"/>
      <c r="O562" s="99"/>
      <c r="P562" s="99"/>
      <c r="Q562" s="99"/>
      <c r="R562" s="99"/>
      <c r="S562" s="99"/>
      <c r="AI562" s="424"/>
    </row>
    <row r="563" spans="1:43" s="99" customFormat="1" ht="14.5" outlineLevel="2">
      <c r="C563" s="18" t="s">
        <v>840</v>
      </c>
      <c r="D563" s="18"/>
      <c r="E563" s="18"/>
      <c r="H563" s="99">
        <f>SUM(H564:H568)</f>
        <v>0</v>
      </c>
      <c r="I563" s="99">
        <f t="shared" ref="I563" si="1290">SUM(I564:I568)</f>
        <v>0</v>
      </c>
      <c r="J563" s="99">
        <f t="shared" ref="J563" si="1291">SUM(J564:J568)</f>
        <v>0</v>
      </c>
      <c r="K563" s="99">
        <f t="shared" ref="K563" si="1292">SUM(K564:K568)</f>
        <v>608</v>
      </c>
      <c r="L563" s="23">
        <f>SUM(L564:L568)</f>
        <v>689.09620888670906</v>
      </c>
      <c r="M563" s="23">
        <f>SUM(M564:M568)</f>
        <v>571.37364763119172</v>
      </c>
      <c r="N563" s="23">
        <f t="shared" ref="N563:S563" si="1293">SUM(N564:N568)</f>
        <v>1033.6443133300636</v>
      </c>
      <c r="O563" s="23">
        <f t="shared" si="1293"/>
        <v>1033.6443133300636</v>
      </c>
      <c r="P563" s="23">
        <f t="shared" si="1293"/>
        <v>1033.6443133300636</v>
      </c>
      <c r="Q563" s="23">
        <f t="shared" si="1293"/>
        <v>1033.6443133300636</v>
      </c>
      <c r="R563" s="23">
        <f t="shared" si="1293"/>
        <v>1033.6443133300636</v>
      </c>
      <c r="S563" s="23">
        <f t="shared" si="1293"/>
        <v>1033.6443133300636</v>
      </c>
      <c r="T563" s="1126"/>
      <c r="U563" s="1519">
        <f>$L563*(1+$AA563)</f>
        <v>716.66005724217746</v>
      </c>
      <c r="V563" s="1519">
        <f>U563*(1+$AA563)</f>
        <v>745.32645953186454</v>
      </c>
      <c r="W563" s="1519">
        <f t="shared" ref="W563:Z563" si="1294">V563*(1+$AA563)</f>
        <v>775.13951791313912</v>
      </c>
      <c r="X563" s="1519">
        <f t="shared" si="1294"/>
        <v>806.14509862966474</v>
      </c>
      <c r="Y563" s="1519">
        <f t="shared" si="1294"/>
        <v>838.39090257485134</v>
      </c>
      <c r="Z563" s="1519">
        <f t="shared" si="1294"/>
        <v>871.92653867784543</v>
      </c>
      <c r="AA563" s="1520">
        <v>0.04</v>
      </c>
      <c r="AB563" s="1321"/>
      <c r="AC563" s="20"/>
      <c r="AD563" s="20"/>
      <c r="AE563" s="20"/>
      <c r="AF563" s="20"/>
      <c r="AG563" s="20"/>
      <c r="AH563" s="20"/>
      <c r="AI563" s="472"/>
      <c r="AJ563" s="1321"/>
      <c r="AK563" s="1519">
        <f>$L563*(1+$AQ563)</f>
        <v>695.98717097557619</v>
      </c>
      <c r="AL563" s="1519">
        <f>AK563*(1+$AQ563)</f>
        <v>702.94704268533201</v>
      </c>
      <c r="AM563" s="1519">
        <f t="shared" ref="AM563:AN563" si="1295">AL563*(1+$AQ563)</f>
        <v>709.97651311218533</v>
      </c>
      <c r="AN563" s="1519">
        <f t="shared" si="1295"/>
        <v>717.07627824330723</v>
      </c>
      <c r="AO563" s="1519">
        <f>AN563*(1+$AQ563)</f>
        <v>724.24704102574026</v>
      </c>
      <c r="AP563" s="1519">
        <f t="shared" ref="AP563" si="1296">AO563*(1+$AQ563)</f>
        <v>731.48951143599766</v>
      </c>
      <c r="AQ563" s="1520">
        <v>0.01</v>
      </c>
    </row>
    <row r="564" spans="1:43" s="101" customFormat="1" ht="14.5" outlineLevel="2">
      <c r="C564" s="1"/>
      <c r="D564" s="27" t="s">
        <v>841</v>
      </c>
      <c r="E564" s="28"/>
      <c r="F564" s="28"/>
      <c r="G564" s="28"/>
      <c r="H564" s="114"/>
      <c r="I564" s="114"/>
      <c r="J564" s="114"/>
      <c r="K564" s="399">
        <v>0</v>
      </c>
      <c r="L564" s="83">
        <f>IFERROR(L588/L582,0)</f>
        <v>0</v>
      </c>
      <c r="M564" s="83">
        <f>IFERROR(M588/M582,0)</f>
        <v>0</v>
      </c>
      <c r="N564" s="703">
        <f>L564*(1+N570)</f>
        <v>0</v>
      </c>
      <c r="O564" s="29">
        <f>N564*(1+O570)</f>
        <v>0</v>
      </c>
      <c r="P564" s="29">
        <f t="shared" ref="P564:P568" si="1297">O564*(1+P570)</f>
        <v>0</v>
      </c>
      <c r="Q564" s="29">
        <f t="shared" ref="Q564:Q568" si="1298">P564*(1+Q570)</f>
        <v>0</v>
      </c>
      <c r="R564" s="29">
        <f t="shared" ref="R564:R568" si="1299">Q564*(1+R570)</f>
        <v>0</v>
      </c>
      <c r="S564" s="30">
        <f t="shared" ref="S564:S568" si="1300">R564*(1+S570)</f>
        <v>0</v>
      </c>
      <c r="T564" s="1321"/>
      <c r="U564" s="1515"/>
      <c r="V564" s="1515"/>
      <c r="W564" s="1515"/>
      <c r="X564" s="1515"/>
      <c r="Y564" s="1515"/>
      <c r="Z564" s="1515"/>
      <c r="AA564" s="1515"/>
      <c r="AB564" s="1321"/>
      <c r="AC564" s="1"/>
      <c r="AD564" s="1"/>
      <c r="AE564" s="1"/>
      <c r="AF564" s="1"/>
      <c r="AG564" s="1"/>
      <c r="AH564" s="1"/>
      <c r="AI564" s="415"/>
      <c r="AJ564" s="1321"/>
      <c r="AK564" s="1515"/>
      <c r="AL564" s="1515"/>
      <c r="AM564" s="1515"/>
      <c r="AN564" s="1515"/>
      <c r="AO564" s="1515"/>
      <c r="AP564" s="1515"/>
      <c r="AQ564" s="1515"/>
    </row>
    <row r="565" spans="1:43" ht="14.5" outlineLevel="2">
      <c r="C565" s="1"/>
      <c r="D565" s="31" t="s">
        <v>842</v>
      </c>
      <c r="E565" s="1"/>
      <c r="F565" s="1"/>
      <c r="G565" s="1"/>
      <c r="H565" s="115"/>
      <c r="I565" s="115"/>
      <c r="J565" s="115"/>
      <c r="K565" s="401">
        <v>0</v>
      </c>
      <c r="L565" s="84">
        <f t="shared" ref="L565:M568" si="1301">IFERROR(L589/L583,0)</f>
        <v>0</v>
      </c>
      <c r="M565" s="84">
        <f t="shared" si="1301"/>
        <v>0</v>
      </c>
      <c r="N565" s="704">
        <f t="shared" ref="N565:N568" si="1302">L565*(1+N571)</f>
        <v>0</v>
      </c>
      <c r="O565" s="20">
        <f t="shared" ref="O565:O568" si="1303">N565*(1+O571)</f>
        <v>0</v>
      </c>
      <c r="P565" s="20">
        <f t="shared" si="1297"/>
        <v>0</v>
      </c>
      <c r="Q565" s="20">
        <f t="shared" si="1298"/>
        <v>0</v>
      </c>
      <c r="R565" s="20">
        <f t="shared" si="1299"/>
        <v>0</v>
      </c>
      <c r="S565" s="32">
        <f t="shared" si="1300"/>
        <v>0</v>
      </c>
      <c r="T565" s="1321"/>
      <c r="U565" s="1515"/>
      <c r="V565" s="1515"/>
      <c r="W565" s="1515"/>
      <c r="X565" s="1515"/>
      <c r="Y565" s="1515"/>
      <c r="Z565" s="1515"/>
      <c r="AA565" s="1515"/>
      <c r="AB565" s="1321"/>
      <c r="AC565" s="1"/>
      <c r="AD565" s="1"/>
      <c r="AE565" s="1"/>
      <c r="AF565" s="1"/>
      <c r="AG565" s="1"/>
      <c r="AH565" s="1"/>
      <c r="AI565" s="415"/>
      <c r="AJ565" s="1321"/>
      <c r="AK565" s="1515"/>
      <c r="AL565" s="1515"/>
      <c r="AM565" s="1515"/>
      <c r="AN565" s="1515"/>
      <c r="AO565" s="1515"/>
      <c r="AP565" s="1515"/>
      <c r="AQ565" s="1515"/>
    </row>
    <row r="566" spans="1:43" ht="14.5" outlineLevel="2">
      <c r="C566" s="1"/>
      <c r="D566" s="31" t="s">
        <v>843</v>
      </c>
      <c r="E566" s="1"/>
      <c r="F566" s="1"/>
      <c r="G566" s="1"/>
      <c r="H566" s="115"/>
      <c r="I566" s="115"/>
      <c r="J566" s="115"/>
      <c r="K566" s="401">
        <v>78</v>
      </c>
      <c r="L566" s="84">
        <f t="shared" si="1301"/>
        <v>88.403789955860702</v>
      </c>
      <c r="M566" s="84">
        <f t="shared" si="1301"/>
        <v>73.301224531633153</v>
      </c>
      <c r="N566" s="704">
        <f t="shared" si="1302"/>
        <v>132.60568493379105</v>
      </c>
      <c r="O566" s="20">
        <f t="shared" si="1303"/>
        <v>132.60568493379105</v>
      </c>
      <c r="P566" s="20">
        <f t="shared" si="1297"/>
        <v>132.60568493379105</v>
      </c>
      <c r="Q566" s="20">
        <f t="shared" si="1298"/>
        <v>132.60568493379105</v>
      </c>
      <c r="R566" s="20">
        <f t="shared" si="1299"/>
        <v>132.60568493379105</v>
      </c>
      <c r="S566" s="32">
        <f t="shared" si="1300"/>
        <v>132.60568493379105</v>
      </c>
      <c r="T566" s="1321"/>
      <c r="U566" s="1515"/>
      <c r="V566" s="1515"/>
      <c r="W566" s="1515"/>
      <c r="X566" s="1515"/>
      <c r="Y566" s="1515"/>
      <c r="Z566" s="1515"/>
      <c r="AA566" s="1515"/>
      <c r="AB566" s="1321"/>
      <c r="AC566" s="1"/>
      <c r="AD566" s="1"/>
      <c r="AE566" s="1"/>
      <c r="AF566" s="1"/>
      <c r="AG566" s="1"/>
      <c r="AH566" s="1"/>
      <c r="AI566" s="415"/>
      <c r="AJ566" s="1321"/>
      <c r="AK566" s="1515"/>
      <c r="AL566" s="1515"/>
      <c r="AM566" s="1515"/>
      <c r="AN566" s="1515"/>
      <c r="AO566" s="1515"/>
      <c r="AP566" s="1515"/>
      <c r="AQ566" s="1515"/>
    </row>
    <row r="567" spans="1:43" ht="14.5" outlineLevel="2">
      <c r="C567" s="1"/>
      <c r="D567" s="31" t="s">
        <v>844</v>
      </c>
      <c r="E567" s="1"/>
      <c r="F567" s="1"/>
      <c r="G567" s="1"/>
      <c r="H567" s="115"/>
      <c r="I567" s="115"/>
      <c r="J567" s="115"/>
      <c r="K567" s="401">
        <v>530</v>
      </c>
      <c r="L567" s="84">
        <f t="shared" si="1301"/>
        <v>600.69241893084836</v>
      </c>
      <c r="M567" s="84">
        <f t="shared" si="1301"/>
        <v>498.07242309955859</v>
      </c>
      <c r="N567" s="704">
        <f t="shared" si="1302"/>
        <v>901.03862839627254</v>
      </c>
      <c r="O567" s="20">
        <f t="shared" si="1303"/>
        <v>901.03862839627254</v>
      </c>
      <c r="P567" s="20">
        <f t="shared" si="1297"/>
        <v>901.03862839627254</v>
      </c>
      <c r="Q567" s="20">
        <f t="shared" si="1298"/>
        <v>901.03862839627254</v>
      </c>
      <c r="R567" s="20">
        <f t="shared" si="1299"/>
        <v>901.03862839627254</v>
      </c>
      <c r="S567" s="32">
        <f t="shared" si="1300"/>
        <v>901.03862839627254</v>
      </c>
      <c r="T567" s="1321"/>
      <c r="U567" s="1515"/>
      <c r="V567" s="1515"/>
      <c r="W567" s="1515"/>
      <c r="X567" s="1515"/>
      <c r="Y567" s="1515"/>
      <c r="Z567" s="1515"/>
      <c r="AA567" s="1515"/>
      <c r="AB567" s="1321"/>
      <c r="AC567" s="1"/>
      <c r="AD567" s="1"/>
      <c r="AE567" s="1"/>
      <c r="AF567" s="1"/>
      <c r="AG567" s="1"/>
      <c r="AH567" s="1"/>
      <c r="AI567" s="415"/>
      <c r="AJ567" s="1321"/>
      <c r="AK567" s="1515"/>
      <c r="AL567" s="1515"/>
      <c r="AM567" s="1515"/>
      <c r="AN567" s="1515"/>
      <c r="AO567" s="1515"/>
      <c r="AP567" s="1515"/>
      <c r="AQ567" s="1515"/>
    </row>
    <row r="568" spans="1:43" ht="14.5" outlineLevel="2">
      <c r="C568" s="1"/>
      <c r="D568" s="33" t="s">
        <v>665</v>
      </c>
      <c r="E568" s="34"/>
      <c r="F568" s="34"/>
      <c r="G568" s="34"/>
      <c r="H568" s="116"/>
      <c r="I568" s="116"/>
      <c r="J568" s="116"/>
      <c r="K568" s="403">
        <v>0</v>
      </c>
      <c r="L568" s="85">
        <f t="shared" si="1301"/>
        <v>0</v>
      </c>
      <c r="M568" s="85">
        <f t="shared" si="1301"/>
        <v>0</v>
      </c>
      <c r="N568" s="705">
        <f t="shared" si="1302"/>
        <v>0</v>
      </c>
      <c r="O568" s="35">
        <f t="shared" si="1303"/>
        <v>0</v>
      </c>
      <c r="P568" s="35">
        <f t="shared" si="1297"/>
        <v>0</v>
      </c>
      <c r="Q568" s="35">
        <f t="shared" si="1298"/>
        <v>0</v>
      </c>
      <c r="R568" s="35">
        <f t="shared" si="1299"/>
        <v>0</v>
      </c>
      <c r="S568" s="36">
        <f t="shared" si="1300"/>
        <v>0</v>
      </c>
      <c r="T568" s="1321"/>
      <c r="U568" s="1515"/>
      <c r="V568" s="1515"/>
      <c r="W568" s="1515"/>
      <c r="X568" s="1515"/>
      <c r="Y568" s="1515"/>
      <c r="Z568" s="1515"/>
      <c r="AA568" s="1515"/>
      <c r="AB568" s="1321"/>
      <c r="AC568" s="448"/>
      <c r="AD568" s="448"/>
      <c r="AE568" s="448"/>
      <c r="AF568" s="448"/>
      <c r="AG568" s="448"/>
      <c r="AH568" s="448"/>
      <c r="AI568" s="415"/>
      <c r="AJ568" s="1321"/>
      <c r="AK568" s="1515"/>
      <c r="AL568" s="1515"/>
      <c r="AM568" s="1515"/>
      <c r="AN568" s="1515"/>
      <c r="AO568" s="1515"/>
      <c r="AP568" s="1515"/>
      <c r="AQ568" s="1515"/>
    </row>
    <row r="569" spans="1:43" s="1365" customFormat="1" ht="14.5" outlineLevel="3">
      <c r="A569" s="22"/>
      <c r="B569" s="22"/>
      <c r="C569" s="22" t="s">
        <v>847</v>
      </c>
      <c r="D569" s="22"/>
      <c r="E569" s="22"/>
      <c r="F569" s="22"/>
      <c r="G569" s="22"/>
      <c r="H569" s="219"/>
      <c r="I569" s="24"/>
      <c r="J569" s="24"/>
      <c r="K569" s="24"/>
      <c r="L569" s="754"/>
      <c r="M569" s="24"/>
      <c r="N569" s="24">
        <f>N563/L563-1</f>
        <v>0.5</v>
      </c>
      <c r="O569" s="24">
        <f>O563/N563-1</f>
        <v>0</v>
      </c>
      <c r="P569" s="24">
        <f t="shared" ref="P569" si="1304">P563/O563-1</f>
        <v>0</v>
      </c>
      <c r="Q569" s="24">
        <f t="shared" ref="Q569" si="1305">Q563/P563-1</f>
        <v>0</v>
      </c>
      <c r="R569" s="24">
        <f t="shared" ref="R569" si="1306">R563/Q563-1</f>
        <v>0</v>
      </c>
      <c r="S569" s="24">
        <f t="shared" ref="S569" si="1307">S563/R563-1</f>
        <v>0</v>
      </c>
      <c r="T569" s="726"/>
      <c r="U569" s="1521"/>
      <c r="V569" s="1521"/>
      <c r="W569" s="1521"/>
      <c r="X569" s="1521"/>
      <c r="Y569" s="1521"/>
      <c r="Z569" s="1521"/>
      <c r="AA569" s="1522"/>
      <c r="AC569" s="219"/>
      <c r="AD569" s="219"/>
      <c r="AE569" s="219"/>
      <c r="AF569" s="219"/>
      <c r="AG569" s="219"/>
      <c r="AH569" s="219"/>
      <c r="AI569" s="706"/>
      <c r="AK569" s="1521"/>
      <c r="AL569" s="1521"/>
      <c r="AM569" s="1521"/>
      <c r="AN569" s="1521"/>
      <c r="AO569" s="1521"/>
      <c r="AP569" s="1521"/>
      <c r="AQ569" s="1522"/>
    </row>
    <row r="570" spans="1:43" s="1365" customFormat="1" ht="14.5" outlineLevel="3">
      <c r="A570" s="22"/>
      <c r="B570" s="22"/>
      <c r="C570" s="22"/>
      <c r="D570" s="707" t="s">
        <v>841</v>
      </c>
      <c r="E570" s="708"/>
      <c r="F570" s="708"/>
      <c r="G570" s="708"/>
      <c r="H570" s="709"/>
      <c r="I570" s="710"/>
      <c r="J570" s="710"/>
      <c r="K570" s="710"/>
      <c r="L570" s="1040"/>
      <c r="M570" s="710"/>
      <c r="N570" s="711">
        <f t="shared" ref="N570:N574" si="1308">CHOOSE(case,U570,AC570,AK570)</f>
        <v>0</v>
      </c>
      <c r="O570" s="712">
        <f t="shared" ref="O570:O574" si="1309">CHOOSE(case,V570,AD570,AL570)</f>
        <v>0</v>
      </c>
      <c r="P570" s="712">
        <f t="shared" ref="P570:P574" si="1310">CHOOSE(case,W570,AE570,AM570)</f>
        <v>0</v>
      </c>
      <c r="Q570" s="712">
        <f t="shared" ref="Q570:Q574" si="1311">CHOOSE(case,X570,AF570,AN570)</f>
        <v>0</v>
      </c>
      <c r="R570" s="712">
        <f t="shared" ref="R570:R574" si="1312">CHOOSE(case,Y570,AG570,AO570)</f>
        <v>0</v>
      </c>
      <c r="S570" s="713">
        <f t="shared" ref="S570:S574" si="1313">CHOOSE(case,Z570,AH570,AP570)</f>
        <v>0</v>
      </c>
      <c r="T570" s="726"/>
      <c r="U570" s="1521"/>
      <c r="V570" s="1521"/>
      <c r="W570" s="1521"/>
      <c r="X570" s="1521"/>
      <c r="Y570" s="1521"/>
      <c r="Z570" s="1521"/>
      <c r="AA570" s="1523"/>
      <c r="AC570" s="714">
        <v>0</v>
      </c>
      <c r="AD570" s="714">
        <v>0</v>
      </c>
      <c r="AE570" s="714">
        <v>0</v>
      </c>
      <c r="AF570" s="714">
        <v>0</v>
      </c>
      <c r="AG570" s="714">
        <v>0</v>
      </c>
      <c r="AH570" s="714">
        <v>0</v>
      </c>
      <c r="AI570" s="22"/>
      <c r="AK570" s="1521"/>
      <c r="AL570" s="1521"/>
      <c r="AM570" s="1521"/>
      <c r="AN570" s="1521"/>
      <c r="AO570" s="1521"/>
      <c r="AP570" s="1521"/>
      <c r="AQ570" s="1523"/>
    </row>
    <row r="571" spans="1:43" s="1365" customFormat="1" ht="14.5" outlineLevel="3">
      <c r="A571" s="22"/>
      <c r="B571" s="22"/>
      <c r="C571" s="22"/>
      <c r="D571" s="715" t="s">
        <v>842</v>
      </c>
      <c r="E571" s="22"/>
      <c r="F571" s="22"/>
      <c r="G571" s="22"/>
      <c r="H571" s="219"/>
      <c r="I571" s="175"/>
      <c r="J571" s="175"/>
      <c r="K571" s="175"/>
      <c r="L571" s="1040"/>
      <c r="M571" s="175"/>
      <c r="N571" s="716">
        <f t="shared" si="1308"/>
        <v>0</v>
      </c>
      <c r="O571" s="717">
        <f t="shared" si="1309"/>
        <v>0</v>
      </c>
      <c r="P571" s="717">
        <f t="shared" si="1310"/>
        <v>0</v>
      </c>
      <c r="Q571" s="717">
        <f t="shared" si="1311"/>
        <v>0</v>
      </c>
      <c r="R571" s="717">
        <f t="shared" si="1312"/>
        <v>0</v>
      </c>
      <c r="S571" s="718">
        <f t="shared" si="1313"/>
        <v>0</v>
      </c>
      <c r="T571" s="726"/>
      <c r="U571" s="1521"/>
      <c r="V571" s="1521"/>
      <c r="W571" s="1521"/>
      <c r="X571" s="1521"/>
      <c r="Y571" s="1521"/>
      <c r="Z571" s="1521"/>
      <c r="AA571" s="1523"/>
      <c r="AC571" s="714">
        <v>0</v>
      </c>
      <c r="AD571" s="714">
        <v>0</v>
      </c>
      <c r="AE571" s="714">
        <v>0</v>
      </c>
      <c r="AF571" s="714">
        <v>0</v>
      </c>
      <c r="AG571" s="714">
        <v>0</v>
      </c>
      <c r="AH571" s="714">
        <v>0</v>
      </c>
      <c r="AI571" s="22"/>
      <c r="AK571" s="1521"/>
      <c r="AL571" s="1521"/>
      <c r="AM571" s="1521"/>
      <c r="AN571" s="1521"/>
      <c r="AO571" s="1521"/>
      <c r="AP571" s="1521"/>
      <c r="AQ571" s="1523"/>
    </row>
    <row r="572" spans="1:43" s="1365" customFormat="1" ht="14.5" outlineLevel="3">
      <c r="A572" s="22"/>
      <c r="B572" s="22"/>
      <c r="C572" s="22"/>
      <c r="D572" s="715" t="s">
        <v>843</v>
      </c>
      <c r="E572" s="22"/>
      <c r="F572" s="22"/>
      <c r="G572" s="22"/>
      <c r="H572" s="219"/>
      <c r="I572" s="175"/>
      <c r="J572" s="175"/>
      <c r="K572" s="175"/>
      <c r="L572" s="1040"/>
      <c r="M572" s="175"/>
      <c r="N572" s="716">
        <f t="shared" si="1308"/>
        <v>0.5</v>
      </c>
      <c r="O572" s="717">
        <f t="shared" si="1309"/>
        <v>0</v>
      </c>
      <c r="P572" s="717">
        <f t="shared" si="1310"/>
        <v>0</v>
      </c>
      <c r="Q572" s="717">
        <f t="shared" si="1311"/>
        <v>0</v>
      </c>
      <c r="R572" s="717">
        <f t="shared" si="1312"/>
        <v>0</v>
      </c>
      <c r="S572" s="718">
        <f t="shared" si="1313"/>
        <v>0</v>
      </c>
      <c r="T572" s="726"/>
      <c r="U572" s="1521"/>
      <c r="V572" s="1521"/>
      <c r="W572" s="1521"/>
      <c r="X572" s="1521"/>
      <c r="Y572" s="1521"/>
      <c r="Z572" s="1521"/>
      <c r="AA572" s="1523"/>
      <c r="AC572" s="714">
        <v>0.5</v>
      </c>
      <c r="AD572" s="714">
        <v>0</v>
      </c>
      <c r="AE572" s="714">
        <v>0</v>
      </c>
      <c r="AF572" s="714">
        <v>0</v>
      </c>
      <c r="AG572" s="714">
        <v>0</v>
      </c>
      <c r="AH572" s="714">
        <v>0</v>
      </c>
      <c r="AI572" s="22"/>
      <c r="AK572" s="1521"/>
      <c r="AL572" s="1521"/>
      <c r="AM572" s="1521"/>
      <c r="AN572" s="1521"/>
      <c r="AO572" s="1521"/>
      <c r="AP572" s="1521"/>
      <c r="AQ572" s="1523"/>
    </row>
    <row r="573" spans="1:43" s="1365" customFormat="1" ht="14.5" outlineLevel="3">
      <c r="A573" s="22"/>
      <c r="B573" s="22"/>
      <c r="C573" s="22"/>
      <c r="D573" s="715" t="s">
        <v>844</v>
      </c>
      <c r="E573" s="22"/>
      <c r="F573" s="22"/>
      <c r="G573" s="22"/>
      <c r="H573" s="219"/>
      <c r="I573" s="175"/>
      <c r="J573" s="175"/>
      <c r="K573" s="175"/>
      <c r="L573" s="1040"/>
      <c r="M573" s="175"/>
      <c r="N573" s="716">
        <f t="shared" si="1308"/>
        <v>0.5</v>
      </c>
      <c r="O573" s="717">
        <f t="shared" si="1309"/>
        <v>0</v>
      </c>
      <c r="P573" s="717">
        <f t="shared" si="1310"/>
        <v>0</v>
      </c>
      <c r="Q573" s="717">
        <f t="shared" si="1311"/>
        <v>0</v>
      </c>
      <c r="R573" s="717">
        <f t="shared" si="1312"/>
        <v>0</v>
      </c>
      <c r="S573" s="718">
        <f t="shared" si="1313"/>
        <v>0</v>
      </c>
      <c r="T573" s="726"/>
      <c r="U573" s="1521"/>
      <c r="V573" s="1521"/>
      <c r="W573" s="1521"/>
      <c r="X573" s="1521"/>
      <c r="Y573" s="1521"/>
      <c r="Z573" s="1521"/>
      <c r="AA573" s="1523"/>
      <c r="AC573" s="714">
        <v>0.5</v>
      </c>
      <c r="AD573" s="714">
        <v>0</v>
      </c>
      <c r="AE573" s="714">
        <v>0</v>
      </c>
      <c r="AF573" s="714">
        <v>0</v>
      </c>
      <c r="AG573" s="714">
        <v>0</v>
      </c>
      <c r="AH573" s="714">
        <v>0</v>
      </c>
      <c r="AI573" s="22"/>
      <c r="AK573" s="1521"/>
      <c r="AL573" s="1521"/>
      <c r="AM573" s="1521"/>
      <c r="AN573" s="1521"/>
      <c r="AO573" s="1521"/>
      <c r="AP573" s="1521"/>
      <c r="AQ573" s="1523"/>
    </row>
    <row r="574" spans="1:43" s="1365" customFormat="1" ht="14.5" outlineLevel="3">
      <c r="A574" s="22"/>
      <c r="B574" s="22"/>
      <c r="C574" s="22"/>
      <c r="D574" s="719" t="s">
        <v>665</v>
      </c>
      <c r="E574" s="720"/>
      <c r="F574" s="720"/>
      <c r="G574" s="720"/>
      <c r="H574" s="721"/>
      <c r="I574" s="722"/>
      <c r="J574" s="722"/>
      <c r="K574" s="722"/>
      <c r="L574" s="1041"/>
      <c r="M574" s="722"/>
      <c r="N574" s="723">
        <f t="shared" si="1308"/>
        <v>0</v>
      </c>
      <c r="O574" s="724">
        <f t="shared" si="1309"/>
        <v>0</v>
      </c>
      <c r="P574" s="724">
        <f t="shared" si="1310"/>
        <v>0</v>
      </c>
      <c r="Q574" s="724">
        <f t="shared" si="1311"/>
        <v>0</v>
      </c>
      <c r="R574" s="724">
        <f t="shared" si="1312"/>
        <v>0</v>
      </c>
      <c r="S574" s="725">
        <f t="shared" si="1313"/>
        <v>0</v>
      </c>
      <c r="T574" s="726"/>
      <c r="U574" s="1521"/>
      <c r="V574" s="1521"/>
      <c r="W574" s="1521"/>
      <c r="X574" s="1521"/>
      <c r="Y574" s="1521"/>
      <c r="Z574" s="1521"/>
      <c r="AA574" s="1523"/>
      <c r="AC574" s="714">
        <v>0</v>
      </c>
      <c r="AD574" s="714">
        <v>0</v>
      </c>
      <c r="AE574" s="714">
        <v>0</v>
      </c>
      <c r="AF574" s="714">
        <v>0</v>
      </c>
      <c r="AG574" s="714">
        <v>0</v>
      </c>
      <c r="AH574" s="714">
        <v>0</v>
      </c>
      <c r="AI574" s="22"/>
      <c r="AK574" s="1521"/>
      <c r="AL574" s="1521"/>
      <c r="AM574" s="1521"/>
      <c r="AN574" s="1521"/>
      <c r="AO574" s="1521"/>
      <c r="AP574" s="1521"/>
      <c r="AQ574" s="1523"/>
    </row>
    <row r="575" spans="1:43" s="1365" customFormat="1" ht="14.5" outlineLevel="3">
      <c r="A575" s="22"/>
      <c r="B575" s="22"/>
      <c r="C575" s="22" t="s">
        <v>848</v>
      </c>
      <c r="D575" s="22"/>
      <c r="E575" s="22"/>
      <c r="F575" s="22"/>
      <c r="G575" s="22"/>
      <c r="H575" s="24"/>
      <c r="I575" s="24"/>
      <c r="J575" s="24"/>
      <c r="K575" s="24">
        <f>K563/K$563</f>
        <v>1</v>
      </c>
      <c r="L575" s="24">
        <f t="shared" ref="L575:S575" si="1314">L563/L$563</f>
        <v>1</v>
      </c>
      <c r="M575" s="24">
        <f t="shared" si="1314"/>
        <v>1</v>
      </c>
      <c r="N575" s="24">
        <f t="shared" si="1314"/>
        <v>1</v>
      </c>
      <c r="O575" s="24">
        <f t="shared" si="1314"/>
        <v>1</v>
      </c>
      <c r="P575" s="24">
        <f t="shared" si="1314"/>
        <v>1</v>
      </c>
      <c r="Q575" s="24">
        <f t="shared" si="1314"/>
        <v>1</v>
      </c>
      <c r="R575" s="24">
        <f t="shared" si="1314"/>
        <v>1</v>
      </c>
      <c r="S575" s="24">
        <f t="shared" si="1314"/>
        <v>1</v>
      </c>
      <c r="T575" s="726"/>
      <c r="U575" s="1521"/>
      <c r="V575" s="1521"/>
      <c r="W575" s="1521"/>
      <c r="X575" s="1521"/>
      <c r="Y575" s="1521"/>
      <c r="Z575" s="1521"/>
      <c r="AA575" s="1522"/>
      <c r="AC575" s="219"/>
      <c r="AD575" s="219"/>
      <c r="AE575" s="219"/>
      <c r="AF575" s="219"/>
      <c r="AG575" s="219"/>
      <c r="AH575" s="219"/>
      <c r="AI575" s="706"/>
      <c r="AK575" s="1521"/>
      <c r="AL575" s="1521"/>
      <c r="AM575" s="1521"/>
      <c r="AN575" s="1521"/>
      <c r="AO575" s="1521"/>
      <c r="AP575" s="1521"/>
      <c r="AQ575" s="1522"/>
    </row>
    <row r="576" spans="1:43" s="1365" customFormat="1" ht="14.5" outlineLevel="3">
      <c r="A576" s="22"/>
      <c r="B576" s="22"/>
      <c r="C576" s="22"/>
      <c r="D576" s="707" t="s">
        <v>841</v>
      </c>
      <c r="E576" s="708"/>
      <c r="F576" s="708"/>
      <c r="G576" s="708"/>
      <c r="H576" s="793"/>
      <c r="I576" s="793"/>
      <c r="J576" s="793"/>
      <c r="K576" s="793">
        <f t="shared" ref="K576:S576" si="1315">K564/K$563</f>
        <v>0</v>
      </c>
      <c r="L576" s="793">
        <f t="shared" si="1315"/>
        <v>0</v>
      </c>
      <c r="M576" s="793">
        <f t="shared" si="1315"/>
        <v>0</v>
      </c>
      <c r="N576" s="793">
        <f t="shared" si="1315"/>
        <v>0</v>
      </c>
      <c r="O576" s="793">
        <f t="shared" si="1315"/>
        <v>0</v>
      </c>
      <c r="P576" s="793">
        <f t="shared" si="1315"/>
        <v>0</v>
      </c>
      <c r="Q576" s="793">
        <f t="shared" si="1315"/>
        <v>0</v>
      </c>
      <c r="R576" s="793">
        <f t="shared" si="1315"/>
        <v>0</v>
      </c>
      <c r="S576" s="803">
        <f t="shared" si="1315"/>
        <v>0</v>
      </c>
      <c r="T576" s="726"/>
      <c r="U576" s="1521"/>
      <c r="V576" s="1521"/>
      <c r="W576" s="1521"/>
      <c r="X576" s="1521"/>
      <c r="Y576" s="1521"/>
      <c r="Z576" s="1521"/>
      <c r="AA576" s="1523"/>
      <c r="AC576" s="728"/>
      <c r="AD576" s="728"/>
      <c r="AE576" s="728"/>
      <c r="AF576" s="728"/>
      <c r="AG576" s="728"/>
      <c r="AH576" s="728"/>
      <c r="AI576" s="22"/>
      <c r="AK576" s="1521"/>
      <c r="AL576" s="1521"/>
      <c r="AM576" s="1521"/>
      <c r="AN576" s="1521"/>
      <c r="AO576" s="1521"/>
      <c r="AP576" s="1521"/>
      <c r="AQ576" s="1523"/>
    </row>
    <row r="577" spans="1:43" s="1365" customFormat="1" ht="14.5" outlineLevel="3">
      <c r="A577" s="22"/>
      <c r="B577" s="22"/>
      <c r="C577" s="22"/>
      <c r="D577" s="715" t="s">
        <v>842</v>
      </c>
      <c r="E577" s="22"/>
      <c r="F577" s="22"/>
      <c r="G577" s="22"/>
      <c r="H577" s="91"/>
      <c r="I577" s="91"/>
      <c r="J577" s="91"/>
      <c r="K577" s="91">
        <f t="shared" ref="K577:S577" si="1316">K565/K$563</f>
        <v>0</v>
      </c>
      <c r="L577" s="91">
        <f t="shared" si="1316"/>
        <v>0</v>
      </c>
      <c r="M577" s="91">
        <f t="shared" si="1316"/>
        <v>0</v>
      </c>
      <c r="N577" s="91">
        <f t="shared" si="1316"/>
        <v>0</v>
      </c>
      <c r="O577" s="91">
        <f t="shared" si="1316"/>
        <v>0</v>
      </c>
      <c r="P577" s="91">
        <f t="shared" si="1316"/>
        <v>0</v>
      </c>
      <c r="Q577" s="91">
        <f t="shared" si="1316"/>
        <v>0</v>
      </c>
      <c r="R577" s="91">
        <f t="shared" si="1316"/>
        <v>0</v>
      </c>
      <c r="S577" s="804">
        <f t="shared" si="1316"/>
        <v>0</v>
      </c>
      <c r="T577" s="726"/>
      <c r="U577" s="1521"/>
      <c r="V577" s="1521"/>
      <c r="W577" s="1521"/>
      <c r="X577" s="1521"/>
      <c r="Y577" s="1521"/>
      <c r="Z577" s="1521"/>
      <c r="AA577" s="1523"/>
      <c r="AC577" s="728"/>
      <c r="AD577" s="728"/>
      <c r="AE577" s="728"/>
      <c r="AF577" s="728"/>
      <c r="AG577" s="728"/>
      <c r="AH577" s="728"/>
      <c r="AI577" s="22"/>
      <c r="AK577" s="1521"/>
      <c r="AL577" s="1521"/>
      <c r="AM577" s="1521"/>
      <c r="AN577" s="1521"/>
      <c r="AO577" s="1521"/>
      <c r="AP577" s="1521"/>
      <c r="AQ577" s="1523"/>
    </row>
    <row r="578" spans="1:43" s="1365" customFormat="1" ht="14.5" outlineLevel="3">
      <c r="A578" s="22"/>
      <c r="B578" s="22"/>
      <c r="C578" s="22"/>
      <c r="D578" s="715" t="s">
        <v>843</v>
      </c>
      <c r="E578" s="22"/>
      <c r="F578" s="22"/>
      <c r="G578" s="22"/>
      <c r="H578" s="91"/>
      <c r="I578" s="91"/>
      <c r="J578" s="91"/>
      <c r="K578" s="91">
        <f t="shared" ref="K578:S578" si="1317">K566/K$563</f>
        <v>0.12828947368421054</v>
      </c>
      <c r="L578" s="91">
        <f t="shared" si="1317"/>
        <v>0.12828947368421054</v>
      </c>
      <c r="M578" s="91">
        <f t="shared" si="1317"/>
        <v>0.12828947368421054</v>
      </c>
      <c r="N578" s="91">
        <f t="shared" si="1317"/>
        <v>0.12828947368421054</v>
      </c>
      <c r="O578" s="91">
        <f t="shared" si="1317"/>
        <v>0.12828947368421054</v>
      </c>
      <c r="P578" s="91">
        <f t="shared" si="1317"/>
        <v>0.12828947368421054</v>
      </c>
      <c r="Q578" s="91">
        <f t="shared" si="1317"/>
        <v>0.12828947368421054</v>
      </c>
      <c r="R578" s="91">
        <f t="shared" si="1317"/>
        <v>0.12828947368421054</v>
      </c>
      <c r="S578" s="804">
        <f t="shared" si="1317"/>
        <v>0.12828947368421054</v>
      </c>
      <c r="T578" s="726"/>
      <c r="U578" s="1521"/>
      <c r="V578" s="1521"/>
      <c r="W578" s="1521"/>
      <c r="X578" s="1521"/>
      <c r="Y578" s="1521"/>
      <c r="Z578" s="1521"/>
      <c r="AA578" s="1523"/>
      <c r="AC578" s="728"/>
      <c r="AD578" s="728"/>
      <c r="AE578" s="728"/>
      <c r="AF578" s="728"/>
      <c r="AG578" s="728"/>
      <c r="AH578" s="728"/>
      <c r="AI578" s="22"/>
      <c r="AK578" s="1521"/>
      <c r="AL578" s="1521"/>
      <c r="AM578" s="1521"/>
      <c r="AN578" s="1521"/>
      <c r="AO578" s="1521"/>
      <c r="AP578" s="1521"/>
      <c r="AQ578" s="1523"/>
    </row>
    <row r="579" spans="1:43" s="1365" customFormat="1" ht="14.5" outlineLevel="3">
      <c r="A579" s="22"/>
      <c r="B579" s="22"/>
      <c r="C579" s="22"/>
      <c r="D579" s="715" t="s">
        <v>844</v>
      </c>
      <c r="E579" s="22"/>
      <c r="F579" s="22"/>
      <c r="G579" s="22"/>
      <c r="H579" s="91"/>
      <c r="I579" s="91"/>
      <c r="J579" s="91"/>
      <c r="K579" s="91">
        <f t="shared" ref="K579:S579" si="1318">K567/K$563</f>
        <v>0.87171052631578949</v>
      </c>
      <c r="L579" s="91">
        <f t="shared" si="1318"/>
        <v>0.87171052631578949</v>
      </c>
      <c r="M579" s="91">
        <f t="shared" si="1318"/>
        <v>0.87171052631578949</v>
      </c>
      <c r="N579" s="91">
        <f t="shared" si="1318"/>
        <v>0.87171052631578949</v>
      </c>
      <c r="O579" s="91">
        <f t="shared" si="1318"/>
        <v>0.87171052631578949</v>
      </c>
      <c r="P579" s="91">
        <f t="shared" si="1318"/>
        <v>0.87171052631578949</v>
      </c>
      <c r="Q579" s="91">
        <f t="shared" si="1318"/>
        <v>0.87171052631578949</v>
      </c>
      <c r="R579" s="91">
        <f t="shared" si="1318"/>
        <v>0.87171052631578949</v>
      </c>
      <c r="S579" s="804">
        <f t="shared" si="1318"/>
        <v>0.87171052631578949</v>
      </c>
      <c r="T579" s="726"/>
      <c r="U579" s="1521"/>
      <c r="V579" s="1521"/>
      <c r="W579" s="1521"/>
      <c r="X579" s="1521"/>
      <c r="Y579" s="1521"/>
      <c r="Z579" s="1521"/>
      <c r="AA579" s="1523"/>
      <c r="AC579" s="728"/>
      <c r="AD579" s="728"/>
      <c r="AE579" s="728"/>
      <c r="AF579" s="728"/>
      <c r="AG579" s="728"/>
      <c r="AH579" s="728"/>
      <c r="AI579" s="22"/>
      <c r="AK579" s="1521"/>
      <c r="AL579" s="1521"/>
      <c r="AM579" s="1521"/>
      <c r="AN579" s="1521"/>
      <c r="AO579" s="1521"/>
      <c r="AP579" s="1521"/>
      <c r="AQ579" s="1523"/>
    </row>
    <row r="580" spans="1:43" s="1365" customFormat="1" ht="14.5" outlineLevel="3">
      <c r="A580" s="22"/>
      <c r="B580" s="22"/>
      <c r="C580" s="22"/>
      <c r="D580" s="719" t="s">
        <v>665</v>
      </c>
      <c r="E580" s="720"/>
      <c r="F580" s="720"/>
      <c r="G580" s="720"/>
      <c r="H580" s="794"/>
      <c r="I580" s="794"/>
      <c r="J580" s="794"/>
      <c r="K580" s="794">
        <f t="shared" ref="K580:S580" si="1319">K568/K$563</f>
        <v>0</v>
      </c>
      <c r="L580" s="794">
        <f t="shared" si="1319"/>
        <v>0</v>
      </c>
      <c r="M580" s="794">
        <f t="shared" si="1319"/>
        <v>0</v>
      </c>
      <c r="N580" s="794">
        <f t="shared" si="1319"/>
        <v>0</v>
      </c>
      <c r="O580" s="794">
        <f t="shared" si="1319"/>
        <v>0</v>
      </c>
      <c r="P580" s="794">
        <f t="shared" si="1319"/>
        <v>0</v>
      </c>
      <c r="Q580" s="794">
        <f t="shared" si="1319"/>
        <v>0</v>
      </c>
      <c r="R580" s="794">
        <f t="shared" si="1319"/>
        <v>0</v>
      </c>
      <c r="S580" s="805">
        <f t="shared" si="1319"/>
        <v>0</v>
      </c>
      <c r="T580" s="726"/>
      <c r="U580" s="1521"/>
      <c r="V580" s="1521"/>
      <c r="W580" s="1521"/>
      <c r="X580" s="1521"/>
      <c r="Y580" s="1521"/>
      <c r="Z580" s="1521"/>
      <c r="AA580" s="1523"/>
      <c r="AC580" s="728"/>
      <c r="AD580" s="728"/>
      <c r="AE580" s="728"/>
      <c r="AF580" s="728"/>
      <c r="AG580" s="728"/>
      <c r="AH580" s="728"/>
      <c r="AI580" s="22"/>
      <c r="AK580" s="1521"/>
      <c r="AL580" s="1521"/>
      <c r="AM580" s="1521"/>
      <c r="AN580" s="1521"/>
      <c r="AO580" s="1521"/>
      <c r="AP580" s="1521"/>
      <c r="AQ580" s="1523"/>
    </row>
    <row r="581" spans="1:43" ht="14.5" outlineLevel="2">
      <c r="C581" s="18" t="s">
        <v>31</v>
      </c>
      <c r="D581" s="1"/>
      <c r="E581" s="1"/>
      <c r="H581" s="52" t="str">
        <f>IFERROR(H587/H563,"NA")</f>
        <v>NA</v>
      </c>
      <c r="I581" s="52" t="str">
        <f t="shared" ref="I581:K581" si="1320">IFERROR(I587/I563,"NA")</f>
        <v>NA</v>
      </c>
      <c r="J581" s="52" t="str">
        <f t="shared" si="1320"/>
        <v>NA</v>
      </c>
      <c r="K581" s="764">
        <f t="shared" si="1320"/>
        <v>3.3421052631578947</v>
      </c>
      <c r="L581" s="795">
        <f>IFERROR(L587/L563,"NA")</f>
        <v>3.3421052631578947</v>
      </c>
      <c r="M581" s="795">
        <f>IFERROR(M587/M563,"NA")</f>
        <v>3.3421052631578947</v>
      </c>
      <c r="N581" s="764">
        <f t="shared" ref="N581:S581" si="1321">IFERROR(N587/N563,"NA")</f>
        <v>3.3421052631578947</v>
      </c>
      <c r="O581" s="764">
        <f t="shared" si="1321"/>
        <v>3.3421052631578947</v>
      </c>
      <c r="P581" s="764">
        <f t="shared" si="1321"/>
        <v>3.3421052631578947</v>
      </c>
      <c r="Q581" s="764">
        <f t="shared" si="1321"/>
        <v>3.3421052631578947</v>
      </c>
      <c r="R581" s="764">
        <f t="shared" si="1321"/>
        <v>3.3421052631578947</v>
      </c>
      <c r="S581" s="764">
        <f t="shared" si="1321"/>
        <v>3.3421052631578947</v>
      </c>
      <c r="T581" s="1479"/>
      <c r="U581" s="1524">
        <f>$L581*(1+$AA581)</f>
        <v>3.4089473684210527</v>
      </c>
      <c r="V581" s="1524">
        <f>U581*(1+$AA581)</f>
        <v>3.4771263157894738</v>
      </c>
      <c r="W581" s="1524">
        <f t="shared" ref="W581" si="1322">V581*(1+$AA581)</f>
        <v>3.5466688421052632</v>
      </c>
      <c r="X581" s="1524">
        <f t="shared" ref="X581" si="1323">W581*(1+$AA581)</f>
        <v>3.6176022189473684</v>
      </c>
      <c r="Y581" s="1524">
        <f t="shared" ref="Y581" si="1324">X581*(1+$AA581)</f>
        <v>3.689954263326316</v>
      </c>
      <c r="Z581" s="1524">
        <f t="shared" ref="Z581" si="1325">Y581*(1+$AA581)</f>
        <v>3.7637533485928425</v>
      </c>
      <c r="AA581" s="1525">
        <v>0.02</v>
      </c>
      <c r="AB581" s="1126"/>
      <c r="AC581" s="733"/>
      <c r="AD581" s="733"/>
      <c r="AE581" s="733"/>
      <c r="AF581" s="733"/>
      <c r="AG581" s="733"/>
      <c r="AH581" s="733"/>
      <c r="AI581" s="472"/>
      <c r="AJ581" s="1321"/>
      <c r="AK581" s="1529">
        <f>$L581*(1+$AQ581)</f>
        <v>3.3421052631578947</v>
      </c>
      <c r="AL581" s="1529">
        <f>AK581*(1+$AQ581)</f>
        <v>3.3421052631578947</v>
      </c>
      <c r="AM581" s="1529">
        <f t="shared" ref="AM581:AN581" si="1326">AL581*(1+$AQ581)</f>
        <v>3.3421052631578947</v>
      </c>
      <c r="AN581" s="1529">
        <f t="shared" si="1326"/>
        <v>3.3421052631578947</v>
      </c>
      <c r="AO581" s="1529">
        <f>AN581*(1+$AQ581)</f>
        <v>3.3421052631578947</v>
      </c>
      <c r="AP581" s="1529">
        <f t="shared" ref="AP581" si="1327">AO581*(1+$AQ581)</f>
        <v>3.3421052631578947</v>
      </c>
      <c r="AQ581" s="1520">
        <v>0</v>
      </c>
    </row>
    <row r="582" spans="1:43" ht="14.5" outlineLevel="2">
      <c r="C582" s="1"/>
      <c r="D582" s="27" t="s">
        <v>841</v>
      </c>
      <c r="E582" s="28"/>
      <c r="F582" s="28"/>
      <c r="G582" s="28"/>
      <c r="H582" s="50" t="str">
        <f>IFERROR(H588/H564,"NA")</f>
        <v>NA</v>
      </c>
      <c r="I582" s="50" t="str">
        <f t="shared" ref="I582:K582" si="1328">IFERROR(I588/I564,"NA")</f>
        <v>NA</v>
      </c>
      <c r="J582" s="50" t="str">
        <f t="shared" si="1328"/>
        <v>NA</v>
      </c>
      <c r="K582" s="771" t="str">
        <f t="shared" si="1328"/>
        <v>NA</v>
      </c>
      <c r="L582" s="796" t="str">
        <f>K582</f>
        <v>NA</v>
      </c>
      <c r="M582" s="796" t="str">
        <f>L582</f>
        <v>NA</v>
      </c>
      <c r="N582" s="780">
        <f>CHOOSE(case,U582,AC582,AK582)</f>
        <v>0</v>
      </c>
      <c r="O582" s="781">
        <f t="shared" ref="O582:O586" si="1329">CHOOSE(case,V582,AD582,AL582)</f>
        <v>0</v>
      </c>
      <c r="P582" s="781">
        <f t="shared" ref="P582:P586" si="1330">CHOOSE(case,W582,AE582,AM582)</f>
        <v>0</v>
      </c>
      <c r="Q582" s="781">
        <f t="shared" ref="Q582:Q586" si="1331">CHOOSE(case,X582,AF582,AN582)</f>
        <v>0</v>
      </c>
      <c r="R582" s="781">
        <f t="shared" ref="R582:R586" si="1332">CHOOSE(case,Y582,AG582,AO582)</f>
        <v>0</v>
      </c>
      <c r="S582" s="782">
        <f t="shared" ref="S582:S586" si="1333">CHOOSE(case,Z582,AH582,AP582)</f>
        <v>0</v>
      </c>
      <c r="T582" s="1493"/>
      <c r="U582" s="1515"/>
      <c r="V582" s="1515"/>
      <c r="W582" s="1515"/>
      <c r="X582" s="1515"/>
      <c r="Y582" s="1515"/>
      <c r="Z582" s="1515"/>
      <c r="AA582" s="1515"/>
      <c r="AB582" s="1321"/>
      <c r="AC582" s="737"/>
      <c r="AD582" s="737"/>
      <c r="AE582" s="737"/>
      <c r="AF582" s="737"/>
      <c r="AG582" s="737"/>
      <c r="AH582" s="737"/>
      <c r="AI582" s="415"/>
      <c r="AJ582" s="1321"/>
      <c r="AK582" s="1515"/>
      <c r="AL582" s="1515"/>
      <c r="AM582" s="1515"/>
      <c r="AN582" s="1515"/>
      <c r="AO582" s="1515"/>
      <c r="AP582" s="1515"/>
      <c r="AQ582" s="1515"/>
    </row>
    <row r="583" spans="1:43" ht="14.5" outlineLevel="2">
      <c r="C583" s="1"/>
      <c r="D583" s="31" t="s">
        <v>842</v>
      </c>
      <c r="E583" s="1"/>
      <c r="F583" s="1"/>
      <c r="G583" s="1"/>
      <c r="H583" s="52" t="str">
        <f t="shared" ref="H583:K583" si="1334">IFERROR(H589/H565,"NA")</f>
        <v>NA</v>
      </c>
      <c r="I583" s="52" t="str">
        <f t="shared" si="1334"/>
        <v>NA</v>
      </c>
      <c r="J583" s="52" t="str">
        <f t="shared" si="1334"/>
        <v>NA</v>
      </c>
      <c r="K583" s="773" t="str">
        <f t="shared" si="1334"/>
        <v>NA</v>
      </c>
      <c r="L583" s="797" t="str">
        <f t="shared" ref="L583:L586" si="1335">K583</f>
        <v>NA</v>
      </c>
      <c r="M583" s="797" t="str">
        <f t="shared" ref="M583" si="1336">L583</f>
        <v>NA</v>
      </c>
      <c r="N583" s="785">
        <f>CHOOSE(case,U583,AC583,AK583)</f>
        <v>0</v>
      </c>
      <c r="O583" s="786">
        <f t="shared" si="1329"/>
        <v>0</v>
      </c>
      <c r="P583" s="786">
        <f t="shared" si="1330"/>
        <v>0</v>
      </c>
      <c r="Q583" s="786">
        <f t="shared" si="1331"/>
        <v>0</v>
      </c>
      <c r="R583" s="786">
        <f t="shared" si="1332"/>
        <v>0</v>
      </c>
      <c r="S583" s="787">
        <f t="shared" si="1333"/>
        <v>0</v>
      </c>
      <c r="T583" s="1493"/>
      <c r="U583" s="1515"/>
      <c r="V583" s="1515"/>
      <c r="W583" s="1515"/>
      <c r="X583" s="1515"/>
      <c r="Y583" s="1515"/>
      <c r="Z583" s="1515"/>
      <c r="AA583" s="1515"/>
      <c r="AB583" s="1321"/>
      <c r="AC583" s="737"/>
      <c r="AD583" s="737"/>
      <c r="AE583" s="737"/>
      <c r="AF583" s="737"/>
      <c r="AG583" s="737"/>
      <c r="AH583" s="737"/>
      <c r="AI583" s="415"/>
      <c r="AJ583" s="1321"/>
      <c r="AK583" s="1515"/>
      <c r="AL583" s="1515"/>
      <c r="AM583" s="1515"/>
      <c r="AN583" s="1515"/>
      <c r="AO583" s="1515"/>
      <c r="AP583" s="1515"/>
      <c r="AQ583" s="1515"/>
    </row>
    <row r="584" spans="1:43" ht="14.5" outlineLevel="2">
      <c r="C584" s="1"/>
      <c r="D584" s="31" t="s">
        <v>843</v>
      </c>
      <c r="E584" s="1"/>
      <c r="F584" s="1"/>
      <c r="G584" s="1"/>
      <c r="H584" s="52" t="str">
        <f t="shared" ref="H584:K584" si="1337">IFERROR(H590/H566,"NA")</f>
        <v>NA</v>
      </c>
      <c r="I584" s="52" t="str">
        <f t="shared" si="1337"/>
        <v>NA</v>
      </c>
      <c r="J584" s="52" t="str">
        <f t="shared" si="1337"/>
        <v>NA</v>
      </c>
      <c r="K584" s="773">
        <f t="shared" si="1337"/>
        <v>9.4871794871794872</v>
      </c>
      <c r="L584" s="797">
        <f t="shared" si="1335"/>
        <v>9.4871794871794872</v>
      </c>
      <c r="M584" s="797">
        <f t="shared" ref="M584" si="1338">L584</f>
        <v>9.4871794871794872</v>
      </c>
      <c r="N584" s="785">
        <f>CHOOSE(case,U584,AC584,AK584)</f>
        <v>9.4871794871794872</v>
      </c>
      <c r="O584" s="786">
        <f t="shared" si="1329"/>
        <v>9.4871794871794872</v>
      </c>
      <c r="P584" s="786">
        <f t="shared" si="1330"/>
        <v>9.4871794871794872</v>
      </c>
      <c r="Q584" s="786">
        <f t="shared" si="1331"/>
        <v>9.4871794871794872</v>
      </c>
      <c r="R584" s="786">
        <f t="shared" si="1332"/>
        <v>9.4871794871794872</v>
      </c>
      <c r="S584" s="787">
        <f t="shared" si="1333"/>
        <v>9.4871794871794872</v>
      </c>
      <c r="T584" s="1493"/>
      <c r="U584" s="1515"/>
      <c r="V584" s="1515"/>
      <c r="W584" s="1515"/>
      <c r="X584" s="1515"/>
      <c r="Y584" s="1515"/>
      <c r="Z584" s="1515"/>
      <c r="AA584" s="1515"/>
      <c r="AB584" s="1321"/>
      <c r="AC584" s="737">
        <f t="shared" ref="AC584" si="1339">M584</f>
        <v>9.4871794871794872</v>
      </c>
      <c r="AD584" s="737">
        <f t="shared" ref="AD584:AD585" si="1340">N584</f>
        <v>9.4871794871794872</v>
      </c>
      <c r="AE584" s="737">
        <f t="shared" ref="AE584:AE585" si="1341">O584</f>
        <v>9.4871794871794872</v>
      </c>
      <c r="AF584" s="737">
        <f t="shared" ref="AF584:AF585" si="1342">P584</f>
        <v>9.4871794871794872</v>
      </c>
      <c r="AG584" s="737">
        <f t="shared" ref="AG584:AG585" si="1343">Q584</f>
        <v>9.4871794871794872</v>
      </c>
      <c r="AH584" s="737">
        <f t="shared" ref="AH584:AH585" si="1344">R584</f>
        <v>9.4871794871794872</v>
      </c>
      <c r="AI584" s="415"/>
      <c r="AJ584" s="1321"/>
      <c r="AK584" s="1515"/>
      <c r="AL584" s="1515"/>
      <c r="AM584" s="1515"/>
      <c r="AN584" s="1515"/>
      <c r="AO584" s="1515"/>
      <c r="AP584" s="1515"/>
      <c r="AQ584" s="1515"/>
    </row>
    <row r="585" spans="1:43" ht="14.5" outlineLevel="2">
      <c r="C585" s="1"/>
      <c r="D585" s="31" t="s">
        <v>844</v>
      </c>
      <c r="E585" s="1"/>
      <c r="F585" s="1"/>
      <c r="G585" s="1"/>
      <c r="H585" s="52" t="str">
        <f t="shared" ref="H585:K585" si="1345">IFERROR(H591/H567,"NA")</f>
        <v>NA</v>
      </c>
      <c r="I585" s="52" t="str">
        <f t="shared" si="1345"/>
        <v>NA</v>
      </c>
      <c r="J585" s="52" t="str">
        <f t="shared" si="1345"/>
        <v>NA</v>
      </c>
      <c r="K585" s="773">
        <f t="shared" si="1345"/>
        <v>2.4377358490566037</v>
      </c>
      <c r="L585" s="797">
        <f t="shared" si="1335"/>
        <v>2.4377358490566037</v>
      </c>
      <c r="M585" s="797">
        <f t="shared" ref="M585" si="1346">L585</f>
        <v>2.4377358490566037</v>
      </c>
      <c r="N585" s="785">
        <f>CHOOSE(case,U585,AC585,AK585)</f>
        <v>2.4377358490566037</v>
      </c>
      <c r="O585" s="786">
        <f t="shared" si="1329"/>
        <v>2.4377358490566037</v>
      </c>
      <c r="P585" s="786">
        <f t="shared" si="1330"/>
        <v>2.4377358490566037</v>
      </c>
      <c r="Q585" s="786">
        <f t="shared" si="1331"/>
        <v>2.4377358490566037</v>
      </c>
      <c r="R585" s="786">
        <f t="shared" si="1332"/>
        <v>2.4377358490566037</v>
      </c>
      <c r="S585" s="787">
        <f t="shared" si="1333"/>
        <v>2.4377358490566037</v>
      </c>
      <c r="T585" s="1493"/>
      <c r="U585" s="1515"/>
      <c r="V585" s="1515"/>
      <c r="W585" s="1515"/>
      <c r="X585" s="1515"/>
      <c r="Y585" s="1515"/>
      <c r="Z585" s="1515"/>
      <c r="AA585" s="1515"/>
      <c r="AB585" s="1321"/>
      <c r="AC585" s="737">
        <f>M585</f>
        <v>2.4377358490566037</v>
      </c>
      <c r="AD585" s="737">
        <f t="shared" si="1340"/>
        <v>2.4377358490566037</v>
      </c>
      <c r="AE585" s="737">
        <f t="shared" si="1341"/>
        <v>2.4377358490566037</v>
      </c>
      <c r="AF585" s="737">
        <f t="shared" si="1342"/>
        <v>2.4377358490566037</v>
      </c>
      <c r="AG585" s="737">
        <f t="shared" si="1343"/>
        <v>2.4377358490566037</v>
      </c>
      <c r="AH585" s="737">
        <f t="shared" si="1344"/>
        <v>2.4377358490566037</v>
      </c>
      <c r="AI585" s="415"/>
      <c r="AJ585" s="1321"/>
      <c r="AK585" s="1515"/>
      <c r="AL585" s="1515"/>
      <c r="AM585" s="1515"/>
      <c r="AN585" s="1515"/>
      <c r="AO585" s="1515"/>
      <c r="AP585" s="1515"/>
      <c r="AQ585" s="1515"/>
    </row>
    <row r="586" spans="1:43" ht="15" outlineLevel="2" thickBot="1">
      <c r="C586" s="37"/>
      <c r="D586" s="33" t="s">
        <v>665</v>
      </c>
      <c r="E586" s="37"/>
      <c r="F586" s="37"/>
      <c r="G586" s="37"/>
      <c r="H586" s="54" t="str">
        <f t="shared" ref="H586:K586" si="1347">IFERROR(H592/H568,"NA")</f>
        <v>NA</v>
      </c>
      <c r="I586" s="54" t="str">
        <f t="shared" si="1347"/>
        <v>NA</v>
      </c>
      <c r="J586" s="54" t="str">
        <f t="shared" si="1347"/>
        <v>NA</v>
      </c>
      <c r="K586" s="775" t="str">
        <f t="shared" si="1347"/>
        <v>NA</v>
      </c>
      <c r="L586" s="798" t="str">
        <f t="shared" si="1335"/>
        <v>NA</v>
      </c>
      <c r="M586" s="798" t="str">
        <f t="shared" ref="M586" si="1348">L586</f>
        <v>NA</v>
      </c>
      <c r="N586" s="789">
        <f>CHOOSE(case,U586,AC586,AK586)</f>
        <v>0</v>
      </c>
      <c r="O586" s="790">
        <f t="shared" si="1329"/>
        <v>0</v>
      </c>
      <c r="P586" s="790">
        <f t="shared" si="1330"/>
        <v>0</v>
      </c>
      <c r="Q586" s="790">
        <f t="shared" si="1331"/>
        <v>0</v>
      </c>
      <c r="R586" s="790">
        <f t="shared" si="1332"/>
        <v>0</v>
      </c>
      <c r="S586" s="791">
        <f t="shared" si="1333"/>
        <v>0</v>
      </c>
      <c r="T586" s="1493"/>
      <c r="U586" s="1515"/>
      <c r="V586" s="1515"/>
      <c r="W586" s="1515"/>
      <c r="X586" s="1515"/>
      <c r="Y586" s="1515"/>
      <c r="Z586" s="1515"/>
      <c r="AA586" s="1515"/>
      <c r="AB586" s="1321"/>
      <c r="AC586" s="737"/>
      <c r="AD586" s="737"/>
      <c r="AE586" s="737"/>
      <c r="AF586" s="737"/>
      <c r="AG586" s="737"/>
      <c r="AH586" s="737"/>
      <c r="AI586" s="415"/>
      <c r="AJ586" s="1321"/>
      <c r="AK586" s="1515"/>
      <c r="AL586" s="1515"/>
      <c r="AM586" s="1515"/>
      <c r="AN586" s="1515"/>
      <c r="AO586" s="1515"/>
      <c r="AP586" s="1515"/>
      <c r="AQ586" s="1515"/>
    </row>
    <row r="587" spans="1:43" ht="14.5" outlineLevel="2">
      <c r="C587" s="18" t="s">
        <v>991</v>
      </c>
      <c r="D587" s="1"/>
      <c r="E587" s="1"/>
      <c r="H587" s="414">
        <v>21616</v>
      </c>
      <c r="I587" s="414">
        <v>12726</v>
      </c>
      <c r="J587" s="414">
        <v>4452</v>
      </c>
      <c r="K587" s="99">
        <f t="shared" ref="K587" si="1349">SUM(K588:K592)</f>
        <v>2032</v>
      </c>
      <c r="L587" s="23">
        <f>L595/(1-L594)</f>
        <v>2303.0320665424224</v>
      </c>
      <c r="M587" s="23">
        <f>M595/(1-M594)</f>
        <v>1909.5908749779301</v>
      </c>
      <c r="N587" s="23">
        <f>SUM(N588:N592)</f>
        <v>3454.5480998136336</v>
      </c>
      <c r="O587" s="23">
        <f t="shared" ref="O587:S587" si="1350">SUM(O588:O592)</f>
        <v>3454.5480998136336</v>
      </c>
      <c r="P587" s="23">
        <f t="shared" si="1350"/>
        <v>3454.5480998136336</v>
      </c>
      <c r="Q587" s="23">
        <f t="shared" si="1350"/>
        <v>3454.5480998136336</v>
      </c>
      <c r="R587" s="23">
        <f t="shared" si="1350"/>
        <v>3454.5480998136336</v>
      </c>
      <c r="S587" s="23">
        <f t="shared" si="1350"/>
        <v>3454.5480998136336</v>
      </c>
      <c r="T587" s="1321"/>
      <c r="U587" s="1515"/>
      <c r="V587" s="1515"/>
      <c r="W587" s="1515"/>
      <c r="X587" s="1515"/>
      <c r="Y587" s="1515"/>
      <c r="Z587" s="1515"/>
      <c r="AA587" s="1515"/>
      <c r="AB587" s="1321"/>
      <c r="AC587" s="1"/>
      <c r="AD587" s="1"/>
      <c r="AE587" s="1"/>
      <c r="AF587" s="1"/>
      <c r="AG587" s="1"/>
      <c r="AH587" s="1"/>
      <c r="AI587" s="415"/>
      <c r="AJ587" s="1321"/>
      <c r="AK587" s="1515"/>
      <c r="AL587" s="1515"/>
      <c r="AM587" s="1515"/>
      <c r="AN587" s="1515"/>
      <c r="AO587" s="1515"/>
      <c r="AP587" s="1515"/>
      <c r="AQ587" s="1515"/>
    </row>
    <row r="588" spans="1:43" ht="14.5" outlineLevel="2">
      <c r="C588" s="1"/>
      <c r="D588" s="27" t="s">
        <v>841</v>
      </c>
      <c r="E588" s="28"/>
      <c r="F588" s="28"/>
      <c r="G588" s="28"/>
      <c r="H588" s="114"/>
      <c r="I588" s="114"/>
      <c r="J588" s="114"/>
      <c r="K588" s="399">
        <v>0</v>
      </c>
      <c r="L588" s="837">
        <f>K588*$L$562</f>
        <v>0</v>
      </c>
      <c r="M588" s="837">
        <f>K588*$M$562</f>
        <v>0</v>
      </c>
      <c r="N588" s="29">
        <f>N564*N582</f>
        <v>0</v>
      </c>
      <c r="O588" s="29">
        <f t="shared" ref="O588:R588" si="1351">O564*O582</f>
        <v>0</v>
      </c>
      <c r="P588" s="29">
        <f t="shared" si="1351"/>
        <v>0</v>
      </c>
      <c r="Q588" s="29">
        <f t="shared" si="1351"/>
        <v>0</v>
      </c>
      <c r="R588" s="29">
        <f t="shared" si="1351"/>
        <v>0</v>
      </c>
      <c r="S588" s="30">
        <f>S564*S582</f>
        <v>0</v>
      </c>
      <c r="T588" s="1321"/>
      <c r="U588" s="1515"/>
      <c r="V588" s="1515"/>
      <c r="W588" s="1515"/>
      <c r="X588" s="1515"/>
      <c r="Y588" s="1515"/>
      <c r="Z588" s="1515"/>
      <c r="AA588" s="1515"/>
      <c r="AB588" s="1321"/>
      <c r="AC588" s="1"/>
      <c r="AD588" s="1"/>
      <c r="AE588" s="1"/>
      <c r="AF588" s="1"/>
      <c r="AG588" s="1"/>
      <c r="AH588" s="1"/>
      <c r="AI588" s="415"/>
      <c r="AJ588" s="1321"/>
      <c r="AK588" s="1515"/>
      <c r="AL588" s="1515"/>
      <c r="AM588" s="1515"/>
      <c r="AN588" s="1515"/>
      <c r="AO588" s="1515"/>
      <c r="AP588" s="1515"/>
      <c r="AQ588" s="1515"/>
    </row>
    <row r="589" spans="1:43" ht="14.5" outlineLevel="2">
      <c r="C589" s="1"/>
      <c r="D589" s="31" t="s">
        <v>842</v>
      </c>
      <c r="E589" s="1"/>
      <c r="F589" s="1"/>
      <c r="G589" s="1"/>
      <c r="H589" s="115"/>
      <c r="I589" s="115"/>
      <c r="J589" s="115"/>
      <c r="K589" s="401">
        <v>0</v>
      </c>
      <c r="L589" s="80">
        <f t="shared" ref="L589:L592" si="1352">K589*$L$562</f>
        <v>0</v>
      </c>
      <c r="M589" s="80">
        <f t="shared" ref="M589:M592" si="1353">K589*$M$562</f>
        <v>0</v>
      </c>
      <c r="N589" s="20">
        <f t="shared" ref="N589" si="1354">N565*N583</f>
        <v>0</v>
      </c>
      <c r="O589" s="20">
        <f>O565*O583</f>
        <v>0</v>
      </c>
      <c r="P589" s="20">
        <f t="shared" ref="P589:S589" si="1355">P565*P583</f>
        <v>0</v>
      </c>
      <c r="Q589" s="20">
        <f t="shared" si="1355"/>
        <v>0</v>
      </c>
      <c r="R589" s="20">
        <f t="shared" si="1355"/>
        <v>0</v>
      </c>
      <c r="S589" s="32">
        <f t="shared" si="1355"/>
        <v>0</v>
      </c>
      <c r="T589" s="1321"/>
      <c r="U589" s="1515"/>
      <c r="V589" s="1515"/>
      <c r="W589" s="1515"/>
      <c r="X589" s="1515"/>
      <c r="Y589" s="1515"/>
      <c r="Z589" s="1515"/>
      <c r="AA589" s="1515"/>
      <c r="AB589" s="1321"/>
      <c r="AC589" s="1"/>
      <c r="AD589" s="1"/>
      <c r="AE589" s="1"/>
      <c r="AF589" s="1"/>
      <c r="AG589" s="1"/>
      <c r="AH589" s="1"/>
      <c r="AI589" s="415"/>
      <c r="AJ589" s="1321"/>
      <c r="AK589" s="1515"/>
      <c r="AL589" s="1515"/>
      <c r="AM589" s="1515"/>
      <c r="AN589" s="1515"/>
      <c r="AO589" s="1515"/>
      <c r="AP589" s="1515"/>
      <c r="AQ589" s="1515"/>
    </row>
    <row r="590" spans="1:43" ht="14.5" outlineLevel="2">
      <c r="C590" s="1"/>
      <c r="D590" s="31" t="s">
        <v>843</v>
      </c>
      <c r="E590" s="1"/>
      <c r="F590" s="1"/>
      <c r="G590" s="1"/>
      <c r="H590" s="115"/>
      <c r="I590" s="115"/>
      <c r="J590" s="115"/>
      <c r="K590" s="401">
        <v>740</v>
      </c>
      <c r="L590" s="80">
        <f t="shared" si="1352"/>
        <v>838.70262265816564</v>
      </c>
      <c r="M590" s="80">
        <f t="shared" si="1353"/>
        <v>695.42187376164782</v>
      </c>
      <c r="N590" s="20">
        <f>N566*N584</f>
        <v>1258.0539339872485</v>
      </c>
      <c r="O590" s="20">
        <f t="shared" ref="O590:S590" si="1356">O566*O584</f>
        <v>1258.0539339872485</v>
      </c>
      <c r="P590" s="20">
        <f t="shared" si="1356"/>
        <v>1258.0539339872485</v>
      </c>
      <c r="Q590" s="20">
        <f t="shared" si="1356"/>
        <v>1258.0539339872485</v>
      </c>
      <c r="R590" s="20">
        <f t="shared" si="1356"/>
        <v>1258.0539339872485</v>
      </c>
      <c r="S590" s="32">
        <f t="shared" si="1356"/>
        <v>1258.0539339872485</v>
      </c>
      <c r="T590" s="1321"/>
      <c r="U590" s="1515"/>
      <c r="V590" s="1515"/>
      <c r="W590" s="1515"/>
      <c r="X590" s="1515"/>
      <c r="Y590" s="1515"/>
      <c r="Z590" s="1515"/>
      <c r="AA590" s="1515"/>
      <c r="AB590" s="1321"/>
      <c r="AC590" s="1"/>
      <c r="AD590" s="1"/>
      <c r="AE590" s="1"/>
      <c r="AF590" s="1"/>
      <c r="AG590" s="1"/>
      <c r="AH590" s="1"/>
      <c r="AI590" s="415"/>
      <c r="AJ590" s="1321"/>
      <c r="AK590" s="1515"/>
      <c r="AL590" s="1515"/>
      <c r="AM590" s="1515"/>
      <c r="AN590" s="1515"/>
      <c r="AO590" s="1515"/>
      <c r="AP590" s="1515"/>
      <c r="AQ590" s="1515"/>
    </row>
    <row r="591" spans="1:43" ht="14.5" outlineLevel="2">
      <c r="C591" s="1"/>
      <c r="D591" s="31" t="s">
        <v>844</v>
      </c>
      <c r="E591" s="1"/>
      <c r="F591" s="1"/>
      <c r="G591" s="1"/>
      <c r="H591" s="115"/>
      <c r="I591" s="115"/>
      <c r="J591" s="115"/>
      <c r="K591" s="401">
        <v>1292</v>
      </c>
      <c r="L591" s="80">
        <f t="shared" si="1352"/>
        <v>1464.3294438842568</v>
      </c>
      <c r="M591" s="80">
        <f t="shared" si="1353"/>
        <v>1214.1690012162824</v>
      </c>
      <c r="N591" s="20">
        <f t="shared" ref="N591:S591" si="1357">N567*N585</f>
        <v>2196.4941658263851</v>
      </c>
      <c r="O591" s="20">
        <f t="shared" si="1357"/>
        <v>2196.4941658263851</v>
      </c>
      <c r="P591" s="20">
        <f t="shared" si="1357"/>
        <v>2196.4941658263851</v>
      </c>
      <c r="Q591" s="20">
        <f t="shared" si="1357"/>
        <v>2196.4941658263851</v>
      </c>
      <c r="R591" s="20">
        <f t="shared" si="1357"/>
        <v>2196.4941658263851</v>
      </c>
      <c r="S591" s="32">
        <f t="shared" si="1357"/>
        <v>2196.4941658263851</v>
      </c>
      <c r="T591" s="1321"/>
      <c r="U591" s="1515"/>
      <c r="V591" s="1515"/>
      <c r="W591" s="1515"/>
      <c r="X591" s="1515"/>
      <c r="Y591" s="1515"/>
      <c r="Z591" s="1515"/>
      <c r="AA591" s="1515"/>
      <c r="AB591" s="1321"/>
      <c r="AC591" s="1"/>
      <c r="AD591" s="1"/>
      <c r="AE591" s="1"/>
      <c r="AF591" s="1"/>
      <c r="AG591" s="1"/>
      <c r="AH591" s="1"/>
      <c r="AI591" s="415"/>
      <c r="AJ591" s="1321"/>
      <c r="AK591" s="1515"/>
      <c r="AL591" s="1515"/>
      <c r="AM591" s="1515"/>
      <c r="AN591" s="1515"/>
      <c r="AO591" s="1515"/>
      <c r="AP591" s="1515"/>
      <c r="AQ591" s="1515"/>
    </row>
    <row r="592" spans="1:43" ht="14.5" outlineLevel="2">
      <c r="C592" s="1"/>
      <c r="D592" s="33" t="s">
        <v>665</v>
      </c>
      <c r="E592" s="34"/>
      <c r="F592" s="34"/>
      <c r="G592" s="34"/>
      <c r="H592" s="116"/>
      <c r="I592" s="116"/>
      <c r="J592" s="116"/>
      <c r="K592" s="403">
        <v>0</v>
      </c>
      <c r="L592" s="838">
        <f t="shared" si="1352"/>
        <v>0</v>
      </c>
      <c r="M592" s="838">
        <f t="shared" si="1353"/>
        <v>0</v>
      </c>
      <c r="N592" s="35">
        <f t="shared" ref="N592:S592" si="1358">N568*N586</f>
        <v>0</v>
      </c>
      <c r="O592" s="35">
        <f t="shared" si="1358"/>
        <v>0</v>
      </c>
      <c r="P592" s="35">
        <f t="shared" si="1358"/>
        <v>0</v>
      </c>
      <c r="Q592" s="35">
        <f t="shared" si="1358"/>
        <v>0</v>
      </c>
      <c r="R592" s="35">
        <f t="shared" si="1358"/>
        <v>0</v>
      </c>
      <c r="S592" s="36">
        <f t="shared" si="1358"/>
        <v>0</v>
      </c>
      <c r="T592" s="1321"/>
      <c r="U592" s="1515"/>
      <c r="V592" s="1515"/>
      <c r="W592" s="1515"/>
      <c r="X592" s="1515"/>
      <c r="Y592" s="1515"/>
      <c r="Z592" s="1515"/>
      <c r="AA592" s="1515"/>
      <c r="AB592" s="1321"/>
      <c r="AC592" s="1"/>
      <c r="AD592" s="1"/>
      <c r="AE592" s="1"/>
      <c r="AF592" s="1"/>
      <c r="AG592" s="1"/>
      <c r="AH592" s="1"/>
      <c r="AI592" s="415"/>
      <c r="AJ592" s="1321"/>
      <c r="AK592" s="1515"/>
      <c r="AL592" s="1515"/>
      <c r="AM592" s="1515"/>
      <c r="AN592" s="1515"/>
      <c r="AO592" s="1515"/>
      <c r="AP592" s="1515"/>
      <c r="AQ592" s="1515"/>
    </row>
    <row r="593" spans="1:43" ht="14.5" outlineLevel="2">
      <c r="C593" s="1"/>
      <c r="D593" s="1"/>
      <c r="E593" s="1"/>
      <c r="AI593" s="424"/>
    </row>
    <row r="594" spans="1:43" ht="15" outlineLevel="2" thickBot="1">
      <c r="C594" s="37" t="s">
        <v>160</v>
      </c>
      <c r="D594" s="37"/>
      <c r="E594" s="37"/>
      <c r="F594" s="109"/>
      <c r="G594" s="109"/>
      <c r="H594" s="117">
        <f>1-H595/H587</f>
        <v>3.284603997039226E-3</v>
      </c>
      <c r="I594" s="117">
        <f t="shared" ref="I594" si="1359">1-I595/I587</f>
        <v>4.7147571900052476E-4</v>
      </c>
      <c r="J594" s="117">
        <f t="shared" ref="J594" si="1360">1-J595/J587</f>
        <v>4.0431266846361336E-3</v>
      </c>
      <c r="K594" s="117">
        <f t="shared" ref="K594" si="1361">1-K595/K587</f>
        <v>-3.4448818897638844E-3</v>
      </c>
      <c r="L594" s="160">
        <f>K594</f>
        <v>-3.4448818897638844E-3</v>
      </c>
      <c r="M594" s="160">
        <f>L594</f>
        <v>-3.4448818897638844E-3</v>
      </c>
      <c r="N594" s="160">
        <f t="shared" ref="N594" si="1362">L594</f>
        <v>-3.4448818897638844E-3</v>
      </c>
      <c r="O594" s="160">
        <f t="shared" ref="O594" si="1363">N594</f>
        <v>-3.4448818897638844E-3</v>
      </c>
      <c r="P594" s="160">
        <f t="shared" ref="P594" si="1364">O594</f>
        <v>-3.4448818897638844E-3</v>
      </c>
      <c r="Q594" s="160">
        <f t="shared" ref="Q594" si="1365">P594</f>
        <v>-3.4448818897638844E-3</v>
      </c>
      <c r="R594" s="160">
        <f t="shared" ref="R594" si="1366">Q594</f>
        <v>-3.4448818897638844E-3</v>
      </c>
      <c r="S594" s="160">
        <f t="shared" ref="S594" si="1367">R594</f>
        <v>-3.4448818897638844E-3</v>
      </c>
      <c r="AI594" s="424"/>
    </row>
    <row r="595" spans="1:43" s="101" customFormat="1" ht="15" outlineLevel="2" thickBot="1">
      <c r="C595" s="76" t="s">
        <v>992</v>
      </c>
      <c r="D595" s="76"/>
      <c r="E595" s="76"/>
      <c r="F595" s="110"/>
      <c r="G595" s="110"/>
      <c r="H595" s="409">
        <v>21545</v>
      </c>
      <c r="I595" s="409">
        <v>12720</v>
      </c>
      <c r="J595" s="409">
        <v>4434</v>
      </c>
      <c r="K595" s="409">
        <v>2039</v>
      </c>
      <c r="L595" s="409">
        <v>2310.9657400000001</v>
      </c>
      <c r="M595" s="409">
        <v>1916.1691899999998</v>
      </c>
      <c r="N595" s="113">
        <f t="shared" ref="N595:S595" si="1368">N587*(1-N594)</f>
        <v>3466.4486099999999</v>
      </c>
      <c r="O595" s="113">
        <f t="shared" si="1368"/>
        <v>3466.4486099999999</v>
      </c>
      <c r="P595" s="113">
        <f t="shared" si="1368"/>
        <v>3466.4486099999999</v>
      </c>
      <c r="Q595" s="113">
        <f t="shared" si="1368"/>
        <v>3466.4486099999999</v>
      </c>
      <c r="R595" s="113">
        <f t="shared" si="1368"/>
        <v>3466.4486099999999</v>
      </c>
      <c r="S595" s="113">
        <f t="shared" si="1368"/>
        <v>3466.4486099999999</v>
      </c>
      <c r="T595" s="525"/>
      <c r="U595" s="1512"/>
      <c r="V595" s="1512"/>
      <c r="W595" s="1512"/>
      <c r="X595" s="1512"/>
      <c r="Y595" s="1512"/>
      <c r="Z595" s="1512"/>
      <c r="AA595" s="1512"/>
      <c r="AI595" s="473"/>
      <c r="AK595" s="1512"/>
      <c r="AL595" s="1512"/>
      <c r="AM595" s="1512"/>
      <c r="AN595" s="1512"/>
      <c r="AO595" s="1512"/>
      <c r="AP595" s="1512"/>
      <c r="AQ595" s="1512"/>
    </row>
    <row r="596" spans="1:43" s="101" customFormat="1" ht="14.5" outlineLevel="2">
      <c r="C596" s="97" t="s">
        <v>659</v>
      </c>
      <c r="H596" s="394">
        <v>-22874</v>
      </c>
      <c r="I596" s="394">
        <v>-12083</v>
      </c>
      <c r="J596" s="394">
        <v>-5036</v>
      </c>
      <c r="K596" s="394">
        <v>-2109</v>
      </c>
      <c r="L596" s="394">
        <v>-2285.2859613244464</v>
      </c>
      <c r="M596" s="394">
        <v>-1977.7338866388418</v>
      </c>
      <c r="N596" s="20">
        <f>N597*N563</f>
        <v>-3577.8223123862617</v>
      </c>
      <c r="O596" s="20">
        <f t="shared" ref="O596:S596" si="1369">O597*O563</f>
        <v>-3499.4577383467681</v>
      </c>
      <c r="P596" s="20">
        <f t="shared" si="1369"/>
        <v>-3452.5568882253483</v>
      </c>
      <c r="Q596" s="20">
        <f t="shared" si="1369"/>
        <v>-3420.1278012988801</v>
      </c>
      <c r="R596" s="20">
        <f t="shared" si="1369"/>
        <v>-3389.9511524500235</v>
      </c>
      <c r="S596" s="20">
        <f t="shared" si="1369"/>
        <v>-3361.1569027413507</v>
      </c>
      <c r="U596" s="1512"/>
      <c r="V596" s="1512"/>
      <c r="W596" s="1512"/>
      <c r="X596" s="1512"/>
      <c r="Y596" s="1512"/>
      <c r="Z596" s="1512"/>
      <c r="AA596" s="1512"/>
      <c r="AI596" s="473"/>
      <c r="AK596" s="1512"/>
      <c r="AL596" s="1512"/>
      <c r="AM596" s="1512"/>
      <c r="AN596" s="1512"/>
      <c r="AO596" s="1512"/>
      <c r="AP596" s="1512"/>
      <c r="AQ596" s="1512"/>
    </row>
    <row r="597" spans="1:43" s="101" customFormat="1" ht="14.5" outlineLevel="2">
      <c r="C597" s="97"/>
      <c r="D597" s="1" t="s">
        <v>849</v>
      </c>
      <c r="E597" s="1"/>
      <c r="H597" s="394"/>
      <c r="I597" s="394"/>
      <c r="J597" s="744"/>
      <c r="K597" s="744">
        <f>K596/K563</f>
        <v>-3.46875</v>
      </c>
      <c r="L597" s="744">
        <f t="shared" ref="L597" si="1370">L596/L563</f>
        <v>-3.3163525380824712</v>
      </c>
      <c r="M597" s="744">
        <f t="shared" ref="M597" si="1371">M596/M563</f>
        <v>-3.4613669966022349</v>
      </c>
      <c r="N597" s="1039">
        <f>M597</f>
        <v>-3.4613669966022349</v>
      </c>
      <c r="O597" s="744">
        <f>N597*(1+O598)</f>
        <v>-3.3855531281090889</v>
      </c>
      <c r="P597" s="744">
        <f t="shared" ref="P597" si="1372">O597*(1+P598)</f>
        <v>-3.3401788639482186</v>
      </c>
      <c r="Q597" s="744">
        <f t="shared" ref="Q597" si="1373">P597*(1+Q598)</f>
        <v>-3.308805318417849</v>
      </c>
      <c r="R597" s="744">
        <f t="shared" ref="R597" si="1374">Q597*(1+R598)</f>
        <v>-3.2796108958687253</v>
      </c>
      <c r="S597" s="744">
        <f t="shared" ref="S597" si="1375">R597*(1+S598)</f>
        <v>-3.2517538764498237</v>
      </c>
      <c r="U597" s="1512"/>
      <c r="V597" s="1512"/>
      <c r="W597" s="1512"/>
      <c r="X597" s="1512"/>
      <c r="Y597" s="1512"/>
      <c r="Z597" s="1512"/>
      <c r="AA597" s="1512"/>
      <c r="AI597" s="473"/>
      <c r="AK597" s="1512"/>
      <c r="AL597" s="1512"/>
      <c r="AM597" s="1512"/>
      <c r="AN597" s="1512"/>
      <c r="AO597" s="1512"/>
      <c r="AP597" s="1512"/>
      <c r="AQ597" s="1512"/>
    </row>
    <row r="598" spans="1:43" s="101" customFormat="1" ht="15" outlineLevel="2" thickBot="1">
      <c r="C598" s="109"/>
      <c r="D598" s="74"/>
      <c r="E598" s="74" t="s">
        <v>151</v>
      </c>
      <c r="H598" s="404"/>
      <c r="I598" s="404"/>
      <c r="J598" s="404"/>
      <c r="K598" s="404"/>
      <c r="L598" s="75"/>
      <c r="M598" s="404"/>
      <c r="N598" s="75">
        <f>N597/L597-1</f>
        <v>4.372709380396933E-2</v>
      </c>
      <c r="O598" s="161">
        <f>CHOOSE(case,V598,AD598,AL598)</f>
        <v>-2.1902869174972417E-2</v>
      </c>
      <c r="P598" s="161">
        <f t="shared" ref="P598" si="1376">CHOOSE(case,W598,AE598,AM598)</f>
        <v>-1.3402319338646107E-2</v>
      </c>
      <c r="Q598" s="161">
        <f t="shared" ref="Q598" si="1377">CHOOSE(case,X598,AF598,AN598)</f>
        <v>-9.3927741023080991E-3</v>
      </c>
      <c r="R598" s="161">
        <f t="shared" ref="R598" si="1378">CHOOSE(case,Y598,AG598,AO598)</f>
        <v>-8.8232518204133248E-3</v>
      </c>
      <c r="S598" s="1044">
        <f t="shared" ref="S598" si="1379">CHOOSE(case,Z598,AH598,AP598)</f>
        <v>-8.4940013627813338E-3</v>
      </c>
      <c r="U598" s="1512"/>
      <c r="V598" s="1512"/>
      <c r="W598" s="1512"/>
      <c r="X598" s="1512"/>
      <c r="Y598" s="1512"/>
      <c r="Z598" s="1512"/>
      <c r="AA598" s="1512"/>
      <c r="AC598" s="829"/>
      <c r="AD598" s="1042">
        <f>(SUMPRODUCT(O576:O579,各区域分剂型成本优化!K$195:K$198)+O580*O586)/(SUMPRODUCT(N576:N579,各区域分剂型成本优化!J$195:J$198)+N580*N586)-1</f>
        <v>-2.1902869174972417E-2</v>
      </c>
      <c r="AE598" s="1042">
        <f>(SUMPRODUCT(P576:P579,各区域分剂型成本优化!L$195:L$198)+P580*P586)/(SUMPRODUCT(O576:O579,各区域分剂型成本优化!K$195:K$198)+O580*O586)-1</f>
        <v>-1.3402319338646107E-2</v>
      </c>
      <c r="AF598" s="1042">
        <f>(SUMPRODUCT(Q576:Q579,各区域分剂型成本优化!M$195:M$198)+Q580*Q586)/(SUMPRODUCT(P576:P579,各区域分剂型成本优化!L$195:L$198)+P580*P586)-1</f>
        <v>-9.3927741023080991E-3</v>
      </c>
      <c r="AG598" s="1042">
        <f>(SUMPRODUCT(R576:R579,各区域分剂型成本优化!N$195:N$198)+R580*R586)/(SUMPRODUCT(Q576:Q579,各区域分剂型成本优化!M$195:M$198)+Q580*Q586)-1</f>
        <v>-8.8232518204133248E-3</v>
      </c>
      <c r="AH598" s="1042">
        <f>(SUMPRODUCT(S576:S579,各区域分剂型成本优化!O$195:O$198)+S580*S586)/(SUMPRODUCT(R576:R579,各区域分剂型成本优化!N$195:N$198)+R580*R586)-1</f>
        <v>-8.4940013627813338E-3</v>
      </c>
      <c r="AI598" s="473"/>
      <c r="AK598" s="1512"/>
      <c r="AL598" s="1512"/>
      <c r="AM598" s="1512"/>
      <c r="AN598" s="1512"/>
      <c r="AO598" s="1512"/>
      <c r="AP598" s="1512"/>
      <c r="AQ598" s="1512"/>
    </row>
    <row r="599" spans="1:43" s="101" customFormat="1" ht="15" outlineLevel="2" thickBot="1">
      <c r="C599" s="63" t="s">
        <v>846</v>
      </c>
      <c r="D599" s="63"/>
      <c r="E599" s="63"/>
      <c r="F599" s="110"/>
      <c r="G599" s="110"/>
      <c r="H599" s="64">
        <f>H595+H596</f>
        <v>-1329</v>
      </c>
      <c r="I599" s="64">
        <f t="shared" ref="I599" si="1380">I595+I596</f>
        <v>637</v>
      </c>
      <c r="J599" s="64">
        <f t="shared" ref="J599" si="1381">J595+J596</f>
        <v>-602</v>
      </c>
      <c r="K599" s="64">
        <f t="shared" ref="K599:L599" si="1382">K595+K596</f>
        <v>-70</v>
      </c>
      <c r="L599" s="64">
        <f t="shared" si="1382"/>
        <v>25.679778675553735</v>
      </c>
      <c r="M599" s="64">
        <f t="shared" ref="M599:S599" si="1383">M595+M596</f>
        <v>-61.564696638841951</v>
      </c>
      <c r="N599" s="64">
        <f t="shared" si="1383"/>
        <v>-111.37370238626181</v>
      </c>
      <c r="O599" s="64">
        <f t="shared" si="1383"/>
        <v>-33.009128346768193</v>
      </c>
      <c r="P599" s="64">
        <f t="shared" si="1383"/>
        <v>13.891721774651614</v>
      </c>
      <c r="Q599" s="64">
        <f t="shared" si="1383"/>
        <v>46.320808701119859</v>
      </c>
      <c r="R599" s="64">
        <f t="shared" si="1383"/>
        <v>76.497457549976389</v>
      </c>
      <c r="S599" s="64">
        <f t="shared" si="1383"/>
        <v>105.29170725864924</v>
      </c>
      <c r="U599" s="1512"/>
      <c r="V599" s="1512"/>
      <c r="W599" s="1512"/>
      <c r="X599" s="1512"/>
      <c r="Y599" s="1512"/>
      <c r="Z599" s="1512"/>
      <c r="AA599" s="1512"/>
      <c r="AI599" s="473"/>
      <c r="AK599" s="1512"/>
      <c r="AL599" s="1512"/>
      <c r="AM599" s="1512"/>
      <c r="AN599" s="1512"/>
      <c r="AO599" s="1512"/>
      <c r="AP599" s="1512"/>
      <c r="AQ599" s="1512"/>
    </row>
    <row r="600" spans="1:43" s="101" customFormat="1" ht="14.5" outlineLevel="2">
      <c r="C600" s="22" t="s">
        <v>660</v>
      </c>
      <c r="D600" s="18"/>
      <c r="E600" s="18"/>
      <c r="H600" s="94">
        <f>H599/H595</f>
        <v>-6.168484567184962E-2</v>
      </c>
      <c r="I600" s="94">
        <f t="shared" ref="I600" si="1384">I599/I595</f>
        <v>5.0078616352201261E-2</v>
      </c>
      <c r="J600" s="94">
        <f t="shared" ref="J600" si="1385">J599/J595</f>
        <v>-0.13576905728461885</v>
      </c>
      <c r="K600" s="94">
        <f t="shared" ref="K600:L600" si="1386">K599/K595</f>
        <v>-3.4330554193231978E-2</v>
      </c>
      <c r="L600" s="94">
        <f t="shared" si="1386"/>
        <v>1.1112141660548257E-2</v>
      </c>
      <c r="M600" s="94">
        <f t="shared" ref="M600:S600" si="1387">M599/M595</f>
        <v>-3.2129050482667426E-2</v>
      </c>
      <c r="N600" s="94">
        <f t="shared" si="1387"/>
        <v>-3.212905048266728E-2</v>
      </c>
      <c r="O600" s="94">
        <f t="shared" si="1387"/>
        <v>-9.5224629182569052E-3</v>
      </c>
      <c r="P600" s="94">
        <f t="shared" si="1387"/>
        <v>4.0074795093101396E-3</v>
      </c>
      <c r="Q600" s="94">
        <f t="shared" si="1387"/>
        <v>1.336261226186759E-2</v>
      </c>
      <c r="R600" s="94">
        <f t="shared" si="1387"/>
        <v>2.2067962389315902E-2</v>
      </c>
      <c r="S600" s="94">
        <f t="shared" si="1387"/>
        <v>3.0374518449488637E-2</v>
      </c>
      <c r="T600" s="1321"/>
      <c r="U600" s="1526">
        <f>AC600+0.3%</f>
        <v>3.0000000000000001E-3</v>
      </c>
      <c r="V600" s="1526">
        <f t="shared" ref="V600" si="1388">AD600+0.3%</f>
        <v>3.0000000000000001E-3</v>
      </c>
      <c r="W600" s="1526">
        <f t="shared" ref="W600" si="1389">AE600+0.3%</f>
        <v>3.0000000000000001E-3</v>
      </c>
      <c r="X600" s="1526">
        <f t="shared" ref="X600" si="1390">AF600+0.3%</f>
        <v>3.0000000000000001E-3</v>
      </c>
      <c r="Y600" s="1526">
        <f t="shared" ref="Y600" si="1391">AG600+0.3%</f>
        <v>3.0000000000000001E-3</v>
      </c>
      <c r="Z600" s="1526">
        <f t="shared" ref="Z600" si="1392">AH600+0.3%</f>
        <v>3.0000000000000001E-3</v>
      </c>
      <c r="AA600" s="1515"/>
      <c r="AB600" s="1321"/>
      <c r="AC600" s="65"/>
      <c r="AD600" s="65"/>
      <c r="AE600" s="65"/>
      <c r="AF600" s="65"/>
      <c r="AG600" s="65"/>
      <c r="AH600" s="65"/>
      <c r="AI600" s="415"/>
      <c r="AJ600" s="1321"/>
      <c r="AK600" s="1526">
        <f>AC600-0.3%</f>
        <v>-3.0000000000000001E-3</v>
      </c>
      <c r="AL600" s="1526">
        <f t="shared" ref="AL600" si="1393">AD600-0.3%</f>
        <v>-3.0000000000000001E-3</v>
      </c>
      <c r="AM600" s="1526">
        <f t="shared" ref="AM600" si="1394">AE600-0.3%</f>
        <v>-3.0000000000000001E-3</v>
      </c>
      <c r="AN600" s="1526">
        <f t="shared" ref="AN600" si="1395">AF600-0.3%</f>
        <v>-3.0000000000000001E-3</v>
      </c>
      <c r="AO600" s="1526">
        <f t="shared" ref="AO600" si="1396">AG600-0.3%</f>
        <v>-3.0000000000000001E-3</v>
      </c>
      <c r="AP600" s="1526">
        <f t="shared" ref="AP600" si="1397">AH600-0.3%</f>
        <v>-3.0000000000000001E-3</v>
      </c>
      <c r="AQ600" s="1515"/>
    </row>
    <row r="601" spans="1:43" ht="14.5" outlineLevel="1">
      <c r="AI601" s="424"/>
    </row>
    <row r="602" spans="1:43" s="1125" customFormat="1" ht="14.5" outlineLevel="1">
      <c r="A602" s="10" t="s">
        <v>8</v>
      </c>
      <c r="B602" s="10" t="s">
        <v>185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U602" s="1515"/>
      <c r="V602" s="1515"/>
      <c r="W602" s="1515"/>
      <c r="X602" s="1515"/>
      <c r="Y602" s="1515"/>
      <c r="Z602" s="1515"/>
      <c r="AA602" s="1515"/>
      <c r="AC602" s="62"/>
      <c r="AD602" s="62"/>
      <c r="AE602" s="62"/>
      <c r="AF602" s="62"/>
      <c r="AG602" s="62"/>
      <c r="AH602" s="62"/>
      <c r="AI602" s="475"/>
      <c r="AK602" s="1515"/>
      <c r="AL602" s="1515"/>
      <c r="AM602" s="1515"/>
      <c r="AN602" s="1515"/>
      <c r="AO602" s="1515"/>
      <c r="AP602" s="1515"/>
      <c r="AQ602" s="1515"/>
    </row>
    <row r="603" spans="1:43" ht="14.5" outlineLevel="1"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AI603" s="424"/>
    </row>
    <row r="604" spans="1:43" s="1126" customFormat="1" ht="14.5" outlineLevel="1">
      <c r="A604" s="26" t="s">
        <v>8</v>
      </c>
      <c r="B604" s="26"/>
      <c r="C604" s="26" t="s">
        <v>186</v>
      </c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U604" s="1518"/>
      <c r="V604" s="1518"/>
      <c r="W604" s="1518"/>
      <c r="X604" s="1518"/>
      <c r="Y604" s="1518"/>
      <c r="Z604" s="1518"/>
      <c r="AA604" s="1518"/>
      <c r="AC604" s="26"/>
      <c r="AD604" s="26"/>
      <c r="AE604" s="26"/>
      <c r="AF604" s="26"/>
      <c r="AG604" s="26"/>
      <c r="AH604" s="26"/>
      <c r="AI604" s="474"/>
      <c r="AK604" s="1518"/>
      <c r="AL604" s="1518"/>
      <c r="AM604" s="1518"/>
      <c r="AN604" s="1518"/>
      <c r="AO604" s="1518"/>
      <c r="AP604" s="1518"/>
      <c r="AQ604" s="1518"/>
    </row>
    <row r="605" spans="1:43" ht="14.5" outlineLevel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AI605" s="424"/>
    </row>
    <row r="606" spans="1:43" s="99" customFormat="1" ht="14.5" outlineLevel="1">
      <c r="C606" s="18" t="s">
        <v>840</v>
      </c>
      <c r="D606" s="18"/>
      <c r="E606" s="18"/>
      <c r="H606" s="99">
        <f>SUM(H607:H611)</f>
        <v>0</v>
      </c>
      <c r="I606" s="99">
        <f t="shared" ref="I606" si="1398">SUM(I607:I611)</f>
        <v>0</v>
      </c>
      <c r="J606" s="99">
        <f t="shared" ref="J606" si="1399">SUM(J607:J611)</f>
        <v>0</v>
      </c>
      <c r="K606" s="99">
        <f t="shared" ref="K606" si="1400">SUM(K607:K611)</f>
        <v>0</v>
      </c>
      <c r="U606" s="1511"/>
      <c r="V606" s="1511"/>
      <c r="W606" s="1511"/>
      <c r="X606" s="1511"/>
      <c r="Y606" s="1511"/>
      <c r="Z606" s="1511"/>
      <c r="AA606" s="1511"/>
      <c r="AI606" s="414"/>
      <c r="AK606" s="1511"/>
      <c r="AL606" s="1511"/>
      <c r="AM606" s="1511"/>
      <c r="AN606" s="1511"/>
      <c r="AO606" s="1511"/>
      <c r="AP606" s="1511"/>
      <c r="AQ606" s="1511"/>
    </row>
    <row r="607" spans="1:43" s="101" customFormat="1" ht="14.5" outlineLevel="1">
      <c r="C607" s="1"/>
      <c r="D607" s="27" t="s">
        <v>841</v>
      </c>
      <c r="E607" s="28"/>
      <c r="F607" s="28"/>
      <c r="G607" s="28"/>
      <c r="H607" s="118"/>
      <c r="I607" s="118"/>
      <c r="J607" s="118"/>
      <c r="K607" s="118"/>
      <c r="L607" s="29"/>
      <c r="M607" s="29"/>
      <c r="N607" s="29"/>
      <c r="O607" s="29"/>
      <c r="P607" s="29"/>
      <c r="Q607" s="29"/>
      <c r="R607" s="29"/>
      <c r="S607" s="29"/>
      <c r="U607" s="1512"/>
      <c r="V607" s="1512"/>
      <c r="W607" s="1512"/>
      <c r="X607" s="1512"/>
      <c r="Y607" s="1512"/>
      <c r="Z607" s="1512"/>
      <c r="AA607" s="1512"/>
      <c r="AI607" s="473"/>
      <c r="AK607" s="1512"/>
      <c r="AL607" s="1512"/>
      <c r="AM607" s="1512"/>
      <c r="AN607" s="1512"/>
      <c r="AO607" s="1512"/>
      <c r="AP607" s="1512"/>
      <c r="AQ607" s="1512"/>
    </row>
    <row r="608" spans="1:43" ht="14.5" outlineLevel="1">
      <c r="C608" s="1"/>
      <c r="D608" s="31" t="s">
        <v>842</v>
      </c>
      <c r="E608" s="1"/>
      <c r="F608" s="1"/>
      <c r="G608" s="1"/>
      <c r="H608" s="119"/>
      <c r="I608" s="119"/>
      <c r="J608" s="119"/>
      <c r="K608" s="119"/>
      <c r="L608" s="20"/>
      <c r="M608" s="20"/>
      <c r="N608" s="20"/>
      <c r="O608" s="20"/>
      <c r="P608" s="20"/>
      <c r="Q608" s="20"/>
      <c r="R608" s="20"/>
      <c r="S608" s="20"/>
      <c r="AI608" s="424"/>
    </row>
    <row r="609" spans="3:43" ht="14.5" outlineLevel="1">
      <c r="C609" s="1"/>
      <c r="D609" s="31" t="s">
        <v>843</v>
      </c>
      <c r="E609" s="1"/>
      <c r="F609" s="1"/>
      <c r="G609" s="1"/>
      <c r="H609" s="119"/>
      <c r="I609" s="119"/>
      <c r="J609" s="119"/>
      <c r="K609" s="119"/>
      <c r="L609" s="20"/>
      <c r="M609" s="20"/>
      <c r="N609" s="20"/>
      <c r="O609" s="20"/>
      <c r="P609" s="20"/>
      <c r="Q609" s="20"/>
      <c r="R609" s="20"/>
      <c r="S609" s="20"/>
      <c r="AI609" s="424"/>
    </row>
    <row r="610" spans="3:43" ht="14.5" outlineLevel="1">
      <c r="C610" s="1"/>
      <c r="D610" s="31" t="s">
        <v>844</v>
      </c>
      <c r="E610" s="1"/>
      <c r="F610" s="1"/>
      <c r="G610" s="1"/>
      <c r="H610" s="119"/>
      <c r="I610" s="119"/>
      <c r="J610" s="119"/>
      <c r="K610" s="119"/>
      <c r="L610" s="20"/>
      <c r="M610" s="20"/>
      <c r="N610" s="20"/>
      <c r="O610" s="20"/>
      <c r="P610" s="20"/>
      <c r="Q610" s="20"/>
      <c r="R610" s="20"/>
      <c r="S610" s="20"/>
      <c r="AI610" s="424"/>
    </row>
    <row r="611" spans="3:43" ht="14.5" outlineLevel="1">
      <c r="C611" s="1"/>
      <c r="D611" s="33" t="s">
        <v>665</v>
      </c>
      <c r="E611" s="34"/>
      <c r="F611" s="34"/>
      <c r="G611" s="34"/>
      <c r="H611" s="120"/>
      <c r="I611" s="120"/>
      <c r="J611" s="120"/>
      <c r="K611" s="120"/>
      <c r="L611" s="35"/>
      <c r="M611" s="35"/>
      <c r="N611" s="35"/>
      <c r="O611" s="35"/>
      <c r="P611" s="35"/>
      <c r="Q611" s="35"/>
      <c r="R611" s="35"/>
      <c r="S611" s="35"/>
      <c r="AI611" s="424"/>
    </row>
    <row r="612" spans="3:43" ht="14.5" outlineLevel="1">
      <c r="C612" s="18" t="s">
        <v>31</v>
      </c>
      <c r="D612" s="1"/>
      <c r="E612" s="1"/>
      <c r="H612" s="50" t="str">
        <f>IFERROR(H618/H606,"NA")</f>
        <v>NA</v>
      </c>
      <c r="I612" s="50" t="str">
        <f t="shared" ref="I612:K612" si="1401">IFERROR(I618/I606,"NA")</f>
        <v>NA</v>
      </c>
      <c r="J612" s="50" t="str">
        <f t="shared" si="1401"/>
        <v>NA</v>
      </c>
      <c r="K612" s="50" t="str">
        <f t="shared" si="1401"/>
        <v>NA</v>
      </c>
      <c r="AI612" s="424"/>
    </row>
    <row r="613" spans="3:43" ht="14.5" outlineLevel="1">
      <c r="C613" s="1"/>
      <c r="D613" s="27" t="s">
        <v>841</v>
      </c>
      <c r="E613" s="28"/>
      <c r="F613" s="28"/>
      <c r="G613" s="28"/>
      <c r="H613" s="50" t="str">
        <f>IFERROR(H619/H607,"NA")</f>
        <v>NA</v>
      </c>
      <c r="I613" s="50" t="str">
        <f t="shared" ref="I613:J613" si="1402">IFERROR(I619/I607,"NA")</f>
        <v>NA</v>
      </c>
      <c r="J613" s="50" t="str">
        <f t="shared" si="1402"/>
        <v>NA</v>
      </c>
      <c r="K613" s="50" t="str">
        <f t="shared" ref="K613" si="1403">IFERROR(K619/K607,"NA")</f>
        <v>NA</v>
      </c>
      <c r="L613" s="28"/>
      <c r="M613" s="28"/>
      <c r="N613" s="28"/>
      <c r="O613" s="28"/>
      <c r="P613" s="28"/>
      <c r="Q613" s="28"/>
      <c r="R613" s="28"/>
      <c r="S613" s="28"/>
      <c r="AI613" s="424"/>
    </row>
    <row r="614" spans="3:43" ht="14.5" outlineLevel="1">
      <c r="C614" s="1"/>
      <c r="D614" s="31" t="s">
        <v>842</v>
      </c>
      <c r="E614" s="1"/>
      <c r="F614" s="1"/>
      <c r="G614" s="1"/>
      <c r="H614" s="52" t="str">
        <f t="shared" ref="H614:J614" si="1404">IFERROR(H620/H608,"NA")</f>
        <v>NA</v>
      </c>
      <c r="I614" s="52" t="str">
        <f t="shared" si="1404"/>
        <v>NA</v>
      </c>
      <c r="J614" s="52" t="str">
        <f t="shared" si="1404"/>
        <v>NA</v>
      </c>
      <c r="K614" s="52" t="str">
        <f t="shared" ref="K614" si="1405">IFERROR(K620/K608,"NA")</f>
        <v>NA</v>
      </c>
      <c r="L614" s="1"/>
      <c r="M614" s="1"/>
      <c r="N614" s="1"/>
      <c r="O614" s="1"/>
      <c r="P614" s="1"/>
      <c r="Q614" s="1"/>
      <c r="R614" s="1"/>
      <c r="S614" s="1"/>
      <c r="AI614" s="424"/>
    </row>
    <row r="615" spans="3:43" ht="14.5" outlineLevel="1">
      <c r="C615" s="1"/>
      <c r="D615" s="31" t="s">
        <v>843</v>
      </c>
      <c r="E615" s="1"/>
      <c r="F615" s="1"/>
      <c r="G615" s="1"/>
      <c r="H615" s="52" t="str">
        <f t="shared" ref="H615:J615" si="1406">IFERROR(H621/H609,"NA")</f>
        <v>NA</v>
      </c>
      <c r="I615" s="52" t="str">
        <f t="shared" si="1406"/>
        <v>NA</v>
      </c>
      <c r="J615" s="52" t="str">
        <f t="shared" si="1406"/>
        <v>NA</v>
      </c>
      <c r="K615" s="52" t="str">
        <f t="shared" ref="K615" si="1407">IFERROR(K621/K609,"NA")</f>
        <v>NA</v>
      </c>
      <c r="L615" s="1"/>
      <c r="M615" s="1"/>
      <c r="N615" s="1"/>
      <c r="O615" s="1"/>
      <c r="P615" s="1"/>
      <c r="Q615" s="1"/>
      <c r="R615" s="1"/>
      <c r="S615" s="1"/>
      <c r="AI615" s="424"/>
    </row>
    <row r="616" spans="3:43" ht="14.5" outlineLevel="1">
      <c r="C616" s="1"/>
      <c r="D616" s="31" t="s">
        <v>844</v>
      </c>
      <c r="E616" s="1"/>
      <c r="F616" s="1"/>
      <c r="G616" s="1"/>
      <c r="H616" s="52" t="str">
        <f t="shared" ref="H616:J616" si="1408">IFERROR(H622/H610,"NA")</f>
        <v>NA</v>
      </c>
      <c r="I616" s="52" t="str">
        <f t="shared" si="1408"/>
        <v>NA</v>
      </c>
      <c r="J616" s="52" t="str">
        <f t="shared" si="1408"/>
        <v>NA</v>
      </c>
      <c r="K616" s="52" t="str">
        <f t="shared" ref="K616" si="1409">IFERROR(K622/K610,"NA")</f>
        <v>NA</v>
      </c>
      <c r="L616" s="1"/>
      <c r="M616" s="1"/>
      <c r="N616" s="1"/>
      <c r="O616" s="1"/>
      <c r="P616" s="1"/>
      <c r="Q616" s="1"/>
      <c r="R616" s="1"/>
      <c r="S616" s="1"/>
      <c r="AI616" s="424"/>
    </row>
    <row r="617" spans="3:43" ht="15" outlineLevel="1" thickBot="1">
      <c r="C617" s="37"/>
      <c r="D617" s="33" t="s">
        <v>665</v>
      </c>
      <c r="E617" s="37"/>
      <c r="F617" s="37"/>
      <c r="G617" s="37"/>
      <c r="H617" s="54" t="str">
        <f t="shared" ref="H617:J617" si="1410">IFERROR(H623/H611,"NA")</f>
        <v>NA</v>
      </c>
      <c r="I617" s="54" t="str">
        <f t="shared" si="1410"/>
        <v>NA</v>
      </c>
      <c r="J617" s="54" t="str">
        <f t="shared" si="1410"/>
        <v>NA</v>
      </c>
      <c r="K617" s="54" t="str">
        <f t="shared" ref="K617" si="1411">IFERROR(K623/K611,"NA")</f>
        <v>NA</v>
      </c>
      <c r="L617" s="37"/>
      <c r="M617" s="37"/>
      <c r="N617" s="37"/>
      <c r="O617" s="37"/>
      <c r="P617" s="37"/>
      <c r="Q617" s="37"/>
      <c r="R617" s="37"/>
      <c r="S617" s="37"/>
      <c r="AI617" s="424"/>
    </row>
    <row r="618" spans="3:43" ht="14.5" outlineLevel="1">
      <c r="C618" s="18" t="s">
        <v>991</v>
      </c>
      <c r="D618" s="1"/>
      <c r="E618" s="1"/>
      <c r="H618" s="99">
        <f>H683+H714+H742+H772+H799+H826</f>
        <v>0</v>
      </c>
      <c r="I618" s="99">
        <f>I683+I714+I742+I772+I799+I826</f>
        <v>0</v>
      </c>
      <c r="J618" s="99">
        <f>J683+J714+J742+J772+J799+J826</f>
        <v>15000</v>
      </c>
      <c r="K618" s="99">
        <f>K683+K714+K742+K772+K799+K826</f>
        <v>0</v>
      </c>
      <c r="N618" s="1223">
        <f>CHOOSE(case,U618,AC618,AK618)</f>
        <v>0</v>
      </c>
      <c r="O618" s="1224">
        <f t="shared" ref="O618" si="1412">CHOOSE(case,V618,AD618,AL618)</f>
        <v>5000</v>
      </c>
      <c r="P618" s="1224">
        <f t="shared" ref="P618" si="1413">CHOOSE(case,W618,AE618,AM618)</f>
        <v>10000</v>
      </c>
      <c r="Q618" s="1224">
        <f t="shared" ref="Q618" si="1414">CHOOSE(case,X618,AF618,AN618)</f>
        <v>20000</v>
      </c>
      <c r="R618" s="1224">
        <f t="shared" ref="R618" si="1415">CHOOSE(case,Y618,AG618,AO618)</f>
        <v>40000</v>
      </c>
      <c r="S618" s="1225">
        <f t="shared" ref="S618" si="1416">CHOOSE(case,Z618,AH618,AP618)</f>
        <v>80000</v>
      </c>
      <c r="U618" s="1519">
        <v>5000</v>
      </c>
      <c r="V618" s="1519">
        <f>U618*(1+$AA618)</f>
        <v>5250</v>
      </c>
      <c r="W618" s="1519">
        <f t="shared" ref="W618" si="1417">V618*(1+$AA618)</f>
        <v>5512.5</v>
      </c>
      <c r="X618" s="1519">
        <f t="shared" ref="X618" si="1418">W618*(1+$AA618)</f>
        <v>5788.125</v>
      </c>
      <c r="Y618" s="1519">
        <f t="shared" ref="Y618" si="1419">X618*(1+$AA618)</f>
        <v>6077.53125</v>
      </c>
      <c r="Z618" s="1519">
        <f t="shared" ref="Z618" si="1420">Y618*(1+$AA618)</f>
        <v>6381.4078125000005</v>
      </c>
      <c r="AA618" s="1520">
        <f>AI618+5%</f>
        <v>0.05</v>
      </c>
      <c r="AB618" s="1321"/>
      <c r="AC618" s="80">
        <v>0</v>
      </c>
      <c r="AD618" s="80">
        <v>5000</v>
      </c>
      <c r="AE618" s="80">
        <f>AD618*2</f>
        <v>10000</v>
      </c>
      <c r="AF618" s="80">
        <f>AE618*2</f>
        <v>20000</v>
      </c>
      <c r="AG618" s="80">
        <f>AF618*2</f>
        <v>40000</v>
      </c>
      <c r="AH618" s="80">
        <v>80000</v>
      </c>
      <c r="AI618" s="472"/>
      <c r="AJ618" s="1321"/>
      <c r="AK618" s="1519">
        <v>1000</v>
      </c>
      <c r="AL618" s="1519">
        <f>AK618*(1+$AQ618)</f>
        <v>950</v>
      </c>
      <c r="AM618" s="1519">
        <f t="shared" ref="AM618" si="1421">AL618*(1+$AQ618)</f>
        <v>902.5</v>
      </c>
      <c r="AN618" s="1519">
        <f t="shared" ref="AN618" si="1422">AM618*(1+$AQ618)</f>
        <v>857.375</v>
      </c>
      <c r="AO618" s="1519">
        <f>AN618*(1+$AQ618)</f>
        <v>814.50624999999991</v>
      </c>
      <c r="AP618" s="1519">
        <f t="shared" ref="AP618" si="1423">AO618*(1+$AQ618)</f>
        <v>773.78093749999982</v>
      </c>
      <c r="AQ618" s="1520">
        <f>AI618-5%</f>
        <v>-0.05</v>
      </c>
    </row>
    <row r="619" spans="3:43" ht="14.5" outlineLevel="1">
      <c r="C619" s="1"/>
      <c r="D619" s="27" t="s">
        <v>841</v>
      </c>
      <c r="E619" s="28"/>
      <c r="F619" s="28"/>
      <c r="G619" s="28"/>
      <c r="H619" s="118"/>
      <c r="I619" s="118"/>
      <c r="J619" s="118"/>
      <c r="K619" s="118"/>
      <c r="L619" s="28"/>
      <c r="M619" s="28"/>
      <c r="N619" s="28"/>
      <c r="O619" s="28"/>
      <c r="P619" s="28"/>
      <c r="Q619" s="28"/>
      <c r="R619" s="28"/>
      <c r="S619" s="28"/>
      <c r="AI619" s="424"/>
    </row>
    <row r="620" spans="3:43" ht="14.5" outlineLevel="1">
      <c r="C620" s="1"/>
      <c r="D620" s="31" t="s">
        <v>842</v>
      </c>
      <c r="E620" s="1"/>
      <c r="F620" s="1"/>
      <c r="G620" s="1"/>
      <c r="H620" s="119"/>
      <c r="I620" s="119"/>
      <c r="J620" s="119"/>
      <c r="K620" s="119"/>
      <c r="L620" s="1"/>
      <c r="M620" s="1"/>
      <c r="N620" s="1"/>
      <c r="O620" s="1"/>
      <c r="P620" s="1"/>
      <c r="Q620" s="1"/>
      <c r="R620" s="1"/>
      <c r="S620" s="1"/>
      <c r="AI620" s="424"/>
    </row>
    <row r="621" spans="3:43" ht="14.5" outlineLevel="1">
      <c r="C621" s="1"/>
      <c r="D621" s="31" t="s">
        <v>843</v>
      </c>
      <c r="E621" s="1"/>
      <c r="F621" s="1"/>
      <c r="G621" s="1"/>
      <c r="H621" s="119"/>
      <c r="I621" s="119"/>
      <c r="J621" s="119"/>
      <c r="K621" s="119"/>
      <c r="L621" s="1"/>
      <c r="M621" s="1"/>
      <c r="N621" s="1"/>
      <c r="O621" s="1"/>
      <c r="P621" s="1"/>
      <c r="Q621" s="1"/>
      <c r="R621" s="1"/>
      <c r="S621" s="1"/>
      <c r="AI621" s="424"/>
    </row>
    <row r="622" spans="3:43" ht="14.5" outlineLevel="1">
      <c r="C622" s="1"/>
      <c r="D622" s="31" t="s">
        <v>844</v>
      </c>
      <c r="E622" s="1"/>
      <c r="F622" s="1"/>
      <c r="G622" s="1"/>
      <c r="H622" s="119"/>
      <c r="I622" s="119"/>
      <c r="J622" s="119"/>
      <c r="K622" s="119"/>
      <c r="L622" s="1"/>
      <c r="M622" s="1"/>
      <c r="N622" s="1"/>
      <c r="O622" s="1"/>
      <c r="P622" s="1"/>
      <c r="Q622" s="1"/>
      <c r="R622" s="1"/>
      <c r="S622" s="1"/>
      <c r="AI622" s="424"/>
    </row>
    <row r="623" spans="3:43" ht="14.5" outlineLevel="1">
      <c r="C623" s="1"/>
      <c r="D623" s="33" t="s">
        <v>665</v>
      </c>
      <c r="E623" s="34"/>
      <c r="F623" s="34"/>
      <c r="G623" s="34"/>
      <c r="H623" s="120"/>
      <c r="I623" s="120"/>
      <c r="J623" s="120"/>
      <c r="K623" s="120"/>
      <c r="L623" s="34"/>
      <c r="M623" s="34"/>
      <c r="N623" s="34"/>
      <c r="O623" s="34"/>
      <c r="P623" s="34"/>
      <c r="Q623" s="34"/>
      <c r="R623" s="34"/>
      <c r="S623" s="34"/>
      <c r="AI623" s="424"/>
    </row>
    <row r="624" spans="3:43" ht="14.5" outlineLevel="1">
      <c r="C624" s="1"/>
      <c r="D624" s="1"/>
      <c r="E624" s="1"/>
      <c r="AI624" s="424"/>
    </row>
    <row r="625" spans="1:52" ht="15" outlineLevel="1" thickBot="1">
      <c r="C625" s="37" t="s">
        <v>160</v>
      </c>
      <c r="D625" s="37"/>
      <c r="E625" s="37"/>
      <c r="F625" s="109"/>
      <c r="G625" s="109"/>
      <c r="H625" s="121"/>
      <c r="I625" s="121"/>
      <c r="J625" s="121"/>
      <c r="K625" s="121"/>
      <c r="L625" s="1053"/>
      <c r="M625" s="1053"/>
      <c r="N625" s="568">
        <v>0.01</v>
      </c>
      <c r="O625" s="568">
        <v>0.01</v>
      </c>
      <c r="P625" s="568">
        <v>0.01</v>
      </c>
      <c r="Q625" s="568">
        <v>0.01</v>
      </c>
      <c r="R625" s="568">
        <v>0.01</v>
      </c>
      <c r="S625" s="568">
        <v>0.01</v>
      </c>
      <c r="AI625" s="424"/>
    </row>
    <row r="626" spans="1:52" s="101" customFormat="1" ht="15" outlineLevel="1" thickBot="1">
      <c r="C626" s="76" t="s">
        <v>992</v>
      </c>
      <c r="D626" s="76"/>
      <c r="E626" s="76"/>
      <c r="F626" s="110"/>
      <c r="G626" s="110"/>
      <c r="H626" s="122"/>
      <c r="I626" s="122"/>
      <c r="J626" s="122"/>
      <c r="K626" s="122"/>
      <c r="L626" s="110"/>
      <c r="M626" s="110"/>
      <c r="N626" s="113">
        <f t="shared" ref="N626:S626" si="1424">N618*(1-N625)</f>
        <v>0</v>
      </c>
      <c r="O626" s="113">
        <f t="shared" si="1424"/>
        <v>4950</v>
      </c>
      <c r="P626" s="113">
        <f t="shared" si="1424"/>
        <v>9900</v>
      </c>
      <c r="Q626" s="113">
        <f t="shared" si="1424"/>
        <v>19800</v>
      </c>
      <c r="R626" s="113">
        <f t="shared" si="1424"/>
        <v>39600</v>
      </c>
      <c r="S626" s="113">
        <f t="shared" si="1424"/>
        <v>79200</v>
      </c>
      <c r="U626" s="1512"/>
      <c r="V626" s="1512"/>
      <c r="W626" s="1512"/>
      <c r="X626" s="1512"/>
      <c r="Y626" s="1512"/>
      <c r="Z626" s="1512"/>
      <c r="AA626" s="1512"/>
      <c r="AI626" s="473"/>
      <c r="AK626" s="1512"/>
      <c r="AL626" s="1512"/>
      <c r="AM626" s="1512"/>
      <c r="AN626" s="1512"/>
      <c r="AO626" s="1512"/>
      <c r="AP626" s="1512"/>
      <c r="AQ626" s="1512"/>
    </row>
    <row r="627" spans="1:52" s="101" customFormat="1" ht="15" outlineLevel="1" thickBot="1">
      <c r="C627" s="97" t="s">
        <v>659</v>
      </c>
      <c r="H627" s="123"/>
      <c r="I627" s="123"/>
      <c r="J627" s="123"/>
      <c r="K627" s="123"/>
      <c r="N627" s="39">
        <f>N628-N626</f>
        <v>0</v>
      </c>
      <c r="O627" s="39">
        <f t="shared" ref="O627:S627" si="1425">O628-O626</f>
        <v>-4395.6000000000004</v>
      </c>
      <c r="P627" s="39">
        <f t="shared" si="1425"/>
        <v>-8672.4</v>
      </c>
      <c r="Q627" s="39">
        <f t="shared" si="1425"/>
        <v>-17107.2</v>
      </c>
      <c r="R627" s="39">
        <f t="shared" si="1425"/>
        <v>-33739.199999999997</v>
      </c>
      <c r="S627" s="39">
        <f t="shared" si="1425"/>
        <v>-66528</v>
      </c>
      <c r="U627" s="1512"/>
      <c r="V627" s="1512"/>
      <c r="W627" s="1512"/>
      <c r="X627" s="1512"/>
      <c r="Y627" s="1512"/>
      <c r="Z627" s="1512"/>
      <c r="AA627" s="1512"/>
      <c r="AI627" s="473"/>
      <c r="AK627" s="1512"/>
      <c r="AL627" s="1512"/>
      <c r="AM627" s="1512"/>
      <c r="AN627" s="1512"/>
      <c r="AO627" s="1512"/>
      <c r="AP627" s="1512"/>
      <c r="AQ627" s="1512"/>
    </row>
    <row r="628" spans="1:52" s="101" customFormat="1" ht="15" outlineLevel="1" thickBot="1">
      <c r="C628" s="63" t="s">
        <v>846</v>
      </c>
      <c r="D628" s="76"/>
      <c r="E628" s="76"/>
      <c r="F628" s="110"/>
      <c r="G628" s="110"/>
      <c r="H628" s="124"/>
      <c r="I628" s="124"/>
      <c r="J628" s="124"/>
      <c r="K628" s="124"/>
      <c r="L628" s="110"/>
      <c r="M628" s="110"/>
      <c r="N628" s="113">
        <f>N629*N626</f>
        <v>0</v>
      </c>
      <c r="O628" s="113">
        <f t="shared" ref="O628:S628" si="1426">O629*O626</f>
        <v>554.4</v>
      </c>
      <c r="P628" s="113">
        <f t="shared" si="1426"/>
        <v>1227.5999999999999</v>
      </c>
      <c r="Q628" s="113">
        <f t="shared" si="1426"/>
        <v>2692.8</v>
      </c>
      <c r="R628" s="113">
        <f t="shared" si="1426"/>
        <v>5860.8000000000011</v>
      </c>
      <c r="S628" s="113">
        <f t="shared" si="1426"/>
        <v>12672.000000000002</v>
      </c>
      <c r="U628" s="1512"/>
      <c r="V628" s="1512"/>
      <c r="W628" s="1512"/>
      <c r="X628" s="1512"/>
      <c r="Y628" s="1512"/>
      <c r="Z628" s="1512"/>
      <c r="AA628" s="1512"/>
      <c r="AI628" s="473"/>
      <c r="AK628" s="1512"/>
      <c r="AL628" s="1512"/>
      <c r="AM628" s="1512"/>
      <c r="AN628" s="1512"/>
      <c r="AO628" s="1512"/>
      <c r="AP628" s="1512"/>
      <c r="AQ628" s="1512"/>
    </row>
    <row r="629" spans="1:52" s="101" customFormat="1" ht="14.5" outlineLevel="1">
      <c r="C629" s="22" t="s">
        <v>660</v>
      </c>
      <c r="D629" s="18"/>
      <c r="E629" s="18"/>
      <c r="H629" s="125"/>
      <c r="I629" s="125"/>
      <c r="J629" s="125"/>
      <c r="K629" s="125"/>
      <c r="N629" s="161">
        <f>CHOOSE(case,U629,AC629,AK629)</f>
        <v>0.1</v>
      </c>
      <c r="O629" s="161">
        <f>CHOOSE(case,V629,AD629,AL629)</f>
        <v>0.112</v>
      </c>
      <c r="P629" s="161">
        <f t="shared" ref="P629" si="1427">CHOOSE(case,W629,AE629,AM629)</f>
        <v>0.124</v>
      </c>
      <c r="Q629" s="161">
        <f t="shared" ref="Q629" si="1428">CHOOSE(case,X629,AF629,AN629)</f>
        <v>0.13600000000000001</v>
      </c>
      <c r="R629" s="161">
        <f t="shared" ref="R629" si="1429">CHOOSE(case,Y629,AG629,AO629)</f>
        <v>0.14800000000000002</v>
      </c>
      <c r="S629" s="1044">
        <f t="shared" ref="S629" si="1430">CHOOSE(case,Z629,AH629,AP629)</f>
        <v>0.16000000000000003</v>
      </c>
      <c r="U629" s="1526">
        <f>AC629+0.5%</f>
        <v>0.10500000000000001</v>
      </c>
      <c r="V629" s="1526">
        <f t="shared" ref="V629" si="1431">AD629+0.5%</f>
        <v>0.11700000000000001</v>
      </c>
      <c r="W629" s="1526">
        <f t="shared" ref="W629" si="1432">AE629+0.5%</f>
        <v>0.129</v>
      </c>
      <c r="X629" s="1526">
        <f t="shared" ref="X629" si="1433">AF629+0.5%</f>
        <v>0.14100000000000001</v>
      </c>
      <c r="Y629" s="1526">
        <f t="shared" ref="Y629" si="1434">AG629+0.5%</f>
        <v>0.15300000000000002</v>
      </c>
      <c r="Z629" s="1526">
        <f t="shared" ref="Z629" si="1435">AH629+0.5%</f>
        <v>0.16500000000000004</v>
      </c>
      <c r="AA629" s="1515"/>
      <c r="AB629" s="1321"/>
      <c r="AC629" s="79">
        <v>0.1</v>
      </c>
      <c r="AD629" s="79">
        <f>AC629+1.2%</f>
        <v>0.112</v>
      </c>
      <c r="AE629" s="79">
        <f t="shared" ref="AE629:AH629" si="1436">AD629+1.2%</f>
        <v>0.124</v>
      </c>
      <c r="AF629" s="79">
        <f t="shared" si="1436"/>
        <v>0.13600000000000001</v>
      </c>
      <c r="AG629" s="79">
        <f t="shared" si="1436"/>
        <v>0.14800000000000002</v>
      </c>
      <c r="AH629" s="79">
        <f t="shared" si="1436"/>
        <v>0.16000000000000003</v>
      </c>
      <c r="AI629" s="415"/>
      <c r="AJ629" s="1321"/>
      <c r="AK629" s="1526">
        <f>AC629-0.5%</f>
        <v>9.5000000000000001E-2</v>
      </c>
      <c r="AL629" s="1526">
        <f t="shared" ref="AL629" si="1437">AD629-0.5%</f>
        <v>0.107</v>
      </c>
      <c r="AM629" s="1526">
        <f t="shared" ref="AM629" si="1438">AE629-0.5%</f>
        <v>0.11899999999999999</v>
      </c>
      <c r="AN629" s="1526">
        <f t="shared" ref="AN629" si="1439">AF629-0.5%</f>
        <v>0.13100000000000001</v>
      </c>
      <c r="AO629" s="1526">
        <f t="shared" ref="AO629" si="1440">AG629-0.5%</f>
        <v>0.14300000000000002</v>
      </c>
      <c r="AP629" s="1526">
        <f t="shared" ref="AP629" si="1441">AH629-0.5%</f>
        <v>0.15500000000000003</v>
      </c>
      <c r="AQ629" s="1512"/>
    </row>
    <row r="630" spans="1:52" ht="14.5">
      <c r="AI630" s="424"/>
    </row>
    <row r="631" spans="1:52" s="1125" customFormat="1" ht="14.5">
      <c r="A631" s="58" t="s">
        <v>8</v>
      </c>
      <c r="B631" s="58" t="s">
        <v>187</v>
      </c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U631" s="1515"/>
      <c r="V631" s="1515"/>
      <c r="W631" s="1515"/>
      <c r="X631" s="1515"/>
      <c r="Y631" s="1515"/>
      <c r="Z631" s="1515"/>
      <c r="AA631" s="1515"/>
      <c r="AC631" s="59"/>
      <c r="AD631" s="59"/>
      <c r="AE631" s="59"/>
      <c r="AF631" s="59"/>
      <c r="AG631" s="59"/>
      <c r="AH631" s="59"/>
      <c r="AI631" s="476"/>
      <c r="AK631" s="1515"/>
      <c r="AL631" s="1515"/>
      <c r="AM631" s="1515"/>
      <c r="AN631" s="1515"/>
      <c r="AO631" s="1515"/>
      <c r="AP631" s="1515"/>
      <c r="AQ631" s="1515"/>
    </row>
    <row r="632" spans="1:52" ht="14.5">
      <c r="AI632" s="424"/>
    </row>
    <row r="633" spans="1:52" s="99" customFormat="1" ht="14.5">
      <c r="B633" s="18" t="s">
        <v>64</v>
      </c>
      <c r="C633" s="1"/>
      <c r="H633" s="23">
        <f>SUM(H634,H646,H658)</f>
        <v>-44989.452870000001</v>
      </c>
      <c r="I633" s="23">
        <f t="shared" ref="I633:S633" si="1442">SUM(I634,I646,I658)</f>
        <v>-36060.031780000005</v>
      </c>
      <c r="J633" s="23">
        <f t="shared" si="1442"/>
        <v>-37877.071800000005</v>
      </c>
      <c r="K633" s="23">
        <f>SUM(K634,K646,K658)</f>
        <v>-32150</v>
      </c>
      <c r="L633" s="23">
        <f t="shared" ref="L633:M633" si="1443">SUM(L634,L646,L658)</f>
        <v>-42283.729659999997</v>
      </c>
      <c r="M633" s="23">
        <f t="shared" si="1443"/>
        <v>-25188.73604</v>
      </c>
      <c r="N633" s="23">
        <f t="shared" si="1442"/>
        <v>-40431.812205207309</v>
      </c>
      <c r="O633" s="23">
        <f t="shared" si="1442"/>
        <v>-42004.750617972386</v>
      </c>
      <c r="P633" s="23">
        <f t="shared" si="1442"/>
        <v>-43059.791288465443</v>
      </c>
      <c r="Q633" s="23">
        <f t="shared" si="1442"/>
        <v>-43698.027455321513</v>
      </c>
      <c r="R633" s="23">
        <f t="shared" si="1442"/>
        <v>-44752.908342766925</v>
      </c>
      <c r="S633" s="23">
        <f t="shared" si="1442"/>
        <v>-46647.586509062094</v>
      </c>
      <c r="U633" s="1511"/>
      <c r="V633" s="1511"/>
      <c r="W633" s="1511"/>
      <c r="X633" s="1511"/>
      <c r="Y633" s="1511"/>
      <c r="Z633" s="1511"/>
      <c r="AA633" s="1511"/>
      <c r="AI633" s="414"/>
      <c r="AK633" s="1511"/>
      <c r="AL633" s="1511"/>
      <c r="AM633" s="1511"/>
      <c r="AN633" s="1511"/>
      <c r="AO633" s="1511"/>
      <c r="AP633" s="1511"/>
      <c r="AQ633" s="1511"/>
    </row>
    <row r="634" spans="1:52" ht="14.5">
      <c r="B634" s="1"/>
      <c r="C634" s="1" t="s">
        <v>65</v>
      </c>
      <c r="H634" s="394">
        <v>-10656</v>
      </c>
      <c r="I634" s="394">
        <v>-9882</v>
      </c>
      <c r="J634" s="394">
        <v>-9491</v>
      </c>
      <c r="K634" s="394">
        <v>-8738</v>
      </c>
      <c r="L634" s="394">
        <v>-10395.41561</v>
      </c>
      <c r="M634" s="394">
        <v>-7466.1712099999968</v>
      </c>
      <c r="N634" s="20">
        <f>SUM(N636,N638,N640,N642,N644)</f>
        <v>-10516.954331667643</v>
      </c>
      <c r="O634" s="20">
        <f t="shared" ref="O634:S634" si="1444">SUM(O636,O638,O640,O642,O644)</f>
        <v>-11428.448726436247</v>
      </c>
      <c r="P634" s="20">
        <f t="shared" si="1444"/>
        <v>-12280.099985621369</v>
      </c>
      <c r="Q634" s="20">
        <f t="shared" si="1444"/>
        <v>-13093.108299726666</v>
      </c>
      <c r="R634" s="20">
        <f t="shared" si="1444"/>
        <v>-14124.333263938744</v>
      </c>
      <c r="S634" s="20">
        <f t="shared" si="1444"/>
        <v>-15551.730301299185</v>
      </c>
      <c r="AI634" s="424"/>
      <c r="AS634" s="1510"/>
    </row>
    <row r="635" spans="1:52" s="1321" customFormat="1" ht="14.5">
      <c r="A635" s="1"/>
      <c r="B635" s="1"/>
      <c r="C635" s="1"/>
      <c r="D635" s="22" t="s">
        <v>130</v>
      </c>
      <c r="E635" s="1"/>
      <c r="F635" s="1"/>
      <c r="G635" s="1"/>
      <c r="H635" s="56">
        <f>H634/H$34</f>
        <v>-1.6155221110944345E-2</v>
      </c>
      <c r="I635" s="56">
        <f t="shared" ref="I635:S645" si="1445">I634/I$34</f>
        <v>-1.4105958846914231E-2</v>
      </c>
      <c r="J635" s="56">
        <f t="shared" si="1445"/>
        <v>-1.7123392708620871E-2</v>
      </c>
      <c r="K635" s="56">
        <f t="shared" si="1445"/>
        <v>-1.8015157637783587E-2</v>
      </c>
      <c r="L635" s="56">
        <f t="shared" si="1445"/>
        <v>-1.7752946939681671E-2</v>
      </c>
      <c r="M635" s="56">
        <f t="shared" si="1445"/>
        <v>-2.3274415067306528E-2</v>
      </c>
      <c r="N635" s="56">
        <f t="shared" si="1445"/>
        <v>-1.7752946939681675E-2</v>
      </c>
      <c r="O635" s="56">
        <f t="shared" si="1445"/>
        <v>-1.7752946939681671E-2</v>
      </c>
      <c r="P635" s="56">
        <f t="shared" si="1445"/>
        <v>-1.7752946939681671E-2</v>
      </c>
      <c r="Q635" s="56">
        <f t="shared" si="1445"/>
        <v>-1.7752946939681671E-2</v>
      </c>
      <c r="R635" s="56">
        <f t="shared" si="1445"/>
        <v>-1.7752946939681675E-2</v>
      </c>
      <c r="S635" s="56">
        <f t="shared" si="1445"/>
        <v>-1.7752946939681675E-2</v>
      </c>
      <c r="T635" s="1365"/>
      <c r="U635" s="1526">
        <f>AC635+0.1%</f>
        <v>1E-3</v>
      </c>
      <c r="V635" s="1526">
        <f t="shared" ref="V635:Z635" si="1446">AD635+0.1%</f>
        <v>1E-3</v>
      </c>
      <c r="W635" s="1526">
        <f t="shared" si="1446"/>
        <v>1E-3</v>
      </c>
      <c r="X635" s="1526">
        <f t="shared" si="1446"/>
        <v>1E-3</v>
      </c>
      <c r="Y635" s="1526">
        <f t="shared" si="1446"/>
        <v>1E-3</v>
      </c>
      <c r="Z635" s="1526">
        <f t="shared" si="1446"/>
        <v>1E-3</v>
      </c>
      <c r="AA635" s="1515"/>
      <c r="AC635" s="829"/>
      <c r="AD635" s="829"/>
      <c r="AE635" s="829"/>
      <c r="AF635" s="829"/>
      <c r="AG635" s="829"/>
      <c r="AH635" s="829"/>
      <c r="AI635" s="415"/>
      <c r="AK635" s="1526">
        <f>L635</f>
        <v>-1.7752946939681671E-2</v>
      </c>
      <c r="AL635" s="1526">
        <f t="shared" ref="AL635:AP635" si="1447">AK635</f>
        <v>-1.7752946939681671E-2</v>
      </c>
      <c r="AM635" s="1526">
        <f t="shared" si="1447"/>
        <v>-1.7752946939681671E-2</v>
      </c>
      <c r="AN635" s="1526">
        <f t="shared" si="1447"/>
        <v>-1.7752946939681671E-2</v>
      </c>
      <c r="AO635" s="1526">
        <f t="shared" si="1447"/>
        <v>-1.7752946939681671E-2</v>
      </c>
      <c r="AP635" s="1526">
        <f t="shared" si="1447"/>
        <v>-1.7752946939681671E-2</v>
      </c>
      <c r="AQ635" s="1515"/>
      <c r="AS635" s="1515"/>
      <c r="AU635" s="829"/>
      <c r="AV635" s="829"/>
      <c r="AW635" s="829"/>
      <c r="AX635" s="829"/>
      <c r="AY635" s="829"/>
      <c r="AZ635" s="829"/>
    </row>
    <row r="636" spans="1:52" s="1321" customFormat="1" ht="14.5">
      <c r="A636" s="1"/>
      <c r="B636" s="1"/>
      <c r="C636" s="1"/>
      <c r="D636" s="27" t="s">
        <v>854</v>
      </c>
      <c r="E636" s="28"/>
      <c r="F636" s="28"/>
      <c r="G636" s="28"/>
      <c r="H636" s="419">
        <v>-8442.644449999998</v>
      </c>
      <c r="I636" s="419">
        <v>-7670.9043100000035</v>
      </c>
      <c r="J636" s="419">
        <v>-7309.0319500000023</v>
      </c>
      <c r="K636" s="411"/>
      <c r="L636" s="419">
        <v>-8452.5274700000027</v>
      </c>
      <c r="M636" s="1029"/>
      <c r="N636" s="29">
        <f>N637*N$34</f>
        <v>-8551.3507804000401</v>
      </c>
      <c r="O636" s="29">
        <f t="shared" ref="O636" si="1448">O637*O$34</f>
        <v>-9292.4881913104127</v>
      </c>
      <c r="P636" s="29">
        <f t="shared" ref="P636" si="1449">P637*P$34</f>
        <v>-9984.9670621116493</v>
      </c>
      <c r="Q636" s="29">
        <f t="shared" ref="Q636" si="1450">Q637*Q$34</f>
        <v>-10646.02529836945</v>
      </c>
      <c r="R636" s="29">
        <f t="shared" ref="R636" si="1451">R637*R$34</f>
        <v>-11484.5158084908</v>
      </c>
      <c r="S636" s="30">
        <f t="shared" ref="S636" si="1452">S637*S$34</f>
        <v>-12645.13440437258</v>
      </c>
      <c r="T636" s="1365"/>
      <c r="U636" s="1526"/>
      <c r="V636" s="1526"/>
      <c r="W636" s="1526"/>
      <c r="X636" s="1526"/>
      <c r="Y636" s="1526"/>
      <c r="Z636" s="1526"/>
      <c r="AA636" s="1515"/>
      <c r="AC636" s="829"/>
      <c r="AD636" s="829"/>
      <c r="AE636" s="829"/>
      <c r="AF636" s="829"/>
      <c r="AG636" s="829"/>
      <c r="AH636" s="829"/>
      <c r="AI636" s="415"/>
      <c r="AK636" s="1526"/>
      <c r="AL636" s="1526"/>
      <c r="AM636" s="1526"/>
      <c r="AN636" s="1526"/>
      <c r="AO636" s="1526"/>
      <c r="AP636" s="1526"/>
      <c r="AQ636" s="1515"/>
      <c r="AS636" s="1515"/>
      <c r="AU636" s="829"/>
      <c r="AV636" s="829"/>
      <c r="AW636" s="829"/>
      <c r="AX636" s="829"/>
      <c r="AY636" s="829"/>
      <c r="AZ636" s="829"/>
    </row>
    <row r="637" spans="1:52" s="1321" customFormat="1" ht="14.5">
      <c r="A637" s="1"/>
      <c r="B637" s="1"/>
      <c r="C637" s="1"/>
      <c r="D637" s="715"/>
      <c r="E637" s="22" t="s">
        <v>130</v>
      </c>
      <c r="F637" s="1"/>
      <c r="G637" s="1"/>
      <c r="H637" s="855">
        <f>H636/H$34</f>
        <v>-1.2799623484500476E-2</v>
      </c>
      <c r="I637" s="855">
        <f t="shared" si="1445"/>
        <v>-1.0949753138582985E-2</v>
      </c>
      <c r="J637" s="855">
        <f t="shared" si="1445"/>
        <v>-1.318674790851407E-2</v>
      </c>
      <c r="K637" s="1027"/>
      <c r="L637" s="855">
        <f>L636/L$34</f>
        <v>-1.4434946837215662E-2</v>
      </c>
      <c r="M637" s="1030"/>
      <c r="N637" s="79">
        <f t="shared" ref="N637:S637" si="1453">CHOOSE(case,U637,AC637,AK637)</f>
        <v>-1.4434946837215662E-2</v>
      </c>
      <c r="O637" s="79">
        <f t="shared" si="1453"/>
        <v>-1.4434946837215662E-2</v>
      </c>
      <c r="P637" s="79">
        <f t="shared" si="1453"/>
        <v>-1.4434946837215662E-2</v>
      </c>
      <c r="Q637" s="79">
        <f t="shared" si="1453"/>
        <v>-1.4434946837215662E-2</v>
      </c>
      <c r="R637" s="79">
        <f t="shared" si="1453"/>
        <v>-1.4434946837215662E-2</v>
      </c>
      <c r="S637" s="856">
        <f t="shared" si="1453"/>
        <v>-1.4434946837215662E-2</v>
      </c>
      <c r="T637" s="1365"/>
      <c r="U637" s="1526">
        <f>L637</f>
        <v>-1.4434946837215662E-2</v>
      </c>
      <c r="V637" s="1526">
        <f>U637</f>
        <v>-1.4434946837215662E-2</v>
      </c>
      <c r="W637" s="1526">
        <f t="shared" ref="W637:Z637" si="1454">V637</f>
        <v>-1.4434946837215662E-2</v>
      </c>
      <c r="X637" s="1526">
        <f t="shared" si="1454"/>
        <v>-1.4434946837215662E-2</v>
      </c>
      <c r="Y637" s="1526">
        <f t="shared" si="1454"/>
        <v>-1.4434946837215662E-2</v>
      </c>
      <c r="Z637" s="1526">
        <f t="shared" si="1454"/>
        <v>-1.4434946837215662E-2</v>
      </c>
      <c r="AA637" s="1515"/>
      <c r="AC637" s="79">
        <f>L637</f>
        <v>-1.4434946837215662E-2</v>
      </c>
      <c r="AD637" s="79">
        <f>AC637</f>
        <v>-1.4434946837215662E-2</v>
      </c>
      <c r="AE637" s="79">
        <f t="shared" ref="AE637:AH637" si="1455">AD637</f>
        <v>-1.4434946837215662E-2</v>
      </c>
      <c r="AF637" s="79">
        <f t="shared" si="1455"/>
        <v>-1.4434946837215662E-2</v>
      </c>
      <c r="AG637" s="79">
        <f t="shared" si="1455"/>
        <v>-1.4434946837215662E-2</v>
      </c>
      <c r="AH637" s="79">
        <f t="shared" si="1455"/>
        <v>-1.4434946837215662E-2</v>
      </c>
      <c r="AI637" s="415"/>
      <c r="AK637" s="1526"/>
      <c r="AL637" s="1526"/>
      <c r="AM637" s="1526"/>
      <c r="AN637" s="1526"/>
      <c r="AO637" s="1526"/>
      <c r="AP637" s="1526"/>
      <c r="AQ637" s="1515"/>
      <c r="AS637" s="1515"/>
    </row>
    <row r="638" spans="1:52" s="1321" customFormat="1" ht="14.5">
      <c r="A638" s="1"/>
      <c r="B638" s="1"/>
      <c r="C638" s="1"/>
      <c r="D638" s="31" t="s">
        <v>986</v>
      </c>
      <c r="E638" s="1"/>
      <c r="F638" s="1"/>
      <c r="G638" s="1"/>
      <c r="H638" s="394">
        <v>-1072.0654100000002</v>
      </c>
      <c r="I638" s="394">
        <v>-1066.20993</v>
      </c>
      <c r="J638" s="394">
        <v>-1013.8321599999999</v>
      </c>
      <c r="K638" s="412"/>
      <c r="L638" s="394">
        <v>-933.86444999999992</v>
      </c>
      <c r="M638" s="1030"/>
      <c r="N638" s="20">
        <f>N639*N$34</f>
        <v>-944.78279090352964</v>
      </c>
      <c r="O638" s="20">
        <f t="shared" ref="O638" si="1456">O639*O$34</f>
        <v>-1026.6662137105825</v>
      </c>
      <c r="P638" s="20">
        <f t="shared" ref="P638" si="1457">P639*P$34</f>
        <v>-1103.1736728241601</v>
      </c>
      <c r="Q638" s="20">
        <f t="shared" ref="Q638" si="1458">Q639*Q$34</f>
        <v>-1176.2096716318472</v>
      </c>
      <c r="R638" s="20">
        <f t="shared" ref="R638" si="1459">R639*R$34</f>
        <v>-1268.8490013286596</v>
      </c>
      <c r="S638" s="32">
        <f t="shared" ref="S638" si="1460">S639*S$34</f>
        <v>-1397.0781553361189</v>
      </c>
      <c r="T638" s="1365"/>
      <c r="U638" s="1526"/>
      <c r="V638" s="1526"/>
      <c r="W638" s="1526"/>
      <c r="X638" s="1526"/>
      <c r="Y638" s="1526"/>
      <c r="Z638" s="1526"/>
      <c r="AA638" s="1515"/>
      <c r="AC638" s="829"/>
      <c r="AD638" s="829"/>
      <c r="AE638" s="829"/>
      <c r="AF638" s="829"/>
      <c r="AG638" s="829"/>
      <c r="AH638" s="829"/>
      <c r="AI638" s="415"/>
      <c r="AK638" s="1526"/>
      <c r="AL638" s="1526"/>
      <c r="AM638" s="1526"/>
      <c r="AN638" s="1526"/>
      <c r="AO638" s="1526"/>
      <c r="AP638" s="1526"/>
      <c r="AQ638" s="1515"/>
      <c r="AS638" s="1515"/>
    </row>
    <row r="639" spans="1:52" s="1321" customFormat="1" ht="14.5">
      <c r="A639" s="1"/>
      <c r="B639" s="1"/>
      <c r="C639" s="1"/>
      <c r="D639" s="715"/>
      <c r="E639" s="22" t="s">
        <v>130</v>
      </c>
      <c r="F639" s="1"/>
      <c r="G639" s="1"/>
      <c r="H639" s="855">
        <f>H638/H$34</f>
        <v>-1.6253241126074705E-3</v>
      </c>
      <c r="I639" s="855">
        <f t="shared" si="1445"/>
        <v>-1.5219503536481789E-3</v>
      </c>
      <c r="J639" s="855">
        <f t="shared" si="1445"/>
        <v>-1.8291271959023653E-3</v>
      </c>
      <c r="K639" s="1027"/>
      <c r="L639" s="855">
        <f>L638/L$34</f>
        <v>-1.594822819181638E-3</v>
      </c>
      <c r="M639" s="1030"/>
      <c r="N639" s="79">
        <f t="shared" ref="N639:S639" si="1461">CHOOSE(case,U639,AC639,AK639)</f>
        <v>-1.594822819181638E-3</v>
      </c>
      <c r="O639" s="79">
        <f t="shared" si="1461"/>
        <v>-1.594822819181638E-3</v>
      </c>
      <c r="P639" s="79">
        <f t="shared" si="1461"/>
        <v>-1.594822819181638E-3</v>
      </c>
      <c r="Q639" s="79">
        <f t="shared" si="1461"/>
        <v>-1.594822819181638E-3</v>
      </c>
      <c r="R639" s="79">
        <f t="shared" si="1461"/>
        <v>-1.594822819181638E-3</v>
      </c>
      <c r="S639" s="856">
        <f t="shared" si="1461"/>
        <v>-1.594822819181638E-3</v>
      </c>
      <c r="T639" s="1365"/>
      <c r="U639" s="1526">
        <f>L639</f>
        <v>-1.594822819181638E-3</v>
      </c>
      <c r="V639" s="1526">
        <f>U639</f>
        <v>-1.594822819181638E-3</v>
      </c>
      <c r="W639" s="1526">
        <f t="shared" ref="W639:Z639" si="1462">V639</f>
        <v>-1.594822819181638E-3</v>
      </c>
      <c r="X639" s="1526">
        <f t="shared" si="1462"/>
        <v>-1.594822819181638E-3</v>
      </c>
      <c r="Y639" s="1526">
        <f t="shared" si="1462"/>
        <v>-1.594822819181638E-3</v>
      </c>
      <c r="Z639" s="1526">
        <f t="shared" si="1462"/>
        <v>-1.594822819181638E-3</v>
      </c>
      <c r="AA639" s="1515"/>
      <c r="AC639" s="79">
        <f>L639</f>
        <v>-1.594822819181638E-3</v>
      </c>
      <c r="AD639" s="79">
        <f>AC639</f>
        <v>-1.594822819181638E-3</v>
      </c>
      <c r="AE639" s="79">
        <f t="shared" ref="AE639:AH639" si="1463">AD639</f>
        <v>-1.594822819181638E-3</v>
      </c>
      <c r="AF639" s="79">
        <f t="shared" si="1463"/>
        <v>-1.594822819181638E-3</v>
      </c>
      <c r="AG639" s="79">
        <f t="shared" si="1463"/>
        <v>-1.594822819181638E-3</v>
      </c>
      <c r="AH639" s="79">
        <f t="shared" si="1463"/>
        <v>-1.594822819181638E-3</v>
      </c>
      <c r="AI639" s="415"/>
      <c r="AK639" s="1526"/>
      <c r="AL639" s="1526"/>
      <c r="AM639" s="1526"/>
      <c r="AN639" s="1526"/>
      <c r="AO639" s="1526"/>
      <c r="AP639" s="1526"/>
      <c r="AQ639" s="1515"/>
      <c r="AS639" s="1515"/>
    </row>
    <row r="640" spans="1:52" s="1321" customFormat="1" ht="14.5">
      <c r="A640" s="1"/>
      <c r="B640" s="1"/>
      <c r="C640" s="1"/>
      <c r="D640" s="31" t="s">
        <v>987</v>
      </c>
      <c r="E640" s="1"/>
      <c r="F640" s="1"/>
      <c r="G640" s="1"/>
      <c r="H640" s="394">
        <v>-283.05464000000001</v>
      </c>
      <c r="I640" s="394">
        <v>-303.45675999999997</v>
      </c>
      <c r="J640" s="394">
        <v>-376.41134</v>
      </c>
      <c r="K640" s="412"/>
      <c r="L640" s="394">
        <v>-387.71128000000004</v>
      </c>
      <c r="M640" s="1030"/>
      <c r="N640" s="20">
        <f>N641*N$34</f>
        <v>-392.2442332858692</v>
      </c>
      <c r="O640" s="20">
        <f t="shared" ref="O640" si="1464">O641*O$34</f>
        <v>-426.23966663522054</v>
      </c>
      <c r="P640" s="20">
        <f t="shared" ref="P640" si="1465">P641*P$34</f>
        <v>-458.00316818244494</v>
      </c>
      <c r="Q640" s="20">
        <f t="shared" ref="Q640" si="1466">Q641*Q$34</f>
        <v>-488.32542810336474</v>
      </c>
      <c r="R640" s="20">
        <f t="shared" ref="R640" si="1467">R641*R$34</f>
        <v>-526.78637722193673</v>
      </c>
      <c r="S640" s="32">
        <f t="shared" ref="S640" si="1468">S641*S$34</f>
        <v>-580.0231070637775</v>
      </c>
      <c r="T640" s="1365"/>
      <c r="U640" s="1526"/>
      <c r="V640" s="1526"/>
      <c r="W640" s="1526"/>
      <c r="X640" s="1526"/>
      <c r="Y640" s="1526"/>
      <c r="Z640" s="1526"/>
      <c r="AA640" s="1515"/>
      <c r="AC640" s="829"/>
      <c r="AD640" s="829"/>
      <c r="AE640" s="829"/>
      <c r="AF640" s="829"/>
      <c r="AG640" s="829"/>
      <c r="AH640" s="829"/>
      <c r="AI640" s="415"/>
      <c r="AK640" s="1526"/>
      <c r="AL640" s="1526"/>
      <c r="AM640" s="1526"/>
      <c r="AN640" s="1526"/>
      <c r="AO640" s="1526"/>
      <c r="AP640" s="1526"/>
      <c r="AQ640" s="1515"/>
      <c r="AS640" s="1515"/>
    </row>
    <row r="641" spans="1:45" s="1321" customFormat="1" ht="14.5">
      <c r="A641" s="1"/>
      <c r="B641" s="1"/>
      <c r="C641" s="1"/>
      <c r="D641" s="715"/>
      <c r="E641" s="22" t="s">
        <v>130</v>
      </c>
      <c r="F641" s="1"/>
      <c r="G641" s="1"/>
      <c r="H641" s="855">
        <f>H640/H$34</f>
        <v>-4.2913009531519812E-4</v>
      </c>
      <c r="I641" s="855">
        <f t="shared" si="1445"/>
        <v>-4.3316621821270276E-4</v>
      </c>
      <c r="J641" s="855">
        <f t="shared" si="1445"/>
        <v>-6.7911065164874226E-4</v>
      </c>
      <c r="K641" s="1027"/>
      <c r="L641" s="855">
        <f>L640/L$34</f>
        <v>-6.6212050003415545E-4</v>
      </c>
      <c r="M641" s="1030"/>
      <c r="N641" s="79">
        <f t="shared" ref="N641:S641" si="1469">CHOOSE(case,U641,AC641,AK641)</f>
        <v>-6.6212050003415545E-4</v>
      </c>
      <c r="O641" s="79">
        <f t="shared" si="1469"/>
        <v>-6.6212050003415545E-4</v>
      </c>
      <c r="P641" s="79">
        <f t="shared" si="1469"/>
        <v>-6.6212050003415545E-4</v>
      </c>
      <c r="Q641" s="79">
        <f t="shared" si="1469"/>
        <v>-6.6212050003415545E-4</v>
      </c>
      <c r="R641" s="79">
        <f t="shared" si="1469"/>
        <v>-6.6212050003415545E-4</v>
      </c>
      <c r="S641" s="856">
        <f t="shared" si="1469"/>
        <v>-6.6212050003415545E-4</v>
      </c>
      <c r="T641" s="1365"/>
      <c r="U641" s="1526">
        <f>L641</f>
        <v>-6.6212050003415545E-4</v>
      </c>
      <c r="V641" s="1526">
        <f>U641</f>
        <v>-6.6212050003415545E-4</v>
      </c>
      <c r="W641" s="1526">
        <f t="shared" ref="W641:Z641" si="1470">V641</f>
        <v>-6.6212050003415545E-4</v>
      </c>
      <c r="X641" s="1526">
        <f t="shared" si="1470"/>
        <v>-6.6212050003415545E-4</v>
      </c>
      <c r="Y641" s="1526">
        <f t="shared" si="1470"/>
        <v>-6.6212050003415545E-4</v>
      </c>
      <c r="Z641" s="1526">
        <f t="shared" si="1470"/>
        <v>-6.6212050003415545E-4</v>
      </c>
      <c r="AA641" s="1515"/>
      <c r="AC641" s="79">
        <f>L641</f>
        <v>-6.6212050003415545E-4</v>
      </c>
      <c r="AD641" s="79">
        <f>AC641</f>
        <v>-6.6212050003415545E-4</v>
      </c>
      <c r="AE641" s="79">
        <f t="shared" ref="AE641:AH641" si="1471">AD641</f>
        <v>-6.6212050003415545E-4</v>
      </c>
      <c r="AF641" s="79">
        <f t="shared" si="1471"/>
        <v>-6.6212050003415545E-4</v>
      </c>
      <c r="AG641" s="79">
        <f t="shared" si="1471"/>
        <v>-6.6212050003415545E-4</v>
      </c>
      <c r="AH641" s="79">
        <f t="shared" si="1471"/>
        <v>-6.6212050003415545E-4</v>
      </c>
      <c r="AI641" s="415"/>
      <c r="AK641" s="1526"/>
      <c r="AL641" s="1526"/>
      <c r="AM641" s="1526"/>
      <c r="AN641" s="1526"/>
      <c r="AO641" s="1526"/>
      <c r="AP641" s="1526"/>
      <c r="AQ641" s="1515"/>
      <c r="AS641" s="1515"/>
    </row>
    <row r="642" spans="1:45" s="1321" customFormat="1" ht="14.5">
      <c r="A642" s="1"/>
      <c r="B642" s="1"/>
      <c r="C642" s="1"/>
      <c r="D642" s="31" t="s">
        <v>988</v>
      </c>
      <c r="E642" s="1"/>
      <c r="F642" s="1"/>
      <c r="G642" s="1"/>
      <c r="H642" s="394">
        <v>-60.66995</v>
      </c>
      <c r="I642" s="394">
        <v>-125.94038</v>
      </c>
      <c r="J642" s="394">
        <v>-138.07452000000001</v>
      </c>
      <c r="K642" s="412"/>
      <c r="L642" s="394">
        <v>-209.19797</v>
      </c>
      <c r="M642" s="1030"/>
      <c r="N642" s="20">
        <f>N643*N$34</f>
        <v>-211.64382255685274</v>
      </c>
      <c r="O642" s="20">
        <f t="shared" ref="O642" si="1472">O643*O$34</f>
        <v>-229.98679066950245</v>
      </c>
      <c r="P642" s="20">
        <f t="shared" ref="P642" si="1473">P643*P$34</f>
        <v>-247.12547191646334</v>
      </c>
      <c r="Q642" s="20">
        <f t="shared" ref="Q642" si="1474">Q643*Q$34</f>
        <v>-263.48650020862129</v>
      </c>
      <c r="R642" s="20">
        <f t="shared" ref="R642" si="1475">R643*R$34</f>
        <v>-284.23893351383373</v>
      </c>
      <c r="S642" s="32">
        <f t="shared" ref="S642" si="1476">S643*S$34</f>
        <v>-312.9639574861863</v>
      </c>
      <c r="T642" s="1365"/>
      <c r="U642" s="1526"/>
      <c r="V642" s="1526"/>
      <c r="W642" s="1526"/>
      <c r="X642" s="1526"/>
      <c r="Y642" s="1526"/>
      <c r="Z642" s="1526"/>
      <c r="AA642" s="1515"/>
      <c r="AC642" s="829"/>
      <c r="AD642" s="829"/>
      <c r="AE642" s="829"/>
      <c r="AF642" s="829"/>
      <c r="AG642" s="829"/>
      <c r="AH642" s="829"/>
      <c r="AI642" s="415"/>
      <c r="AK642" s="1526"/>
      <c r="AL642" s="1526"/>
      <c r="AM642" s="1526"/>
      <c r="AN642" s="1526"/>
      <c r="AO642" s="1526"/>
      <c r="AP642" s="1526"/>
      <c r="AQ642" s="1515"/>
      <c r="AS642" s="1515"/>
    </row>
    <row r="643" spans="1:45" s="1321" customFormat="1" ht="14.5">
      <c r="A643" s="1"/>
      <c r="B643" s="1"/>
      <c r="C643" s="1"/>
      <c r="D643" s="715"/>
      <c r="E643" s="22" t="s">
        <v>130</v>
      </c>
      <c r="F643" s="1"/>
      <c r="G643" s="1"/>
      <c r="H643" s="855">
        <f>H642/H$34</f>
        <v>-9.1979772620114284E-5</v>
      </c>
      <c r="I643" s="855">
        <f t="shared" si="1445"/>
        <v>-1.7977229482339004E-4</v>
      </c>
      <c r="J643" s="855">
        <f t="shared" si="1445"/>
        <v>-2.4911012843897661E-4</v>
      </c>
      <c r="K643" s="1027"/>
      <c r="L643" s="855">
        <f>L642/L$34</f>
        <v>-3.5726137372771365E-4</v>
      </c>
      <c r="M643" s="1030"/>
      <c r="N643" s="79">
        <f t="shared" ref="N643:S643" si="1477">CHOOSE(case,U643,AC643,AK643)</f>
        <v>-3.5726137372771365E-4</v>
      </c>
      <c r="O643" s="79">
        <f t="shared" si="1477"/>
        <v>-3.5726137372771365E-4</v>
      </c>
      <c r="P643" s="79">
        <f t="shared" si="1477"/>
        <v>-3.5726137372771365E-4</v>
      </c>
      <c r="Q643" s="79">
        <f t="shared" si="1477"/>
        <v>-3.5726137372771365E-4</v>
      </c>
      <c r="R643" s="79">
        <f t="shared" si="1477"/>
        <v>-3.5726137372771365E-4</v>
      </c>
      <c r="S643" s="856">
        <f t="shared" si="1477"/>
        <v>-3.5726137372771365E-4</v>
      </c>
      <c r="T643" s="1365"/>
      <c r="U643" s="1526">
        <f>L643</f>
        <v>-3.5726137372771365E-4</v>
      </c>
      <c r="V643" s="1526">
        <f>U643</f>
        <v>-3.5726137372771365E-4</v>
      </c>
      <c r="W643" s="1526">
        <f t="shared" ref="W643:Z643" si="1478">V643</f>
        <v>-3.5726137372771365E-4</v>
      </c>
      <c r="X643" s="1526">
        <f t="shared" si="1478"/>
        <v>-3.5726137372771365E-4</v>
      </c>
      <c r="Y643" s="1526">
        <f t="shared" si="1478"/>
        <v>-3.5726137372771365E-4</v>
      </c>
      <c r="Z643" s="1526">
        <f t="shared" si="1478"/>
        <v>-3.5726137372771365E-4</v>
      </c>
      <c r="AA643" s="1515"/>
      <c r="AC643" s="79">
        <f>L643</f>
        <v>-3.5726137372771365E-4</v>
      </c>
      <c r="AD643" s="79">
        <f>AC643</f>
        <v>-3.5726137372771365E-4</v>
      </c>
      <c r="AE643" s="79">
        <f t="shared" ref="AE643:AH643" si="1479">AD643</f>
        <v>-3.5726137372771365E-4</v>
      </c>
      <c r="AF643" s="79">
        <f t="shared" si="1479"/>
        <v>-3.5726137372771365E-4</v>
      </c>
      <c r="AG643" s="79">
        <f t="shared" si="1479"/>
        <v>-3.5726137372771365E-4</v>
      </c>
      <c r="AH643" s="79">
        <f t="shared" si="1479"/>
        <v>-3.5726137372771365E-4</v>
      </c>
      <c r="AI643" s="415"/>
      <c r="AK643" s="1526"/>
      <c r="AL643" s="1526"/>
      <c r="AM643" s="1526"/>
      <c r="AN643" s="1526"/>
      <c r="AO643" s="1526"/>
      <c r="AP643" s="1526"/>
      <c r="AQ643" s="1515"/>
      <c r="AS643" s="1515"/>
    </row>
    <row r="644" spans="1:45" s="1321" customFormat="1" ht="14.5">
      <c r="A644" s="1"/>
      <c r="B644" s="1"/>
      <c r="C644" s="1"/>
      <c r="D644" s="31" t="s">
        <v>167</v>
      </c>
      <c r="E644" s="1"/>
      <c r="F644" s="1"/>
      <c r="G644" s="1"/>
      <c r="H644" s="20">
        <f>H634-H636-H638-H640-H642</f>
        <v>-797.56555000000185</v>
      </c>
      <c r="I644" s="20">
        <f t="shared" ref="I644:L644" si="1480">I634-I636-I638-I640-I642</f>
        <v>-715.48861999999644</v>
      </c>
      <c r="J644" s="20">
        <f t="shared" si="1480"/>
        <v>-653.65002999999774</v>
      </c>
      <c r="K644" s="119"/>
      <c r="L644" s="20">
        <f t="shared" si="1480"/>
        <v>-412.11443999999727</v>
      </c>
      <c r="M644" s="1030"/>
      <c r="N644" s="20">
        <f>N645*N$34</f>
        <v>-416.93270452134959</v>
      </c>
      <c r="O644" s="20">
        <f t="shared" ref="O644:S644" si="1481">O645*O$34</f>
        <v>-453.0678641105294</v>
      </c>
      <c r="P644" s="20">
        <f t="shared" si="1481"/>
        <v>-486.83061058665311</v>
      </c>
      <c r="Q644" s="20">
        <f t="shared" si="1481"/>
        <v>-519.06140141338437</v>
      </c>
      <c r="R644" s="20">
        <f t="shared" si="1481"/>
        <v>-559.94314338351387</v>
      </c>
      <c r="S644" s="32">
        <f t="shared" si="1481"/>
        <v>-616.53067704052114</v>
      </c>
      <c r="T644" s="1365"/>
      <c r="U644" s="1526"/>
      <c r="V644" s="1526"/>
      <c r="W644" s="1526"/>
      <c r="X644" s="1526"/>
      <c r="Y644" s="1526"/>
      <c r="Z644" s="1526"/>
      <c r="AA644" s="1515"/>
      <c r="AC644" s="829"/>
      <c r="AD644" s="829"/>
      <c r="AE644" s="829"/>
      <c r="AF644" s="829"/>
      <c r="AG644" s="829"/>
      <c r="AH644" s="829"/>
      <c r="AI644" s="415"/>
      <c r="AK644" s="1526"/>
      <c r="AL644" s="1526"/>
      <c r="AM644" s="1526"/>
      <c r="AN644" s="1526"/>
      <c r="AO644" s="1526"/>
      <c r="AP644" s="1526"/>
      <c r="AQ644" s="1515"/>
      <c r="AS644" s="1515"/>
    </row>
    <row r="645" spans="1:45" s="1321" customFormat="1" ht="14.5">
      <c r="A645" s="1"/>
      <c r="B645" s="1"/>
      <c r="C645" s="1"/>
      <c r="D645" s="719"/>
      <c r="E645" s="720" t="s">
        <v>130</v>
      </c>
      <c r="F645" s="34"/>
      <c r="G645" s="34"/>
      <c r="H645" s="857">
        <f>H644/H$34</f>
        <v>-1.2091636459010855E-3</v>
      </c>
      <c r="I645" s="857">
        <f t="shared" si="1445"/>
        <v>-1.0213168416469747E-3</v>
      </c>
      <c r="J645" s="857">
        <f t="shared" si="1445"/>
        <v>-1.1792968241167187E-3</v>
      </c>
      <c r="K645" s="1028"/>
      <c r="L645" s="857">
        <f>L644/L$34</f>
        <v>-7.037954095225037E-4</v>
      </c>
      <c r="M645" s="1031"/>
      <c r="N645" s="858">
        <f t="shared" ref="N645:S645" si="1482">CHOOSE(case,U645,AC645,AK645)</f>
        <v>-7.037954095225037E-4</v>
      </c>
      <c r="O645" s="858">
        <f t="shared" si="1482"/>
        <v>-7.037954095225037E-4</v>
      </c>
      <c r="P645" s="858">
        <f t="shared" si="1482"/>
        <v>-7.037954095225037E-4</v>
      </c>
      <c r="Q645" s="858">
        <f t="shared" si="1482"/>
        <v>-7.037954095225037E-4</v>
      </c>
      <c r="R645" s="858">
        <f t="shared" si="1482"/>
        <v>-7.037954095225037E-4</v>
      </c>
      <c r="S645" s="859">
        <f t="shared" si="1482"/>
        <v>-7.037954095225037E-4</v>
      </c>
      <c r="T645" s="1365"/>
      <c r="U645" s="1526">
        <f>L645</f>
        <v>-7.037954095225037E-4</v>
      </c>
      <c r="V645" s="1526">
        <f>U645</f>
        <v>-7.037954095225037E-4</v>
      </c>
      <c r="W645" s="1526">
        <f t="shared" ref="W645:Z645" si="1483">V645</f>
        <v>-7.037954095225037E-4</v>
      </c>
      <c r="X645" s="1526">
        <f t="shared" si="1483"/>
        <v>-7.037954095225037E-4</v>
      </c>
      <c r="Y645" s="1526">
        <f t="shared" si="1483"/>
        <v>-7.037954095225037E-4</v>
      </c>
      <c r="Z645" s="1526">
        <f t="shared" si="1483"/>
        <v>-7.037954095225037E-4</v>
      </c>
      <c r="AA645" s="1515"/>
      <c r="AC645" s="79">
        <f>L645</f>
        <v>-7.037954095225037E-4</v>
      </c>
      <c r="AD645" s="79">
        <f>AC645</f>
        <v>-7.037954095225037E-4</v>
      </c>
      <c r="AE645" s="79">
        <f t="shared" ref="AE645:AH645" si="1484">AD645</f>
        <v>-7.037954095225037E-4</v>
      </c>
      <c r="AF645" s="79">
        <f t="shared" si="1484"/>
        <v>-7.037954095225037E-4</v>
      </c>
      <c r="AG645" s="79">
        <f t="shared" si="1484"/>
        <v>-7.037954095225037E-4</v>
      </c>
      <c r="AH645" s="79">
        <f t="shared" si="1484"/>
        <v>-7.037954095225037E-4</v>
      </c>
      <c r="AI645" s="415"/>
      <c r="AK645" s="1526"/>
      <c r="AL645" s="1526"/>
      <c r="AM645" s="1526"/>
      <c r="AN645" s="1526"/>
      <c r="AO645" s="1526"/>
      <c r="AP645" s="1526"/>
      <c r="AQ645" s="1515"/>
      <c r="AS645" s="1515"/>
    </row>
    <row r="646" spans="1:45" ht="14.5">
      <c r="B646" s="1"/>
      <c r="C646" s="1" t="s">
        <v>66</v>
      </c>
      <c r="H646" s="394">
        <v>-31738.99987</v>
      </c>
      <c r="I646" s="394">
        <v>-24099.926780000002</v>
      </c>
      <c r="J646" s="394">
        <v>-26556.350119999999</v>
      </c>
      <c r="K646" s="394">
        <v>-21847</v>
      </c>
      <c r="L646" s="394">
        <v>-30118.804</v>
      </c>
      <c r="M646" s="394">
        <v>-16758.806550000005</v>
      </c>
      <c r="N646" s="20">
        <f>SUM(N648,N650,N652,N654,N656)</f>
        <v>-28124.659474220745</v>
      </c>
      <c r="O646" s="20">
        <f t="shared" ref="O646:S646" si="1485">SUM(O648,O650,O652,O654,O656)</f>
        <v>-28630.948705475435</v>
      </c>
      <c r="P646" s="20">
        <f t="shared" si="1485"/>
        <v>-28689.369842424669</v>
      </c>
      <c r="Q646" s="20">
        <f t="shared" si="1485"/>
        <v>-28376.207231867855</v>
      </c>
      <c r="R646" s="20">
        <f t="shared" si="1485"/>
        <v>-28224.327803130378</v>
      </c>
      <c r="S646" s="20">
        <f t="shared" si="1485"/>
        <v>-28448.6370781529</v>
      </c>
      <c r="AI646" s="424"/>
    </row>
    <row r="647" spans="1:45" ht="14.5">
      <c r="B647" s="1"/>
      <c r="C647" s="1"/>
      <c r="D647" s="22" t="s">
        <v>130</v>
      </c>
      <c r="F647" s="1"/>
      <c r="G647" s="1"/>
      <c r="H647" s="56">
        <f>H646/H$34</f>
        <v>-4.8118483552935791E-2</v>
      </c>
      <c r="I647" s="56">
        <f t="shared" ref="I647" si="1486">I646/I$34</f>
        <v>-3.4401191598090089E-2</v>
      </c>
      <c r="J647" s="56">
        <f t="shared" ref="J647" si="1487">J646/J$34</f>
        <v>-4.7912212834515966E-2</v>
      </c>
      <c r="K647" s="56">
        <f t="shared" ref="K647:S647" si="1488">K646/K$34</f>
        <v>-4.5042017499731982E-2</v>
      </c>
      <c r="L647" s="56">
        <f t="shared" si="1488"/>
        <v>-5.1435897260741853E-2</v>
      </c>
      <c r="M647" s="56">
        <f t="shared" si="1488"/>
        <v>-5.2242496013883352E-2</v>
      </c>
      <c r="N647" s="56">
        <f>N646/N$34</f>
        <v>-4.7475302411366903E-2</v>
      </c>
      <c r="O647" s="56">
        <f t="shared" si="1488"/>
        <v>-4.4475302411366907E-2</v>
      </c>
      <c r="P647" s="56">
        <f t="shared" si="1488"/>
        <v>-4.1475302411366904E-2</v>
      </c>
      <c r="Q647" s="56">
        <f t="shared" si="1488"/>
        <v>-3.8475302411366895E-2</v>
      </c>
      <c r="R647" s="56">
        <f t="shared" si="1488"/>
        <v>-3.5475302411366899E-2</v>
      </c>
      <c r="S647" s="56">
        <f t="shared" si="1488"/>
        <v>-3.2475302411366903E-2</v>
      </c>
      <c r="T647" s="1365"/>
      <c r="U647" s="1526">
        <f>AC647+0.1%</f>
        <v>1E-3</v>
      </c>
      <c r="V647" s="1526">
        <f t="shared" ref="V647" si="1489">AD647+0.1%</f>
        <v>1E-3</v>
      </c>
      <c r="W647" s="1526">
        <f t="shared" ref="W647" si="1490">AE647+0.1%</f>
        <v>1E-3</v>
      </c>
      <c r="X647" s="1526">
        <f t="shared" ref="X647" si="1491">AF647+0.1%</f>
        <v>1E-3</v>
      </c>
      <c r="Y647" s="1526">
        <f t="shared" ref="Y647" si="1492">AG647+0.1%</f>
        <v>1E-3</v>
      </c>
      <c r="Z647" s="1526">
        <f t="shared" ref="Z647" si="1493">AH647+0.1%</f>
        <v>1E-3</v>
      </c>
      <c r="AA647" s="1515"/>
      <c r="AB647" s="1321"/>
      <c r="AC647" s="829"/>
      <c r="AD647" s="829"/>
      <c r="AE647" s="829"/>
      <c r="AF647" s="829"/>
      <c r="AG647" s="829"/>
      <c r="AH647" s="829"/>
      <c r="AI647" s="415"/>
      <c r="AJ647" s="1321"/>
      <c r="AK647" s="1526">
        <f>L647</f>
        <v>-5.1435897260741853E-2</v>
      </c>
      <c r="AL647" s="1526">
        <f t="shared" ref="AL647" si="1494">AK647</f>
        <v>-5.1435897260741853E-2</v>
      </c>
      <c r="AM647" s="1526">
        <f t="shared" ref="AM647" si="1495">AL647</f>
        <v>-5.1435897260741853E-2</v>
      </c>
      <c r="AN647" s="1526">
        <f t="shared" ref="AN647" si="1496">AM647</f>
        <v>-5.1435897260741853E-2</v>
      </c>
      <c r="AO647" s="1526">
        <f t="shared" ref="AO647" si="1497">AN647</f>
        <v>-5.1435897260741853E-2</v>
      </c>
      <c r="AP647" s="1526">
        <f t="shared" ref="AP647" si="1498">AO647</f>
        <v>-5.1435897260741853E-2</v>
      </c>
    </row>
    <row r="648" spans="1:45" s="1321" customFormat="1" ht="14.5">
      <c r="A648" s="1"/>
      <c r="B648" s="1"/>
      <c r="C648" s="1"/>
      <c r="D648" s="27" t="s">
        <v>854</v>
      </c>
      <c r="E648" s="28"/>
      <c r="F648" s="28"/>
      <c r="G648" s="28"/>
      <c r="H648" s="419">
        <v>-17620.493130000006</v>
      </c>
      <c r="I648" s="419">
        <v>-15564.223189999995</v>
      </c>
      <c r="J648" s="419">
        <v>-13051.248009999996</v>
      </c>
      <c r="K648" s="411"/>
      <c r="L648" s="419">
        <v>-11681.767759999999</v>
      </c>
      <c r="M648" s="1029"/>
      <c r="N648" s="29">
        <f>N649*N$34</f>
        <v>-11818.345956931622</v>
      </c>
      <c r="O648" s="29">
        <f t="shared" ref="O648" si="1499">O649*O$34</f>
        <v>-12198.881333907917</v>
      </c>
      <c r="P648" s="29">
        <f t="shared" ref="P648" si="1500">P649*P$34</f>
        <v>-12416.223674817293</v>
      </c>
      <c r="Q648" s="29">
        <f t="shared" ref="Q648" si="1501">Q649*Q$34</f>
        <v>-12500.726647327525</v>
      </c>
      <c r="R648" s="29">
        <f t="shared" ref="R648" si="1502">R649*R$34</f>
        <v>-12689.69010562217</v>
      </c>
      <c r="S648" s="30">
        <f t="shared" ref="S648" si="1503">S649*S$34</f>
        <v>-13096.094545640593</v>
      </c>
      <c r="T648" s="1365"/>
      <c r="U648" s="1526"/>
      <c r="V648" s="1526"/>
      <c r="W648" s="1526"/>
      <c r="X648" s="1526"/>
      <c r="Y648" s="1526"/>
      <c r="Z648" s="1526"/>
      <c r="AA648" s="1515"/>
      <c r="AC648" s="829"/>
      <c r="AD648" s="829"/>
      <c r="AE648" s="829"/>
      <c r="AF648" s="829"/>
      <c r="AG648" s="829"/>
      <c r="AH648" s="829"/>
      <c r="AI648" s="415"/>
      <c r="AK648" s="1526"/>
      <c r="AL648" s="1526"/>
      <c r="AM648" s="1526"/>
      <c r="AN648" s="1526"/>
      <c r="AO648" s="1526"/>
      <c r="AP648" s="1526"/>
      <c r="AQ648" s="1515"/>
    </row>
    <row r="649" spans="1:45" s="1321" customFormat="1" ht="14.5">
      <c r="A649" s="1"/>
      <c r="B649" s="1"/>
      <c r="C649" s="1"/>
      <c r="D649" s="715"/>
      <c r="E649" s="22" t="s">
        <v>130</v>
      </c>
      <c r="F649" s="1"/>
      <c r="G649" s="1"/>
      <c r="H649" s="855">
        <f>H648/H$34</f>
        <v>-2.6713866610268946E-2</v>
      </c>
      <c r="I649" s="855">
        <f t="shared" ref="I649:J649" si="1504">I648/I$34</f>
        <v>-2.2216989658199564E-2</v>
      </c>
      <c r="J649" s="855">
        <f t="shared" si="1504"/>
        <v>-2.3546691077108481E-2</v>
      </c>
      <c r="K649" s="1027"/>
      <c r="L649" s="855">
        <f>L648/L$34</f>
        <v>-1.9949736594029644E-2</v>
      </c>
      <c r="M649" s="1030"/>
      <c r="N649" s="79">
        <f t="shared" ref="N649:S649" si="1505">CHOOSE(case,U649,AC649,AK649)</f>
        <v>-1.9949736594029644E-2</v>
      </c>
      <c r="O649" s="79">
        <f t="shared" si="1505"/>
        <v>-1.8949736594029643E-2</v>
      </c>
      <c r="P649" s="79">
        <f t="shared" si="1505"/>
        <v>-1.7949736594029642E-2</v>
      </c>
      <c r="Q649" s="79">
        <f t="shared" si="1505"/>
        <v>-1.6949736594029641E-2</v>
      </c>
      <c r="R649" s="79">
        <f t="shared" si="1505"/>
        <v>-1.5949736594029641E-2</v>
      </c>
      <c r="S649" s="856">
        <f t="shared" si="1505"/>
        <v>-1.494973659402964E-2</v>
      </c>
      <c r="T649" s="1365"/>
      <c r="U649" s="1526">
        <f>L649</f>
        <v>-1.9949736594029644E-2</v>
      </c>
      <c r="V649" s="1526"/>
      <c r="W649" s="1526"/>
      <c r="X649" s="1526"/>
      <c r="Y649" s="1526"/>
      <c r="Z649" s="1526"/>
      <c r="AA649" s="1515"/>
      <c r="AC649" s="79">
        <v>-1.9949736594029644E-2</v>
      </c>
      <c r="AD649" s="79">
        <f>AC649+0.1%</f>
        <v>-1.8949736594029643E-2</v>
      </c>
      <c r="AE649" s="79">
        <f t="shared" ref="AE649:AH651" si="1506">AD649+0.1%</f>
        <v>-1.7949736594029642E-2</v>
      </c>
      <c r="AF649" s="79">
        <f t="shared" si="1506"/>
        <v>-1.6949736594029641E-2</v>
      </c>
      <c r="AG649" s="79">
        <f t="shared" si="1506"/>
        <v>-1.5949736594029641E-2</v>
      </c>
      <c r="AH649" s="79">
        <f t="shared" si="1506"/>
        <v>-1.494973659402964E-2</v>
      </c>
      <c r="AI649" s="415"/>
      <c r="AK649" s="1526"/>
      <c r="AL649" s="1526"/>
      <c r="AM649" s="1526"/>
      <c r="AN649" s="1526"/>
      <c r="AO649" s="1526"/>
      <c r="AP649" s="1526"/>
      <c r="AQ649" s="1515"/>
    </row>
    <row r="650" spans="1:45" s="1321" customFormat="1" ht="14.5">
      <c r="A650" s="1"/>
      <c r="B650" s="1"/>
      <c r="C650" s="1"/>
      <c r="D650" s="31" t="s">
        <v>857</v>
      </c>
      <c r="E650" s="1"/>
      <c r="F650" s="1"/>
      <c r="G650" s="1"/>
      <c r="H650" s="394">
        <v>-9899.1136099999967</v>
      </c>
      <c r="I650" s="394">
        <v>-7309.7582599999987</v>
      </c>
      <c r="J650" s="394">
        <v>-9164.2038600000014</v>
      </c>
      <c r="K650" s="412"/>
      <c r="L650" s="394">
        <v>-5921.1879099999969</v>
      </c>
      <c r="M650" s="1030"/>
      <c r="N650" s="20">
        <f>N651*N$34</f>
        <v>-5990.4158885950046</v>
      </c>
      <c r="O650" s="20">
        <f t="shared" ref="O650" si="1507">O651*O$34</f>
        <v>-5865.8501286007904</v>
      </c>
      <c r="P650" s="20">
        <f t="shared" ref="P650" si="1508">P651*P$34</f>
        <v>-5611.2531775236539</v>
      </c>
      <c r="Q650" s="20">
        <f t="shared" ref="Q650" si="1509">Q651*Q$34</f>
        <v>-5245.2306984480738</v>
      </c>
      <c r="R650" s="20">
        <f t="shared" ref="R650" si="1510">R651*R$34</f>
        <v>-4862.7447820835132</v>
      </c>
      <c r="S650" s="32">
        <f t="shared" ref="S650" si="1511">S651*S$34</f>
        <v>-4478.162606477028</v>
      </c>
      <c r="T650" s="1365"/>
      <c r="U650" s="1526"/>
      <c r="V650" s="1526"/>
      <c r="W650" s="1526"/>
      <c r="X650" s="1526"/>
      <c r="Y650" s="1526"/>
      <c r="Z650" s="1526"/>
      <c r="AA650" s="1515"/>
      <c r="AC650" s="829"/>
      <c r="AD650" s="829"/>
      <c r="AE650" s="829"/>
      <c r="AF650" s="829"/>
      <c r="AG650" s="829"/>
      <c r="AH650" s="829"/>
      <c r="AI650" s="415"/>
      <c r="AK650" s="1526"/>
      <c r="AL650" s="1526"/>
      <c r="AM650" s="1526"/>
      <c r="AN650" s="1526"/>
      <c r="AO650" s="1526"/>
      <c r="AP650" s="1526"/>
      <c r="AQ650" s="1515"/>
    </row>
    <row r="651" spans="1:45" s="1321" customFormat="1" ht="14.5">
      <c r="A651" s="1"/>
      <c r="B651" s="1"/>
      <c r="C651" s="1"/>
      <c r="D651" s="715"/>
      <c r="E651" s="22" t="s">
        <v>130</v>
      </c>
      <c r="F651" s="1"/>
      <c r="G651" s="1"/>
      <c r="H651" s="855">
        <f>H650/H$34</f>
        <v>-1.500772983970612E-2</v>
      </c>
      <c r="I651" s="855">
        <f t="shared" ref="I651:J651" si="1512">I650/I$34</f>
        <v>-1.0434238939126834E-2</v>
      </c>
      <c r="J651" s="855">
        <f t="shared" si="1512"/>
        <v>-1.6533796392017627E-2</v>
      </c>
      <c r="K651" s="1027"/>
      <c r="L651" s="855">
        <f>L650/L$34</f>
        <v>-1.011200886331033E-2</v>
      </c>
      <c r="M651" s="1030"/>
      <c r="N651" s="79">
        <f t="shared" ref="N651:S651" si="1513">CHOOSE(case,U651,AC651,AK651)</f>
        <v>-1.011200886331033E-2</v>
      </c>
      <c r="O651" s="79">
        <f t="shared" si="1513"/>
        <v>-9.1120088633103308E-3</v>
      </c>
      <c r="P651" s="79">
        <f t="shared" si="1513"/>
        <v>-8.1120088633103299E-3</v>
      </c>
      <c r="Q651" s="79">
        <f t="shared" si="1513"/>
        <v>-7.1120088633103299E-3</v>
      </c>
      <c r="R651" s="79">
        <f t="shared" si="1513"/>
        <v>-6.1120088633103298E-3</v>
      </c>
      <c r="S651" s="856">
        <f t="shared" si="1513"/>
        <v>-5.1120088633103298E-3</v>
      </c>
      <c r="T651" s="1365"/>
      <c r="U651" s="1526">
        <f>L651</f>
        <v>-1.011200886331033E-2</v>
      </c>
      <c r="V651" s="1526"/>
      <c r="W651" s="1526"/>
      <c r="X651" s="1526"/>
      <c r="Y651" s="1526"/>
      <c r="Z651" s="1526"/>
      <c r="AA651" s="1515"/>
      <c r="AC651" s="79">
        <v>-1.011200886331033E-2</v>
      </c>
      <c r="AD651" s="79">
        <f>AC651+0.1%</f>
        <v>-9.1120088633103308E-3</v>
      </c>
      <c r="AE651" s="79">
        <f t="shared" si="1506"/>
        <v>-8.1120088633103299E-3</v>
      </c>
      <c r="AF651" s="79">
        <f t="shared" si="1506"/>
        <v>-7.1120088633103299E-3</v>
      </c>
      <c r="AG651" s="79">
        <f t="shared" si="1506"/>
        <v>-6.1120088633103298E-3</v>
      </c>
      <c r="AH651" s="79">
        <f t="shared" si="1506"/>
        <v>-5.1120088633103298E-3</v>
      </c>
      <c r="AI651" s="415"/>
      <c r="AK651" s="1526"/>
      <c r="AL651" s="1526"/>
      <c r="AM651" s="1526"/>
      <c r="AN651" s="1526"/>
      <c r="AO651" s="1526"/>
      <c r="AP651" s="1526"/>
      <c r="AQ651" s="1515"/>
    </row>
    <row r="652" spans="1:45" s="1321" customFormat="1" ht="14.5">
      <c r="A652" s="1"/>
      <c r="B652" s="1"/>
      <c r="C652" s="1"/>
      <c r="D652" s="31" t="s">
        <v>989</v>
      </c>
      <c r="E652" s="1"/>
      <c r="F652" s="1"/>
      <c r="G652" s="1"/>
      <c r="H652" s="394">
        <v>-846.34741999999994</v>
      </c>
      <c r="I652" s="394">
        <v>-912.4052999999999</v>
      </c>
      <c r="J652" s="394">
        <v>-1570.2372599999999</v>
      </c>
      <c r="K652" s="412"/>
      <c r="L652" s="394">
        <v>-4075.8459199999966</v>
      </c>
      <c r="M652" s="1030"/>
      <c r="N652" s="20">
        <f>N653*N$34</f>
        <v>-1777.2183459006417</v>
      </c>
      <c r="O652" s="20">
        <f t="shared" ref="O652" si="1514">O653*O$34</f>
        <v>-1931.2481638005454</v>
      </c>
      <c r="P652" s="20">
        <f t="shared" ref="P652" si="1515">P653*P$34</f>
        <v>-2075.165327876809</v>
      </c>
      <c r="Q652" s="20">
        <f t="shared" ref="Q652" si="1516">Q653*Q$34</f>
        <v>-2212.5523741290649</v>
      </c>
      <c r="R652" s="20">
        <f t="shared" ref="R652" si="1517">R653*R$34</f>
        <v>-2386.8149854660705</v>
      </c>
      <c r="S652" s="32">
        <f t="shared" ref="S652" si="1518">S653*S$34</f>
        <v>-2628.0251421026401</v>
      </c>
      <c r="T652" s="1365"/>
      <c r="U652" s="1526"/>
      <c r="V652" s="1526"/>
      <c r="W652" s="1526"/>
      <c r="X652" s="1526"/>
      <c r="Y652" s="1526"/>
      <c r="Z652" s="1526"/>
      <c r="AA652" s="1515"/>
      <c r="AC652" s="829"/>
      <c r="AD652" s="829"/>
      <c r="AE652" s="829"/>
      <c r="AF652" s="829"/>
      <c r="AG652" s="829"/>
      <c r="AH652" s="829"/>
      <c r="AI652" s="415"/>
      <c r="AK652" s="1526"/>
      <c r="AL652" s="1526"/>
      <c r="AM652" s="1526"/>
      <c r="AN652" s="1526"/>
      <c r="AO652" s="1526"/>
      <c r="AP652" s="1526"/>
      <c r="AQ652" s="1515"/>
    </row>
    <row r="653" spans="1:45" s="1321" customFormat="1" ht="14.5">
      <c r="A653" s="1"/>
      <c r="B653" s="1"/>
      <c r="C653" s="1"/>
      <c r="D653" s="715"/>
      <c r="E653" s="22" t="s">
        <v>130</v>
      </c>
      <c r="F653" s="1"/>
      <c r="G653" s="1"/>
      <c r="H653" s="855">
        <f>H652/H$34</f>
        <v>-1.2831202802906605E-3</v>
      </c>
      <c r="I653" s="855">
        <f t="shared" ref="I653:J653" si="1519">I652/I$34</f>
        <v>-1.3024035229211124E-3</v>
      </c>
      <c r="J653" s="855">
        <f t="shared" si="1519"/>
        <v>-2.8329774785258474E-3</v>
      </c>
      <c r="K653" s="1027"/>
      <c r="L653" s="855">
        <f>L652/L$34</f>
        <v>-6.9605948493749511E-3</v>
      </c>
      <c r="M653" s="1030"/>
      <c r="N653" s="79">
        <f t="shared" ref="N653:S653" si="1520">CHOOSE(case,U653,AC653,AK653)</f>
        <v>-3.0000000000000001E-3</v>
      </c>
      <c r="O653" s="79">
        <f t="shared" si="1520"/>
        <v>-3.0000000000000001E-3</v>
      </c>
      <c r="P653" s="79">
        <f t="shared" si="1520"/>
        <v>-3.0000000000000001E-3</v>
      </c>
      <c r="Q653" s="79">
        <f t="shared" si="1520"/>
        <v>-3.0000000000000001E-3</v>
      </c>
      <c r="R653" s="79">
        <f t="shared" si="1520"/>
        <v>-3.0000000000000001E-3</v>
      </c>
      <c r="S653" s="856">
        <f t="shared" si="1520"/>
        <v>-3.0000000000000001E-3</v>
      </c>
      <c r="T653" s="1365"/>
      <c r="U653" s="1526">
        <f>L653</f>
        <v>-6.9605948493749511E-3</v>
      </c>
      <c r="V653" s="1526"/>
      <c r="W653" s="1526"/>
      <c r="X653" s="1526"/>
      <c r="Y653" s="1526"/>
      <c r="Z653" s="1526"/>
      <c r="AA653" s="1515"/>
      <c r="AC653" s="79">
        <v>-3.0000000000000001E-3</v>
      </c>
      <c r="AD653" s="79">
        <v>-3.0000000000000001E-3</v>
      </c>
      <c r="AE653" s="79">
        <v>-3.0000000000000001E-3</v>
      </c>
      <c r="AF653" s="79">
        <v>-3.0000000000000001E-3</v>
      </c>
      <c r="AG653" s="79">
        <v>-3.0000000000000001E-3</v>
      </c>
      <c r="AH653" s="79">
        <v>-3.0000000000000001E-3</v>
      </c>
      <c r="AI653" s="415"/>
      <c r="AK653" s="1526"/>
      <c r="AL653" s="1526"/>
      <c r="AM653" s="1526"/>
      <c r="AN653" s="1526"/>
      <c r="AO653" s="1526"/>
      <c r="AP653" s="1526"/>
      <c r="AQ653" s="1515"/>
    </row>
    <row r="654" spans="1:45" s="1321" customFormat="1" ht="14.5">
      <c r="A654" s="1"/>
      <c r="B654" s="1"/>
      <c r="C654" s="1"/>
      <c r="D654" s="31" t="s">
        <v>990</v>
      </c>
      <c r="E654" s="1"/>
      <c r="F654" s="1"/>
      <c r="G654" s="1"/>
      <c r="H654" s="394">
        <v>-742.4027000000001</v>
      </c>
      <c r="I654" s="394">
        <v>-634.28350000000023</v>
      </c>
      <c r="J654" s="394">
        <v>-396.78404999999998</v>
      </c>
      <c r="K654" s="412"/>
      <c r="L654" s="394">
        <v>-200.80315999999993</v>
      </c>
      <c r="M654" s="1030"/>
      <c r="N654" s="20">
        <f>N655*N$34</f>
        <v>-203.15086405425109</v>
      </c>
      <c r="O654" s="20">
        <f t="shared" ref="O654" si="1521">O655*O$34</f>
        <v>-220.75775555897889</v>
      </c>
      <c r="P654" s="20">
        <f t="shared" ref="P654" si="1522">P655*P$34</f>
        <v>-237.20868647681945</v>
      </c>
      <c r="Q654" s="20">
        <f t="shared" ref="Q654" si="1523">Q655*Q$34</f>
        <v>-252.91317052087936</v>
      </c>
      <c r="R654" s="20">
        <f t="shared" ref="R654" si="1524">R655*R$34</f>
        <v>-272.83283888752698</v>
      </c>
      <c r="S654" s="32">
        <f t="shared" ref="S654" si="1525">S655*S$34</f>
        <v>-300.40516946379478</v>
      </c>
      <c r="T654" s="1365"/>
      <c r="U654" s="1526"/>
      <c r="V654" s="1526"/>
      <c r="W654" s="1526"/>
      <c r="X654" s="1526"/>
      <c r="Y654" s="1526"/>
      <c r="Z654" s="1526"/>
      <c r="AA654" s="1515"/>
      <c r="AC654" s="829"/>
      <c r="AD654" s="829"/>
      <c r="AE654" s="829"/>
      <c r="AF654" s="829"/>
      <c r="AG654" s="829"/>
      <c r="AH654" s="829"/>
      <c r="AI654" s="415"/>
      <c r="AK654" s="1526"/>
      <c r="AL654" s="1526"/>
      <c r="AM654" s="1526"/>
      <c r="AN654" s="1526"/>
      <c r="AO654" s="1526"/>
      <c r="AP654" s="1526"/>
      <c r="AQ654" s="1515"/>
    </row>
    <row r="655" spans="1:45" s="1321" customFormat="1" ht="14.5">
      <c r="A655" s="1"/>
      <c r="B655" s="1"/>
      <c r="C655" s="1"/>
      <c r="D655" s="715"/>
      <c r="E655" s="22" t="s">
        <v>130</v>
      </c>
      <c r="F655" s="1"/>
      <c r="G655" s="1"/>
      <c r="H655" s="855">
        <f>H654/H$34</f>
        <v>-1.1255330116236939E-3</v>
      </c>
      <c r="I655" s="855">
        <f t="shared" ref="I655:J655" si="1526">I654/I$34</f>
        <v>-9.0540143172199215E-4</v>
      </c>
      <c r="J655" s="855">
        <f t="shared" si="1526"/>
        <v>-7.1586651655958906E-4</v>
      </c>
      <c r="K655" s="1027"/>
      <c r="L655" s="855">
        <f>L654/L$34</f>
        <v>-3.4292499487669913E-4</v>
      </c>
      <c r="M655" s="1030"/>
      <c r="N655" s="79">
        <f t="shared" ref="N655:S655" si="1527">CHOOSE(case,U655,AC655,AK655)</f>
        <v>-3.4292499487669913E-4</v>
      </c>
      <c r="O655" s="79">
        <f t="shared" si="1527"/>
        <v>-3.4292499487669913E-4</v>
      </c>
      <c r="P655" s="79">
        <f t="shared" si="1527"/>
        <v>-3.4292499487669913E-4</v>
      </c>
      <c r="Q655" s="79">
        <f t="shared" si="1527"/>
        <v>-3.4292499487669913E-4</v>
      </c>
      <c r="R655" s="79">
        <f t="shared" si="1527"/>
        <v>-3.4292499487669913E-4</v>
      </c>
      <c r="S655" s="856">
        <f t="shared" si="1527"/>
        <v>-3.4292499487669913E-4</v>
      </c>
      <c r="T655" s="1365"/>
      <c r="U655" s="1526">
        <f>L655</f>
        <v>-3.4292499487669913E-4</v>
      </c>
      <c r="V655" s="1526"/>
      <c r="W655" s="1526"/>
      <c r="X655" s="1526"/>
      <c r="Y655" s="1526"/>
      <c r="Z655" s="1526"/>
      <c r="AA655" s="1515"/>
      <c r="AC655" s="79">
        <v>-3.4292499487669913E-4</v>
      </c>
      <c r="AD655" s="79">
        <v>-3.4292499487669913E-4</v>
      </c>
      <c r="AE655" s="79">
        <v>-3.4292499487669913E-4</v>
      </c>
      <c r="AF655" s="79">
        <v>-3.4292499487669913E-4</v>
      </c>
      <c r="AG655" s="79">
        <v>-3.4292499487669913E-4</v>
      </c>
      <c r="AH655" s="79">
        <v>-3.4292499487669913E-4</v>
      </c>
      <c r="AI655" s="415"/>
      <c r="AK655" s="1526"/>
      <c r="AL655" s="1526"/>
      <c r="AM655" s="1526"/>
      <c r="AN655" s="1526"/>
      <c r="AO655" s="1526"/>
      <c r="AP655" s="1526"/>
      <c r="AQ655" s="1515"/>
    </row>
    <row r="656" spans="1:45" s="1321" customFormat="1" ht="14.5">
      <c r="A656" s="1"/>
      <c r="B656" s="1"/>
      <c r="C656" s="1"/>
      <c r="D656" s="31" t="s">
        <v>167</v>
      </c>
      <c r="E656" s="1"/>
      <c r="F656" s="1"/>
      <c r="G656" s="1"/>
      <c r="H656" s="20">
        <f>H646-H648-H650-H652-H654</f>
        <v>-2630.6430099999966</v>
      </c>
      <c r="I656" s="20">
        <f t="shared" ref="I656:J656" si="1528">I646-I648-I650-I652-I654</f>
        <v>320.74346999999239</v>
      </c>
      <c r="J656" s="20">
        <f t="shared" si="1528"/>
        <v>-2373.8769400000019</v>
      </c>
      <c r="K656" s="119"/>
      <c r="L656" s="20">
        <f t="shared" ref="L656" si="1529">L646-L648-L650-L652-L654</f>
        <v>-8239.1992500000088</v>
      </c>
      <c r="M656" s="1030"/>
      <c r="N656" s="20">
        <f>N657*N$34</f>
        <v>-8335.5284187392263</v>
      </c>
      <c r="O656" s="20">
        <f t="shared" ref="O656" si="1530">O657*O$34</f>
        <v>-8414.2113236072018</v>
      </c>
      <c r="P656" s="20">
        <f t="shared" ref="P656" si="1531">P657*P$34</f>
        <v>-8349.5189757300923</v>
      </c>
      <c r="Q656" s="20">
        <f t="shared" ref="Q656" si="1532">Q657*Q$34</f>
        <v>-8164.7843414423132</v>
      </c>
      <c r="R656" s="20">
        <f t="shared" ref="R656" si="1533">R657*R$34</f>
        <v>-8012.2450910710986</v>
      </c>
      <c r="S656" s="32">
        <f t="shared" ref="S656" si="1534">S657*S$34</f>
        <v>-7945.949614468841</v>
      </c>
      <c r="T656" s="1365"/>
      <c r="U656" s="1526"/>
      <c r="V656" s="1526"/>
      <c r="W656" s="1526"/>
      <c r="X656" s="1526"/>
      <c r="Y656" s="1526"/>
      <c r="Z656" s="1526"/>
      <c r="AA656" s="1515"/>
      <c r="AC656" s="829"/>
      <c r="AD656" s="829"/>
      <c r="AE656" s="829"/>
      <c r="AF656" s="829"/>
      <c r="AG656" s="829"/>
      <c r="AH656" s="829"/>
      <c r="AI656" s="415"/>
      <c r="AK656" s="1526"/>
      <c r="AL656" s="1526"/>
      <c r="AM656" s="1526"/>
      <c r="AN656" s="1526"/>
      <c r="AO656" s="1526"/>
      <c r="AP656" s="1526"/>
      <c r="AQ656" s="1515"/>
    </row>
    <row r="657" spans="1:43" s="1321" customFormat="1" ht="14.5">
      <c r="A657" s="1"/>
      <c r="B657" s="1"/>
      <c r="C657" s="1"/>
      <c r="D657" s="719"/>
      <c r="E657" s="720" t="s">
        <v>130</v>
      </c>
      <c r="F657" s="34"/>
      <c r="G657" s="34"/>
      <c r="H657" s="857">
        <f>H656/H$34</f>
        <v>-3.9882338110463697E-3</v>
      </c>
      <c r="I657" s="857">
        <f t="shared" ref="I657:J657" si="1535">I656/I$34</f>
        <v>4.5784195387941329E-4</v>
      </c>
      <c r="J657" s="857">
        <f t="shared" si="1535"/>
        <v>-4.2828813703044213E-3</v>
      </c>
      <c r="K657" s="1028"/>
      <c r="L657" s="857">
        <f>L656/L$34</f>
        <v>-1.407063195915023E-2</v>
      </c>
      <c r="M657" s="1031"/>
      <c r="N657" s="858">
        <f t="shared" ref="N657:S657" si="1536">CHOOSE(case,U657,AC657,AK657)</f>
        <v>-1.407063195915023E-2</v>
      </c>
      <c r="O657" s="858">
        <f t="shared" si="1536"/>
        <v>-1.3070631959150231E-2</v>
      </c>
      <c r="P657" s="858">
        <f t="shared" si="1536"/>
        <v>-1.207063195915023E-2</v>
      </c>
      <c r="Q657" s="858">
        <f t="shared" si="1536"/>
        <v>-1.1070631959150229E-2</v>
      </c>
      <c r="R657" s="858">
        <f t="shared" si="1536"/>
        <v>-1.0070631959150228E-2</v>
      </c>
      <c r="S657" s="859">
        <f t="shared" si="1536"/>
        <v>-9.0706319591502271E-3</v>
      </c>
      <c r="T657" s="1365"/>
      <c r="U657" s="1526">
        <f>L657</f>
        <v>-1.407063195915023E-2</v>
      </c>
      <c r="V657" s="1526"/>
      <c r="W657" s="1526"/>
      <c r="X657" s="1526"/>
      <c r="Y657" s="1526"/>
      <c r="Z657" s="1526"/>
      <c r="AA657" s="1515"/>
      <c r="AC657" s="79">
        <v>-1.407063195915023E-2</v>
      </c>
      <c r="AD657" s="79">
        <f>AC657+0.1%</f>
        <v>-1.3070631959150231E-2</v>
      </c>
      <c r="AE657" s="79">
        <f t="shared" ref="AE657:AH657" si="1537">AD657+0.1%</f>
        <v>-1.207063195915023E-2</v>
      </c>
      <c r="AF657" s="79">
        <f t="shared" si="1537"/>
        <v>-1.1070631959150229E-2</v>
      </c>
      <c r="AG657" s="79">
        <f t="shared" si="1537"/>
        <v>-1.0070631959150228E-2</v>
      </c>
      <c r="AH657" s="79">
        <f t="shared" si="1537"/>
        <v>-9.0706319591502271E-3</v>
      </c>
      <c r="AI657" s="415"/>
      <c r="AK657" s="1526"/>
      <c r="AL657" s="1526"/>
      <c r="AM657" s="1526"/>
      <c r="AN657" s="1526"/>
      <c r="AO657" s="1526"/>
      <c r="AP657" s="1526"/>
      <c r="AQ657" s="1515"/>
    </row>
    <row r="658" spans="1:43" ht="14.5">
      <c r="B658" s="1"/>
      <c r="C658" s="1" t="s">
        <v>67</v>
      </c>
      <c r="H658" s="394">
        <v>-2594.453</v>
      </c>
      <c r="I658" s="394">
        <v>-2078.105</v>
      </c>
      <c r="J658" s="394">
        <v>-1829.7216800000001</v>
      </c>
      <c r="K658" s="394">
        <v>-1565</v>
      </c>
      <c r="L658" s="394">
        <v>-1769.5100500000001</v>
      </c>
      <c r="M658" s="394">
        <v>-963.75827999999979</v>
      </c>
      <c r="N658" s="20">
        <f>SUM(N660,N662,N664,N666)</f>
        <v>-1790.198399318921</v>
      </c>
      <c r="O658" s="20">
        <f t="shared" ref="O658:S658" si="1538">SUM(O660,O662,O664,O666)</f>
        <v>-1945.3531860607002</v>
      </c>
      <c r="P658" s="20">
        <f t="shared" si="1538"/>
        <v>-2090.321460419404</v>
      </c>
      <c r="Q658" s="20">
        <f t="shared" si="1538"/>
        <v>-2228.7119237269967</v>
      </c>
      <c r="R658" s="20">
        <f t="shared" si="1538"/>
        <v>-2404.2472756978027</v>
      </c>
      <c r="S658" s="20">
        <f t="shared" si="1538"/>
        <v>-2647.2191296100027</v>
      </c>
      <c r="AI658" s="424"/>
    </row>
    <row r="659" spans="1:43" ht="14.5">
      <c r="B659" s="1"/>
      <c r="C659" s="1"/>
      <c r="D659" s="22" t="s">
        <v>130</v>
      </c>
      <c r="F659" s="1"/>
      <c r="G659" s="1"/>
      <c r="H659" s="56">
        <f>H658/H$34</f>
        <v>-3.9333672932575902E-3</v>
      </c>
      <c r="I659" s="56">
        <f t="shared" ref="I659" si="1539">I658/I$34</f>
        <v>-2.9663695213081056E-3</v>
      </c>
      <c r="J659" s="56">
        <f t="shared" ref="J659" si="1540">J658/J$34</f>
        <v>-3.3011319011819131E-3</v>
      </c>
      <c r="K659" s="56">
        <f t="shared" ref="K659:S659" si="1541">K658/K$34</f>
        <v>-3.2265646261308437E-3</v>
      </c>
      <c r="L659" s="56">
        <f t="shared" si="1541"/>
        <v>-3.0219107350228842E-3</v>
      </c>
      <c r="M659" s="56">
        <f t="shared" si="1541"/>
        <v>-3.0043391187212581E-3</v>
      </c>
      <c r="N659" s="56">
        <f t="shared" si="1541"/>
        <v>-3.0219107350228842E-3</v>
      </c>
      <c r="O659" s="56">
        <f t="shared" si="1541"/>
        <v>-3.0219107350228838E-3</v>
      </c>
      <c r="P659" s="56">
        <f t="shared" si="1541"/>
        <v>-3.0219107350228842E-3</v>
      </c>
      <c r="Q659" s="56">
        <f t="shared" si="1541"/>
        <v>-3.0219107350228842E-3</v>
      </c>
      <c r="R659" s="56">
        <f t="shared" si="1541"/>
        <v>-3.0219107350228842E-3</v>
      </c>
      <c r="S659" s="56">
        <f t="shared" si="1541"/>
        <v>-3.0219107350228842E-3</v>
      </c>
      <c r="T659" s="1365"/>
      <c r="U659" s="1526">
        <f>AC659-0.3%</f>
        <v>-3.0000000000000001E-3</v>
      </c>
      <c r="V659" s="1526">
        <f t="shared" ref="V659:Z659" si="1542">AD659-0.3%</f>
        <v>-3.0000000000000001E-3</v>
      </c>
      <c r="W659" s="1526">
        <f t="shared" si="1542"/>
        <v>-3.0000000000000001E-3</v>
      </c>
      <c r="X659" s="1526">
        <f t="shared" si="1542"/>
        <v>-3.0000000000000001E-3</v>
      </c>
      <c r="Y659" s="1526">
        <f t="shared" si="1542"/>
        <v>-3.0000000000000001E-3</v>
      </c>
      <c r="Z659" s="1526">
        <f t="shared" si="1542"/>
        <v>-3.0000000000000001E-3</v>
      </c>
      <c r="AA659" s="1515"/>
      <c r="AB659" s="1321"/>
      <c r="AC659" s="1176"/>
      <c r="AD659" s="1176"/>
      <c r="AE659" s="1176"/>
      <c r="AF659" s="1176"/>
      <c r="AG659" s="1176"/>
      <c r="AH659" s="1176"/>
      <c r="AI659" s="415"/>
      <c r="AJ659" s="1321"/>
      <c r="AK659" s="1526">
        <f>AC659+0.3%</f>
        <v>3.0000000000000001E-3</v>
      </c>
      <c r="AL659" s="1526">
        <f t="shared" ref="AL659:AP659" si="1543">AD659+0.3%</f>
        <v>3.0000000000000001E-3</v>
      </c>
      <c r="AM659" s="1526">
        <f t="shared" si="1543"/>
        <v>3.0000000000000001E-3</v>
      </c>
      <c r="AN659" s="1526">
        <f t="shared" si="1543"/>
        <v>3.0000000000000001E-3</v>
      </c>
      <c r="AO659" s="1526">
        <f t="shared" si="1543"/>
        <v>3.0000000000000001E-3</v>
      </c>
      <c r="AP659" s="1526">
        <f t="shared" si="1543"/>
        <v>3.0000000000000001E-3</v>
      </c>
    </row>
    <row r="660" spans="1:43" s="1321" customFormat="1" ht="14.5">
      <c r="A660" s="1"/>
      <c r="B660" s="1"/>
      <c r="C660" s="1"/>
      <c r="D660" s="27" t="s">
        <v>854</v>
      </c>
      <c r="E660" s="28"/>
      <c r="F660" s="28"/>
      <c r="G660" s="28"/>
      <c r="H660" s="419">
        <v>-2323.4622999999997</v>
      </c>
      <c r="I660" s="419">
        <v>-1837.6029700000006</v>
      </c>
      <c r="J660" s="419">
        <v>-1609.3334299999997</v>
      </c>
      <c r="K660" s="411"/>
      <c r="L660" s="419">
        <v>-1584.24937</v>
      </c>
      <c r="M660" s="1029"/>
      <c r="N660" s="29">
        <f>N661*N$34</f>
        <v>-1602.7717312461766</v>
      </c>
      <c r="O660" s="29">
        <f t="shared" ref="O660" si="1544">O661*O$34</f>
        <v>-1741.6824275421081</v>
      </c>
      <c r="P660" s="29">
        <f t="shared" ref="P660" si="1545">P661*P$34</f>
        <v>-1871.4730988766753</v>
      </c>
      <c r="Q660" s="29">
        <f t="shared" ref="Q660" si="1546">Q661*Q$34</f>
        <v>-1995.3746298733834</v>
      </c>
      <c r="R660" s="29">
        <f t="shared" ref="R660" si="1547">R661*R$34</f>
        <v>-2152.5321270983795</v>
      </c>
      <c r="S660" s="30">
        <f t="shared" ref="S660" si="1548">S661*S$34</f>
        <v>-2370.0657921307625</v>
      </c>
      <c r="T660" s="1365"/>
      <c r="U660" s="1526"/>
      <c r="V660" s="1526"/>
      <c r="W660" s="1526"/>
      <c r="X660" s="1526"/>
      <c r="Y660" s="1526"/>
      <c r="Z660" s="1526"/>
      <c r="AA660" s="1515"/>
      <c r="AC660" s="1176"/>
      <c r="AD660" s="1176"/>
      <c r="AE660" s="1176"/>
      <c r="AF660" s="1176"/>
      <c r="AG660" s="1176"/>
      <c r="AH660" s="1176"/>
      <c r="AI660" s="415"/>
      <c r="AK660" s="1526"/>
      <c r="AL660" s="1526"/>
      <c r="AM660" s="1526"/>
      <c r="AN660" s="1526"/>
      <c r="AO660" s="1526"/>
      <c r="AP660" s="1526"/>
      <c r="AQ660" s="1515"/>
    </row>
    <row r="661" spans="1:43" s="1321" customFormat="1" ht="14.5">
      <c r="A661" s="1"/>
      <c r="B661" s="1"/>
      <c r="C661" s="1"/>
      <c r="D661" s="715"/>
      <c r="E661" s="22" t="s">
        <v>130</v>
      </c>
      <c r="F661" s="1"/>
      <c r="G661" s="1"/>
      <c r="H661" s="855">
        <f>H660/H$34</f>
        <v>-3.5225269518997086E-3</v>
      </c>
      <c r="I661" s="855">
        <f t="shared" ref="I661:J661" si="1549">I660/I$34</f>
        <v>-2.6230673822897569E-3</v>
      </c>
      <c r="J661" s="855">
        <f t="shared" si="1549"/>
        <v>-2.9035136783270273E-3</v>
      </c>
      <c r="K661" s="1027"/>
      <c r="L661" s="855">
        <f>L660/L$34</f>
        <v>-2.7055286734066534E-3</v>
      </c>
      <c r="M661" s="1030"/>
      <c r="N661" s="79">
        <f t="shared" ref="N661:S661" si="1550">CHOOSE(case,U661,AC661,AK661)</f>
        <v>-2.7055286734066534E-3</v>
      </c>
      <c r="O661" s="79">
        <f t="shared" si="1550"/>
        <v>-2.7055286734066534E-3</v>
      </c>
      <c r="P661" s="79">
        <f t="shared" si="1550"/>
        <v>-2.7055286734066534E-3</v>
      </c>
      <c r="Q661" s="79">
        <f t="shared" si="1550"/>
        <v>-2.7055286734066534E-3</v>
      </c>
      <c r="R661" s="79">
        <f t="shared" si="1550"/>
        <v>-2.7055286734066534E-3</v>
      </c>
      <c r="S661" s="856">
        <f t="shared" si="1550"/>
        <v>-2.7055286734066534E-3</v>
      </c>
      <c r="T661" s="1365"/>
      <c r="U661" s="1526">
        <f>L661</f>
        <v>-2.7055286734066534E-3</v>
      </c>
      <c r="V661" s="1526"/>
      <c r="W661" s="1526"/>
      <c r="X661" s="1526"/>
      <c r="Y661" s="1526"/>
      <c r="Z661" s="1526"/>
      <c r="AA661" s="1515"/>
      <c r="AC661" s="79">
        <f>L661</f>
        <v>-2.7055286734066534E-3</v>
      </c>
      <c r="AD661" s="79">
        <f>AC661</f>
        <v>-2.7055286734066534E-3</v>
      </c>
      <c r="AE661" s="79">
        <f t="shared" ref="AE661:AH661" si="1551">AD661</f>
        <v>-2.7055286734066534E-3</v>
      </c>
      <c r="AF661" s="79">
        <f t="shared" si="1551"/>
        <v>-2.7055286734066534E-3</v>
      </c>
      <c r="AG661" s="79">
        <f t="shared" si="1551"/>
        <v>-2.7055286734066534E-3</v>
      </c>
      <c r="AH661" s="79">
        <f t="shared" si="1551"/>
        <v>-2.7055286734066534E-3</v>
      </c>
      <c r="AI661" s="415"/>
      <c r="AK661" s="1526"/>
      <c r="AL661" s="1526"/>
      <c r="AM661" s="1526"/>
      <c r="AN661" s="1526"/>
      <c r="AO661" s="1526"/>
      <c r="AP661" s="1526"/>
      <c r="AQ661" s="1515"/>
    </row>
    <row r="662" spans="1:43" s="1321" customFormat="1" ht="14.5">
      <c r="A662" s="1"/>
      <c r="B662" s="1"/>
      <c r="C662" s="1"/>
      <c r="D662" s="31" t="s">
        <v>857</v>
      </c>
      <c r="E662" s="1"/>
      <c r="F662" s="1"/>
      <c r="G662" s="1"/>
      <c r="H662" s="394">
        <v>-39.841260000000005</v>
      </c>
      <c r="I662" s="394">
        <v>-97.400779999999997</v>
      </c>
      <c r="J662" s="394">
        <v>-20.81</v>
      </c>
      <c r="K662" s="412"/>
      <c r="L662" s="394">
        <v>-42.380660000000006</v>
      </c>
      <c r="M662" s="1030"/>
      <c r="N662" s="20">
        <f>N663*N$34</f>
        <v>-42.876156421987787</v>
      </c>
      <c r="O662" s="20">
        <f t="shared" ref="O662" si="1552">O663*O$34</f>
        <v>-46.592191978991757</v>
      </c>
      <c r="P662" s="20">
        <f t="shared" ref="P662" si="1553">P663*P$34</f>
        <v>-50.064255416203054</v>
      </c>
      <c r="Q662" s="20">
        <f t="shared" ref="Q662" si="1554">Q663*Q$34</f>
        <v>-53.378776954343827</v>
      </c>
      <c r="R662" s="20">
        <f t="shared" ref="R662" si="1555">R663*R$34</f>
        <v>-57.582937348829894</v>
      </c>
      <c r="S662" s="32">
        <f t="shared" ref="S662" si="1556">S663*S$34</f>
        <v>-63.402236046920152</v>
      </c>
      <c r="T662" s="1365"/>
      <c r="U662" s="1526"/>
      <c r="V662" s="1526"/>
      <c r="W662" s="1526"/>
      <c r="X662" s="1526"/>
      <c r="Y662" s="1526"/>
      <c r="Z662" s="1526"/>
      <c r="AA662" s="1515"/>
      <c r="AC662" s="829"/>
      <c r="AD662" s="829"/>
      <c r="AE662" s="829"/>
      <c r="AF662" s="829"/>
      <c r="AG662" s="829"/>
      <c r="AH662" s="829"/>
      <c r="AI662" s="415"/>
      <c r="AK662" s="1526"/>
      <c r="AL662" s="1526"/>
      <c r="AM662" s="1526"/>
      <c r="AN662" s="1526"/>
      <c r="AO662" s="1526"/>
      <c r="AP662" s="1526"/>
      <c r="AQ662" s="1515"/>
    </row>
    <row r="663" spans="1:43" s="1321" customFormat="1" ht="14.5">
      <c r="A663" s="1"/>
      <c r="B663" s="1"/>
      <c r="C663" s="1"/>
      <c r="D663" s="715"/>
      <c r="E663" s="22" t="s">
        <v>130</v>
      </c>
      <c r="F663" s="1"/>
      <c r="G663" s="1"/>
      <c r="H663" s="855">
        <f>H662/H$34</f>
        <v>-6.0402061246116979E-5</v>
      </c>
      <c r="I663" s="855">
        <f t="shared" ref="I663:J663" si="1557">I662/I$34</f>
        <v>-1.3903373753666734E-4</v>
      </c>
      <c r="J663" s="855">
        <f t="shared" si="1557"/>
        <v>-3.754481111225375E-5</v>
      </c>
      <c r="K663" s="1027"/>
      <c r="L663" s="855">
        <f>L662/L$34</f>
        <v>-7.2376289364027612E-5</v>
      </c>
      <c r="M663" s="1030"/>
      <c r="N663" s="79">
        <f t="shared" ref="N663:S663" si="1558">CHOOSE(case,U663,AC663,AK663)</f>
        <v>-7.2376289364027612E-5</v>
      </c>
      <c r="O663" s="79">
        <f t="shared" si="1558"/>
        <v>-7.2376289364027612E-5</v>
      </c>
      <c r="P663" s="79">
        <f t="shared" si="1558"/>
        <v>-7.2376289364027612E-5</v>
      </c>
      <c r="Q663" s="79">
        <f t="shared" si="1558"/>
        <v>-7.2376289364027612E-5</v>
      </c>
      <c r="R663" s="79">
        <f t="shared" si="1558"/>
        <v>-7.2376289364027612E-5</v>
      </c>
      <c r="S663" s="856">
        <f t="shared" si="1558"/>
        <v>-7.2376289364027612E-5</v>
      </c>
      <c r="T663" s="1365"/>
      <c r="U663" s="1526">
        <f>L663</f>
        <v>-7.2376289364027612E-5</v>
      </c>
      <c r="V663" s="1526"/>
      <c r="W663" s="1526"/>
      <c r="X663" s="1526"/>
      <c r="Y663" s="1526"/>
      <c r="Z663" s="1526"/>
      <c r="AA663" s="1515"/>
      <c r="AC663" s="79">
        <f>L663</f>
        <v>-7.2376289364027612E-5</v>
      </c>
      <c r="AD663" s="79">
        <f>AC663</f>
        <v>-7.2376289364027612E-5</v>
      </c>
      <c r="AE663" s="79">
        <f t="shared" ref="AE663:AH663" si="1559">AD663</f>
        <v>-7.2376289364027612E-5</v>
      </c>
      <c r="AF663" s="79">
        <f t="shared" si="1559"/>
        <v>-7.2376289364027612E-5</v>
      </c>
      <c r="AG663" s="79">
        <f t="shared" si="1559"/>
        <v>-7.2376289364027612E-5</v>
      </c>
      <c r="AH663" s="79">
        <f t="shared" si="1559"/>
        <v>-7.2376289364027612E-5</v>
      </c>
      <c r="AI663" s="415"/>
      <c r="AK663" s="1526"/>
      <c r="AL663" s="1526"/>
      <c r="AM663" s="1526"/>
      <c r="AN663" s="1526"/>
      <c r="AO663" s="1526"/>
      <c r="AP663" s="1526"/>
      <c r="AQ663" s="1515"/>
    </row>
    <row r="664" spans="1:43" s="1321" customFormat="1" ht="14.5">
      <c r="A664" s="1"/>
      <c r="B664" s="1"/>
      <c r="C664" s="1"/>
      <c r="D664" s="31" t="s">
        <v>988</v>
      </c>
      <c r="E664" s="1"/>
      <c r="F664" s="1"/>
      <c r="G664" s="1"/>
      <c r="H664" s="394">
        <v>-8.1845800000000004</v>
      </c>
      <c r="I664" s="394">
        <v>0</v>
      </c>
      <c r="J664" s="394">
        <v>-28.639340000000001</v>
      </c>
      <c r="K664" s="412"/>
      <c r="L664" s="394">
        <v>-9.1820799999999991</v>
      </c>
      <c r="M664" s="1030"/>
      <c r="N664" s="20">
        <f>N665*N$34</f>
        <v>-9.2894329243387315</v>
      </c>
      <c r="O664" s="20">
        <f t="shared" ref="O664" si="1560">O665*O$34</f>
        <v>-10.094539210254407</v>
      </c>
      <c r="P664" s="20">
        <f t="shared" ref="P664" si="1561">P665*P$34</f>
        <v>-10.846787151781252</v>
      </c>
      <c r="Q664" s="20">
        <f t="shared" ref="Q664" si="1562">Q665*Q$34</f>
        <v>-11.56490248846859</v>
      </c>
      <c r="R664" s="20">
        <f t="shared" ref="R664" si="1563">R665*R$34</f>
        <v>-12.475764591017313</v>
      </c>
      <c r="S664" s="32">
        <f t="shared" ref="S664" si="1564">S665*S$34</f>
        <v>-13.736558221644128</v>
      </c>
      <c r="T664" s="1365"/>
      <c r="U664" s="1526"/>
      <c r="V664" s="1526"/>
      <c r="W664" s="1526"/>
      <c r="X664" s="1526"/>
      <c r="Y664" s="1526"/>
      <c r="Z664" s="1526"/>
      <c r="AA664" s="1515"/>
      <c r="AC664" s="829"/>
      <c r="AD664" s="829"/>
      <c r="AE664" s="829"/>
      <c r="AF664" s="829"/>
      <c r="AG664" s="829"/>
      <c r="AH664" s="829"/>
      <c r="AI664" s="415"/>
      <c r="AK664" s="1526"/>
      <c r="AL664" s="1526"/>
      <c r="AM664" s="1526"/>
      <c r="AN664" s="1526"/>
      <c r="AO664" s="1526"/>
      <c r="AP664" s="1526"/>
      <c r="AQ664" s="1515"/>
    </row>
    <row r="665" spans="1:43" s="1321" customFormat="1" ht="14.5">
      <c r="A665" s="1"/>
      <c r="B665" s="1"/>
      <c r="C665" s="1"/>
      <c r="D665" s="715"/>
      <c r="E665" s="22" t="s">
        <v>130</v>
      </c>
      <c r="F665" s="1"/>
      <c r="G665" s="1"/>
      <c r="H665" s="855">
        <f>H664/H$34</f>
        <v>-1.2408380217737693E-5</v>
      </c>
      <c r="I665" s="855">
        <f t="shared" ref="I665:J665" si="1565">I664/I$34</f>
        <v>0</v>
      </c>
      <c r="J665" s="855">
        <f t="shared" si="1565"/>
        <v>-5.1670284030735866E-5</v>
      </c>
      <c r="K665" s="1027"/>
      <c r="L665" s="855">
        <f>L664/L$34</f>
        <v>-1.5680852517248445E-5</v>
      </c>
      <c r="M665" s="1030"/>
      <c r="N665" s="79">
        <f t="shared" ref="N665:S665" si="1566">CHOOSE(case,U665,AC665,AK665)</f>
        <v>-1.5680852517248445E-5</v>
      </c>
      <c r="O665" s="79">
        <f t="shared" si="1566"/>
        <v>-1.5680852517248445E-5</v>
      </c>
      <c r="P665" s="79">
        <f t="shared" si="1566"/>
        <v>-1.5680852517248445E-5</v>
      </c>
      <c r="Q665" s="79">
        <f t="shared" si="1566"/>
        <v>-1.5680852517248445E-5</v>
      </c>
      <c r="R665" s="79">
        <f t="shared" si="1566"/>
        <v>-1.5680852517248445E-5</v>
      </c>
      <c r="S665" s="856">
        <f t="shared" si="1566"/>
        <v>-1.5680852517248445E-5</v>
      </c>
      <c r="T665" s="1365"/>
      <c r="U665" s="1526">
        <f>L665</f>
        <v>-1.5680852517248445E-5</v>
      </c>
      <c r="V665" s="1526"/>
      <c r="W665" s="1526"/>
      <c r="X665" s="1526"/>
      <c r="Y665" s="1526"/>
      <c r="Z665" s="1526"/>
      <c r="AA665" s="1515"/>
      <c r="AC665" s="79">
        <f>L665</f>
        <v>-1.5680852517248445E-5</v>
      </c>
      <c r="AD665" s="79">
        <f>AC665</f>
        <v>-1.5680852517248445E-5</v>
      </c>
      <c r="AE665" s="79">
        <f t="shared" ref="AE665:AH665" si="1567">AD665</f>
        <v>-1.5680852517248445E-5</v>
      </c>
      <c r="AF665" s="79">
        <f t="shared" si="1567"/>
        <v>-1.5680852517248445E-5</v>
      </c>
      <c r="AG665" s="79">
        <f t="shared" si="1567"/>
        <v>-1.5680852517248445E-5</v>
      </c>
      <c r="AH665" s="79">
        <f t="shared" si="1567"/>
        <v>-1.5680852517248445E-5</v>
      </c>
      <c r="AI665" s="415"/>
      <c r="AK665" s="1526"/>
      <c r="AL665" s="1526"/>
      <c r="AM665" s="1526"/>
      <c r="AN665" s="1526"/>
      <c r="AO665" s="1526"/>
      <c r="AP665" s="1526"/>
      <c r="AQ665" s="1515"/>
    </row>
    <row r="666" spans="1:43" s="1321" customFormat="1" ht="14.5">
      <c r="A666" s="1"/>
      <c r="B666" s="1"/>
      <c r="C666" s="1"/>
      <c r="D666" s="31" t="s">
        <v>167</v>
      </c>
      <c r="E666" s="1"/>
      <c r="F666" s="1"/>
      <c r="G666" s="1"/>
      <c r="H666" s="20">
        <f>H658-H660-H662-H664</f>
        <v>-222.96486000000027</v>
      </c>
      <c r="I666" s="20">
        <f>I658-I660-I662-I664</f>
        <v>-143.10124999999942</v>
      </c>
      <c r="J666" s="20">
        <f>J658-J660-J662-J664</f>
        <v>-170.93891000000042</v>
      </c>
      <c r="K666" s="119"/>
      <c r="L666" s="20">
        <f>L658-L660-L662-L664</f>
        <v>-133.69794000000007</v>
      </c>
      <c r="M666" s="1030"/>
      <c r="N666" s="20">
        <f>N667*N$34</f>
        <v>-135.26107872641765</v>
      </c>
      <c r="O666" s="20">
        <f t="shared" ref="O666" si="1568">O667*O$34</f>
        <v>-146.98402732934605</v>
      </c>
      <c r="P666" s="20">
        <f t="shared" ref="P666" si="1569">P667*P$34</f>
        <v>-157.93731897474444</v>
      </c>
      <c r="Q666" s="20">
        <f t="shared" ref="Q666" si="1570">Q667*Q$34</f>
        <v>-168.39361441080072</v>
      </c>
      <c r="R666" s="20">
        <f t="shared" ref="R666" si="1571">R667*R$34</f>
        <v>-181.65644665957586</v>
      </c>
      <c r="S666" s="32">
        <f t="shared" ref="S666" si="1572">S667*S$34</f>
        <v>-200.01454321067604</v>
      </c>
      <c r="T666" s="1365"/>
      <c r="U666" s="1526"/>
      <c r="V666" s="1526"/>
      <c r="W666" s="1526"/>
      <c r="X666" s="1526"/>
      <c r="Y666" s="1526"/>
      <c r="Z666" s="1526"/>
      <c r="AA666" s="1515"/>
      <c r="AC666" s="829"/>
      <c r="AD666" s="829"/>
      <c r="AE666" s="829"/>
      <c r="AF666" s="829"/>
      <c r="AG666" s="829"/>
      <c r="AH666" s="829"/>
      <c r="AI666" s="415"/>
      <c r="AK666" s="1526"/>
      <c r="AL666" s="1526"/>
      <c r="AM666" s="1526"/>
      <c r="AN666" s="1526"/>
      <c r="AO666" s="1526"/>
      <c r="AP666" s="1526"/>
      <c r="AQ666" s="1515"/>
    </row>
    <row r="667" spans="1:43" s="1321" customFormat="1" ht="14.5">
      <c r="A667" s="1"/>
      <c r="B667" s="1"/>
      <c r="C667" s="1"/>
      <c r="D667" s="719"/>
      <c r="E667" s="720" t="s">
        <v>130</v>
      </c>
      <c r="F667" s="34"/>
      <c r="G667" s="34"/>
      <c r="H667" s="857">
        <f>H666/H$34</f>
        <v>-3.3802989989402724E-4</v>
      </c>
      <c r="I667" s="857">
        <f t="shared" ref="I667:J667" si="1573">I666/I$34</f>
        <v>-2.0426840148168155E-4</v>
      </c>
      <c r="J667" s="857">
        <f t="shared" si="1573"/>
        <v>-3.0840312771189619E-4</v>
      </c>
      <c r="K667" s="1028"/>
      <c r="L667" s="857">
        <f>L666/L$34</f>
        <v>-2.2832491973495469E-4</v>
      </c>
      <c r="M667" s="1031"/>
      <c r="N667" s="858">
        <f t="shared" ref="N667:S667" si="1574">CHOOSE(case,U667,AC667,AK667)</f>
        <v>-2.2832491973495469E-4</v>
      </c>
      <c r="O667" s="858">
        <f t="shared" si="1574"/>
        <v>-2.2832491973495469E-4</v>
      </c>
      <c r="P667" s="858">
        <f t="shared" si="1574"/>
        <v>-2.2832491973495469E-4</v>
      </c>
      <c r="Q667" s="858">
        <f t="shared" si="1574"/>
        <v>-2.2832491973495469E-4</v>
      </c>
      <c r="R667" s="858">
        <f t="shared" si="1574"/>
        <v>-2.2832491973495469E-4</v>
      </c>
      <c r="S667" s="859">
        <f t="shared" si="1574"/>
        <v>-2.2832491973495469E-4</v>
      </c>
      <c r="T667" s="1365"/>
      <c r="U667" s="1526">
        <f>L667</f>
        <v>-2.2832491973495469E-4</v>
      </c>
      <c r="V667" s="1526"/>
      <c r="W667" s="1526"/>
      <c r="X667" s="1526"/>
      <c r="Y667" s="1526"/>
      <c r="Z667" s="1526"/>
      <c r="AA667" s="1515"/>
      <c r="AC667" s="79">
        <f>L667</f>
        <v>-2.2832491973495469E-4</v>
      </c>
      <c r="AD667" s="79">
        <f>AC667</f>
        <v>-2.2832491973495469E-4</v>
      </c>
      <c r="AE667" s="79">
        <f t="shared" ref="AE667:AH667" si="1575">AD667</f>
        <v>-2.2832491973495469E-4</v>
      </c>
      <c r="AF667" s="79">
        <f t="shared" si="1575"/>
        <v>-2.2832491973495469E-4</v>
      </c>
      <c r="AG667" s="79">
        <f t="shared" si="1575"/>
        <v>-2.2832491973495469E-4</v>
      </c>
      <c r="AH667" s="79">
        <f t="shared" si="1575"/>
        <v>-2.2832491973495469E-4</v>
      </c>
      <c r="AI667" s="415"/>
      <c r="AK667" s="1526"/>
      <c r="AL667" s="1526"/>
      <c r="AM667" s="1526"/>
      <c r="AN667" s="1526"/>
      <c r="AO667" s="1526"/>
      <c r="AP667" s="1526"/>
      <c r="AQ667" s="1515"/>
    </row>
    <row r="668" spans="1:43" ht="14.5">
      <c r="B668" s="1"/>
      <c r="C668" s="1"/>
      <c r="H668" s="21"/>
      <c r="I668" s="21"/>
      <c r="J668" s="21"/>
      <c r="K668" s="21"/>
      <c r="N668" s="65"/>
      <c r="O668" s="65"/>
      <c r="P668" s="65"/>
      <c r="Q668" s="65"/>
      <c r="R668" s="65"/>
      <c r="S668" s="1026"/>
      <c r="AI668" s="424"/>
    </row>
    <row r="669" spans="1:43" ht="14.5">
      <c r="B669" s="1"/>
      <c r="C669" s="1" t="s">
        <v>70</v>
      </c>
      <c r="H669" s="394">
        <v>-12016</v>
      </c>
      <c r="I669" s="394">
        <v>-10731</v>
      </c>
      <c r="J669" s="394">
        <v>-25497</v>
      </c>
      <c r="K669" s="394">
        <v>-16755</v>
      </c>
      <c r="L669" s="394">
        <v>-19696.886719999999</v>
      </c>
      <c r="M669" s="1032">
        <v>-11163.322149999996</v>
      </c>
      <c r="N669" s="1236">
        <f>M669/7*12</f>
        <v>-19137.123685714279</v>
      </c>
      <c r="O669" s="1095">
        <f>('债务&amp;权益'!Q38+'债务&amp;权益'!Q55)*1000</f>
        <v>-9812.4671409002785</v>
      </c>
      <c r="P669" s="1095">
        <f>('债务&amp;权益'!R38+'债务&amp;权益'!R55)*1000</f>
        <v>-8504.3606020449442</v>
      </c>
      <c r="Q669" s="1095">
        <f>('债务&amp;权益'!S38+'债务&amp;权益'!S55)*1000</f>
        <v>-6659.9574300101831</v>
      </c>
      <c r="R669" s="1095">
        <f>('债务&amp;权益'!T38+'债务&amp;权益'!T55)*1000</f>
        <v>-5479.957430010184</v>
      </c>
      <c r="S669" s="1095">
        <f>('债务&amp;权益'!U38+'债务&amp;权益'!U55)*1000</f>
        <v>-4299.9574300101831</v>
      </c>
      <c r="AI669" s="424"/>
    </row>
    <row r="670" spans="1:43" ht="14.5">
      <c r="B670" s="1"/>
      <c r="C670" s="1"/>
      <c r="H670" s="1278">
        <f>H669/H34</f>
        <v>-1.8217073655133937E-2</v>
      </c>
      <c r="I670" s="1278">
        <f t="shared" ref="I670:M670" si="1576">I669/I34</f>
        <v>-1.5317855129147604E-2</v>
      </c>
      <c r="J670" s="1278">
        <f t="shared" si="1576"/>
        <v>-4.6000963427637383E-2</v>
      </c>
      <c r="K670" s="1278">
        <f t="shared" si="1576"/>
        <v>-3.4543827674646831E-2</v>
      </c>
      <c r="L670" s="1278">
        <f t="shared" si="1576"/>
        <v>-3.3637691645604206E-2</v>
      </c>
      <c r="M670" s="1278">
        <f t="shared" si="1576"/>
        <v>-3.4799602894340372E-2</v>
      </c>
      <c r="N670" s="102"/>
      <c r="O670" s="102"/>
      <c r="P670" s="102"/>
      <c r="Q670" s="102"/>
      <c r="R670" s="102"/>
      <c r="S670" s="102"/>
      <c r="AI670" s="424"/>
    </row>
    <row r="671" spans="1:43" ht="14.5">
      <c r="B671" s="18" t="s">
        <v>68</v>
      </c>
      <c r="C671" s="1"/>
      <c r="H671" s="23">
        <f>SUM(H673,H675,H677,H679,H683)</f>
        <v>-23223</v>
      </c>
      <c r="I671" s="23">
        <f t="shared" ref="I671:S671" si="1577">SUM(I673,I675,I677,I679,I683)</f>
        <v>-17328</v>
      </c>
      <c r="J671" s="23">
        <f t="shared" si="1577"/>
        <v>-805</v>
      </c>
      <c r="K671" s="23">
        <f t="shared" si="1577"/>
        <v>-11452</v>
      </c>
      <c r="L671" s="23">
        <f t="shared" si="1577"/>
        <v>-13254.661099999999</v>
      </c>
      <c r="M671" s="23">
        <f t="shared" si="1577"/>
        <v>-6293.5163400000001</v>
      </c>
      <c r="N671" s="23">
        <f t="shared" si="1577"/>
        <v>-11622.344051067774</v>
      </c>
      <c r="O671" s="23">
        <f t="shared" si="1577"/>
        <v>-12629.641517856406</v>
      </c>
      <c r="P671" s="23">
        <f t="shared" si="1577"/>
        <v>-13570.806006511655</v>
      </c>
      <c r="Q671" s="23">
        <f t="shared" si="1577"/>
        <v>-14469.265964111568</v>
      </c>
      <c r="R671" s="23">
        <f t="shared" si="1577"/>
        <v>-15608.878341435864</v>
      </c>
      <c r="S671" s="23">
        <f t="shared" si="1577"/>
        <v>-17186.302654834712</v>
      </c>
      <c r="AI671" s="424"/>
    </row>
    <row r="672" spans="1:43" ht="14.5">
      <c r="B672" s="18"/>
      <c r="C672" s="22" t="s">
        <v>130</v>
      </c>
      <c r="H672" s="56">
        <f>H671/H$34</f>
        <v>-3.5207648260084504E-2</v>
      </c>
      <c r="I672" s="56">
        <f t="shared" ref="I672:I684" si="1578">I671/I$34</f>
        <v>-2.4734674650812569E-2</v>
      </c>
      <c r="J672" s="56">
        <f t="shared" ref="J672:J684" si="1579">J671/J$34</f>
        <v>-1.4523581424970818E-3</v>
      </c>
      <c r="K672" s="56">
        <f t="shared" ref="K672:S684" si="1580">K671/K$34</f>
        <v>-2.3610618593259056E-2</v>
      </c>
      <c r="L672" s="56">
        <f t="shared" si="1580"/>
        <v>-2.2635871815014686E-2</v>
      </c>
      <c r="M672" s="56">
        <f t="shared" si="1580"/>
        <v>-1.9618879263557085E-2</v>
      </c>
      <c r="N672" s="56">
        <f t="shared" si="1580"/>
        <v>-1.9618879263557085E-2</v>
      </c>
      <c r="O672" s="56">
        <f t="shared" si="1580"/>
        <v>-1.9618879263557085E-2</v>
      </c>
      <c r="P672" s="56">
        <f t="shared" si="1580"/>
        <v>-1.9618879263557085E-2</v>
      </c>
      <c r="Q672" s="56">
        <f t="shared" si="1580"/>
        <v>-1.9618879263557085E-2</v>
      </c>
      <c r="R672" s="56">
        <f t="shared" si="1580"/>
        <v>-1.9618879263557085E-2</v>
      </c>
      <c r="S672" s="56">
        <f t="shared" si="1580"/>
        <v>-1.9618879263557081E-2</v>
      </c>
      <c r="AI672" s="424"/>
    </row>
    <row r="673" spans="2:35" ht="14.5">
      <c r="B673" s="1"/>
      <c r="C673" s="1" t="s">
        <v>69</v>
      </c>
      <c r="H673" s="394">
        <v>-1672</v>
      </c>
      <c r="I673" s="394">
        <v>-1432</v>
      </c>
      <c r="J673" s="394">
        <v>-1480</v>
      </c>
      <c r="K673" s="394">
        <v>-1274</v>
      </c>
      <c r="L673" s="394">
        <v>-1358.6424500000001</v>
      </c>
      <c r="M673" s="394">
        <v>-654.76955000000009</v>
      </c>
      <c r="N673" s="20">
        <f>N674*N$34</f>
        <v>-1209.174104450299</v>
      </c>
      <c r="O673" s="20">
        <f t="shared" ref="O673:S673" si="1581">O674*O$34</f>
        <v>-1313.9720700730168</v>
      </c>
      <c r="P673" s="20">
        <f t="shared" si="1581"/>
        <v>-1411.8896435598886</v>
      </c>
      <c r="Q673" s="20">
        <f t="shared" si="1581"/>
        <v>-1505.3642911732948</v>
      </c>
      <c r="R673" s="20">
        <f t="shared" si="1581"/>
        <v>-1623.9281342084682</v>
      </c>
      <c r="S673" s="20">
        <f t="shared" si="1581"/>
        <v>-1788.0413821996897</v>
      </c>
      <c r="AI673" s="424"/>
    </row>
    <row r="674" spans="2:35" ht="14.5">
      <c r="B674" s="1"/>
      <c r="C674" s="1"/>
      <c r="D674" s="22" t="s">
        <v>130</v>
      </c>
      <c r="H674" s="56">
        <f>H673/H$34</f>
        <v>-2.5348657749154411E-3</v>
      </c>
      <c r="I674" s="56">
        <f t="shared" si="1578"/>
        <v>-2.0440936114937444E-3</v>
      </c>
      <c r="J674" s="56">
        <f t="shared" si="1579"/>
        <v>-2.6701739762679268E-3</v>
      </c>
      <c r="K674" s="56">
        <f t="shared" si="1580"/>
        <v>-2.6266091589077925E-3</v>
      </c>
      <c r="L674" s="56">
        <f t="shared" si="1580"/>
        <v>-2.3202446376118587E-3</v>
      </c>
      <c r="M674" s="56">
        <f t="shared" si="1580"/>
        <v>-2.0411236029147426E-3</v>
      </c>
      <c r="N674" s="79">
        <f t="shared" ref="N674:S674" si="1582">CHOOSE(case,U674,AC674,AK674)</f>
        <v>-2.0411236029147426E-3</v>
      </c>
      <c r="O674" s="79">
        <f t="shared" si="1582"/>
        <v>-2.0411236029147426E-3</v>
      </c>
      <c r="P674" s="79">
        <f t="shared" si="1582"/>
        <v>-2.0411236029147426E-3</v>
      </c>
      <c r="Q674" s="79">
        <f t="shared" si="1582"/>
        <v>-2.0411236029147426E-3</v>
      </c>
      <c r="R674" s="79">
        <f t="shared" si="1582"/>
        <v>-2.0411236029147426E-3</v>
      </c>
      <c r="S674" s="79">
        <f t="shared" si="1582"/>
        <v>-2.0411236029147426E-3</v>
      </c>
      <c r="T674" s="1365"/>
      <c r="U674" s="1526">
        <f>L674</f>
        <v>-2.3202446376118587E-3</v>
      </c>
      <c r="V674" s="1526"/>
      <c r="W674" s="1526"/>
      <c r="X674" s="1526"/>
      <c r="Y674" s="1526"/>
      <c r="Z674" s="1526"/>
      <c r="AA674" s="1515"/>
      <c r="AB674" s="1321"/>
      <c r="AC674" s="79">
        <f>M674</f>
        <v>-2.0411236029147426E-3</v>
      </c>
      <c r="AD674" s="79">
        <f>AC674</f>
        <v>-2.0411236029147426E-3</v>
      </c>
      <c r="AE674" s="79">
        <f t="shared" ref="AE674:AH674" si="1583">AD674</f>
        <v>-2.0411236029147426E-3</v>
      </c>
      <c r="AF674" s="79">
        <f t="shared" si="1583"/>
        <v>-2.0411236029147426E-3</v>
      </c>
      <c r="AG674" s="79">
        <f t="shared" si="1583"/>
        <v>-2.0411236029147426E-3</v>
      </c>
      <c r="AH674" s="79">
        <f t="shared" si="1583"/>
        <v>-2.0411236029147426E-3</v>
      </c>
      <c r="AI674" s="424"/>
    </row>
    <row r="675" spans="2:35" ht="14.5">
      <c r="B675" s="1"/>
      <c r="C675" s="1" t="s">
        <v>188</v>
      </c>
      <c r="H675" s="394">
        <v>-1492</v>
      </c>
      <c r="I675" s="394">
        <v>-202</v>
      </c>
      <c r="J675" s="394">
        <v>145</v>
      </c>
      <c r="K675" s="394">
        <v>0</v>
      </c>
      <c r="L675" s="394">
        <v>-78.759</v>
      </c>
      <c r="M675" s="394">
        <v>0</v>
      </c>
      <c r="N675" s="20">
        <f>N676*N$34</f>
        <v>0</v>
      </c>
      <c r="O675" s="20">
        <f t="shared" ref="O675" si="1584">O676*O$34</f>
        <v>0</v>
      </c>
      <c r="P675" s="20">
        <f t="shared" ref="P675" si="1585">P676*P$34</f>
        <v>0</v>
      </c>
      <c r="Q675" s="20">
        <f t="shared" ref="Q675" si="1586">Q676*Q$34</f>
        <v>0</v>
      </c>
      <c r="R675" s="20">
        <f t="shared" ref="R675" si="1587">R676*R$34</f>
        <v>0</v>
      </c>
      <c r="S675" s="20">
        <f t="shared" ref="S675" si="1588">S676*S$34</f>
        <v>0</v>
      </c>
      <c r="AI675" s="424"/>
    </row>
    <row r="676" spans="2:35" ht="14.5">
      <c r="B676" s="1"/>
      <c r="C676" s="1"/>
      <c r="D676" s="22" t="s">
        <v>130</v>
      </c>
      <c r="H676" s="56">
        <f>H675/H$34</f>
        <v>-2.2619735264197598E-3</v>
      </c>
      <c r="I676" s="56">
        <f t="shared" si="1578"/>
        <v>-2.8834281391182707E-4</v>
      </c>
      <c r="J676" s="56">
        <f t="shared" si="1579"/>
        <v>2.6160488281003338E-4</v>
      </c>
      <c r="K676" s="56">
        <f t="shared" si="1580"/>
        <v>0</v>
      </c>
      <c r="L676" s="56">
        <f t="shared" si="1580"/>
        <v>-1.3450201516497029E-4</v>
      </c>
      <c r="M676" s="56">
        <f t="shared" si="1580"/>
        <v>0</v>
      </c>
      <c r="N676" s="79">
        <f t="shared" ref="N676:S676" si="1589">CHOOSE(case,U676,AC676,AK676)</f>
        <v>0</v>
      </c>
      <c r="O676" s="79">
        <f t="shared" si="1589"/>
        <v>0</v>
      </c>
      <c r="P676" s="79">
        <f t="shared" si="1589"/>
        <v>0</v>
      </c>
      <c r="Q676" s="79">
        <f t="shared" si="1589"/>
        <v>0</v>
      </c>
      <c r="R676" s="79">
        <f t="shared" si="1589"/>
        <v>0</v>
      </c>
      <c r="S676" s="79">
        <f t="shared" si="1589"/>
        <v>0</v>
      </c>
      <c r="T676" s="1365"/>
      <c r="U676" s="1526">
        <f>L676</f>
        <v>-1.3450201516497029E-4</v>
      </c>
      <c r="V676" s="1526"/>
      <c r="W676" s="1526"/>
      <c r="X676" s="1526"/>
      <c r="Y676" s="1526"/>
      <c r="Z676" s="1526"/>
      <c r="AA676" s="1515"/>
      <c r="AB676" s="1321"/>
      <c r="AC676" s="79">
        <f>M676</f>
        <v>0</v>
      </c>
      <c r="AD676" s="79">
        <f>AC676</f>
        <v>0</v>
      </c>
      <c r="AE676" s="79">
        <f t="shared" ref="AE676:AH676" si="1590">AD676</f>
        <v>0</v>
      </c>
      <c r="AF676" s="79">
        <f t="shared" si="1590"/>
        <v>0</v>
      </c>
      <c r="AG676" s="79">
        <f t="shared" si="1590"/>
        <v>0</v>
      </c>
      <c r="AH676" s="79">
        <f t="shared" si="1590"/>
        <v>0</v>
      </c>
      <c r="AI676" s="424"/>
    </row>
    <row r="677" spans="2:35" ht="14.5">
      <c r="B677" s="1"/>
      <c r="C677" s="1" t="s">
        <v>189</v>
      </c>
      <c r="H677" s="394">
        <v>-20057</v>
      </c>
      <c r="I677" s="394">
        <v>-15543</v>
      </c>
      <c r="J677" s="394">
        <v>-14417</v>
      </c>
      <c r="K677" s="394">
        <v>-10129</v>
      </c>
      <c r="L677" s="394">
        <v>-11758.73761</v>
      </c>
      <c r="M677" s="394">
        <v>-5597.2371700000003</v>
      </c>
      <c r="N677" s="20">
        <f>N678*N$34</f>
        <v>-10336.513422822847</v>
      </c>
      <c r="O677" s="20">
        <f t="shared" ref="O677" si="1591">O678*O$34</f>
        <v>-11232.369176230834</v>
      </c>
      <c r="P677" s="20">
        <f t="shared" ref="P677" si="1592">P678*P$34</f>
        <v>-12069.408531400793</v>
      </c>
      <c r="Q677" s="20">
        <f t="shared" ref="Q677" si="1593">Q678*Q$34</f>
        <v>-12868.467944097076</v>
      </c>
      <c r="R677" s="20">
        <f t="shared" ref="R677" si="1594">R678*R$34</f>
        <v>-13882.000032225667</v>
      </c>
      <c r="S677" s="20">
        <f t="shared" ref="S677" si="1595">S678*S$34</f>
        <v>-15284.90701185826</v>
      </c>
      <c r="AI677" s="424"/>
    </row>
    <row r="678" spans="2:35" ht="14.5">
      <c r="B678" s="1"/>
      <c r="C678" s="1"/>
      <c r="D678" s="22" t="s">
        <v>130</v>
      </c>
      <c r="H678" s="56">
        <f>H677/H$34</f>
        <v>-3.0407776822654907E-2</v>
      </c>
      <c r="I678" s="56">
        <f t="shared" si="1578"/>
        <v>-2.2186694834809544E-2</v>
      </c>
      <c r="J678" s="56">
        <f t="shared" si="1579"/>
        <v>-2.6010742037739662E-2</v>
      </c>
      <c r="K678" s="56">
        <f t="shared" si="1580"/>
        <v>-2.0882986005162505E-2</v>
      </c>
      <c r="L678" s="56">
        <f t="shared" si="1580"/>
        <v>-2.0081183158002596E-2</v>
      </c>
      <c r="M678" s="56">
        <f t="shared" si="1580"/>
        <v>-1.7448357057530724E-2</v>
      </c>
      <c r="N678" s="79">
        <f t="shared" ref="N678:S678" si="1596">CHOOSE(case,U678,AC678,AK678)</f>
        <v>-1.7448357057530724E-2</v>
      </c>
      <c r="O678" s="79">
        <f t="shared" si="1596"/>
        <v>-1.7448357057530724E-2</v>
      </c>
      <c r="P678" s="79">
        <f t="shared" si="1596"/>
        <v>-1.7448357057530724E-2</v>
      </c>
      <c r="Q678" s="79">
        <f t="shared" si="1596"/>
        <v>-1.7448357057530724E-2</v>
      </c>
      <c r="R678" s="79">
        <f t="shared" si="1596"/>
        <v>-1.7448357057530724E-2</v>
      </c>
      <c r="S678" s="79">
        <f t="shared" si="1596"/>
        <v>-1.7448357057530724E-2</v>
      </c>
      <c r="T678" s="1365"/>
      <c r="U678" s="1526">
        <f>L678</f>
        <v>-2.0081183158002596E-2</v>
      </c>
      <c r="V678" s="1526"/>
      <c r="W678" s="1526"/>
      <c r="X678" s="1526"/>
      <c r="Y678" s="1526"/>
      <c r="Z678" s="1526"/>
      <c r="AA678" s="1515"/>
      <c r="AB678" s="1321"/>
      <c r="AC678" s="79">
        <f>M678</f>
        <v>-1.7448357057530724E-2</v>
      </c>
      <c r="AD678" s="79">
        <f>AC678</f>
        <v>-1.7448357057530724E-2</v>
      </c>
      <c r="AE678" s="79">
        <f t="shared" ref="AE678:AH678" si="1597">AD678</f>
        <v>-1.7448357057530724E-2</v>
      </c>
      <c r="AF678" s="79">
        <f t="shared" si="1597"/>
        <v>-1.7448357057530724E-2</v>
      </c>
      <c r="AG678" s="79">
        <f t="shared" si="1597"/>
        <v>-1.7448357057530724E-2</v>
      </c>
      <c r="AH678" s="79">
        <f t="shared" si="1597"/>
        <v>-1.7448357057530724E-2</v>
      </c>
      <c r="AI678" s="424"/>
    </row>
    <row r="679" spans="2:35" ht="14.5">
      <c r="B679" s="1"/>
      <c r="C679" s="1" t="s">
        <v>1011</v>
      </c>
      <c r="H679" s="394">
        <v>-2</v>
      </c>
      <c r="I679" s="394">
        <v>-151</v>
      </c>
      <c r="J679" s="394">
        <v>-53</v>
      </c>
      <c r="K679" s="394">
        <v>-49</v>
      </c>
      <c r="L679" s="394">
        <v>-58.522039999999997</v>
      </c>
      <c r="M679" s="394">
        <v>-41.509620000000005</v>
      </c>
      <c r="N679" s="20">
        <f>N680*N$34</f>
        <v>-76.65652379462702</v>
      </c>
      <c r="O679" s="20">
        <f t="shared" ref="O679" si="1598">O680*O$34</f>
        <v>-83.300271552555088</v>
      </c>
      <c r="P679" s="20">
        <f t="shared" ref="P679" si="1599">P680*P$34</f>
        <v>-89.507831550973037</v>
      </c>
      <c r="Q679" s="20">
        <f t="shared" ref="Q679" si="1600">Q680*Q$34</f>
        <v>-95.433728841197365</v>
      </c>
      <c r="R679" s="20">
        <f t="shared" ref="R679" si="1601">R680*R$34</f>
        <v>-102.95017500172774</v>
      </c>
      <c r="S679" s="20">
        <f t="shared" ref="S679" si="1602">S680*S$34</f>
        <v>-113.35426077676318</v>
      </c>
      <c r="AI679" s="424"/>
    </row>
    <row r="680" spans="2:35" ht="14.5">
      <c r="B680" s="1"/>
      <c r="C680" s="1"/>
      <c r="D680" s="22" t="s">
        <v>130</v>
      </c>
      <c r="H680" s="56">
        <f>H679/H$34</f>
        <v>-3.032136094396461E-6</v>
      </c>
      <c r="I680" s="56">
        <f t="shared" si="1578"/>
        <v>-2.1554339059745489E-4</v>
      </c>
      <c r="J680" s="56">
        <f t="shared" si="1579"/>
        <v>-9.5621095096081154E-5</v>
      </c>
      <c r="K680" s="56">
        <f t="shared" si="1580"/>
        <v>-1.0102342918876124E-4</v>
      </c>
      <c r="L680" s="56">
        <f t="shared" si="1580"/>
        <v>-9.9942004235261962E-5</v>
      </c>
      <c r="M680" s="56">
        <f t="shared" si="1580"/>
        <v>-1.2939860311161669E-4</v>
      </c>
      <c r="N680" s="79">
        <f t="shared" ref="N680:S680" si="1603">CHOOSE(case,U680,AC680,AK680)</f>
        <v>-1.2939860311161669E-4</v>
      </c>
      <c r="O680" s="79">
        <f t="shared" si="1603"/>
        <v>-1.2939860311161669E-4</v>
      </c>
      <c r="P680" s="79">
        <f t="shared" si="1603"/>
        <v>-1.2939860311161669E-4</v>
      </c>
      <c r="Q680" s="79">
        <f t="shared" si="1603"/>
        <v>-1.2939860311161669E-4</v>
      </c>
      <c r="R680" s="79">
        <f t="shared" si="1603"/>
        <v>-1.2939860311161669E-4</v>
      </c>
      <c r="S680" s="79">
        <f t="shared" si="1603"/>
        <v>-1.2939860311161669E-4</v>
      </c>
      <c r="T680" s="1365"/>
      <c r="U680" s="1526">
        <f>L680</f>
        <v>-9.9942004235261962E-5</v>
      </c>
      <c r="V680" s="1526"/>
      <c r="W680" s="1526"/>
      <c r="X680" s="1526"/>
      <c r="Y680" s="1526"/>
      <c r="Z680" s="1526"/>
      <c r="AA680" s="1515"/>
      <c r="AB680" s="1321"/>
      <c r="AC680" s="79">
        <f>M680</f>
        <v>-1.2939860311161669E-4</v>
      </c>
      <c r="AD680" s="79">
        <f>AC680</f>
        <v>-1.2939860311161669E-4</v>
      </c>
      <c r="AE680" s="79">
        <f t="shared" ref="AE680:AH680" si="1604">AD680</f>
        <v>-1.2939860311161669E-4</v>
      </c>
      <c r="AF680" s="79">
        <f t="shared" si="1604"/>
        <v>-1.2939860311161669E-4</v>
      </c>
      <c r="AG680" s="79">
        <f t="shared" si="1604"/>
        <v>-1.2939860311161669E-4</v>
      </c>
      <c r="AH680" s="79">
        <f t="shared" si="1604"/>
        <v>-1.2939860311161669E-4</v>
      </c>
      <c r="AI680" s="424"/>
    </row>
    <row r="681" spans="2:35" ht="14.5" hidden="1">
      <c r="C681" s="1" t="s">
        <v>190</v>
      </c>
      <c r="H681" s="394">
        <v>0</v>
      </c>
      <c r="I681" s="394">
        <v>0</v>
      </c>
      <c r="J681" s="394">
        <v>0</v>
      </c>
      <c r="K681" s="394">
        <v>0</v>
      </c>
      <c r="L681" s="394">
        <v>0</v>
      </c>
      <c r="M681" s="394">
        <v>0</v>
      </c>
      <c r="N681" s="20">
        <f>N682*N$34</f>
        <v>0</v>
      </c>
      <c r="O681" s="20">
        <f t="shared" ref="O681" si="1605">O682*O$34</f>
        <v>0</v>
      </c>
      <c r="P681" s="20">
        <f t="shared" ref="P681" si="1606">P682*P$34</f>
        <v>0</v>
      </c>
      <c r="Q681" s="20">
        <f t="shared" ref="Q681" si="1607">Q682*Q$34</f>
        <v>0</v>
      </c>
      <c r="R681" s="20">
        <f t="shared" ref="R681" si="1608">R682*R$34</f>
        <v>0</v>
      </c>
      <c r="S681" s="20">
        <f t="shared" ref="S681" si="1609">S682*S$34</f>
        <v>0</v>
      </c>
      <c r="AI681" s="424"/>
    </row>
    <row r="682" spans="2:35" ht="14.5" hidden="1">
      <c r="B682" s="1"/>
      <c r="C682" s="1"/>
      <c r="D682" s="22" t="s">
        <v>130</v>
      </c>
      <c r="H682" s="56">
        <f>H681/H$34</f>
        <v>0</v>
      </c>
      <c r="I682" s="56">
        <f t="shared" si="1578"/>
        <v>0</v>
      </c>
      <c r="J682" s="56">
        <f t="shared" si="1579"/>
        <v>0</v>
      </c>
      <c r="K682" s="56">
        <f t="shared" si="1580"/>
        <v>0</v>
      </c>
      <c r="L682" s="56">
        <f t="shared" si="1580"/>
        <v>0</v>
      </c>
      <c r="M682" s="56">
        <f t="shared" si="1580"/>
        <v>0</v>
      </c>
      <c r="N682" s="79">
        <f t="shared" ref="N682:S682" si="1610">CHOOSE(case,U682,AC682,AK682)</f>
        <v>0</v>
      </c>
      <c r="O682" s="79">
        <f t="shared" si="1610"/>
        <v>0</v>
      </c>
      <c r="P682" s="79">
        <f t="shared" si="1610"/>
        <v>0</v>
      </c>
      <c r="Q682" s="79">
        <f t="shared" si="1610"/>
        <v>0</v>
      </c>
      <c r="R682" s="79">
        <f t="shared" si="1610"/>
        <v>0</v>
      </c>
      <c r="S682" s="79">
        <f t="shared" si="1610"/>
        <v>0</v>
      </c>
      <c r="T682" s="1365"/>
      <c r="U682" s="1526">
        <f>L682</f>
        <v>0</v>
      </c>
      <c r="V682" s="1526"/>
      <c r="W682" s="1526"/>
      <c r="X682" s="1526"/>
      <c r="Y682" s="1526"/>
      <c r="Z682" s="1526"/>
      <c r="AA682" s="1515"/>
      <c r="AB682" s="1321"/>
      <c r="AC682" s="79">
        <f>M682</f>
        <v>0</v>
      </c>
      <c r="AD682" s="79">
        <f>AC682</f>
        <v>0</v>
      </c>
      <c r="AE682" s="79">
        <f t="shared" ref="AE682:AH682" si="1611">AD682</f>
        <v>0</v>
      </c>
      <c r="AF682" s="79">
        <f t="shared" si="1611"/>
        <v>0</v>
      </c>
      <c r="AG682" s="79">
        <f t="shared" si="1611"/>
        <v>0</v>
      </c>
      <c r="AH682" s="79">
        <f t="shared" si="1611"/>
        <v>0</v>
      </c>
      <c r="AI682" s="424"/>
    </row>
    <row r="683" spans="2:35" ht="14.5">
      <c r="B683" s="99"/>
      <c r="C683" s="1" t="s">
        <v>73</v>
      </c>
      <c r="H683" s="394">
        <v>0</v>
      </c>
      <c r="I683" s="394">
        <v>0</v>
      </c>
      <c r="J683" s="394">
        <v>15000</v>
      </c>
      <c r="K683" s="394">
        <v>0</v>
      </c>
      <c r="L683" s="394">
        <v>0</v>
      </c>
      <c r="M683" s="394">
        <v>0</v>
      </c>
      <c r="N683" s="20">
        <f>N684*N$34</f>
        <v>0</v>
      </c>
      <c r="O683" s="20">
        <f t="shared" ref="O683" si="1612">O684*O$34</f>
        <v>0</v>
      </c>
      <c r="P683" s="20">
        <f t="shared" ref="P683" si="1613">P684*P$34</f>
        <v>0</v>
      </c>
      <c r="Q683" s="20">
        <f t="shared" ref="Q683" si="1614">Q684*Q$34</f>
        <v>0</v>
      </c>
      <c r="R683" s="20">
        <f t="shared" ref="R683" si="1615">R684*R$34</f>
        <v>0</v>
      </c>
      <c r="S683" s="20">
        <f t="shared" ref="S683" si="1616">S684*S$34</f>
        <v>0</v>
      </c>
      <c r="AI683" s="424"/>
    </row>
    <row r="684" spans="2:35" ht="14.5">
      <c r="B684" s="1"/>
      <c r="C684" s="1"/>
      <c r="D684" s="22" t="s">
        <v>130</v>
      </c>
      <c r="H684" s="56">
        <f>H683/H$34</f>
        <v>0</v>
      </c>
      <c r="I684" s="56">
        <f t="shared" si="1578"/>
        <v>0</v>
      </c>
      <c r="J684" s="56">
        <f t="shared" si="1579"/>
        <v>2.7062574083796555E-2</v>
      </c>
      <c r="K684" s="56">
        <f t="shared" si="1580"/>
        <v>0</v>
      </c>
      <c r="L684" s="56">
        <f t="shared" si="1580"/>
        <v>0</v>
      </c>
      <c r="M684" s="56">
        <f t="shared" si="1580"/>
        <v>0</v>
      </c>
      <c r="N684" s="79">
        <f t="shared" ref="N684:S684" si="1617">CHOOSE(case,U684,AC684,AK684)</f>
        <v>0</v>
      </c>
      <c r="O684" s="79">
        <f t="shared" si="1617"/>
        <v>0</v>
      </c>
      <c r="P684" s="79">
        <f t="shared" si="1617"/>
        <v>0</v>
      </c>
      <c r="Q684" s="79">
        <f t="shared" si="1617"/>
        <v>0</v>
      </c>
      <c r="R684" s="79">
        <f t="shared" si="1617"/>
        <v>0</v>
      </c>
      <c r="S684" s="79">
        <f t="shared" si="1617"/>
        <v>0</v>
      </c>
      <c r="T684" s="1365"/>
      <c r="U684" s="1526">
        <f>L684</f>
        <v>0</v>
      </c>
      <c r="V684" s="1526"/>
      <c r="W684" s="1526"/>
      <c r="X684" s="1526"/>
      <c r="Y684" s="1526"/>
      <c r="Z684" s="1526"/>
      <c r="AA684" s="1515"/>
      <c r="AB684" s="1321"/>
      <c r="AC684" s="79">
        <f>M684</f>
        <v>0</v>
      </c>
      <c r="AD684" s="79">
        <f>AC684</f>
        <v>0</v>
      </c>
      <c r="AE684" s="79">
        <f t="shared" ref="AE684:AH684" si="1618">AD684</f>
        <v>0</v>
      </c>
      <c r="AF684" s="79">
        <f t="shared" si="1618"/>
        <v>0</v>
      </c>
      <c r="AG684" s="79">
        <f t="shared" si="1618"/>
        <v>0</v>
      </c>
      <c r="AH684" s="79">
        <f t="shared" si="1618"/>
        <v>0</v>
      </c>
      <c r="AI684" s="424"/>
    </row>
    <row r="685" spans="2:35" ht="14.5">
      <c r="B685" s="99"/>
      <c r="C685" s="1"/>
      <c r="H685" s="21"/>
      <c r="I685" s="21"/>
      <c r="J685" s="21"/>
      <c r="K685" s="21"/>
      <c r="L685" s="99"/>
      <c r="M685" s="99"/>
      <c r="N685" s="99"/>
      <c r="O685" s="99"/>
      <c r="P685" s="99"/>
      <c r="Q685" s="99"/>
      <c r="R685" s="99"/>
      <c r="S685" s="99"/>
      <c r="AI685" s="424"/>
    </row>
    <row r="686" spans="2:35" ht="14.5">
      <c r="B686" s="99" t="s">
        <v>191</v>
      </c>
      <c r="H686" s="23">
        <f t="shared" ref="H686:S686" si="1619">H49+H633+H671+H669</f>
        <v>-32064.559059999032</v>
      </c>
      <c r="I686" s="23">
        <f t="shared" si="1619"/>
        <v>10586.385679998042</v>
      </c>
      <c r="J686" s="23">
        <f t="shared" si="1619"/>
        <v>-20422.56458313801</v>
      </c>
      <c r="K686" s="23">
        <f t="shared" si="1619"/>
        <v>-10762</v>
      </c>
      <c r="L686" s="23">
        <f t="shared" si="1619"/>
        <v>-9873.2774799999952</v>
      </c>
      <c r="M686" s="23">
        <f t="shared" si="1619"/>
        <v>500.50923999886618</v>
      </c>
      <c r="N686" s="23">
        <f t="shared" si="1619"/>
        <v>4328.3227177057197</v>
      </c>
      <c r="O686" s="23">
        <f t="shared" si="1619"/>
        <v>27782.604643952902</v>
      </c>
      <c r="P686" s="23">
        <f t="shared" si="1619"/>
        <v>41748.028393033172</v>
      </c>
      <c r="Q686" s="23">
        <f t="shared" si="1619"/>
        <v>55549.798227679676</v>
      </c>
      <c r="R686" s="23">
        <f t="shared" si="1619"/>
        <v>70339.037457879356</v>
      </c>
      <c r="S686" s="23">
        <f t="shared" si="1619"/>
        <v>88390.674289366812</v>
      </c>
      <c r="AI686" s="424"/>
    </row>
    <row r="687" spans="2:35" ht="14.5">
      <c r="C687" s="97" t="s">
        <v>192</v>
      </c>
      <c r="H687" s="394">
        <v>0</v>
      </c>
      <c r="I687" s="394">
        <v>0</v>
      </c>
      <c r="J687" s="394">
        <v>1086</v>
      </c>
      <c r="K687" s="394">
        <v>0</v>
      </c>
      <c r="L687" s="394">
        <v>0</v>
      </c>
      <c r="M687" s="394">
        <v>0</v>
      </c>
      <c r="N687" s="158">
        <f>L687</f>
        <v>0</v>
      </c>
      <c r="O687" s="158">
        <f t="shared" ref="O687:S687" si="1620">N687</f>
        <v>0</v>
      </c>
      <c r="P687" s="158">
        <f t="shared" si="1620"/>
        <v>0</v>
      </c>
      <c r="Q687" s="158">
        <f t="shared" si="1620"/>
        <v>0</v>
      </c>
      <c r="R687" s="158">
        <f t="shared" si="1620"/>
        <v>0</v>
      </c>
      <c r="S687" s="158">
        <f t="shared" si="1620"/>
        <v>0</v>
      </c>
      <c r="AI687" s="424"/>
    </row>
    <row r="688" spans="2:35" ht="14.5">
      <c r="AI688" s="424"/>
    </row>
    <row r="689" spans="1:43" ht="14.5">
      <c r="B689" s="99" t="s">
        <v>76</v>
      </c>
      <c r="H689" s="23">
        <f>SUM(H686:H687)</f>
        <v>-32064.559059999032</v>
      </c>
      <c r="I689" s="23">
        <f t="shared" ref="I689:S689" si="1621">SUM(I686:I687)</f>
        <v>10586.385679998042</v>
      </c>
      <c r="J689" s="23">
        <f t="shared" si="1621"/>
        <v>-19336.56458313801</v>
      </c>
      <c r="K689" s="23">
        <f t="shared" si="1621"/>
        <v>-10762</v>
      </c>
      <c r="L689" s="23">
        <f t="shared" si="1621"/>
        <v>-9873.2774799999952</v>
      </c>
      <c r="M689" s="23">
        <f t="shared" si="1621"/>
        <v>500.50923999886618</v>
      </c>
      <c r="N689" s="23">
        <f t="shared" si="1621"/>
        <v>4328.3227177057197</v>
      </c>
      <c r="O689" s="23">
        <f t="shared" si="1621"/>
        <v>27782.604643952902</v>
      </c>
      <c r="P689" s="23">
        <f t="shared" si="1621"/>
        <v>41748.028393033172</v>
      </c>
      <c r="Q689" s="23">
        <f t="shared" si="1621"/>
        <v>55549.798227679676</v>
      </c>
      <c r="R689" s="23">
        <f t="shared" si="1621"/>
        <v>70339.037457879356</v>
      </c>
      <c r="S689" s="23">
        <f t="shared" si="1621"/>
        <v>88390.674289366812</v>
      </c>
      <c r="AI689" s="424"/>
    </row>
    <row r="690" spans="1:43" ht="14.5">
      <c r="C690" s="97" t="s">
        <v>77</v>
      </c>
      <c r="H690" s="415">
        <v>2100</v>
      </c>
      <c r="I690" s="394">
        <v>-1105</v>
      </c>
      <c r="J690" s="394">
        <v>-632</v>
      </c>
      <c r="K690" s="394">
        <v>0</v>
      </c>
      <c r="L690" s="394">
        <v>698</v>
      </c>
      <c r="M690" s="394">
        <v>0</v>
      </c>
      <c r="N690" s="97">
        <f t="shared" ref="N690:S690" si="1622">-N689*N691</f>
        <v>-1211.9303609576016</v>
      </c>
      <c r="O690" s="20">
        <f t="shared" si="1622"/>
        <v>-7779.1293003068131</v>
      </c>
      <c r="P690" s="20">
        <f t="shared" si="1622"/>
        <v>-11689.447950049289</v>
      </c>
      <c r="Q690" s="20">
        <f t="shared" si="1622"/>
        <v>-15553.94350375031</v>
      </c>
      <c r="R690" s="20">
        <f t="shared" si="1622"/>
        <v>-19694.930488206221</v>
      </c>
      <c r="S690" s="20">
        <f t="shared" si="1622"/>
        <v>-24749.388801022709</v>
      </c>
      <c r="AI690" s="424"/>
    </row>
    <row r="691" spans="1:43" ht="14.5">
      <c r="C691" s="101" t="s">
        <v>351</v>
      </c>
      <c r="H691" s="416">
        <f>-H690/H689</f>
        <v>6.5492870058511996E-2</v>
      </c>
      <c r="I691" s="416">
        <f t="shared" ref="I691:M691" si="1623">-I690/I689</f>
        <v>0.10437934469814295</v>
      </c>
      <c r="J691" s="416">
        <f t="shared" si="1623"/>
        <v>-3.2684192545304587E-2</v>
      </c>
      <c r="K691" s="416">
        <f t="shared" si="1623"/>
        <v>0</v>
      </c>
      <c r="L691" s="416">
        <f t="shared" si="1623"/>
        <v>7.0695875955468473E-2</v>
      </c>
      <c r="M691" s="416">
        <f t="shared" si="1623"/>
        <v>0</v>
      </c>
      <c r="N691" s="530">
        <v>0.28000000000000003</v>
      </c>
      <c r="O691" s="530">
        <f>N691</f>
        <v>0.28000000000000003</v>
      </c>
      <c r="P691" s="530">
        <f t="shared" ref="P691:S691" si="1624">O691</f>
        <v>0.28000000000000003</v>
      </c>
      <c r="Q691" s="530">
        <f t="shared" si="1624"/>
        <v>0.28000000000000003</v>
      </c>
      <c r="R691" s="530">
        <f t="shared" si="1624"/>
        <v>0.28000000000000003</v>
      </c>
      <c r="S691" s="530">
        <f t="shared" si="1624"/>
        <v>0.28000000000000003</v>
      </c>
      <c r="AI691" s="424"/>
    </row>
    <row r="692" spans="1:43" ht="15" thickBot="1">
      <c r="E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AI692" s="424"/>
    </row>
    <row r="693" spans="1:43" s="101" customFormat="1" ht="15" thickBot="1">
      <c r="B693" s="76" t="s">
        <v>194</v>
      </c>
      <c r="C693" s="76"/>
      <c r="D693" s="76"/>
      <c r="E693" s="135"/>
      <c r="F693" s="110"/>
      <c r="G693" s="110"/>
      <c r="H693" s="64">
        <f>SUM(H689:H690)</f>
        <v>-29964.559059999032</v>
      </c>
      <c r="I693" s="64">
        <f t="shared" ref="I693:K693" si="1625">SUM(I689:I690)</f>
        <v>9481.3856799980422</v>
      </c>
      <c r="J693" s="64">
        <f t="shared" si="1625"/>
        <v>-19968.56458313801</v>
      </c>
      <c r="K693" s="64">
        <f t="shared" si="1625"/>
        <v>-10762</v>
      </c>
      <c r="L693" s="64">
        <f t="shared" ref="L693:S693" si="1626">SUM(L689:L690)</f>
        <v>-9175.2774799999952</v>
      </c>
      <c r="M693" s="64">
        <f t="shared" ref="M693" si="1627">SUM(M689:M690)</f>
        <v>500.50923999886618</v>
      </c>
      <c r="N693" s="64">
        <f t="shared" si="1626"/>
        <v>3116.3923567481179</v>
      </c>
      <c r="O693" s="64">
        <f t="shared" si="1626"/>
        <v>20003.475343646089</v>
      </c>
      <c r="P693" s="64">
        <f t="shared" si="1626"/>
        <v>30058.580442983883</v>
      </c>
      <c r="Q693" s="64">
        <f t="shared" si="1626"/>
        <v>39995.854723929369</v>
      </c>
      <c r="R693" s="64">
        <f t="shared" si="1626"/>
        <v>50644.106969673136</v>
      </c>
      <c r="S693" s="64">
        <f t="shared" si="1626"/>
        <v>63641.285488344103</v>
      </c>
      <c r="U693" s="1512"/>
      <c r="V693" s="1512"/>
      <c r="W693" s="1512"/>
      <c r="X693" s="1512"/>
      <c r="Y693" s="1512"/>
      <c r="Z693" s="1512"/>
      <c r="AA693" s="1512"/>
      <c r="AI693" s="473"/>
      <c r="AK693" s="1512"/>
      <c r="AL693" s="1512"/>
      <c r="AM693" s="1512"/>
      <c r="AN693" s="1512"/>
      <c r="AO693" s="1512"/>
      <c r="AP693" s="1512"/>
      <c r="AQ693" s="1512"/>
    </row>
    <row r="694" spans="1:43" ht="14.5">
      <c r="B694" s="101" t="s">
        <v>193</v>
      </c>
      <c r="H694" s="94">
        <f t="shared" ref="H694:S694" si="1628">H693/H34</f>
        <v>-4.5428310539248777E-2</v>
      </c>
      <c r="I694" s="94">
        <f t="shared" si="1628"/>
        <v>1.3534106073039294E-2</v>
      </c>
      <c r="J694" s="94">
        <f t="shared" si="1628"/>
        <v>-3.602671722521656E-2</v>
      </c>
      <c r="K694" s="94">
        <f t="shared" si="1628"/>
        <v>-2.2188043774070378E-2</v>
      </c>
      <c r="L694" s="94">
        <f t="shared" si="1628"/>
        <v>-1.5669235398592791E-2</v>
      </c>
      <c r="M694" s="94">
        <f t="shared" si="1628"/>
        <v>1.5602454684073279E-3</v>
      </c>
      <c r="N694" s="94">
        <f t="shared" si="1628"/>
        <v>5.2605674996599626E-3</v>
      </c>
      <c r="O694" s="94">
        <f t="shared" si="1628"/>
        <v>3.1073389301166994E-2</v>
      </c>
      <c r="P694" s="94">
        <f t="shared" si="1628"/>
        <v>4.3454726289791253E-2</v>
      </c>
      <c r="Q694" s="94">
        <f t="shared" si="1628"/>
        <v>5.4230383684824301E-2</v>
      </c>
      <c r="R694" s="94">
        <f t="shared" si="1628"/>
        <v>6.3654837863082958E-2</v>
      </c>
      <c r="S694" s="94">
        <f t="shared" si="1628"/>
        <v>7.2649174243545195E-2</v>
      </c>
      <c r="AI694" s="424"/>
    </row>
    <row r="695" spans="1:43" ht="14.5"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AI695" s="424"/>
    </row>
    <row r="696" spans="1:43" s="1125" customFormat="1" ht="14.5">
      <c r="A696" s="10" t="s">
        <v>8</v>
      </c>
      <c r="B696" s="10"/>
      <c r="C696" s="10" t="s">
        <v>79</v>
      </c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U696" s="1515"/>
      <c r="V696" s="1515"/>
      <c r="W696" s="1515"/>
      <c r="X696" s="1515"/>
      <c r="Y696" s="1515"/>
      <c r="Z696" s="1515"/>
      <c r="AA696" s="1515"/>
      <c r="AC696" s="62"/>
      <c r="AD696" s="62"/>
      <c r="AE696" s="62"/>
      <c r="AF696" s="62"/>
      <c r="AG696" s="62"/>
      <c r="AH696" s="62"/>
      <c r="AI696" s="475"/>
      <c r="AK696" s="1515"/>
      <c r="AL696" s="1515"/>
      <c r="AM696" s="1515"/>
      <c r="AN696" s="1515"/>
      <c r="AO696" s="1515"/>
      <c r="AP696" s="1515"/>
      <c r="AQ696" s="1515"/>
    </row>
    <row r="697" spans="1:43" ht="14.5">
      <c r="AI697" s="424"/>
    </row>
    <row r="698" spans="1:43" s="99" customFormat="1" ht="14.5">
      <c r="C698" s="97" t="s">
        <v>195</v>
      </c>
      <c r="H698" s="394">
        <v>11685</v>
      </c>
      <c r="I698" s="394">
        <v>10506</v>
      </c>
      <c r="J698" s="394">
        <v>25408</v>
      </c>
      <c r="K698" s="394">
        <v>16658</v>
      </c>
      <c r="L698" s="394">
        <v>19566.911080000002</v>
      </c>
      <c r="M698" s="394">
        <v>10750.225579999998</v>
      </c>
      <c r="N698" s="529">
        <f t="shared" ref="N698:S698" si="1629">-N669</f>
        <v>19137.123685714279</v>
      </c>
      <c r="O698" s="529">
        <f t="shared" si="1629"/>
        <v>9812.4671409002785</v>
      </c>
      <c r="P698" s="529">
        <f t="shared" si="1629"/>
        <v>8504.3606020449442</v>
      </c>
      <c r="Q698" s="529">
        <f t="shared" si="1629"/>
        <v>6659.9574300101831</v>
      </c>
      <c r="R698" s="529">
        <f t="shared" si="1629"/>
        <v>5479.957430010184</v>
      </c>
      <c r="S698" s="529">
        <f t="shared" si="1629"/>
        <v>4299.9574300101831</v>
      </c>
      <c r="U698" s="1511"/>
      <c r="V698" s="1511"/>
      <c r="W698" s="1511"/>
      <c r="X698" s="1511"/>
      <c r="Y698" s="1511"/>
      <c r="Z698" s="1511"/>
      <c r="AA698" s="1511"/>
      <c r="AI698" s="414"/>
      <c r="AK698" s="1511"/>
      <c r="AL698" s="1511"/>
      <c r="AM698" s="1511"/>
      <c r="AN698" s="1511"/>
      <c r="AO698" s="1511"/>
      <c r="AP698" s="1511"/>
      <c r="AQ698" s="1511"/>
    </row>
    <row r="699" spans="1:43" ht="14.5">
      <c r="C699" s="97" t="s">
        <v>82</v>
      </c>
      <c r="H699" s="394">
        <v>21786</v>
      </c>
      <c r="I699" s="394">
        <v>17682</v>
      </c>
      <c r="J699" s="394">
        <v>18005</v>
      </c>
      <c r="K699" s="394">
        <v>12593</v>
      </c>
      <c r="L699" s="394">
        <v>16268.177519999999</v>
      </c>
      <c r="M699" s="394">
        <v>8367.6541700000016</v>
      </c>
      <c r="N699" s="20">
        <f>'固定资产&amp;无形资产'!N9*1000</f>
        <v>7680.0051050000011</v>
      </c>
      <c r="O699" s="20">
        <f>'固定资产&amp;无形资产'!O9*1000</f>
        <v>9789.6892161374617</v>
      </c>
      <c r="P699" s="20">
        <f>'固定资产&amp;无形资产'!P9*1000</f>
        <v>10531.37332727492</v>
      </c>
      <c r="Q699" s="20">
        <f>'固定资产&amp;无形资产'!Q9*1000</f>
        <v>11273.057438412379</v>
      </c>
      <c r="R699" s="20">
        <f>'固定资产&amp;无形资产'!R9*1000</f>
        <v>11615.24743841238</v>
      </c>
      <c r="S699" s="20">
        <f>'固定资产&amp;无形资产'!S9*1000</f>
        <v>11957.43743841238</v>
      </c>
      <c r="AI699" s="424"/>
    </row>
    <row r="700" spans="1:43" s="104" customFormat="1" ht="14.5">
      <c r="D700" s="101" t="s">
        <v>83</v>
      </c>
      <c r="H700" s="94">
        <f t="shared" ref="H700:S700" si="1630">H699/H34</f>
        <v>3.3029058476260649E-2</v>
      </c>
      <c r="I700" s="94">
        <f t="shared" si="1630"/>
        <v>2.5239988294994683E-2</v>
      </c>
      <c r="J700" s="94">
        <f t="shared" si="1630"/>
        <v>3.2484109758583797E-2</v>
      </c>
      <c r="K700" s="94">
        <f t="shared" si="1630"/>
        <v>2.5963021301511641E-2</v>
      </c>
      <c r="L700" s="94">
        <f t="shared" si="1630"/>
        <v>2.7782255481931823E-2</v>
      </c>
      <c r="M700" s="94">
        <f t="shared" si="1630"/>
        <v>2.6084622333788998E-2</v>
      </c>
      <c r="N700" s="94">
        <f t="shared" si="1630"/>
        <v>1.2964088159535628E-2</v>
      </c>
      <c r="O700" s="94">
        <f t="shared" si="1630"/>
        <v>1.5207298678082033E-2</v>
      </c>
      <c r="P700" s="94">
        <f t="shared" si="1630"/>
        <v>1.5224868861003023E-2</v>
      </c>
      <c r="Q700" s="94">
        <f t="shared" si="1630"/>
        <v>1.528513978275859E-2</v>
      </c>
      <c r="R700" s="94">
        <f t="shared" si="1630"/>
        <v>1.459926409353964E-2</v>
      </c>
      <c r="S700" s="94">
        <f t="shared" si="1630"/>
        <v>1.3649912149065777E-2</v>
      </c>
      <c r="U700" s="1514"/>
      <c r="V700" s="1514"/>
      <c r="W700" s="1514"/>
      <c r="X700" s="1514"/>
      <c r="Y700" s="1514"/>
      <c r="Z700" s="1514"/>
      <c r="AA700" s="1514"/>
      <c r="AI700" s="477"/>
      <c r="AK700" s="1514"/>
      <c r="AL700" s="1514"/>
      <c r="AM700" s="1514"/>
      <c r="AN700" s="1514"/>
      <c r="AO700" s="1514"/>
      <c r="AP700" s="1514"/>
      <c r="AQ700" s="1514"/>
    </row>
    <row r="701" spans="1:43" ht="15" hidden="1" thickBot="1"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AI701" s="424"/>
    </row>
    <row r="702" spans="1:43" s="1321" customFormat="1" ht="15" hidden="1" thickBot="1">
      <c r="A702" s="1"/>
      <c r="B702" s="1"/>
      <c r="C702" s="63" t="s">
        <v>84</v>
      </c>
      <c r="D702" s="37"/>
      <c r="E702" s="37"/>
      <c r="F702" s="37"/>
      <c r="G702" s="37"/>
      <c r="H702" s="66">
        <v>-35790</v>
      </c>
      <c r="I702" s="66">
        <v>29405</v>
      </c>
      <c r="J702" s="66">
        <v>-11403</v>
      </c>
      <c r="K702" s="66">
        <v>19214</v>
      </c>
      <c r="L702" s="60"/>
      <c r="M702" s="60"/>
      <c r="N702" s="60"/>
      <c r="O702" s="60"/>
      <c r="P702" s="60"/>
      <c r="Q702" s="60"/>
      <c r="R702" s="60"/>
      <c r="S702" s="60"/>
      <c r="U702" s="1515"/>
      <c r="V702" s="1515"/>
      <c r="W702" s="1515"/>
      <c r="X702" s="1515"/>
      <c r="Y702" s="1515"/>
      <c r="Z702" s="1515"/>
      <c r="AA702" s="1515"/>
      <c r="AC702" s="1"/>
      <c r="AD702" s="1"/>
      <c r="AE702" s="1"/>
      <c r="AF702" s="1"/>
      <c r="AG702" s="1"/>
      <c r="AH702" s="1"/>
      <c r="AI702" s="415"/>
      <c r="AK702" s="1515"/>
      <c r="AL702" s="1515"/>
      <c r="AM702" s="1515"/>
      <c r="AN702" s="1515"/>
      <c r="AO702" s="1515"/>
      <c r="AP702" s="1515"/>
      <c r="AQ702" s="1515"/>
    </row>
    <row r="703" spans="1:43" ht="14.5" hidden="1">
      <c r="AI703" s="424"/>
    </row>
    <row r="704" spans="1:43" ht="16" hidden="1">
      <c r="C704" s="67" t="s">
        <v>214</v>
      </c>
      <c r="D704" s="128"/>
      <c r="E704" s="128"/>
      <c r="F704" s="128"/>
      <c r="AI704" s="424"/>
    </row>
    <row r="705" spans="3:35" ht="14.5" hidden="1">
      <c r="C705" s="97" t="s">
        <v>196</v>
      </c>
      <c r="H705" s="21">
        <v>3838</v>
      </c>
      <c r="I705" s="21">
        <v>3839</v>
      </c>
      <c r="J705" s="21">
        <v>16333</v>
      </c>
      <c r="K705" s="21">
        <v>5463</v>
      </c>
      <c r="AI705" s="424"/>
    </row>
    <row r="706" spans="3:35" ht="14.5" hidden="1">
      <c r="C706" s="97" t="s">
        <v>197</v>
      </c>
      <c r="H706" s="21">
        <v>22865</v>
      </c>
      <c r="I706" s="21">
        <v>0</v>
      </c>
      <c r="J706" s="21">
        <v>0</v>
      </c>
      <c r="K706" s="21">
        <v>0</v>
      </c>
      <c r="L706" s="102"/>
      <c r="M706" s="102"/>
      <c r="N706" s="102"/>
      <c r="O706" s="102"/>
      <c r="P706" s="102"/>
      <c r="Q706" s="102"/>
      <c r="R706" s="102"/>
      <c r="S706" s="102"/>
      <c r="AI706" s="424"/>
    </row>
    <row r="707" spans="3:35" ht="14.5" hidden="1">
      <c r="C707" s="97" t="s">
        <v>198</v>
      </c>
      <c r="H707" s="21">
        <v>2453</v>
      </c>
      <c r="I707" s="21">
        <v>3145</v>
      </c>
      <c r="J707" s="21">
        <v>3454</v>
      </c>
      <c r="K707" s="21">
        <v>242</v>
      </c>
      <c r="L707" s="102"/>
      <c r="M707" s="102"/>
      <c r="N707" s="102"/>
      <c r="O707" s="102"/>
      <c r="P707" s="102"/>
      <c r="Q707" s="102"/>
      <c r="R707" s="102"/>
      <c r="S707" s="102"/>
      <c r="AI707" s="424"/>
    </row>
    <row r="708" spans="3:35" ht="14.5" hidden="1">
      <c r="C708" s="97" t="s">
        <v>199</v>
      </c>
      <c r="H708" s="21">
        <v>2983</v>
      </c>
      <c r="I708" s="21">
        <v>787</v>
      </c>
      <c r="J708" s="21">
        <v>2317</v>
      </c>
      <c r="K708" s="21">
        <v>358</v>
      </c>
      <c r="L708" s="102"/>
      <c r="M708" s="102"/>
      <c r="N708" s="102"/>
      <c r="O708" s="102"/>
      <c r="P708" s="102"/>
      <c r="Q708" s="102"/>
      <c r="R708" s="102"/>
      <c r="S708" s="102"/>
      <c r="AI708" s="424"/>
    </row>
    <row r="709" spans="3:35" ht="14.5" hidden="1">
      <c r="C709" s="97" t="s">
        <v>200</v>
      </c>
      <c r="H709" s="21">
        <v>0</v>
      </c>
      <c r="I709" s="21">
        <v>3766</v>
      </c>
      <c r="J709" s="21">
        <v>61</v>
      </c>
      <c r="K709" s="21">
        <v>0</v>
      </c>
      <c r="L709" s="102"/>
      <c r="M709" s="102"/>
      <c r="N709" s="102"/>
      <c r="O709" s="102"/>
      <c r="P709" s="102"/>
      <c r="Q709" s="102"/>
      <c r="R709" s="102"/>
      <c r="S709" s="102"/>
      <c r="AI709" s="424"/>
    </row>
    <row r="710" spans="3:35" ht="14.5" hidden="1">
      <c r="C710" s="97" t="s">
        <v>201</v>
      </c>
      <c r="H710" s="21">
        <v>0</v>
      </c>
      <c r="I710" s="21">
        <v>0</v>
      </c>
      <c r="J710" s="115"/>
      <c r="K710" s="21">
        <v>4793</v>
      </c>
      <c r="L710" s="102"/>
      <c r="M710" s="102"/>
      <c r="N710" s="102"/>
      <c r="O710" s="102"/>
      <c r="P710" s="102"/>
      <c r="Q710" s="102"/>
      <c r="R710" s="102"/>
      <c r="S710" s="102"/>
      <c r="AI710" s="424"/>
    </row>
    <row r="711" spans="3:35" ht="14.5" hidden="1">
      <c r="C711" s="97" t="s">
        <v>202</v>
      </c>
      <c r="H711" s="21">
        <v>0</v>
      </c>
      <c r="I711" s="21">
        <v>0</v>
      </c>
      <c r="J711" s="21">
        <v>-4032</v>
      </c>
      <c r="K711" s="21">
        <v>-9748</v>
      </c>
      <c r="L711" s="102"/>
      <c r="M711" s="102"/>
      <c r="N711" s="102"/>
      <c r="O711" s="102"/>
      <c r="P711" s="102"/>
      <c r="Q711" s="102"/>
      <c r="R711" s="102"/>
      <c r="S711" s="102"/>
      <c r="AI711" s="424"/>
    </row>
    <row r="712" spans="3:35" ht="14.5" hidden="1">
      <c r="C712" s="97" t="s">
        <v>203</v>
      </c>
      <c r="H712" s="21">
        <v>797</v>
      </c>
      <c r="I712" s="21">
        <v>999</v>
      </c>
      <c r="J712" s="21">
        <v>322</v>
      </c>
      <c r="K712" s="21">
        <v>12</v>
      </c>
      <c r="L712" s="99"/>
      <c r="M712" s="99"/>
      <c r="N712" s="99"/>
      <c r="O712" s="99"/>
      <c r="P712" s="99"/>
      <c r="Q712" s="99"/>
      <c r="R712" s="99"/>
      <c r="S712" s="99"/>
      <c r="AI712" s="424"/>
    </row>
    <row r="713" spans="3:35" ht="14.5" hidden="1">
      <c r="C713" s="99" t="s">
        <v>87</v>
      </c>
      <c r="H713" s="99">
        <f>SUM(H705:H712)</f>
        <v>32936</v>
      </c>
      <c r="I713" s="99">
        <f t="shared" ref="I713:K713" si="1631">SUM(I705:I712)</f>
        <v>12536</v>
      </c>
      <c r="J713" s="99">
        <f t="shared" si="1631"/>
        <v>18455</v>
      </c>
      <c r="K713" s="99">
        <f t="shared" si="1631"/>
        <v>1120</v>
      </c>
      <c r="AI713" s="424"/>
    </row>
    <row r="714" spans="3:35" ht="14.5" hidden="1">
      <c r="AI714" s="424"/>
    </row>
    <row r="715" spans="3:35" ht="14.5" hidden="1">
      <c r="C715" s="67" t="s">
        <v>215</v>
      </c>
      <c r="AI715" s="424"/>
    </row>
    <row r="716" spans="3:35" ht="14.5" hidden="1">
      <c r="C716" s="97" t="s">
        <v>196</v>
      </c>
      <c r="H716" s="21">
        <v>3199</v>
      </c>
      <c r="I716" s="21">
        <v>-3478</v>
      </c>
      <c r="J716" s="21">
        <v>-561</v>
      </c>
      <c r="K716" s="21">
        <v>-100</v>
      </c>
      <c r="AI716" s="424"/>
    </row>
    <row r="717" spans="3:35" ht="14.5" hidden="1">
      <c r="C717" s="97" t="s">
        <v>204</v>
      </c>
      <c r="H717" s="21">
        <v>0</v>
      </c>
      <c r="I717" s="21">
        <v>0</v>
      </c>
      <c r="J717" s="21">
        <v>14454</v>
      </c>
      <c r="K717" s="21">
        <v>0</v>
      </c>
      <c r="AI717" s="424"/>
    </row>
    <row r="718" spans="3:35" ht="14.5" hidden="1">
      <c r="C718" s="97" t="s">
        <v>205</v>
      </c>
      <c r="H718" s="21">
        <v>3</v>
      </c>
      <c r="I718" s="21">
        <v>-15</v>
      </c>
      <c r="J718" s="21">
        <v>-25</v>
      </c>
      <c r="K718" s="21">
        <v>-1958</v>
      </c>
      <c r="AI718" s="424"/>
    </row>
    <row r="719" spans="3:35" ht="14.5" hidden="1">
      <c r="C719" s="99" t="s">
        <v>87</v>
      </c>
      <c r="H719" s="99">
        <f>SUM(H716:H718)</f>
        <v>3202</v>
      </c>
      <c r="I719" s="99">
        <f t="shared" ref="I719:K719" si="1632">SUM(I716:I718)</f>
        <v>-3493</v>
      </c>
      <c r="J719" s="99">
        <f t="shared" si="1632"/>
        <v>13868</v>
      </c>
      <c r="K719" s="99">
        <f t="shared" si="1632"/>
        <v>-2058</v>
      </c>
      <c r="AI719" s="424"/>
    </row>
    <row r="720" spans="3:35" ht="15" thickBot="1"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AI720" s="424"/>
    </row>
    <row r="721" spans="1:43" s="1321" customFormat="1" ht="15" thickBot="1">
      <c r="A721" s="1"/>
      <c r="B721" s="1"/>
      <c r="C721" s="63" t="s">
        <v>99</v>
      </c>
      <c r="D721" s="37"/>
      <c r="E721" s="37"/>
      <c r="F721" s="37"/>
      <c r="G721" s="37"/>
      <c r="H721" s="64">
        <f>H702+H713+H719</f>
        <v>348</v>
      </c>
      <c r="I721" s="64">
        <f t="shared" ref="I721:J721" si="1633">I702+I713+I719</f>
        <v>38448</v>
      </c>
      <c r="J721" s="64">
        <f t="shared" si="1633"/>
        <v>20920</v>
      </c>
      <c r="K721" s="64">
        <f>K702+K713+K719</f>
        <v>18276</v>
      </c>
      <c r="L721" s="64">
        <f>L689+L698+L699</f>
        <v>25961.811120000006</v>
      </c>
      <c r="M721" s="64">
        <f>M689+M698+M699</f>
        <v>19618.388989998864</v>
      </c>
      <c r="N721" s="64">
        <f t="shared" ref="N721:S721" si="1634">N689+N698+N699</f>
        <v>31145.451508419999</v>
      </c>
      <c r="O721" s="64">
        <f t="shared" si="1634"/>
        <v>47384.761000990642</v>
      </c>
      <c r="P721" s="64">
        <f t="shared" si="1634"/>
        <v>60783.762322353039</v>
      </c>
      <c r="Q721" s="64">
        <f t="shared" si="1634"/>
        <v>73482.81309610224</v>
      </c>
      <c r="R721" s="64">
        <f t="shared" si="1634"/>
        <v>87434.242326301915</v>
      </c>
      <c r="S721" s="64">
        <f t="shared" si="1634"/>
        <v>104648.06915778937</v>
      </c>
      <c r="U721" s="1515"/>
      <c r="V721" s="1515"/>
      <c r="W721" s="1515"/>
      <c r="X721" s="1515"/>
      <c r="Y721" s="1515"/>
      <c r="Z721" s="1515"/>
      <c r="AA721" s="1515"/>
      <c r="AC721" s="1"/>
      <c r="AD721" s="1"/>
      <c r="AE721" s="1"/>
      <c r="AF721" s="1"/>
      <c r="AG721" s="1"/>
      <c r="AH721" s="1"/>
      <c r="AI721" s="415"/>
      <c r="AK721" s="1515"/>
      <c r="AL721" s="1515"/>
      <c r="AM721" s="1515"/>
      <c r="AN721" s="1515"/>
      <c r="AO721" s="1515"/>
      <c r="AP721" s="1515"/>
      <c r="AQ721" s="1515"/>
    </row>
    <row r="722" spans="1:43" ht="14.5">
      <c r="D722" s="101" t="s">
        <v>206</v>
      </c>
      <c r="H722" s="94">
        <f t="shared" ref="H722:S722" si="1635">H721/H34</f>
        <v>5.2759168042498415E-4</v>
      </c>
      <c r="I722" s="94">
        <f t="shared" si="1635"/>
        <v>5.4882200540999633E-2</v>
      </c>
      <c r="J722" s="94">
        <f t="shared" si="1635"/>
        <v>3.7743269988868261E-2</v>
      </c>
      <c r="K722" s="94">
        <f t="shared" si="1635"/>
        <v>3.7679677384771439E-2</v>
      </c>
      <c r="L722" s="94">
        <f t="shared" si="1635"/>
        <v>4.4336722317098169E-2</v>
      </c>
      <c r="M722" s="94">
        <f t="shared" si="1635"/>
        <v>6.1156718144039224E-2</v>
      </c>
      <c r="N722" s="94">
        <f t="shared" si="1635"/>
        <v>5.2574493584753773E-2</v>
      </c>
      <c r="O722" s="94">
        <f t="shared" si="1635"/>
        <v>7.3607465714413109E-2</v>
      </c>
      <c r="P722" s="94">
        <f t="shared" si="1635"/>
        <v>8.7873136909833865E-2</v>
      </c>
      <c r="Q722" s="94">
        <f t="shared" si="1635"/>
        <v>9.963535411227617E-2</v>
      </c>
      <c r="R722" s="94">
        <f t="shared" si="1635"/>
        <v>0.10989654773249474</v>
      </c>
      <c r="S722" s="94">
        <f t="shared" si="1635"/>
        <v>0.11946012328564957</v>
      </c>
      <c r="AI722" s="424"/>
    </row>
    <row r="723" spans="1:43" s="99" customFormat="1" ht="14.5" hidden="1">
      <c r="U723" s="1511"/>
      <c r="V723" s="1511"/>
      <c r="W723" s="1511"/>
      <c r="X723" s="1511"/>
      <c r="Y723" s="1511"/>
      <c r="Z723" s="1511"/>
      <c r="AA723" s="1511"/>
      <c r="AI723" s="414"/>
      <c r="AK723" s="1511"/>
      <c r="AL723" s="1511"/>
      <c r="AM723" s="1511"/>
      <c r="AN723" s="1511"/>
      <c r="AO723" s="1511"/>
      <c r="AP723" s="1511"/>
      <c r="AQ723" s="1511"/>
    </row>
    <row r="724" spans="1:43" ht="14.5" hidden="1">
      <c r="C724" s="67" t="s">
        <v>85</v>
      </c>
      <c r="AI724" s="424"/>
    </row>
    <row r="725" spans="1:43" s="99" customFormat="1" ht="14.5" hidden="1">
      <c r="C725" s="97" t="s">
        <v>13</v>
      </c>
      <c r="D725" s="97"/>
      <c r="E725" s="97"/>
      <c r="F725" s="97"/>
      <c r="G725" s="97"/>
      <c r="H725" s="21">
        <v>0</v>
      </c>
      <c r="I725" s="21">
        <v>2301</v>
      </c>
      <c r="J725" s="21">
        <v>2959</v>
      </c>
      <c r="K725" s="21">
        <v>8487</v>
      </c>
      <c r="U725" s="1511"/>
      <c r="V725" s="1511"/>
      <c r="W725" s="1511"/>
      <c r="X725" s="1511"/>
      <c r="Y725" s="1511"/>
      <c r="Z725" s="1511"/>
      <c r="AA725" s="1511"/>
      <c r="AI725" s="414"/>
      <c r="AK725" s="1511"/>
      <c r="AL725" s="1511"/>
      <c r="AM725" s="1511"/>
      <c r="AN725" s="1511"/>
      <c r="AO725" s="1511"/>
      <c r="AP725" s="1511"/>
      <c r="AQ725" s="1511"/>
    </row>
    <row r="726" spans="1:43" ht="14.5" hidden="1">
      <c r="C726" s="97" t="s">
        <v>207</v>
      </c>
      <c r="H726" s="21">
        <v>2379</v>
      </c>
      <c r="I726" s="21">
        <v>4989</v>
      </c>
      <c r="J726" s="21">
        <v>8581</v>
      </c>
      <c r="K726" s="21">
        <v>2318</v>
      </c>
      <c r="AI726" s="424"/>
    </row>
    <row r="727" spans="1:43" ht="14.5" hidden="1">
      <c r="C727" s="97" t="s">
        <v>208</v>
      </c>
      <c r="H727" s="21">
        <v>9048</v>
      </c>
      <c r="I727" s="21">
        <v>4857</v>
      </c>
      <c r="J727" s="21">
        <v>0</v>
      </c>
      <c r="K727" s="21">
        <v>3141</v>
      </c>
      <c r="AI727" s="424"/>
    </row>
    <row r="728" spans="1:43" ht="14.5" hidden="1">
      <c r="C728" s="97" t="s">
        <v>209</v>
      </c>
      <c r="H728" s="21">
        <v>0</v>
      </c>
      <c r="I728" s="21">
        <v>0</v>
      </c>
      <c r="J728" s="21">
        <v>0</v>
      </c>
      <c r="K728" s="21">
        <v>0</v>
      </c>
      <c r="AI728" s="424"/>
    </row>
    <row r="729" spans="1:43" ht="14.5" hidden="1">
      <c r="C729" s="97" t="s">
        <v>210</v>
      </c>
      <c r="H729" s="21">
        <v>0</v>
      </c>
      <c r="I729" s="21">
        <v>0</v>
      </c>
      <c r="J729" s="21">
        <v>0</v>
      </c>
      <c r="K729" s="21">
        <v>0</v>
      </c>
      <c r="AI729" s="424"/>
    </row>
    <row r="730" spans="1:43" s="99" customFormat="1" ht="14.5" hidden="1">
      <c r="C730" s="99" t="s">
        <v>87</v>
      </c>
      <c r="H730" s="99">
        <f>SUM(H725:H729)</f>
        <v>11427</v>
      </c>
      <c r="I730" s="99">
        <f t="shared" ref="I730:K730" si="1636">SUM(I725:I729)</f>
        <v>12147</v>
      </c>
      <c r="J730" s="99">
        <f t="shared" si="1636"/>
        <v>11540</v>
      </c>
      <c r="K730" s="99">
        <f t="shared" si="1636"/>
        <v>13946</v>
      </c>
      <c r="U730" s="1511"/>
      <c r="V730" s="1511"/>
      <c r="W730" s="1511"/>
      <c r="X730" s="1511"/>
      <c r="Y730" s="1511"/>
      <c r="Z730" s="1511"/>
      <c r="AA730" s="1511"/>
      <c r="AI730" s="414"/>
      <c r="AK730" s="1511"/>
      <c r="AL730" s="1511"/>
      <c r="AM730" s="1511"/>
      <c r="AN730" s="1511"/>
      <c r="AO730" s="1511"/>
      <c r="AP730" s="1511"/>
      <c r="AQ730" s="1511"/>
    </row>
    <row r="731" spans="1:43" ht="14.5" hidden="1">
      <c r="AI731" s="424"/>
    </row>
    <row r="732" spans="1:43" ht="14.5" hidden="1">
      <c r="C732" s="67" t="s">
        <v>88</v>
      </c>
      <c r="L732" s="102"/>
      <c r="M732" s="102"/>
      <c r="N732" s="102"/>
      <c r="O732" s="102"/>
      <c r="P732" s="102"/>
      <c r="Q732" s="102"/>
      <c r="R732" s="102"/>
      <c r="S732" s="102"/>
      <c r="AI732" s="424"/>
    </row>
    <row r="733" spans="1:43" ht="14.5" hidden="1">
      <c r="C733" s="97" t="s">
        <v>211</v>
      </c>
      <c r="H733" s="21">
        <v>2565</v>
      </c>
      <c r="I733" s="21">
        <v>1637</v>
      </c>
      <c r="J733" s="21">
        <v>632</v>
      </c>
      <c r="K733" s="21">
        <v>0</v>
      </c>
      <c r="L733" s="102"/>
      <c r="M733" s="102"/>
      <c r="N733" s="102"/>
      <c r="O733" s="102"/>
      <c r="P733" s="102"/>
      <c r="Q733" s="102"/>
      <c r="R733" s="102"/>
      <c r="S733" s="102"/>
      <c r="AI733" s="424"/>
    </row>
    <row r="734" spans="1:43" ht="14.5" hidden="1">
      <c r="C734" s="97" t="s">
        <v>212</v>
      </c>
      <c r="H734" s="21">
        <v>6558</v>
      </c>
      <c r="I734" s="21">
        <v>4288</v>
      </c>
      <c r="J734" s="21">
        <v>2325</v>
      </c>
      <c r="K734" s="21">
        <v>0</v>
      </c>
      <c r="L734" s="102"/>
      <c r="M734" s="102"/>
      <c r="N734" s="102"/>
      <c r="O734" s="102"/>
      <c r="P734" s="102"/>
      <c r="Q734" s="102"/>
      <c r="R734" s="102"/>
      <c r="S734" s="102"/>
      <c r="AI734" s="424"/>
    </row>
    <row r="735" spans="1:43" ht="14.5" hidden="1">
      <c r="C735" s="97" t="s">
        <v>213</v>
      </c>
      <c r="H735" s="21">
        <v>1709</v>
      </c>
      <c r="I735" s="21">
        <v>1092</v>
      </c>
      <c r="J735" s="21">
        <v>227</v>
      </c>
      <c r="K735" s="21">
        <v>0</v>
      </c>
      <c r="L735" s="102"/>
      <c r="M735" s="102"/>
      <c r="N735" s="102"/>
      <c r="O735" s="102"/>
      <c r="P735" s="102"/>
      <c r="Q735" s="102"/>
      <c r="R735" s="102"/>
      <c r="S735" s="102"/>
      <c r="AI735" s="424"/>
    </row>
    <row r="736" spans="1:43" s="99" customFormat="1" ht="14.5" hidden="1">
      <c r="C736" s="99" t="s">
        <v>87</v>
      </c>
      <c r="H736" s="130">
        <f t="shared" ref="H736:J736" si="1637">SUM(H733:H735)</f>
        <v>10832</v>
      </c>
      <c r="I736" s="130">
        <f t="shared" si="1637"/>
        <v>7017</v>
      </c>
      <c r="J736" s="130">
        <f t="shared" si="1637"/>
        <v>3184</v>
      </c>
      <c r="K736" s="130">
        <f>SUM(K733:K735)</f>
        <v>0</v>
      </c>
      <c r="L736" s="130"/>
      <c r="M736" s="130"/>
      <c r="N736" s="130"/>
      <c r="O736" s="130"/>
      <c r="P736" s="130"/>
      <c r="Q736" s="130"/>
      <c r="R736" s="130"/>
      <c r="S736" s="130"/>
      <c r="U736" s="1511"/>
      <c r="V736" s="1511"/>
      <c r="W736" s="1511"/>
      <c r="X736" s="1511"/>
      <c r="Y736" s="1511"/>
      <c r="Z736" s="1511"/>
      <c r="AA736" s="1511"/>
      <c r="AI736" s="414"/>
      <c r="AK736" s="1511"/>
      <c r="AL736" s="1511"/>
      <c r="AM736" s="1511"/>
      <c r="AN736" s="1511"/>
      <c r="AO736" s="1511"/>
      <c r="AP736" s="1511"/>
      <c r="AQ736" s="1511"/>
    </row>
    <row r="737" spans="1:43" ht="15" hidden="1" thickBot="1">
      <c r="C737" s="109"/>
      <c r="D737" s="109"/>
      <c r="E737" s="109"/>
      <c r="F737" s="109"/>
      <c r="G737" s="109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AI737" s="424"/>
    </row>
    <row r="738" spans="1:43" s="1321" customFormat="1" ht="15" hidden="1" thickBot="1">
      <c r="A738" s="1"/>
      <c r="B738" s="1"/>
      <c r="C738" s="63" t="s">
        <v>216</v>
      </c>
      <c r="D738" s="37"/>
      <c r="E738" s="37"/>
      <c r="F738" s="37"/>
      <c r="G738" s="37"/>
      <c r="H738" s="64">
        <f>H721+H730+H736</f>
        <v>22607</v>
      </c>
      <c r="I738" s="64">
        <f t="shared" ref="I738:K738" si="1638">I721+I730+I736</f>
        <v>57612</v>
      </c>
      <c r="J738" s="64">
        <f t="shared" si="1638"/>
        <v>35644</v>
      </c>
      <c r="K738" s="64">
        <f t="shared" si="1638"/>
        <v>32222</v>
      </c>
      <c r="L738" s="37"/>
      <c r="M738" s="37"/>
      <c r="N738" s="37"/>
      <c r="O738" s="37"/>
      <c r="P738" s="37"/>
      <c r="Q738" s="37"/>
      <c r="R738" s="37"/>
      <c r="S738" s="37"/>
      <c r="U738" s="1515"/>
      <c r="V738" s="1515"/>
      <c r="W738" s="1515"/>
      <c r="X738" s="1515"/>
      <c r="Y738" s="1515"/>
      <c r="Z738" s="1515"/>
      <c r="AA738" s="1515"/>
      <c r="AC738" s="1"/>
      <c r="AD738" s="1"/>
      <c r="AE738" s="1"/>
      <c r="AF738" s="1"/>
      <c r="AG738" s="1"/>
      <c r="AH738" s="1"/>
      <c r="AI738" s="415"/>
      <c r="AK738" s="1515"/>
      <c r="AL738" s="1515"/>
      <c r="AM738" s="1515"/>
      <c r="AN738" s="1515"/>
      <c r="AO738" s="1515"/>
      <c r="AP738" s="1515"/>
      <c r="AQ738" s="1515"/>
    </row>
    <row r="739" spans="1:43" ht="14.5" hidden="1">
      <c r="D739" s="101" t="s">
        <v>100</v>
      </c>
      <c r="H739" s="94">
        <f>H738/H34</f>
        <v>3.4273750343010397E-2</v>
      </c>
      <c r="I739" s="94">
        <f>I738/I34</f>
        <v>8.2237654431129598E-2</v>
      </c>
      <c r="J739" s="94">
        <f>J738/J34</f>
        <v>6.430789270952296E-2</v>
      </c>
      <c r="K739" s="94">
        <f>K738/K34</f>
        <v>6.6432182353474797E-2</v>
      </c>
      <c r="AI739" s="424"/>
    </row>
    <row r="740" spans="1:43" ht="14.5">
      <c r="AI740" s="424"/>
    </row>
    <row r="741" spans="1:43" s="1125" customFormat="1" ht="14.5">
      <c r="A741" s="58" t="s">
        <v>8</v>
      </c>
      <c r="B741" s="58" t="s">
        <v>109</v>
      </c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U741" s="1515"/>
      <c r="V741" s="1515"/>
      <c r="W741" s="1515"/>
      <c r="X741" s="1515"/>
      <c r="Y741" s="1515"/>
      <c r="Z741" s="1515"/>
      <c r="AA741" s="1515"/>
      <c r="AC741" s="59"/>
      <c r="AD741" s="59"/>
      <c r="AE741" s="59"/>
      <c r="AF741" s="59"/>
      <c r="AG741" s="59"/>
      <c r="AH741" s="59"/>
      <c r="AI741" s="476"/>
      <c r="AK741" s="1515"/>
      <c r="AL741" s="1515"/>
      <c r="AM741" s="1515"/>
      <c r="AN741" s="1515"/>
      <c r="AO741" s="1515"/>
      <c r="AP741" s="1515"/>
      <c r="AQ741" s="1515"/>
    </row>
    <row r="742" spans="1:43" s="1321" customFormat="1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U742" s="1515"/>
      <c r="V742" s="1515"/>
      <c r="W742" s="1515"/>
      <c r="X742" s="1515"/>
      <c r="Y742" s="1515"/>
      <c r="Z742" s="1515"/>
      <c r="AA742" s="1515"/>
      <c r="AC742" s="1"/>
      <c r="AD742" s="1"/>
      <c r="AE742" s="1"/>
      <c r="AF742" s="1"/>
      <c r="AG742" s="1"/>
      <c r="AH742" s="1"/>
      <c r="AI742" s="415"/>
      <c r="AK742" s="1515"/>
      <c r="AL742" s="1515"/>
      <c r="AM742" s="1515"/>
      <c r="AN742" s="1515"/>
      <c r="AO742" s="1515"/>
      <c r="AP742" s="1515"/>
      <c r="AQ742" s="1515"/>
    </row>
    <row r="743" spans="1:43" s="1125" customFormat="1" ht="14.5">
      <c r="A743" s="10" t="s">
        <v>8</v>
      </c>
      <c r="B743" s="10"/>
      <c r="C743" s="10" t="s">
        <v>110</v>
      </c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U743" s="1515"/>
      <c r="V743" s="1515"/>
      <c r="W743" s="1515"/>
      <c r="X743" s="1515"/>
      <c r="Y743" s="1515"/>
      <c r="Z743" s="1515"/>
      <c r="AA743" s="1515"/>
      <c r="AC743" s="62"/>
      <c r="AD743" s="62"/>
      <c r="AE743" s="62"/>
      <c r="AF743" s="62"/>
      <c r="AG743" s="62"/>
      <c r="AH743" s="62"/>
      <c r="AI743" s="475"/>
      <c r="AK743" s="1515"/>
      <c r="AL743" s="1515"/>
      <c r="AM743" s="1515"/>
      <c r="AN743" s="1515"/>
      <c r="AO743" s="1515"/>
      <c r="AP743" s="1515"/>
      <c r="AQ743" s="1515"/>
    </row>
    <row r="744" spans="1:43" ht="14.5">
      <c r="D744" s="97" t="s">
        <v>217</v>
      </c>
      <c r="H744" s="20">
        <f>H34</f>
        <v>659601</v>
      </c>
      <c r="I744" s="20">
        <f>I34</f>
        <v>700555</v>
      </c>
      <c r="J744" s="20">
        <f>J34</f>
        <v>554271</v>
      </c>
      <c r="K744" s="417">
        <v>585598</v>
      </c>
      <c r="L744" s="20">
        <f>L34</f>
        <v>585560</v>
      </c>
      <c r="M744" s="20">
        <f>M34/7*12</f>
        <v>549923.62251428573</v>
      </c>
      <c r="N744" s="20">
        <f t="shared" ref="N744:S744" si="1639">N34</f>
        <v>592406.11530021392</v>
      </c>
      <c r="O744" s="20">
        <f t="shared" si="1639"/>
        <v>643749.38793351513</v>
      </c>
      <c r="P744" s="20">
        <f t="shared" si="1639"/>
        <v>691721.77595893631</v>
      </c>
      <c r="Q744" s="20">
        <f t="shared" si="1639"/>
        <v>737517.45804302162</v>
      </c>
      <c r="R744" s="20">
        <f t="shared" si="1639"/>
        <v>795604.99515535682</v>
      </c>
      <c r="S744" s="20">
        <f t="shared" si="1639"/>
        <v>876008.38070087996</v>
      </c>
      <c r="AI744" s="424"/>
    </row>
    <row r="745" spans="1:43" ht="14.5">
      <c r="D745" s="97" t="s">
        <v>218</v>
      </c>
      <c r="H745" s="20">
        <f>H49-H34</f>
        <v>-611437.10618999903</v>
      </c>
      <c r="I745" s="20">
        <f>I49-I34</f>
        <v>-625849.58254000195</v>
      </c>
      <c r="J745" s="20">
        <f>J49-J34</f>
        <v>-510514.492783138</v>
      </c>
      <c r="K745" s="417">
        <v>-532161</v>
      </c>
      <c r="L745" s="20">
        <f>L49-L34</f>
        <v>-520198</v>
      </c>
      <c r="M745" s="20">
        <f>(M49-M34)/7*12</f>
        <v>-475958.90748000192</v>
      </c>
      <c r="N745" s="20">
        <f t="shared" ref="N745:S745" si="1640">N49-N34</f>
        <v>-516886.51264051883</v>
      </c>
      <c r="O745" s="20">
        <f t="shared" si="1640"/>
        <v>-551519.92401283316</v>
      </c>
      <c r="P745" s="20">
        <f t="shared" si="1640"/>
        <v>-584838.7896688811</v>
      </c>
      <c r="Q745" s="20">
        <f t="shared" si="1640"/>
        <v>-617140.40896589868</v>
      </c>
      <c r="R745" s="20">
        <f t="shared" si="1640"/>
        <v>-659424.2135832645</v>
      </c>
      <c r="S745" s="20">
        <f t="shared" si="1640"/>
        <v>-719483.85981760616</v>
      </c>
      <c r="AI745" s="424"/>
    </row>
    <row r="746" spans="1:43" ht="14.5">
      <c r="C746" s="99"/>
      <c r="D746" s="97" t="s">
        <v>219</v>
      </c>
      <c r="E746" s="99"/>
      <c r="F746" s="99"/>
      <c r="G746" s="99"/>
      <c r="H746" s="20">
        <f>H633</f>
        <v>-44989.452870000001</v>
      </c>
      <c r="I746" s="20">
        <f>I633</f>
        <v>-36060.031780000005</v>
      </c>
      <c r="J746" s="20">
        <f>J633</f>
        <v>-37877.071800000005</v>
      </c>
      <c r="K746" s="20">
        <f>K633/10*12</f>
        <v>-38580</v>
      </c>
      <c r="L746" s="20">
        <f>L633</f>
        <v>-42283.729659999997</v>
      </c>
      <c r="M746" s="20">
        <f>M633/7*12</f>
        <v>-43180.690354285718</v>
      </c>
      <c r="N746" s="20">
        <f t="shared" ref="N746:S746" si="1641">N633</f>
        <v>-40431.812205207309</v>
      </c>
      <c r="O746" s="20">
        <f t="shared" si="1641"/>
        <v>-42004.750617972386</v>
      </c>
      <c r="P746" s="20">
        <f t="shared" si="1641"/>
        <v>-43059.791288465443</v>
      </c>
      <c r="Q746" s="20">
        <f t="shared" si="1641"/>
        <v>-43698.027455321513</v>
      </c>
      <c r="R746" s="20">
        <f t="shared" si="1641"/>
        <v>-44752.908342766925</v>
      </c>
      <c r="S746" s="20">
        <f t="shared" si="1641"/>
        <v>-46647.586509062094</v>
      </c>
      <c r="AI746" s="424"/>
    </row>
    <row r="747" spans="1:43" ht="14.5">
      <c r="C747" s="99"/>
      <c r="E747" s="99"/>
      <c r="F747" s="99"/>
      <c r="G747" s="99"/>
      <c r="H747" s="20"/>
      <c r="I747" s="20"/>
      <c r="J747" s="20"/>
      <c r="K747" s="21"/>
      <c r="L747" s="99"/>
      <c r="M747" s="99"/>
      <c r="N747" s="99"/>
      <c r="O747" s="99"/>
      <c r="P747" s="99"/>
      <c r="Q747" s="99"/>
      <c r="R747" s="99"/>
      <c r="S747" s="99"/>
      <c r="AI747" s="424"/>
    </row>
    <row r="748" spans="1:43" ht="14.5">
      <c r="C748" s="101"/>
      <c r="D748" s="97" t="s">
        <v>116</v>
      </c>
      <c r="E748" s="101"/>
      <c r="F748" s="101"/>
      <c r="G748" s="101"/>
      <c r="H748" s="102">
        <f>SUM(H749:H750)</f>
        <v>73726.191829999996</v>
      </c>
      <c r="I748" s="102">
        <f t="shared" ref="I748:J748" si="1642">SUM(I749:I750)</f>
        <v>67824.430789999999</v>
      </c>
      <c r="J748" s="102">
        <f t="shared" si="1642"/>
        <v>81559.035610000006</v>
      </c>
      <c r="K748" s="102">
        <f>SUM(K749:K750)</f>
        <v>53533</v>
      </c>
      <c r="L748" s="102">
        <f>SUM(L749:L750)</f>
        <v>72724.804979999986</v>
      </c>
      <c r="M748" s="102">
        <f>SUM(M749:M750)</f>
        <v>77613.761570000017</v>
      </c>
      <c r="N748" s="20">
        <f>N744/(360/N751)</f>
        <v>77341.909497527929</v>
      </c>
      <c r="O748" s="20">
        <f t="shared" ref="O748:S748" si="1643">O744/(360/O751)</f>
        <v>82256.866235949157</v>
      </c>
      <c r="P748" s="20">
        <f t="shared" si="1643"/>
        <v>86465.221994867039</v>
      </c>
      <c r="Q748" s="20">
        <f t="shared" si="1643"/>
        <v>90141.022649702645</v>
      </c>
      <c r="R748" s="20">
        <f t="shared" si="1643"/>
        <v>95030.596643556506</v>
      </c>
      <c r="S748" s="20">
        <f t="shared" si="1643"/>
        <v>102200.97774843599</v>
      </c>
      <c r="AI748" s="424"/>
    </row>
    <row r="749" spans="1:43" ht="14.5">
      <c r="E749" s="1" t="s">
        <v>118</v>
      </c>
      <c r="H749" s="394">
        <v>90244.62</v>
      </c>
      <c r="I749" s="394">
        <v>78990.057000000001</v>
      </c>
      <c r="J749" s="394">
        <v>88253.293000000005</v>
      </c>
      <c r="K749" s="394">
        <v>64493</v>
      </c>
      <c r="L749" s="394">
        <v>89175.770469999989</v>
      </c>
      <c r="M749" s="394">
        <v>82111.583770000012</v>
      </c>
      <c r="N749" s="80">
        <f>N748/M748*M749</f>
        <v>81823.977503143484</v>
      </c>
      <c r="O749" s="80">
        <f t="shared" ref="O749:S749" si="1644">O748/N748*N749</f>
        <v>87023.762615849511</v>
      </c>
      <c r="P749" s="80">
        <f t="shared" si="1644"/>
        <v>91475.998268939089</v>
      </c>
      <c r="Q749" s="80">
        <f t="shared" si="1644"/>
        <v>95364.816531137825</v>
      </c>
      <c r="R749" s="80">
        <f t="shared" si="1644"/>
        <v>100537.74793498222</v>
      </c>
      <c r="S749" s="80">
        <f t="shared" si="1644"/>
        <v>108123.66229921675</v>
      </c>
      <c r="AI749" s="424"/>
    </row>
    <row r="750" spans="1:43" s="99" customFormat="1" ht="14.5">
      <c r="E750" s="1" t="s">
        <v>119</v>
      </c>
      <c r="H750" s="394">
        <v>-16518.428169999999</v>
      </c>
      <c r="I750" s="394">
        <v>-11165.626209999999</v>
      </c>
      <c r="J750" s="394">
        <v>-6694.2573900000007</v>
      </c>
      <c r="K750" s="394">
        <v>-10960</v>
      </c>
      <c r="L750" s="394">
        <v>-16450.965489999999</v>
      </c>
      <c r="M750" s="394">
        <v>-4497.8222000000005</v>
      </c>
      <c r="N750" s="80">
        <f>N748/M748*M750</f>
        <v>-4482.0680056155652</v>
      </c>
      <c r="O750" s="80">
        <f t="shared" ref="O750:S750" si="1645">O748/N748*N750</f>
        <v>-4766.8963799003577</v>
      </c>
      <c r="P750" s="80">
        <f t="shared" si="1645"/>
        <v>-5010.7762740720518</v>
      </c>
      <c r="Q750" s="80">
        <f t="shared" si="1645"/>
        <v>-5223.7938814351855</v>
      </c>
      <c r="R750" s="80">
        <f t="shared" si="1645"/>
        <v>-5507.1512914257264</v>
      </c>
      <c r="S750" s="80">
        <f t="shared" si="1645"/>
        <v>-5922.684550780772</v>
      </c>
      <c r="U750" s="1511"/>
      <c r="V750" s="1511"/>
      <c r="W750" s="1511"/>
      <c r="X750" s="1511"/>
      <c r="Y750" s="1511"/>
      <c r="Z750" s="1511"/>
      <c r="AA750" s="1511"/>
      <c r="AI750" s="414"/>
      <c r="AK750" s="1511"/>
      <c r="AL750" s="1511"/>
      <c r="AM750" s="1511"/>
      <c r="AN750" s="1511"/>
      <c r="AO750" s="1511"/>
      <c r="AP750" s="1511"/>
      <c r="AQ750" s="1511"/>
    </row>
    <row r="751" spans="1:43" s="99" customFormat="1" ht="14.5">
      <c r="D751" s="99" t="s">
        <v>120</v>
      </c>
      <c r="H751" s="99">
        <f>360/(H744/H748)</f>
        <v>40.238612523025282</v>
      </c>
      <c r="I751" s="99">
        <f>360/(I744/AVERAGE(H748:I748))</f>
        <v>36.369895399504671</v>
      </c>
      <c r="J751" s="99">
        <f t="shared" ref="J751:K751" si="1646">360/(J744/AVERAGE(I748:J748))</f>
        <v>48.512413516132</v>
      </c>
      <c r="K751" s="99">
        <f t="shared" si="1646"/>
        <v>41.524333091643079</v>
      </c>
      <c r="L751" s="99">
        <f>360/(L744/AVERAGE(J748,L748))</f>
        <v>47.426551175285191</v>
      </c>
      <c r="M751" s="99">
        <f>360/(M744/AVERAGE(L748,M748))</f>
        <v>49.208546189151967</v>
      </c>
      <c r="N751" s="1222">
        <v>47</v>
      </c>
      <c r="O751" s="1222">
        <f>N751-1</f>
        <v>46</v>
      </c>
      <c r="P751" s="1222">
        <f t="shared" ref="P751:S751" si="1647">O751-1</f>
        <v>45</v>
      </c>
      <c r="Q751" s="1222">
        <f t="shared" si="1647"/>
        <v>44</v>
      </c>
      <c r="R751" s="1222">
        <f t="shared" si="1647"/>
        <v>43</v>
      </c>
      <c r="S751" s="1222">
        <f t="shared" si="1647"/>
        <v>42</v>
      </c>
      <c r="U751" s="1511"/>
      <c r="V751" s="1511"/>
      <c r="W751" s="1511"/>
      <c r="X751" s="1511"/>
      <c r="Y751" s="1511"/>
      <c r="Z751" s="1511"/>
      <c r="AA751" s="1511"/>
      <c r="AI751" s="414"/>
      <c r="AK751" s="1511"/>
      <c r="AL751" s="1511"/>
      <c r="AM751" s="1511"/>
      <c r="AN751" s="1511"/>
      <c r="AO751" s="1511"/>
      <c r="AP751" s="1511"/>
      <c r="AQ751" s="1511"/>
    </row>
    <row r="752" spans="1:43" s="99" customFormat="1" ht="14.5">
      <c r="U752" s="1511"/>
      <c r="V752" s="1511"/>
      <c r="W752" s="1511"/>
      <c r="X752" s="1511"/>
      <c r="Y752" s="1511"/>
      <c r="Z752" s="1511"/>
      <c r="AA752" s="1511"/>
      <c r="AI752" s="414"/>
      <c r="AK752" s="1511"/>
      <c r="AL752" s="1511"/>
      <c r="AM752" s="1511"/>
      <c r="AN752" s="1511"/>
      <c r="AO752" s="1511"/>
      <c r="AP752" s="1511"/>
      <c r="AQ752" s="1511"/>
    </row>
    <row r="753" spans="1:43" s="99" customFormat="1" ht="14.5">
      <c r="D753" s="97" t="s">
        <v>121</v>
      </c>
      <c r="H753" s="394">
        <v>261483</v>
      </c>
      <c r="I753" s="394">
        <v>253967</v>
      </c>
      <c r="J753" s="394">
        <v>177253</v>
      </c>
      <c r="K753" s="394">
        <v>189450</v>
      </c>
      <c r="L753" s="394">
        <v>193496.10861</v>
      </c>
      <c r="M753" s="394">
        <v>196762.68278000006</v>
      </c>
      <c r="N753" s="97">
        <f>-N745/(360/N754)</f>
        <v>211908.53090332841</v>
      </c>
      <c r="O753" s="97">
        <f t="shared" ref="O753:S753" si="1648">-O745/(360/O754)</f>
        <v>223043.22899817704</v>
      </c>
      <c r="P753" s="97">
        <f t="shared" si="1648"/>
        <v>233268.79172452918</v>
      </c>
      <c r="Q753" s="97">
        <f t="shared" si="1648"/>
        <v>242724.05733215981</v>
      </c>
      <c r="R753" s="97">
        <f t="shared" si="1648"/>
        <v>255690.99719013198</v>
      </c>
      <c r="S753" s="97">
        <f t="shared" si="1648"/>
        <v>274981.92491638847</v>
      </c>
      <c r="U753" s="1511"/>
      <c r="V753" s="1511"/>
      <c r="W753" s="1511"/>
      <c r="X753" s="1511"/>
      <c r="Y753" s="1511"/>
      <c r="Z753" s="1511"/>
      <c r="AA753" s="1511"/>
      <c r="AI753" s="414"/>
      <c r="AK753" s="1511"/>
      <c r="AL753" s="1511"/>
      <c r="AM753" s="1511"/>
      <c r="AN753" s="1511"/>
      <c r="AO753" s="1511"/>
      <c r="AP753" s="1511"/>
      <c r="AQ753" s="1511"/>
    </row>
    <row r="754" spans="1:43" s="99" customFormat="1" ht="14.5">
      <c r="D754" s="99" t="s">
        <v>122</v>
      </c>
      <c r="H754" s="99">
        <f>-360/(H745/H753)</f>
        <v>153.95513135695867</v>
      </c>
      <c r="I754" s="99">
        <f>-360/(I745/AVERAGE(H753:I753))</f>
        <v>148.24808162921448</v>
      </c>
      <c r="J754" s="99">
        <f t="shared" ref="J754" si="1649">-360/(J745/AVERAGE(I753:J753))</f>
        <v>152.0419128100485</v>
      </c>
      <c r="K754" s="99">
        <f>-360/(K745/AVERAGE(J753,K753))</f>
        <v>124.03490672935446</v>
      </c>
      <c r="L754" s="99">
        <f>-360/(L745/AVERAGE(J753,L753))</f>
        <v>128.28738201569402</v>
      </c>
      <c r="M754" s="99">
        <f>-360/(M745/AVERAGE(L753,M753))</f>
        <v>147.58959512308635</v>
      </c>
      <c r="N754" s="1222">
        <f>M754</f>
        <v>147.58959512308635</v>
      </c>
      <c r="O754" s="1222">
        <f>N754-2</f>
        <v>145.58959512308635</v>
      </c>
      <c r="P754" s="1222">
        <f t="shared" ref="P754:S754" si="1650">O754-2</f>
        <v>143.58959512308635</v>
      </c>
      <c r="Q754" s="1222">
        <f t="shared" si="1650"/>
        <v>141.58959512308635</v>
      </c>
      <c r="R754" s="1222">
        <f t="shared" si="1650"/>
        <v>139.58959512308635</v>
      </c>
      <c r="S754" s="1222">
        <f t="shared" si="1650"/>
        <v>137.58959512308635</v>
      </c>
      <c r="U754" s="1511"/>
      <c r="V754" s="1511"/>
      <c r="W754" s="1511"/>
      <c r="X754" s="1511"/>
      <c r="Y754" s="1511"/>
      <c r="Z754" s="1511"/>
      <c r="AA754" s="1511"/>
      <c r="AI754" s="414"/>
      <c r="AK754" s="1511"/>
      <c r="AL754" s="1511"/>
      <c r="AM754" s="1511"/>
      <c r="AN754" s="1511"/>
      <c r="AO754" s="1511"/>
      <c r="AP754" s="1511"/>
      <c r="AQ754" s="1511"/>
    </row>
    <row r="755" spans="1:43" s="99" customFormat="1" ht="14.5">
      <c r="U755" s="1511"/>
      <c r="V755" s="1511"/>
      <c r="W755" s="1511"/>
      <c r="X755" s="1511"/>
      <c r="Y755" s="1511"/>
      <c r="Z755" s="1511"/>
      <c r="AA755" s="1511"/>
      <c r="AI755" s="414"/>
      <c r="AK755" s="1511"/>
      <c r="AL755" s="1511"/>
      <c r="AM755" s="1511"/>
      <c r="AN755" s="1511"/>
      <c r="AO755" s="1511"/>
      <c r="AP755" s="1511"/>
      <c r="AQ755" s="1511"/>
    </row>
    <row r="756" spans="1:43" ht="14.5">
      <c r="D756" s="97" t="s">
        <v>123</v>
      </c>
      <c r="H756" s="20">
        <f>SUM(H757:H758)</f>
        <v>-98976</v>
      </c>
      <c r="I756" s="20">
        <f t="shared" ref="I756:M756" si="1651">SUM(I757:I758)</f>
        <v>-78548</v>
      </c>
      <c r="J756" s="20">
        <f t="shared" si="1651"/>
        <v>-86546</v>
      </c>
      <c r="K756" s="20">
        <f t="shared" si="1651"/>
        <v>-90587</v>
      </c>
      <c r="L756" s="20">
        <f t="shared" si="1651"/>
        <v>-84676.620360000001</v>
      </c>
      <c r="M756" s="20">
        <f t="shared" si="1651"/>
        <v>-85594.684340000007</v>
      </c>
      <c r="N756" s="20">
        <f>-N745/(360/N759)</f>
        <v>-89019.343843644907</v>
      </c>
      <c r="O756" s="20">
        <f t="shared" ref="O756:S756" si="1652">-O745/(360/O759)</f>
        <v>-94983.986913321263</v>
      </c>
      <c r="P756" s="20">
        <f t="shared" si="1652"/>
        <v>-100722.23599852952</v>
      </c>
      <c r="Q756" s="20">
        <f t="shared" si="1652"/>
        <v>-106285.2926552381</v>
      </c>
      <c r="R756" s="20">
        <f t="shared" si="1652"/>
        <v>-113567.5034504511</v>
      </c>
      <c r="S756" s="20">
        <f t="shared" si="1652"/>
        <v>-123911.10919080995</v>
      </c>
      <c r="AI756" s="424"/>
    </row>
    <row r="757" spans="1:43" ht="14.5">
      <c r="E757" s="1" t="s">
        <v>125</v>
      </c>
      <c r="H757" s="394">
        <v>-103093</v>
      </c>
      <c r="I757" s="394">
        <v>-85509</v>
      </c>
      <c r="J757" s="394">
        <v>-92199</v>
      </c>
      <c r="K757" s="394">
        <v>-96593</v>
      </c>
      <c r="L757" s="394">
        <v>-90293.261339999997</v>
      </c>
      <c r="M757" s="394">
        <v>-95896.645510000002</v>
      </c>
      <c r="N757" s="80">
        <f>N756/M756*M757</f>
        <v>-99733.488427826087</v>
      </c>
      <c r="O757" s="80">
        <f t="shared" ref="O757:S757" si="1653">O756/N756*N757</f>
        <v>-106416.02095256058</v>
      </c>
      <c r="P757" s="80">
        <f t="shared" si="1653"/>
        <v>-112844.91128161974</v>
      </c>
      <c r="Q757" s="80">
        <f t="shared" si="1653"/>
        <v>-119077.52346161612</v>
      </c>
      <c r="R757" s="80">
        <f t="shared" si="1653"/>
        <v>-127236.20285324381</v>
      </c>
      <c r="S757" s="80">
        <f t="shared" si="1653"/>
        <v>-138824.73899455712</v>
      </c>
      <c r="AI757" s="424"/>
    </row>
    <row r="758" spans="1:43" ht="14.5">
      <c r="E758" s="1" t="s">
        <v>126</v>
      </c>
      <c r="H758" s="394">
        <v>4117</v>
      </c>
      <c r="I758" s="394">
        <v>6961</v>
      </c>
      <c r="J758" s="394">
        <v>5653</v>
      </c>
      <c r="K758" s="394">
        <v>6006</v>
      </c>
      <c r="L758" s="394">
        <v>5616.6409800000001</v>
      </c>
      <c r="M758" s="394">
        <v>10301.961169999999</v>
      </c>
      <c r="N758" s="80">
        <f>N756/M756*M758</f>
        <v>10714.144584181175</v>
      </c>
      <c r="O758" s="80">
        <f t="shared" ref="O758:S758" si="1654">O756/N756*N758</f>
        <v>11432.034039239306</v>
      </c>
      <c r="P758" s="80">
        <f t="shared" si="1654"/>
        <v>12122.675283090215</v>
      </c>
      <c r="Q758" s="80">
        <f t="shared" si="1654"/>
        <v>12792.230806378006</v>
      </c>
      <c r="R758" s="80">
        <f t="shared" si="1654"/>
        <v>13668.699402792707</v>
      </c>
      <c r="S758" s="80">
        <f t="shared" si="1654"/>
        <v>14913.629803747159</v>
      </c>
      <c r="AI758" s="424"/>
    </row>
    <row r="759" spans="1:43" ht="14.5">
      <c r="D759" s="99" t="s">
        <v>220</v>
      </c>
      <c r="H759" s="23">
        <f>-360/(H745/H756)</f>
        <v>-58.274775343660366</v>
      </c>
      <c r="I759" s="23">
        <f>-360/(I745/AVERAGE(H756:I756))</f>
        <v>-51.057507892413753</v>
      </c>
      <c r="J759" s="23">
        <f t="shared" ref="J759" si="1655">-360/(J745/AVERAGE(I756:J756))</f>
        <v>-58.209748048472115</v>
      </c>
      <c r="K759" s="23">
        <f>-360/(K745/AVERAGE(J756,K756))</f>
        <v>-59.914086150619838</v>
      </c>
      <c r="L759" s="23">
        <f>-360/(L745/AVERAGE(J756,L756))</f>
        <v>-59.246809224180019</v>
      </c>
      <c r="M759" s="23">
        <f>-360/(M745/AVERAGE(L756,M756))</f>
        <v>-64.393867546827579</v>
      </c>
      <c r="N759" s="1417">
        <v>-62</v>
      </c>
      <c r="O759" s="1417">
        <f t="shared" ref="O759:S759" si="1656">N759</f>
        <v>-62</v>
      </c>
      <c r="P759" s="1417">
        <f t="shared" si="1656"/>
        <v>-62</v>
      </c>
      <c r="Q759" s="1417">
        <f t="shared" si="1656"/>
        <v>-62</v>
      </c>
      <c r="R759" s="1417">
        <f t="shared" si="1656"/>
        <v>-62</v>
      </c>
      <c r="S759" s="1417">
        <f t="shared" si="1656"/>
        <v>-62</v>
      </c>
      <c r="T759" s="424"/>
      <c r="AI759" s="424"/>
    </row>
    <row r="760" spans="1:43" ht="15" thickBot="1">
      <c r="C760" s="109"/>
      <c r="D760" s="109"/>
      <c r="E760" s="109"/>
      <c r="F760" s="109"/>
      <c r="G760" s="109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AI760" s="424"/>
    </row>
    <row r="761" spans="1:43" s="1321" customFormat="1" ht="15" thickBot="1">
      <c r="A761" s="1"/>
      <c r="B761" s="1"/>
      <c r="C761" s="63" t="s">
        <v>128</v>
      </c>
      <c r="D761" s="37"/>
      <c r="E761" s="37"/>
      <c r="F761" s="37"/>
      <c r="G761" s="37"/>
      <c r="H761" s="64">
        <f>H748+H753+H756</f>
        <v>236233.19183000003</v>
      </c>
      <c r="I761" s="64">
        <f t="shared" ref="I761:K761" si="1657">I748+I753+I756</f>
        <v>243243.43079000001</v>
      </c>
      <c r="J761" s="64">
        <f t="shared" si="1657"/>
        <v>172266.03561000002</v>
      </c>
      <c r="K761" s="64">
        <f t="shared" si="1657"/>
        <v>152396</v>
      </c>
      <c r="L761" s="64">
        <f t="shared" ref="L761:S761" si="1658">L748+L753+L756</f>
        <v>181544.29323000001</v>
      </c>
      <c r="M761" s="64">
        <f t="shared" ref="M761" si="1659">M748+M753+M756</f>
        <v>188781.76001000006</v>
      </c>
      <c r="N761" s="64">
        <f t="shared" si="1658"/>
        <v>200231.09655721142</v>
      </c>
      <c r="O761" s="64">
        <f t="shared" si="1658"/>
        <v>210316.10832080495</v>
      </c>
      <c r="P761" s="64">
        <f t="shared" si="1658"/>
        <v>219011.77772086667</v>
      </c>
      <c r="Q761" s="64">
        <f t="shared" si="1658"/>
        <v>226579.78732662436</v>
      </c>
      <c r="R761" s="64">
        <f t="shared" si="1658"/>
        <v>237154.09038323737</v>
      </c>
      <c r="S761" s="64">
        <f t="shared" si="1658"/>
        <v>253271.7934740145</v>
      </c>
      <c r="U761" s="1515"/>
      <c r="V761" s="1515"/>
      <c r="W761" s="1515"/>
      <c r="X761" s="1515"/>
      <c r="Y761" s="1515"/>
      <c r="Z761" s="1515"/>
      <c r="AA761" s="1515"/>
      <c r="AC761" s="1"/>
      <c r="AD761" s="1"/>
      <c r="AE761" s="1"/>
      <c r="AF761" s="1"/>
      <c r="AG761" s="1"/>
      <c r="AH761" s="1"/>
      <c r="AI761" s="415"/>
      <c r="AK761" s="1515"/>
      <c r="AL761" s="1515"/>
      <c r="AM761" s="1515"/>
      <c r="AN761" s="1515"/>
      <c r="AO761" s="1515"/>
      <c r="AP761" s="1515"/>
      <c r="AQ761" s="1515"/>
    </row>
    <row r="762" spans="1:43" s="1321" customFormat="1" ht="14.5">
      <c r="A762" s="1"/>
      <c r="B762" s="1"/>
      <c r="C762" s="1"/>
      <c r="D762" s="18" t="s">
        <v>129</v>
      </c>
      <c r="E762" s="1"/>
      <c r="F762" s="1"/>
      <c r="G762" s="1"/>
      <c r="H762" s="70">
        <f>H751+H754+H759</f>
        <v>135.9189685363236</v>
      </c>
      <c r="I762" s="70">
        <f t="shared" ref="I762:K762" si="1660">I751+I754+I759</f>
        <v>133.56046913630541</v>
      </c>
      <c r="J762" s="70">
        <f t="shared" si="1660"/>
        <v>142.34457827770839</v>
      </c>
      <c r="K762" s="70">
        <f t="shared" si="1660"/>
        <v>105.6451536703777</v>
      </c>
      <c r="L762" s="70">
        <f t="shared" ref="L762:S762" si="1661">L751+L754+L759</f>
        <v>116.46712396679919</v>
      </c>
      <c r="M762" s="70">
        <f t="shared" ref="M762" si="1662">M751+M754+M759</f>
        <v>132.40427376541075</v>
      </c>
      <c r="N762" s="70">
        <f t="shared" si="1661"/>
        <v>132.58959512308635</v>
      </c>
      <c r="O762" s="70">
        <f t="shared" si="1661"/>
        <v>129.58959512308635</v>
      </c>
      <c r="P762" s="70">
        <f t="shared" si="1661"/>
        <v>126.58959512308635</v>
      </c>
      <c r="Q762" s="70">
        <f t="shared" si="1661"/>
        <v>123.58959512308635</v>
      </c>
      <c r="R762" s="70">
        <f t="shared" si="1661"/>
        <v>120.58959512308635</v>
      </c>
      <c r="S762" s="70">
        <f t="shared" si="1661"/>
        <v>117.58959512308635</v>
      </c>
      <c r="U762" s="1515"/>
      <c r="V762" s="1515"/>
      <c r="W762" s="1515"/>
      <c r="X762" s="1515"/>
      <c r="Y762" s="1515"/>
      <c r="Z762" s="1515"/>
      <c r="AA762" s="1515"/>
      <c r="AC762" s="1"/>
      <c r="AD762" s="1"/>
      <c r="AE762" s="1"/>
      <c r="AF762" s="1"/>
      <c r="AG762" s="1"/>
      <c r="AH762" s="1"/>
      <c r="AI762" s="415"/>
      <c r="AK762" s="1515"/>
      <c r="AL762" s="1515"/>
      <c r="AM762" s="1515"/>
      <c r="AN762" s="1515"/>
      <c r="AO762" s="1515"/>
      <c r="AP762" s="1515"/>
      <c r="AQ762" s="1515"/>
    </row>
    <row r="763" spans="1:43" s="1321" customFormat="1" ht="14.5">
      <c r="A763" s="1"/>
      <c r="B763" s="1"/>
      <c r="C763" s="1"/>
      <c r="D763" s="22" t="s">
        <v>130</v>
      </c>
      <c r="E763" s="1"/>
      <c r="F763" s="1"/>
      <c r="G763" s="1"/>
      <c r="H763" s="25">
        <f>H761/H$744</f>
        <v>0.35814559382111311</v>
      </c>
      <c r="I763" s="25">
        <f t="shared" ref="I763:M763" si="1663">I761/I$744</f>
        <v>0.34721532326512555</v>
      </c>
      <c r="J763" s="25">
        <f t="shared" si="1663"/>
        <v>0.31079749005450408</v>
      </c>
      <c r="K763" s="25">
        <f t="shared" si="1663"/>
        <v>0.2602399598359284</v>
      </c>
      <c r="L763" s="25">
        <f t="shared" si="1663"/>
        <v>0.3100353392137441</v>
      </c>
      <c r="M763" s="25">
        <f t="shared" si="1663"/>
        <v>0.34328723531983923</v>
      </c>
      <c r="N763" s="25">
        <f t="shared" ref="N763:S763" si="1664">N761/N$34</f>
        <v>0.33799633627303161</v>
      </c>
      <c r="O763" s="25">
        <f t="shared" si="1664"/>
        <v>0.32670494491021695</v>
      </c>
      <c r="P763" s="25">
        <f t="shared" si="1664"/>
        <v>0.31661830714704603</v>
      </c>
      <c r="Q763" s="25">
        <f t="shared" si="1664"/>
        <v>0.30721955779575222</v>
      </c>
      <c r="R763" s="25">
        <f t="shared" si="1664"/>
        <v>0.29808019284359644</v>
      </c>
      <c r="S763" s="25">
        <f t="shared" si="1664"/>
        <v>0.28912028589426952</v>
      </c>
      <c r="U763" s="1515"/>
      <c r="V763" s="1515"/>
      <c r="W763" s="1515"/>
      <c r="X763" s="1515"/>
      <c r="Y763" s="1515"/>
      <c r="Z763" s="1515"/>
      <c r="AA763" s="1515"/>
      <c r="AC763" s="1"/>
      <c r="AD763" s="1"/>
      <c r="AE763" s="1"/>
      <c r="AF763" s="1"/>
      <c r="AG763" s="1"/>
      <c r="AH763" s="1"/>
      <c r="AI763" s="415"/>
      <c r="AK763" s="1515"/>
      <c r="AL763" s="1515"/>
      <c r="AM763" s="1515"/>
      <c r="AN763" s="1515"/>
      <c r="AO763" s="1515"/>
      <c r="AP763" s="1515"/>
      <c r="AQ763" s="1515"/>
    </row>
    <row r="764" spans="1:43" ht="14.5">
      <c r="H764" s="21"/>
      <c r="I764" s="21"/>
      <c r="J764" s="21"/>
      <c r="K764" s="21"/>
      <c r="L764" s="102"/>
      <c r="M764" s="102"/>
      <c r="N764" s="102"/>
      <c r="O764" s="102"/>
      <c r="P764" s="102"/>
      <c r="Q764" s="102"/>
      <c r="R764" s="102"/>
      <c r="S764" s="102"/>
      <c r="AI764" s="424"/>
    </row>
    <row r="765" spans="1:43" ht="14.5">
      <c r="D765" s="97" t="s">
        <v>134</v>
      </c>
      <c r="H765" s="394">
        <v>-4594</v>
      </c>
      <c r="I765" s="394">
        <v>-3909</v>
      </c>
      <c r="J765" s="394">
        <v>-5312</v>
      </c>
      <c r="K765" s="394">
        <v>-5578</v>
      </c>
      <c r="L765" s="394">
        <v>-5562.3012700000218</v>
      </c>
      <c r="M765" s="394">
        <v>-6034.0993899999685</v>
      </c>
      <c r="N765" s="20">
        <f>N766*N746</f>
        <v>-5649.9692654825876</v>
      </c>
      <c r="O765" s="20">
        <f t="shared" ref="O765:S765" si="1665">O766*O746</f>
        <v>-5869.7727618857252</v>
      </c>
      <c r="P765" s="20">
        <f t="shared" si="1665"/>
        <v>-6017.2048713312724</v>
      </c>
      <c r="Q765" s="20">
        <f t="shared" si="1665"/>
        <v>-6106.3924325653388</v>
      </c>
      <c r="R765" s="20">
        <f t="shared" si="1665"/>
        <v>-6253.8022138178339</v>
      </c>
      <c r="S765" s="20">
        <f t="shared" si="1665"/>
        <v>-6518.5658448224794</v>
      </c>
      <c r="AI765" s="424"/>
    </row>
    <row r="766" spans="1:43" s="101" customFormat="1" ht="14.5">
      <c r="C766" s="104"/>
      <c r="D766" s="101" t="s">
        <v>136</v>
      </c>
      <c r="H766" s="25">
        <f t="shared" ref="H766:J766" si="1666">H765/H$746</f>
        <v>0.10211282216022201</v>
      </c>
      <c r="I766" s="25">
        <f t="shared" si="1666"/>
        <v>0.10840256669346728</v>
      </c>
      <c r="J766" s="25">
        <f t="shared" si="1666"/>
        <v>0.14024315364314935</v>
      </c>
      <c r="K766" s="25">
        <f>K765/K$746</f>
        <v>0.14458268532918611</v>
      </c>
      <c r="L766" s="25">
        <f t="shared" ref="L766:M766" si="1667">L765/L$746</f>
        <v>0.13154708240559737</v>
      </c>
      <c r="M766" s="25">
        <f t="shared" si="1667"/>
        <v>0.1397406882681087</v>
      </c>
      <c r="N766" s="79">
        <f>M766</f>
        <v>0.1397406882681087</v>
      </c>
      <c r="O766" s="79">
        <f t="shared" ref="O766" si="1668">N766</f>
        <v>0.1397406882681087</v>
      </c>
      <c r="P766" s="79">
        <f t="shared" ref="P766" si="1669">O766</f>
        <v>0.1397406882681087</v>
      </c>
      <c r="Q766" s="79">
        <f t="shared" ref="Q766" si="1670">P766</f>
        <v>0.1397406882681087</v>
      </c>
      <c r="R766" s="79">
        <f t="shared" ref="R766" si="1671">Q766</f>
        <v>0.1397406882681087</v>
      </c>
      <c r="S766" s="79">
        <f t="shared" ref="S766" si="1672">R766</f>
        <v>0.1397406882681087</v>
      </c>
      <c r="U766" s="1512"/>
      <c r="V766" s="1512"/>
      <c r="W766" s="1512"/>
      <c r="X766" s="1512"/>
      <c r="Y766" s="1512"/>
      <c r="Z766" s="1512"/>
      <c r="AA766" s="1512"/>
      <c r="AI766" s="473"/>
      <c r="AK766" s="1512"/>
      <c r="AL766" s="1512"/>
      <c r="AM766" s="1512"/>
      <c r="AN766" s="1512"/>
      <c r="AO766" s="1512"/>
      <c r="AP766" s="1512"/>
      <c r="AQ766" s="1512"/>
    </row>
    <row r="767" spans="1:43" ht="14.5">
      <c r="D767" s="97" t="s">
        <v>221</v>
      </c>
      <c r="H767" s="394">
        <v>-16013</v>
      </c>
      <c r="I767" s="394">
        <v>-12695</v>
      </c>
      <c r="J767" s="394">
        <v>-11200</v>
      </c>
      <c r="K767" s="394">
        <v>-10655</v>
      </c>
      <c r="L767" s="394">
        <v>-12140.91647</v>
      </c>
      <c r="M767" s="394">
        <v>-10586.347559999998</v>
      </c>
      <c r="N767" s="20">
        <f>N768*N746</f>
        <v>-9912.4218018087504</v>
      </c>
      <c r="O767" s="20">
        <f t="shared" ref="O767:S767" si="1673">O768*O746</f>
        <v>-10298.049557904898</v>
      </c>
      <c r="P767" s="20">
        <f t="shared" si="1673"/>
        <v>-10556.707470414776</v>
      </c>
      <c r="Q767" s="20">
        <f t="shared" si="1673"/>
        <v>-10713.179954579909</v>
      </c>
      <c r="R767" s="20">
        <f t="shared" si="1673"/>
        <v>-10971.798694050573</v>
      </c>
      <c r="S767" s="20">
        <f t="shared" si="1673"/>
        <v>-11436.305431163297</v>
      </c>
      <c r="AI767" s="424"/>
    </row>
    <row r="768" spans="1:43" s="101" customFormat="1" ht="14.5">
      <c r="D768" s="101" t="s">
        <v>136</v>
      </c>
      <c r="H768" s="25">
        <f t="shared" ref="H768:J768" si="1674">H767/H$746</f>
        <v>0.35592786705521007</v>
      </c>
      <c r="I768" s="25">
        <f t="shared" si="1674"/>
        <v>0.3520518250635884</v>
      </c>
      <c r="J768" s="25">
        <f t="shared" si="1674"/>
        <v>0.29569339623555585</v>
      </c>
      <c r="K768" s="25">
        <f>K767/K$746</f>
        <v>0.2761793675479523</v>
      </c>
      <c r="L768" s="25">
        <f t="shared" ref="L768:M768" si="1675">L767/L$746</f>
        <v>0.28712974393754082</v>
      </c>
      <c r="M768" s="25">
        <f t="shared" si="1675"/>
        <v>0.24516392566079701</v>
      </c>
      <c r="N768" s="79">
        <f>M768</f>
        <v>0.24516392566079701</v>
      </c>
      <c r="O768" s="79">
        <f t="shared" ref="O768" si="1676">N768</f>
        <v>0.24516392566079701</v>
      </c>
      <c r="P768" s="79">
        <f t="shared" ref="P768" si="1677">O768</f>
        <v>0.24516392566079701</v>
      </c>
      <c r="Q768" s="79">
        <f t="shared" ref="Q768" si="1678">P768</f>
        <v>0.24516392566079701</v>
      </c>
      <c r="R768" s="79">
        <f t="shared" ref="R768" si="1679">Q768</f>
        <v>0.24516392566079701</v>
      </c>
      <c r="S768" s="79">
        <f t="shared" ref="S768" si="1680">R768</f>
        <v>0.24516392566079701</v>
      </c>
      <c r="U768" s="1512"/>
      <c r="V768" s="1512"/>
      <c r="W768" s="1512"/>
      <c r="X768" s="1512"/>
      <c r="Y768" s="1512"/>
      <c r="Z768" s="1512"/>
      <c r="AA768" s="1512"/>
      <c r="AI768" s="473"/>
      <c r="AK768" s="1512"/>
      <c r="AL768" s="1512"/>
      <c r="AM768" s="1512"/>
      <c r="AN768" s="1512"/>
      <c r="AO768" s="1512"/>
      <c r="AP768" s="1512"/>
      <c r="AQ768" s="1512"/>
    </row>
    <row r="769" spans="1:43" ht="14.5">
      <c r="D769" s="97" t="s">
        <v>222</v>
      </c>
      <c r="H769" s="394">
        <v>-169</v>
      </c>
      <c r="I769" s="394">
        <v>40</v>
      </c>
      <c r="J769" s="394">
        <v>1</v>
      </c>
      <c r="K769" s="394">
        <v>-1282</v>
      </c>
      <c r="L769" s="1032">
        <v>-1235.51181</v>
      </c>
      <c r="M769" s="1032">
        <v>-847.90910000000008</v>
      </c>
      <c r="N769" s="80">
        <f>M769</f>
        <v>-847.90910000000008</v>
      </c>
      <c r="O769" s="80">
        <f t="shared" ref="O769:S769" si="1681">N769</f>
        <v>-847.90910000000008</v>
      </c>
      <c r="P769" s="80">
        <f t="shared" si="1681"/>
        <v>-847.90910000000008</v>
      </c>
      <c r="Q769" s="80">
        <f t="shared" si="1681"/>
        <v>-847.90910000000008</v>
      </c>
      <c r="R769" s="80">
        <f t="shared" si="1681"/>
        <v>-847.90910000000008</v>
      </c>
      <c r="S769" s="80">
        <f t="shared" si="1681"/>
        <v>-847.90910000000008</v>
      </c>
      <c r="AI769" s="424"/>
    </row>
    <row r="770" spans="1:43" ht="15" thickBot="1">
      <c r="C770" s="109"/>
      <c r="D770" s="109" t="s">
        <v>223</v>
      </c>
      <c r="E770" s="109"/>
      <c r="F770" s="109"/>
      <c r="G770" s="109"/>
      <c r="H770" s="404">
        <v>-2361.743774</v>
      </c>
      <c r="I770" s="404">
        <v>-2308.9784</v>
      </c>
      <c r="J770" s="404">
        <v>-50.077999999999996</v>
      </c>
      <c r="K770" s="404">
        <v>0</v>
      </c>
      <c r="L770" s="1033">
        <v>0</v>
      </c>
      <c r="M770" s="1033">
        <v>0</v>
      </c>
      <c r="N770" s="147">
        <f>L770</f>
        <v>0</v>
      </c>
      <c r="O770" s="147">
        <f t="shared" ref="O770:S770" si="1682">N770</f>
        <v>0</v>
      </c>
      <c r="P770" s="147">
        <f t="shared" si="1682"/>
        <v>0</v>
      </c>
      <c r="Q770" s="147">
        <f t="shared" si="1682"/>
        <v>0</v>
      </c>
      <c r="R770" s="147">
        <f t="shared" si="1682"/>
        <v>0</v>
      </c>
      <c r="S770" s="147">
        <f t="shared" si="1682"/>
        <v>0</v>
      </c>
      <c r="AI770" s="424"/>
    </row>
    <row r="771" spans="1:43" s="1321" customFormat="1" ht="15" thickBot="1">
      <c r="A771" s="1"/>
      <c r="B771" s="1"/>
      <c r="C771" s="63" t="s">
        <v>142</v>
      </c>
      <c r="D771" s="37"/>
      <c r="E771" s="37"/>
      <c r="F771" s="37"/>
      <c r="G771" s="37"/>
      <c r="H771" s="64">
        <f>H765+H767+H769+H770</f>
        <v>-23137.743773999999</v>
      </c>
      <c r="I771" s="64">
        <f>I765+I767+I769+I770</f>
        <v>-18872.9784</v>
      </c>
      <c r="J771" s="64">
        <f t="shared" ref="J771:K771" si="1683">J765+J767+J769+J770</f>
        <v>-16561.078000000001</v>
      </c>
      <c r="K771" s="64">
        <f t="shared" si="1683"/>
        <v>-17515</v>
      </c>
      <c r="L771" s="64">
        <f t="shared" ref="L771:S771" si="1684">L765+L767+L769+L770</f>
        <v>-18938.729550000022</v>
      </c>
      <c r="M771" s="64">
        <f t="shared" ref="M771" si="1685">M765+M767+M769+M770</f>
        <v>-17468.356049999969</v>
      </c>
      <c r="N771" s="64">
        <f t="shared" si="1684"/>
        <v>-16410.300167291338</v>
      </c>
      <c r="O771" s="64">
        <f t="shared" si="1684"/>
        <v>-17015.731419790623</v>
      </c>
      <c r="P771" s="64">
        <f t="shared" si="1684"/>
        <v>-17421.821441746051</v>
      </c>
      <c r="Q771" s="64">
        <f t="shared" si="1684"/>
        <v>-17667.481487145251</v>
      </c>
      <c r="R771" s="64">
        <f t="shared" si="1684"/>
        <v>-18073.510007868408</v>
      </c>
      <c r="S771" s="64">
        <f t="shared" si="1684"/>
        <v>-18802.780375985778</v>
      </c>
      <c r="U771" s="1515"/>
      <c r="V771" s="1515"/>
      <c r="W771" s="1515"/>
      <c r="X771" s="1515"/>
      <c r="Y771" s="1515"/>
      <c r="Z771" s="1515"/>
      <c r="AA771" s="1515"/>
      <c r="AC771" s="1"/>
      <c r="AD771" s="1"/>
      <c r="AE771" s="1"/>
      <c r="AF771" s="1"/>
      <c r="AG771" s="1"/>
      <c r="AH771" s="1"/>
      <c r="AI771" s="415"/>
      <c r="AK771" s="1515"/>
      <c r="AL771" s="1515"/>
      <c r="AM771" s="1515"/>
      <c r="AN771" s="1515"/>
      <c r="AO771" s="1515"/>
      <c r="AP771" s="1515"/>
      <c r="AQ771" s="1515"/>
    </row>
    <row r="772" spans="1:43" ht="15" thickBot="1"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AI772" s="424"/>
    </row>
    <row r="773" spans="1:43" s="1321" customFormat="1" ht="15" thickBot="1">
      <c r="A773" s="1"/>
      <c r="B773" s="1"/>
      <c r="C773" s="63" t="s">
        <v>143</v>
      </c>
      <c r="D773" s="37"/>
      <c r="E773" s="37"/>
      <c r="F773" s="37"/>
      <c r="G773" s="37"/>
      <c r="H773" s="64">
        <f>H761+H771</f>
        <v>213095.44805600002</v>
      </c>
      <c r="I773" s="64">
        <f t="shared" ref="I773:K773" si="1686">I761+I771</f>
        <v>224370.45239000002</v>
      </c>
      <c r="J773" s="64">
        <f t="shared" si="1686"/>
        <v>155704.95761000001</v>
      </c>
      <c r="K773" s="64">
        <f t="shared" si="1686"/>
        <v>134881</v>
      </c>
      <c r="L773" s="64">
        <f t="shared" ref="L773:S773" si="1687">L761+L771</f>
        <v>162605.56367999999</v>
      </c>
      <c r="M773" s="64">
        <f t="shared" ref="M773" si="1688">M761+M771</f>
        <v>171313.40396000008</v>
      </c>
      <c r="N773" s="64">
        <f t="shared" si="1687"/>
        <v>183820.79638992008</v>
      </c>
      <c r="O773" s="64">
        <f t="shared" si="1687"/>
        <v>193300.37690101433</v>
      </c>
      <c r="P773" s="64">
        <f t="shared" si="1687"/>
        <v>201589.95627912061</v>
      </c>
      <c r="Q773" s="64">
        <f t="shared" si="1687"/>
        <v>208912.30583947912</v>
      </c>
      <c r="R773" s="64">
        <f t="shared" si="1687"/>
        <v>219080.58037536897</v>
      </c>
      <c r="S773" s="64">
        <f t="shared" si="1687"/>
        <v>234469.01309802872</v>
      </c>
      <c r="U773" s="1515"/>
      <c r="V773" s="1515"/>
      <c r="W773" s="1515"/>
      <c r="X773" s="1515"/>
      <c r="Y773" s="1515"/>
      <c r="Z773" s="1515"/>
      <c r="AA773" s="1515"/>
      <c r="AC773" s="1"/>
      <c r="AD773" s="1"/>
      <c r="AE773" s="1"/>
      <c r="AF773" s="1"/>
      <c r="AG773" s="1"/>
      <c r="AH773" s="1"/>
      <c r="AI773" s="415"/>
      <c r="AK773" s="1515"/>
      <c r="AL773" s="1515"/>
      <c r="AM773" s="1515"/>
      <c r="AN773" s="1515"/>
      <c r="AO773" s="1515"/>
      <c r="AP773" s="1515"/>
      <c r="AQ773" s="1515"/>
    </row>
    <row r="774" spans="1:43" s="1321" customFormat="1" ht="14.5">
      <c r="A774" s="1"/>
      <c r="B774" s="1"/>
      <c r="C774" s="1"/>
      <c r="D774" s="22" t="s">
        <v>130</v>
      </c>
      <c r="E774" s="1"/>
      <c r="F774" s="1"/>
      <c r="G774" s="1"/>
      <c r="H774" s="25">
        <f t="shared" ref="H774:L774" si="1689">H773/H$744</f>
        <v>0.32306719980109189</v>
      </c>
      <c r="I774" s="25">
        <f t="shared" si="1689"/>
        <v>0.32027528515248627</v>
      </c>
      <c r="J774" s="25">
        <f t="shared" si="1689"/>
        <v>0.28091846336900184</v>
      </c>
      <c r="K774" s="25">
        <f t="shared" si="1689"/>
        <v>0.23033036315014738</v>
      </c>
      <c r="L774" s="25">
        <f t="shared" si="1689"/>
        <v>0.27769240330623673</v>
      </c>
      <c r="M774" s="25">
        <f>M773/M$744</f>
        <v>0.31152217680110617</v>
      </c>
      <c r="N774" s="25">
        <f>N773/N$34</f>
        <v>0.31029523774710721</v>
      </c>
      <c r="O774" s="25">
        <f t="shared" ref="O774:S774" si="1690">O773/O$34</f>
        <v>0.30027271563165808</v>
      </c>
      <c r="P774" s="25">
        <f t="shared" si="1690"/>
        <v>0.29143213830395287</v>
      </c>
      <c r="Q774" s="25">
        <f t="shared" si="1690"/>
        <v>0.28326421776349686</v>
      </c>
      <c r="R774" s="25">
        <f t="shared" si="1690"/>
        <v>0.27536350539451976</v>
      </c>
      <c r="S774" s="25">
        <f t="shared" si="1690"/>
        <v>0.26765613008226463</v>
      </c>
      <c r="U774" s="1515"/>
      <c r="V774" s="1515"/>
      <c r="W774" s="1515"/>
      <c r="X774" s="1515"/>
      <c r="Y774" s="1515"/>
      <c r="Z774" s="1515"/>
      <c r="AA774" s="1515"/>
      <c r="AC774" s="1"/>
      <c r="AD774" s="1"/>
      <c r="AE774" s="1"/>
      <c r="AF774" s="1"/>
      <c r="AG774" s="1"/>
      <c r="AH774" s="1"/>
      <c r="AI774" s="415"/>
      <c r="AK774" s="1515"/>
      <c r="AL774" s="1515"/>
      <c r="AM774" s="1515"/>
      <c r="AN774" s="1515"/>
      <c r="AO774" s="1515"/>
      <c r="AP774" s="1515"/>
      <c r="AQ774" s="1515"/>
    </row>
    <row r="775" spans="1:43" ht="14.5">
      <c r="C775" s="101"/>
      <c r="D775" s="101"/>
      <c r="E775" s="101"/>
      <c r="F775" s="101"/>
      <c r="G775" s="101"/>
      <c r="H775" s="103"/>
      <c r="I775" s="103"/>
      <c r="J775" s="103"/>
      <c r="K775" s="103"/>
      <c r="L775" s="101"/>
      <c r="M775" s="101"/>
      <c r="N775" s="101"/>
      <c r="O775" s="101"/>
      <c r="P775" s="101"/>
      <c r="Q775" s="101"/>
      <c r="R775" s="101"/>
      <c r="S775" s="101"/>
      <c r="AI775" s="424"/>
    </row>
    <row r="776" spans="1:43" ht="14.5" collapsed="1">
      <c r="AI776" s="424"/>
    </row>
    <row r="777" spans="1:43" ht="14.5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AI777" s="424"/>
    </row>
    <row r="778" spans="1:43" ht="14.5">
      <c r="AI778" s="424"/>
    </row>
    <row r="779" spans="1:43" ht="14.5">
      <c r="C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AI779" s="424"/>
    </row>
    <row r="780" spans="1:43" s="101" customFormat="1" ht="14.5">
      <c r="C780" s="104"/>
      <c r="H780" s="104"/>
      <c r="U780" s="1512"/>
      <c r="V780" s="1512"/>
      <c r="W780" s="1512"/>
      <c r="X780" s="1512"/>
      <c r="Y780" s="1512"/>
      <c r="Z780" s="1512"/>
      <c r="AA780" s="1512"/>
      <c r="AI780" s="473"/>
      <c r="AK780" s="1512"/>
      <c r="AL780" s="1512"/>
      <c r="AM780" s="1512"/>
      <c r="AN780" s="1512"/>
      <c r="AO780" s="1512"/>
      <c r="AP780" s="1512"/>
      <c r="AQ780" s="1512"/>
    </row>
    <row r="781" spans="1:43" s="101" customFormat="1" ht="14.5">
      <c r="C781" s="104"/>
      <c r="H781" s="104"/>
      <c r="I781" s="104"/>
      <c r="J781" s="104"/>
      <c r="K781" s="104"/>
      <c r="U781" s="1512"/>
      <c r="V781" s="1512"/>
      <c r="W781" s="1512"/>
      <c r="X781" s="1512"/>
      <c r="Y781" s="1512"/>
      <c r="Z781" s="1512"/>
      <c r="AA781" s="1512"/>
      <c r="AI781" s="473"/>
      <c r="AK781" s="1512"/>
      <c r="AL781" s="1512"/>
      <c r="AM781" s="1512"/>
      <c r="AN781" s="1512"/>
      <c r="AO781" s="1512"/>
      <c r="AP781" s="1512"/>
      <c r="AQ781" s="1512"/>
    </row>
    <row r="782" spans="1:43" ht="14.5">
      <c r="AI782" s="424"/>
    </row>
    <row r="783" spans="1:43" ht="14.5"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AI783" s="424"/>
    </row>
    <row r="784" spans="1:43" s="101" customFormat="1" ht="14.5">
      <c r="U784" s="1512"/>
      <c r="V784" s="1512"/>
      <c r="W784" s="1512"/>
      <c r="X784" s="1512"/>
      <c r="Y784" s="1512"/>
      <c r="Z784" s="1512"/>
      <c r="AA784" s="1512"/>
      <c r="AI784" s="473"/>
      <c r="AK784" s="1512"/>
      <c r="AL784" s="1512"/>
      <c r="AM784" s="1512"/>
      <c r="AN784" s="1512"/>
      <c r="AO784" s="1512"/>
      <c r="AP784" s="1512"/>
      <c r="AQ784" s="1512"/>
    </row>
    <row r="785" spans="1:43" ht="14.5">
      <c r="AI785" s="424"/>
    </row>
    <row r="786" spans="1:43" ht="14.5">
      <c r="AI786" s="424"/>
    </row>
    <row r="787" spans="1:43" ht="14.5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AI787" s="424"/>
    </row>
    <row r="788" spans="1:43" ht="14.5">
      <c r="AI788" s="424"/>
    </row>
    <row r="789" spans="1:43" s="99" customFormat="1" ht="14.5">
      <c r="U789" s="1511"/>
      <c r="V789" s="1511"/>
      <c r="W789" s="1511"/>
      <c r="X789" s="1511"/>
      <c r="Y789" s="1511"/>
      <c r="Z789" s="1511"/>
      <c r="AA789" s="1511"/>
      <c r="AI789" s="414"/>
      <c r="AK789" s="1511"/>
      <c r="AL789" s="1511"/>
      <c r="AM789" s="1511"/>
      <c r="AN789" s="1511"/>
      <c r="AO789" s="1511"/>
      <c r="AP789" s="1511"/>
      <c r="AQ789" s="1511"/>
    </row>
    <row r="790" spans="1:43" ht="14.5">
      <c r="AI790" s="424"/>
    </row>
    <row r="791" spans="1:43" ht="14.5">
      <c r="AI791" s="424"/>
    </row>
    <row r="792" spans="1:43" ht="14.5">
      <c r="AI792" s="424"/>
    </row>
    <row r="793" spans="1:43" ht="14.5">
      <c r="AI793" s="424"/>
    </row>
    <row r="794" spans="1:43" ht="14.5">
      <c r="AI794" s="424"/>
    </row>
    <row r="795" spans="1:43" ht="14.5"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AI795" s="424"/>
    </row>
    <row r="796" spans="1:43" ht="14.5"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AI796" s="424"/>
    </row>
    <row r="797" spans="1:43" ht="14.5"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AI797" s="424"/>
    </row>
    <row r="798" spans="1:43" ht="14.5"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AI798" s="424"/>
    </row>
    <row r="799" spans="1:43" ht="14.5"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AI799" s="424"/>
    </row>
    <row r="800" spans="1:43" ht="14.5"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AI800" s="424"/>
    </row>
    <row r="801" spans="1:43" ht="14.5">
      <c r="C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AI801" s="424"/>
    </row>
    <row r="802" spans="1:43" ht="14.5">
      <c r="AI802" s="424"/>
    </row>
    <row r="803" spans="1:43" ht="14.5">
      <c r="AI803" s="424"/>
    </row>
    <row r="804" spans="1:43" ht="14.5">
      <c r="AI804" s="424"/>
    </row>
    <row r="805" spans="1:43" ht="14.5">
      <c r="AI805" s="424"/>
    </row>
    <row r="806" spans="1:43" ht="14.5">
      <c r="AI806" s="424"/>
    </row>
    <row r="807" spans="1:43" ht="14.5">
      <c r="AI807" s="424"/>
    </row>
    <row r="808" spans="1:43" ht="14.5" customHeight="1">
      <c r="AI808" s="424"/>
    </row>
    <row r="809" spans="1:43" s="99" customFormat="1" ht="14.5">
      <c r="U809" s="1511"/>
      <c r="V809" s="1511"/>
      <c r="W809" s="1511"/>
      <c r="X809" s="1511"/>
      <c r="Y809" s="1511"/>
      <c r="Z809" s="1511"/>
      <c r="AA809" s="1511"/>
      <c r="AI809" s="414"/>
      <c r="AK809" s="1511"/>
      <c r="AL809" s="1511"/>
      <c r="AM809" s="1511"/>
      <c r="AN809" s="1511"/>
      <c r="AO809" s="1511"/>
      <c r="AP809" s="1511"/>
      <c r="AQ809" s="1511"/>
    </row>
    <row r="810" spans="1:43" s="101" customFormat="1" ht="14.5">
      <c r="H810" s="103"/>
      <c r="I810" s="103"/>
      <c r="J810" s="103"/>
      <c r="K810" s="103"/>
      <c r="U810" s="1512"/>
      <c r="V810" s="1512"/>
      <c r="W810" s="1512"/>
      <c r="X810" s="1512"/>
      <c r="Y810" s="1512"/>
      <c r="Z810" s="1512"/>
      <c r="AA810" s="1512"/>
      <c r="AI810" s="473"/>
      <c r="AK810" s="1512"/>
      <c r="AL810" s="1512"/>
      <c r="AM810" s="1512"/>
      <c r="AN810" s="1512"/>
      <c r="AO810" s="1512"/>
      <c r="AP810" s="1512"/>
      <c r="AQ810" s="1512"/>
    </row>
    <row r="811" spans="1:43" ht="14.5">
      <c r="AI811" s="424"/>
    </row>
    <row r="812" spans="1:43" ht="14.5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AI812" s="424"/>
    </row>
    <row r="813" spans="1:43" ht="14.5">
      <c r="AI813" s="424"/>
    </row>
    <row r="814" spans="1:43" ht="14.5">
      <c r="AI814" s="424"/>
    </row>
    <row r="815" spans="1:43" ht="14.5">
      <c r="AI815" s="424"/>
    </row>
    <row r="816" spans="1:43" s="99" customFormat="1" ht="14.5">
      <c r="U816" s="1511"/>
      <c r="V816" s="1511"/>
      <c r="W816" s="1511"/>
      <c r="X816" s="1511"/>
      <c r="Y816" s="1511"/>
      <c r="Z816" s="1511"/>
      <c r="AA816" s="1511"/>
      <c r="AI816" s="414"/>
      <c r="AK816" s="1511"/>
      <c r="AL816" s="1511"/>
      <c r="AM816" s="1511"/>
      <c r="AN816" s="1511"/>
      <c r="AO816" s="1511"/>
      <c r="AP816" s="1511"/>
      <c r="AQ816" s="1511"/>
    </row>
    <row r="817" spans="1:43" ht="14.5">
      <c r="AI817" s="424"/>
    </row>
    <row r="818" spans="1:43" ht="14.5" customHeight="1">
      <c r="AI818" s="424"/>
    </row>
    <row r="819" spans="1:43" s="99" customFormat="1" ht="14.5">
      <c r="U819" s="1511"/>
      <c r="V819" s="1511"/>
      <c r="W819" s="1511"/>
      <c r="X819" s="1511"/>
      <c r="Y819" s="1511"/>
      <c r="Z819" s="1511"/>
      <c r="AA819" s="1511"/>
      <c r="AI819" s="414"/>
      <c r="AK819" s="1511"/>
      <c r="AL819" s="1511"/>
      <c r="AM819" s="1511"/>
      <c r="AN819" s="1511"/>
      <c r="AO819" s="1511"/>
      <c r="AP819" s="1511"/>
      <c r="AQ819" s="1511"/>
    </row>
    <row r="820" spans="1:43" s="101" customFormat="1" ht="14.5"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U820" s="1512"/>
      <c r="V820" s="1512"/>
      <c r="W820" s="1512"/>
      <c r="X820" s="1512"/>
      <c r="Y820" s="1512"/>
      <c r="Z820" s="1512"/>
      <c r="AA820" s="1512"/>
      <c r="AI820" s="473"/>
      <c r="AK820" s="1512"/>
      <c r="AL820" s="1512"/>
      <c r="AM820" s="1512"/>
      <c r="AN820" s="1512"/>
      <c r="AO820" s="1512"/>
      <c r="AP820" s="1512"/>
      <c r="AQ820" s="1512"/>
    </row>
    <row r="821" spans="1:43" ht="14.5">
      <c r="AI821" s="424"/>
    </row>
    <row r="822" spans="1:43" ht="14.5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AI822" s="424"/>
    </row>
    <row r="823" spans="1:43" ht="14.5">
      <c r="AI823" s="424"/>
    </row>
    <row r="824" spans="1:43" s="99" customFormat="1" ht="14.5">
      <c r="U824" s="1511"/>
      <c r="V824" s="1511"/>
      <c r="W824" s="1511"/>
      <c r="X824" s="1511"/>
      <c r="Y824" s="1511"/>
      <c r="Z824" s="1511"/>
      <c r="AA824" s="1511"/>
      <c r="AI824" s="414"/>
      <c r="AK824" s="1511"/>
      <c r="AL824" s="1511"/>
      <c r="AM824" s="1511"/>
      <c r="AN824" s="1511"/>
      <c r="AO824" s="1511"/>
      <c r="AP824" s="1511"/>
      <c r="AQ824" s="1511"/>
    </row>
    <row r="825" spans="1:43" s="101" customFormat="1" ht="14.5">
      <c r="U825" s="1512"/>
      <c r="V825" s="1512"/>
      <c r="W825" s="1512"/>
      <c r="X825" s="1512"/>
      <c r="Y825" s="1512"/>
      <c r="Z825" s="1512"/>
      <c r="AA825" s="1512"/>
      <c r="AI825" s="473"/>
      <c r="AK825" s="1512"/>
      <c r="AL825" s="1512"/>
      <c r="AM825" s="1512"/>
      <c r="AN825" s="1512"/>
      <c r="AO825" s="1512"/>
      <c r="AP825" s="1512"/>
      <c r="AQ825" s="1512"/>
    </row>
    <row r="826" spans="1:43" ht="14.5">
      <c r="AI826" s="424"/>
    </row>
    <row r="827" spans="1:43" ht="14.5" customHeight="1">
      <c r="AI827" s="424"/>
    </row>
    <row r="828" spans="1:43" s="99" customFormat="1" ht="14.5">
      <c r="U828" s="1511"/>
      <c r="V828" s="1511"/>
      <c r="W828" s="1511"/>
      <c r="X828" s="1511"/>
      <c r="Y828" s="1511"/>
      <c r="Z828" s="1511"/>
      <c r="AA828" s="1511"/>
      <c r="AI828" s="414"/>
      <c r="AK828" s="1511"/>
      <c r="AL828" s="1511"/>
      <c r="AM828" s="1511"/>
      <c r="AN828" s="1511"/>
      <c r="AO828" s="1511"/>
      <c r="AP828" s="1511"/>
      <c r="AQ828" s="1511"/>
    </row>
    <row r="829" spans="1:43" s="101" customFormat="1" ht="14.5"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U829" s="1512"/>
      <c r="V829" s="1512"/>
      <c r="W829" s="1512"/>
      <c r="X829" s="1512"/>
      <c r="Y829" s="1512"/>
      <c r="Z829" s="1512"/>
      <c r="AA829" s="1512"/>
      <c r="AI829" s="473"/>
      <c r="AK829" s="1512"/>
      <c r="AL829" s="1512"/>
      <c r="AM829" s="1512"/>
      <c r="AN829" s="1512"/>
      <c r="AO829" s="1512"/>
      <c r="AP829" s="1512"/>
      <c r="AQ829" s="1512"/>
    </row>
    <row r="830" spans="1:43" ht="14.5">
      <c r="AI830" s="424"/>
    </row>
    <row r="831" spans="1:43" ht="14.5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AI831" s="424"/>
    </row>
    <row r="832" spans="1:43" ht="14.5">
      <c r="AI832" s="424"/>
    </row>
    <row r="833" spans="1:43" s="99" customFormat="1" ht="14.5">
      <c r="U833" s="1511"/>
      <c r="V833" s="1511"/>
      <c r="W833" s="1511"/>
      <c r="X833" s="1511"/>
      <c r="Y833" s="1511"/>
      <c r="Z833" s="1511"/>
      <c r="AA833" s="1511"/>
      <c r="AI833" s="414"/>
      <c r="AK833" s="1511"/>
      <c r="AL833" s="1511"/>
      <c r="AM833" s="1511"/>
      <c r="AN833" s="1511"/>
      <c r="AO833" s="1511"/>
      <c r="AP833" s="1511"/>
      <c r="AQ833" s="1511"/>
    </row>
    <row r="834" spans="1:43" s="101" customFormat="1" ht="14.5">
      <c r="U834" s="1512"/>
      <c r="V834" s="1512"/>
      <c r="W834" s="1512"/>
      <c r="X834" s="1512"/>
      <c r="Y834" s="1512"/>
      <c r="Z834" s="1512"/>
      <c r="AA834" s="1512"/>
      <c r="AI834" s="473"/>
      <c r="AK834" s="1512"/>
      <c r="AL834" s="1512"/>
      <c r="AM834" s="1512"/>
      <c r="AN834" s="1512"/>
      <c r="AO834" s="1512"/>
      <c r="AP834" s="1512"/>
      <c r="AQ834" s="1512"/>
    </row>
    <row r="835" spans="1:43" ht="14.5">
      <c r="AI835" s="424"/>
    </row>
    <row r="836" spans="1:43" ht="14.5" customHeight="1">
      <c r="AI836" s="424"/>
    </row>
    <row r="837" spans="1:43" s="99" customFormat="1" ht="14.5">
      <c r="U837" s="1511"/>
      <c r="V837" s="1511"/>
      <c r="W837" s="1511"/>
      <c r="X837" s="1511"/>
      <c r="Y837" s="1511"/>
      <c r="Z837" s="1511"/>
      <c r="AA837" s="1511"/>
      <c r="AI837" s="414"/>
      <c r="AK837" s="1511"/>
      <c r="AL837" s="1511"/>
      <c r="AM837" s="1511"/>
      <c r="AN837" s="1511"/>
      <c r="AO837" s="1511"/>
      <c r="AP837" s="1511"/>
      <c r="AQ837" s="1511"/>
    </row>
    <row r="838" spans="1:43" s="101" customFormat="1" ht="14.5"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U838" s="1512"/>
      <c r="V838" s="1512"/>
      <c r="W838" s="1512"/>
      <c r="X838" s="1512"/>
      <c r="Y838" s="1512"/>
      <c r="Z838" s="1512"/>
      <c r="AA838" s="1512"/>
      <c r="AI838" s="473"/>
      <c r="AK838" s="1512"/>
      <c r="AL838" s="1512"/>
      <c r="AM838" s="1512"/>
      <c r="AN838" s="1512"/>
      <c r="AO838" s="1512"/>
      <c r="AP838" s="1512"/>
      <c r="AQ838" s="1512"/>
    </row>
    <row r="839" spans="1:43" ht="14.5">
      <c r="AI839" s="424"/>
    </row>
    <row r="840" spans="1:43" ht="14.5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AI840" s="424"/>
    </row>
    <row r="841" spans="1:43" ht="14.5">
      <c r="AI841" s="424"/>
    </row>
    <row r="842" spans="1:43" ht="14.5">
      <c r="C842" s="99"/>
      <c r="H842" s="99"/>
      <c r="I842" s="99"/>
      <c r="J842" s="99"/>
      <c r="K842" s="99"/>
      <c r="AI842" s="424"/>
    </row>
    <row r="843" spans="1:43" ht="14.5">
      <c r="AI843" s="424"/>
    </row>
    <row r="844" spans="1:43" ht="14.5">
      <c r="AI844" s="424"/>
    </row>
    <row r="845" spans="1:43" ht="14.5">
      <c r="AI845" s="424"/>
    </row>
    <row r="846" spans="1:43" ht="14.5">
      <c r="AI846" s="424"/>
    </row>
    <row r="847" spans="1:43" ht="14.5">
      <c r="C847" s="99"/>
      <c r="H847" s="99"/>
      <c r="I847" s="99"/>
      <c r="J847" s="99"/>
      <c r="K847" s="99"/>
      <c r="AI847" s="424"/>
    </row>
    <row r="848" spans="1:43" ht="14.5">
      <c r="AI848" s="424"/>
    </row>
    <row r="849" spans="1:35" ht="14.5">
      <c r="AI849" s="424"/>
    </row>
    <row r="850" spans="1:35" ht="14.5">
      <c r="AI850" s="424"/>
    </row>
    <row r="851" spans="1:35" ht="14.5">
      <c r="AI851" s="424"/>
    </row>
    <row r="852" spans="1:35" ht="14.5">
      <c r="AI852" s="424"/>
    </row>
    <row r="853" spans="1:35" ht="14.5">
      <c r="AI853" s="424"/>
    </row>
    <row r="854" spans="1:35" ht="14.5">
      <c r="C854" s="99"/>
      <c r="H854" s="99"/>
      <c r="I854" s="99"/>
      <c r="J854" s="99"/>
      <c r="K854" s="99"/>
      <c r="AI854" s="424"/>
    </row>
    <row r="855" spans="1:35" ht="14.5">
      <c r="AI855" s="424"/>
    </row>
    <row r="856" spans="1:35" ht="14.5">
      <c r="AI856" s="424"/>
    </row>
    <row r="857" spans="1:35" ht="14.5">
      <c r="C857" s="99"/>
      <c r="H857" s="99"/>
      <c r="I857" s="99"/>
      <c r="J857" s="99"/>
      <c r="K857" s="99"/>
      <c r="AI857" s="424"/>
    </row>
    <row r="858" spans="1:35" ht="14.5">
      <c r="AI858" s="424"/>
    </row>
    <row r="859" spans="1:35" ht="14.5">
      <c r="AI859" s="424"/>
    </row>
    <row r="860" spans="1:35" ht="14.5">
      <c r="C860" s="99"/>
      <c r="H860" s="99"/>
      <c r="I860" s="99"/>
      <c r="J860" s="99"/>
      <c r="K860" s="99"/>
      <c r="AI860" s="424"/>
    </row>
    <row r="861" spans="1:35" ht="14.5">
      <c r="AI861" s="424"/>
    </row>
    <row r="862" spans="1:35" ht="14.5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AI862" s="424"/>
    </row>
    <row r="863" spans="1:35" ht="14.5">
      <c r="AI863" s="424"/>
    </row>
    <row r="864" spans="1:35" ht="14.5">
      <c r="AI864" s="424"/>
    </row>
    <row r="865" spans="3:43" ht="14.5">
      <c r="AI865" s="424"/>
    </row>
    <row r="866" spans="3:43" ht="14.5">
      <c r="AI866" s="424"/>
    </row>
    <row r="867" spans="3:43" s="101" customFormat="1" ht="14.5">
      <c r="U867" s="1512"/>
      <c r="V867" s="1512"/>
      <c r="W867" s="1512"/>
      <c r="X867" s="1512"/>
      <c r="Y867" s="1512"/>
      <c r="Z867" s="1512"/>
      <c r="AA867" s="1512"/>
      <c r="AI867" s="473"/>
      <c r="AK867" s="1512"/>
      <c r="AL867" s="1512"/>
      <c r="AM867" s="1512"/>
      <c r="AN867" s="1512"/>
      <c r="AO867" s="1512"/>
      <c r="AP867" s="1512"/>
      <c r="AQ867" s="1512"/>
    </row>
    <row r="868" spans="3:43" ht="14.5">
      <c r="AI868" s="424"/>
    </row>
    <row r="869" spans="3:43" ht="14.5">
      <c r="C869" s="99"/>
      <c r="H869" s="99"/>
      <c r="I869" s="99"/>
      <c r="J869" s="99"/>
      <c r="K869" s="99"/>
      <c r="AI869" s="424"/>
    </row>
    <row r="870" spans="3:43" ht="14.5">
      <c r="AI870" s="424"/>
    </row>
    <row r="871" spans="3:43" ht="14.5">
      <c r="D871" s="105"/>
      <c r="AI871" s="424"/>
    </row>
    <row r="872" spans="3:43" ht="14.5">
      <c r="AI872" s="424"/>
    </row>
    <row r="873" spans="3:43" s="99" customFormat="1" ht="14.5">
      <c r="U873" s="1511"/>
      <c r="V873" s="1511"/>
      <c r="W873" s="1511"/>
      <c r="X873" s="1511"/>
      <c r="Y873" s="1511"/>
      <c r="Z873" s="1511"/>
      <c r="AA873" s="1511"/>
      <c r="AI873" s="414"/>
      <c r="AK873" s="1511"/>
      <c r="AL873" s="1511"/>
      <c r="AM873" s="1511"/>
      <c r="AN873" s="1511"/>
      <c r="AO873" s="1511"/>
      <c r="AP873" s="1511"/>
      <c r="AQ873" s="1511"/>
    </row>
    <row r="874" spans="3:43" ht="14.5">
      <c r="AI874" s="424"/>
    </row>
    <row r="875" spans="3:43" ht="14.5">
      <c r="D875" s="105"/>
      <c r="AI875" s="424"/>
    </row>
    <row r="876" spans="3:43" ht="14.5">
      <c r="AI876" s="424"/>
    </row>
    <row r="877" spans="3:43" ht="14.5">
      <c r="D877" s="99"/>
      <c r="H877" s="99"/>
      <c r="I877" s="99"/>
      <c r="J877" s="99"/>
      <c r="K877" s="99"/>
      <c r="AI877" s="424"/>
    </row>
    <row r="878" spans="3:43" ht="14.5">
      <c r="AI878" s="424"/>
    </row>
    <row r="879" spans="3:43" ht="14.5">
      <c r="AI879" s="424"/>
    </row>
    <row r="880" spans="3:43" ht="14.5">
      <c r="AI880" s="424"/>
    </row>
    <row r="881" spans="3:43" ht="14.5">
      <c r="D881" s="99"/>
      <c r="H881" s="99"/>
      <c r="I881" s="99"/>
      <c r="J881" s="99"/>
      <c r="K881" s="99"/>
      <c r="AI881" s="424"/>
    </row>
    <row r="882" spans="3:43" ht="14.5">
      <c r="AI882" s="424"/>
    </row>
    <row r="883" spans="3:43" ht="14.5">
      <c r="AI883" s="424"/>
    </row>
    <row r="884" spans="3:43" ht="14.5">
      <c r="AI884" s="424"/>
    </row>
    <row r="885" spans="3:43" ht="14.5">
      <c r="AI885" s="424"/>
    </row>
    <row r="886" spans="3:43" ht="14.5">
      <c r="AI886" s="424"/>
    </row>
    <row r="887" spans="3:43" ht="14.5">
      <c r="D887" s="99"/>
      <c r="H887" s="99"/>
      <c r="I887" s="99"/>
      <c r="J887" s="99"/>
      <c r="K887" s="99"/>
      <c r="AI887" s="424"/>
    </row>
    <row r="888" spans="3:43" ht="14.5">
      <c r="AI888" s="424"/>
    </row>
    <row r="889" spans="3:43" ht="14.5">
      <c r="C889" s="99"/>
      <c r="H889" s="99"/>
      <c r="I889" s="99"/>
      <c r="J889" s="99"/>
      <c r="K889" s="99"/>
    </row>
    <row r="890" spans="3:43" s="101" customFormat="1" ht="14.5">
      <c r="U890" s="1512"/>
      <c r="V890" s="1512"/>
      <c r="W890" s="1512"/>
      <c r="X890" s="1512"/>
      <c r="Y890" s="1512"/>
      <c r="Z890" s="1512"/>
      <c r="AA890" s="1512"/>
      <c r="AK890" s="1512"/>
      <c r="AL890" s="1512"/>
      <c r="AM890" s="1512"/>
      <c r="AN890" s="1512"/>
      <c r="AO890" s="1512"/>
      <c r="AP890" s="1512"/>
      <c r="AQ890" s="1512"/>
    </row>
    <row r="892" spans="3:43" ht="14.5">
      <c r="D892" s="105"/>
    </row>
    <row r="893" spans="3:43" ht="14.5"/>
    <row r="894" spans="3:43" ht="14.5">
      <c r="D894" s="99"/>
      <c r="H894" s="99"/>
      <c r="I894" s="99"/>
      <c r="J894" s="99"/>
      <c r="K894" s="99"/>
    </row>
    <row r="895" spans="3:43" ht="14.5"/>
    <row r="896" spans="3:43" ht="14.5">
      <c r="D896" s="105"/>
    </row>
    <row r="897" spans="1:43" ht="14.5">
      <c r="H897" s="99"/>
      <c r="I897" s="99"/>
      <c r="J897" s="99"/>
      <c r="K897" s="99"/>
    </row>
    <row r="900" spans="1:43" ht="14.5">
      <c r="H900" s="99"/>
      <c r="I900" s="99"/>
      <c r="J900" s="99"/>
      <c r="K900" s="99"/>
    </row>
    <row r="903" spans="1:43" ht="14.5">
      <c r="D903" s="99"/>
      <c r="H903" s="99"/>
      <c r="I903" s="99"/>
      <c r="J903" s="99"/>
      <c r="K903" s="99"/>
    </row>
    <row r="905" spans="1:43" ht="14.5">
      <c r="C905" s="99"/>
      <c r="H905" s="99"/>
      <c r="I905" s="99"/>
      <c r="J905" s="99"/>
      <c r="K905" s="99"/>
    </row>
    <row r="906" spans="1:43" s="101" customFormat="1" ht="14.5">
      <c r="U906" s="1512"/>
      <c r="V906" s="1512"/>
      <c r="W906" s="1512"/>
      <c r="X906" s="1512"/>
      <c r="Y906" s="1512"/>
      <c r="Z906" s="1512"/>
      <c r="AA906" s="1512"/>
      <c r="AK906" s="1512"/>
      <c r="AL906" s="1512"/>
      <c r="AM906" s="1512"/>
      <c r="AN906" s="1512"/>
      <c r="AO906" s="1512"/>
      <c r="AP906" s="1512"/>
      <c r="AQ906" s="1512"/>
    </row>
    <row r="907" spans="1:43" ht="14.5"/>
    <row r="908" spans="1:43" ht="14.5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</row>
    <row r="909" spans="1:43" ht="14.5"/>
    <row r="910" spans="1:43" ht="14.5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</row>
    <row r="911" spans="1:43" s="99" customFormat="1" ht="14.5">
      <c r="U911" s="1511"/>
      <c r="V911" s="1511"/>
      <c r="W911" s="1511"/>
      <c r="X911" s="1511"/>
      <c r="Y911" s="1511"/>
      <c r="Z911" s="1511"/>
      <c r="AA911" s="1511"/>
      <c r="AK911" s="1511"/>
      <c r="AL911" s="1511"/>
      <c r="AM911" s="1511"/>
      <c r="AN911" s="1511"/>
      <c r="AO911" s="1511"/>
      <c r="AP911" s="1511"/>
      <c r="AQ911" s="1511"/>
    </row>
    <row r="912" spans="1:43" ht="14.5"/>
    <row r="916" spans="4:43" ht="14.5"/>
    <row r="918" spans="4:43" ht="14.5"/>
    <row r="919" spans="4:43" ht="14.5">
      <c r="D919" s="99"/>
      <c r="H919" s="99"/>
      <c r="I919" s="99"/>
      <c r="J919" s="99"/>
      <c r="K919" s="99"/>
    </row>
    <row r="920" spans="4:43" ht="14.5"/>
    <row r="921" spans="4:43" ht="14.5"/>
    <row r="923" spans="4:43" s="99" customFormat="1" ht="14.5">
      <c r="U923" s="1511"/>
      <c r="V923" s="1511"/>
      <c r="W923" s="1511"/>
      <c r="X923" s="1511"/>
      <c r="Y923" s="1511"/>
      <c r="Z923" s="1511"/>
      <c r="AA923" s="1511"/>
      <c r="AK923" s="1511"/>
      <c r="AL923" s="1511"/>
      <c r="AM923" s="1511"/>
      <c r="AN923" s="1511"/>
      <c r="AO923" s="1511"/>
      <c r="AP923" s="1511"/>
      <c r="AQ923" s="1511"/>
    </row>
    <row r="925" spans="4:43" ht="14.5"/>
    <row r="926" spans="4:43" s="99" customFormat="1" ht="14.5">
      <c r="U926" s="1511"/>
      <c r="V926" s="1511"/>
      <c r="W926" s="1511"/>
      <c r="X926" s="1511"/>
      <c r="Y926" s="1511"/>
      <c r="Z926" s="1511"/>
      <c r="AA926" s="1511"/>
      <c r="AK926" s="1511"/>
      <c r="AL926" s="1511"/>
      <c r="AM926" s="1511"/>
      <c r="AN926" s="1511"/>
      <c r="AO926" s="1511"/>
      <c r="AP926" s="1511"/>
      <c r="AQ926" s="1511"/>
    </row>
    <row r="927" spans="4:43" ht="14.5"/>
    <row r="928" spans="4:43" s="99" customFormat="1" ht="14.5">
      <c r="U928" s="1511"/>
      <c r="V928" s="1511"/>
      <c r="W928" s="1511"/>
      <c r="X928" s="1511"/>
      <c r="Y928" s="1511"/>
      <c r="Z928" s="1511"/>
      <c r="AA928" s="1511"/>
      <c r="AK928" s="1511"/>
      <c r="AL928" s="1511"/>
      <c r="AM928" s="1511"/>
      <c r="AN928" s="1511"/>
      <c r="AO928" s="1511"/>
      <c r="AP928" s="1511"/>
      <c r="AQ928" s="1511"/>
    </row>
    <row r="929" spans="3:43" ht="14.5"/>
    <row r="931" spans="3:43" ht="14.5"/>
    <row r="932" spans="3:43" s="99" customFormat="1" ht="14.5">
      <c r="U932" s="1511"/>
      <c r="V932" s="1511"/>
      <c r="W932" s="1511"/>
      <c r="X932" s="1511"/>
      <c r="Y932" s="1511"/>
      <c r="Z932" s="1511"/>
      <c r="AA932" s="1511"/>
      <c r="AK932" s="1511"/>
      <c r="AL932" s="1511"/>
      <c r="AM932" s="1511"/>
      <c r="AN932" s="1511"/>
      <c r="AO932" s="1511"/>
      <c r="AP932" s="1511"/>
      <c r="AQ932" s="1511"/>
    </row>
    <row r="933" spans="3:43" ht="14.5"/>
    <row r="934" spans="3:43" ht="14.5">
      <c r="C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</row>
    <row r="935" spans="3:43" ht="14.5">
      <c r="D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</row>
    <row r="936" spans="3:43" ht="14.5">
      <c r="D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</row>
    <row r="937" spans="3:43" ht="14.5">
      <c r="D937" s="101"/>
      <c r="H937" s="101"/>
      <c r="I937" s="101"/>
      <c r="J937" s="101"/>
      <c r="K937" s="101"/>
    </row>
    <row r="939" spans="3:43" ht="14.5">
      <c r="D939" s="101"/>
      <c r="H939" s="101"/>
      <c r="I939" s="101"/>
      <c r="J939" s="101"/>
      <c r="K939" s="101"/>
    </row>
    <row r="941" spans="3:43" ht="14.5">
      <c r="D941" s="101"/>
      <c r="H941" s="101"/>
      <c r="I941" s="101"/>
      <c r="J941" s="101"/>
      <c r="K941" s="101"/>
    </row>
    <row r="942" spans="3:43" ht="14.5"/>
    <row r="943" spans="3:43" ht="14.5">
      <c r="D943" s="101"/>
      <c r="H943" s="101"/>
      <c r="I943" s="101"/>
      <c r="J943" s="101"/>
      <c r="K943" s="101"/>
    </row>
    <row r="945" spans="4:43" ht="14.5">
      <c r="D945" s="101"/>
      <c r="H945" s="101"/>
      <c r="I945" s="101"/>
      <c r="J945" s="101"/>
      <c r="K945" s="101"/>
    </row>
    <row r="947" spans="4:43" ht="14.5">
      <c r="D947" s="101"/>
      <c r="H947" s="101"/>
      <c r="I947" s="101"/>
      <c r="J947" s="101"/>
      <c r="K947" s="101"/>
    </row>
    <row r="949" spans="4:43" ht="14.5">
      <c r="D949" s="101"/>
      <c r="H949" s="101"/>
      <c r="I949" s="101"/>
      <c r="J949" s="101"/>
      <c r="K949" s="101"/>
    </row>
    <row r="950" spans="4:43" s="99" customFormat="1" ht="14.5">
      <c r="U950" s="1511"/>
      <c r="V950" s="1511"/>
      <c r="W950" s="1511"/>
      <c r="X950" s="1511"/>
      <c r="Y950" s="1511"/>
      <c r="Z950" s="1511"/>
      <c r="AA950" s="1511"/>
      <c r="AK950" s="1511"/>
      <c r="AL950" s="1511"/>
      <c r="AM950" s="1511"/>
      <c r="AN950" s="1511"/>
      <c r="AO950" s="1511"/>
      <c r="AP950" s="1511"/>
      <c r="AQ950" s="1511"/>
    </row>
    <row r="952" spans="4:43" s="99" customFormat="1" ht="14.5">
      <c r="U952" s="1511"/>
      <c r="V952" s="1511"/>
      <c r="W952" s="1511"/>
      <c r="X952" s="1511"/>
      <c r="Y952" s="1511"/>
      <c r="Z952" s="1511"/>
      <c r="AA952" s="1511"/>
      <c r="AK952" s="1511"/>
      <c r="AL952" s="1511"/>
      <c r="AM952" s="1511"/>
      <c r="AN952" s="1511"/>
      <c r="AO952" s="1511"/>
      <c r="AP952" s="1511"/>
      <c r="AQ952" s="1511"/>
    </row>
    <row r="953" spans="4:43" ht="14.5">
      <c r="D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</row>
    <row r="955" spans="4:43" s="99" customFormat="1" ht="14.5">
      <c r="U955" s="1511"/>
      <c r="V955" s="1511"/>
      <c r="W955" s="1511"/>
      <c r="X955" s="1511"/>
      <c r="Y955" s="1511"/>
      <c r="Z955" s="1511"/>
      <c r="AA955" s="1511"/>
      <c r="AK955" s="1511"/>
      <c r="AL955" s="1511"/>
      <c r="AM955" s="1511"/>
      <c r="AN955" s="1511"/>
      <c r="AO955" s="1511"/>
      <c r="AP955" s="1511"/>
      <c r="AQ955" s="1511"/>
    </row>
    <row r="956" spans="4:43" ht="14.5"/>
  </sheetData>
  <mergeCells count="5">
    <mergeCell ref="A1:S1"/>
    <mergeCell ref="A2:S2"/>
    <mergeCell ref="U4:AA4"/>
    <mergeCell ref="AC4:AI4"/>
    <mergeCell ref="AK4:AQ4"/>
  </mergeCells>
  <phoneticPr fontId="5" type="noConversion"/>
  <conditionalFormatting sqref="H4:H5 N5 P5:S5">
    <cfRule type="containsText" dxfId="56" priority="12" operator="containsText" text="Error">
      <formula>NOT(ISERROR(SEARCH("Error",H4)))</formula>
    </cfRule>
  </conditionalFormatting>
  <conditionalFormatting sqref="J5:L5">
    <cfRule type="containsText" dxfId="55" priority="4" operator="containsText" text="Error">
      <formula>NOT(ISERROR(SEARCH("Error",J5)))</formula>
    </cfRule>
  </conditionalFormatting>
  <conditionalFormatting sqref="U5">
    <cfRule type="containsText" dxfId="54" priority="10" operator="containsText" text="Error">
      <formula>NOT(ISERROR(SEARCH("Error",U5)))</formula>
    </cfRule>
  </conditionalFormatting>
  <conditionalFormatting sqref="W5:AA5">
    <cfRule type="containsText" dxfId="53" priority="9" operator="containsText" text="Error">
      <formula>NOT(ISERROR(SEARCH("Error",W5)))</formula>
    </cfRule>
  </conditionalFormatting>
  <conditionalFormatting sqref="AC5">
    <cfRule type="containsText" dxfId="52" priority="8" operator="containsText" text="Error">
      <formula>NOT(ISERROR(SEARCH("Error",AC5)))</formula>
    </cfRule>
  </conditionalFormatting>
  <conditionalFormatting sqref="AE5:AI5">
    <cfRule type="containsText" dxfId="51" priority="7" operator="containsText" text="Error">
      <formula>NOT(ISERROR(SEARCH("Error",AE5)))</formula>
    </cfRule>
  </conditionalFormatting>
  <conditionalFormatting sqref="AK5">
    <cfRule type="containsText" dxfId="50" priority="6" operator="containsText" text="Error">
      <formula>NOT(ISERROR(SEARCH("Error",AK5)))</formula>
    </cfRule>
  </conditionalFormatting>
  <conditionalFormatting sqref="AM5:AQ5">
    <cfRule type="containsText" dxfId="49" priority="5" operator="containsText" text="Error">
      <formula>NOT(ISERROR(SEARCH("Error",AM5)))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/>
  </sheetPr>
  <dimension ref="A1:AQ1159"/>
  <sheetViews>
    <sheetView showGridLines="0" zoomScale="136" zoomScaleNormal="136" workbookViewId="0">
      <pane xSplit="7" ySplit="6" topLeftCell="H7" activePane="bottomRight" state="frozen"/>
      <selection activeCell="R12" sqref="R12"/>
      <selection pane="topRight" activeCell="R12" sqref="R12"/>
      <selection pane="bottomLeft" activeCell="R12" sqref="R12"/>
      <selection pane="bottomRight" activeCell="O36" sqref="O36"/>
    </sheetView>
  </sheetViews>
  <sheetFormatPr defaultColWidth="8.6640625" defaultRowHeight="14.5" outlineLevelRow="4"/>
  <cols>
    <col min="1" max="1" width="2.33203125" style="1" customWidth="1"/>
    <col min="2" max="3" width="3.08203125" style="1" customWidth="1"/>
    <col min="4" max="4" width="2.6640625" style="1" customWidth="1"/>
    <col min="5" max="7" width="11.6640625" style="1" customWidth="1"/>
    <col min="8" max="10" width="11.75" style="1" customWidth="1"/>
    <col min="11" max="11" width="13.08203125" style="1" hidden="1" customWidth="1"/>
    <col min="12" max="13" width="12.58203125" style="1" customWidth="1"/>
    <col min="14" max="15" width="13" style="1" customWidth="1"/>
    <col min="16" max="19" width="12.58203125" style="1" customWidth="1"/>
    <col min="20" max="20" width="7.75" style="675" customWidth="1"/>
    <col min="21" max="21" width="11.33203125" style="1515" hidden="1" customWidth="1"/>
    <col min="22" max="26" width="10.75" style="1515" hidden="1" customWidth="1"/>
    <col min="27" max="27" width="8.6640625" style="1515" hidden="1" customWidth="1"/>
    <col min="28" max="28" width="8.6640625" style="1321"/>
    <col min="29" max="34" width="10.1640625" style="1" customWidth="1"/>
    <col min="35" max="35" width="0" style="1" hidden="1" customWidth="1"/>
    <col min="36" max="36" width="8.6640625" style="1321"/>
    <col min="37" max="42" width="11.25" style="1515" hidden="1" customWidth="1"/>
    <col min="43" max="43" width="8.6640625" style="1515" hidden="1" customWidth="1"/>
    <col min="44" max="16384" width="8.6640625" style="1321"/>
  </cols>
  <sheetData>
    <row r="1" spans="1:43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</row>
    <row r="2" spans="1:43" ht="20.25" customHeight="1">
      <c r="A2" s="1579" t="s">
        <v>6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</row>
    <row r="3" spans="1:43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</row>
    <row r="4" spans="1:43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U4" s="1583" t="s">
        <v>646</v>
      </c>
      <c r="V4" s="1583"/>
      <c r="W4" s="1583"/>
      <c r="X4" s="1583"/>
      <c r="Y4" s="1583"/>
      <c r="Z4" s="1583"/>
      <c r="AA4" s="1583"/>
      <c r="AC4" s="1584" t="s">
        <v>647</v>
      </c>
      <c r="AD4" s="1585"/>
      <c r="AE4" s="1585"/>
      <c r="AF4" s="1585"/>
      <c r="AG4" s="1585"/>
      <c r="AH4" s="1585"/>
      <c r="AI4" s="1585"/>
      <c r="AK4" s="1583" t="s">
        <v>648</v>
      </c>
      <c r="AL4" s="1583"/>
      <c r="AM4" s="1583"/>
      <c r="AN4" s="1583"/>
      <c r="AO4" s="1583"/>
      <c r="AP4" s="1583"/>
      <c r="AQ4" s="1583"/>
    </row>
    <row r="5" spans="1:43" ht="14.25" customHeight="1">
      <c r="A5" s="5" t="s">
        <v>7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  <c r="U5" s="1516">
        <v>46022</v>
      </c>
      <c r="V5" s="1516">
        <v>46387</v>
      </c>
      <c r="W5" s="1516">
        <v>46752</v>
      </c>
      <c r="X5" s="1516">
        <v>46753</v>
      </c>
      <c r="Y5" s="1516">
        <v>47483</v>
      </c>
      <c r="Z5" s="1516">
        <v>47848</v>
      </c>
      <c r="AA5" s="1516" t="s">
        <v>356</v>
      </c>
      <c r="AC5" s="435">
        <v>46022</v>
      </c>
      <c r="AD5" s="435">
        <v>46387</v>
      </c>
      <c r="AE5" s="435">
        <v>46752</v>
      </c>
      <c r="AF5" s="435">
        <v>46753</v>
      </c>
      <c r="AG5" s="435">
        <v>47483</v>
      </c>
      <c r="AH5" s="435">
        <v>47848</v>
      </c>
      <c r="AI5" s="435" t="s">
        <v>356</v>
      </c>
      <c r="AK5" s="1516">
        <v>46022</v>
      </c>
      <c r="AL5" s="1516">
        <v>46387</v>
      </c>
      <c r="AM5" s="1516">
        <v>46752</v>
      </c>
      <c r="AN5" s="1516">
        <v>46753</v>
      </c>
      <c r="AO5" s="1516">
        <v>47483</v>
      </c>
      <c r="AP5" s="1516">
        <v>47848</v>
      </c>
      <c r="AQ5" s="1516" t="s">
        <v>356</v>
      </c>
    </row>
    <row r="6" spans="1:43" ht="14.25" customHeight="1">
      <c r="A6" s="5" t="s">
        <v>9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43" ht="14.25" customHeight="1">
      <c r="A7" s="11"/>
      <c r="B7" s="11"/>
      <c r="C7" s="11"/>
      <c r="D7" s="12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AC7" s="14"/>
      <c r="AD7" s="14"/>
      <c r="AE7" s="14"/>
      <c r="AF7" s="14"/>
      <c r="AG7" s="14"/>
      <c r="AH7" s="14"/>
      <c r="AI7" s="14"/>
    </row>
    <row r="8" spans="1:43" s="1125" customFormat="1">
      <c r="A8" s="58" t="s">
        <v>8</v>
      </c>
      <c r="B8" s="58" t="s">
        <v>839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1103"/>
      <c r="U8" s="1515"/>
      <c r="V8" s="1515"/>
      <c r="W8" s="1515"/>
      <c r="X8" s="1515"/>
      <c r="Y8" s="1515"/>
      <c r="Z8" s="1515"/>
      <c r="AA8" s="1515"/>
      <c r="AC8" s="1179"/>
      <c r="AD8" s="1179"/>
      <c r="AE8" s="1179"/>
      <c r="AF8" s="1179"/>
      <c r="AG8" s="1179"/>
      <c r="AH8" s="1179"/>
      <c r="AI8" s="1179"/>
      <c r="AK8" s="1515"/>
      <c r="AL8" s="1515"/>
      <c r="AM8" s="1515"/>
      <c r="AN8" s="1515"/>
      <c r="AO8" s="1515"/>
      <c r="AP8" s="1515"/>
      <c r="AQ8" s="1515"/>
    </row>
    <row r="9" spans="1:43" ht="14.25" customHeight="1">
      <c r="A9" s="11"/>
      <c r="B9" s="11"/>
      <c r="C9" s="11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AC9" s="14"/>
      <c r="AD9" s="14"/>
      <c r="AE9" s="14"/>
      <c r="AF9" s="14"/>
      <c r="AG9" s="14"/>
      <c r="AH9" s="14"/>
      <c r="AI9" s="14"/>
    </row>
    <row r="10" spans="1:43" s="1125" customFormat="1">
      <c r="A10" s="58" t="s">
        <v>8</v>
      </c>
      <c r="B10" s="58" t="s">
        <v>21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1103"/>
      <c r="U10" s="1515"/>
      <c r="V10" s="1515"/>
      <c r="W10" s="1515"/>
      <c r="X10" s="1515"/>
      <c r="Y10" s="1515"/>
      <c r="Z10" s="1515"/>
      <c r="AA10" s="1515"/>
      <c r="AC10" s="1179"/>
      <c r="AD10" s="1179"/>
      <c r="AE10" s="1179"/>
      <c r="AF10" s="1179"/>
      <c r="AG10" s="1179"/>
      <c r="AH10" s="1179"/>
      <c r="AI10" s="1179"/>
      <c r="AK10" s="1515"/>
      <c r="AL10" s="1515"/>
      <c r="AM10" s="1515"/>
      <c r="AN10" s="1515"/>
      <c r="AO10" s="1515"/>
      <c r="AP10" s="1515"/>
      <c r="AQ10" s="1515"/>
    </row>
    <row r="11" spans="1:43">
      <c r="L11" s="42"/>
      <c r="M11" s="42"/>
      <c r="N11" s="42"/>
      <c r="S11" s="42"/>
      <c r="AC11" s="14"/>
      <c r="AD11" s="14"/>
      <c r="AE11" s="14"/>
      <c r="AF11" s="14"/>
      <c r="AG11" s="14"/>
      <c r="AH11" s="14"/>
      <c r="AI11" s="14"/>
    </row>
    <row r="12" spans="1:43" s="1126" customFormat="1" hidden="1">
      <c r="A12" s="18"/>
      <c r="B12" s="18"/>
      <c r="C12" s="18" t="s">
        <v>10</v>
      </c>
      <c r="D12" s="18"/>
      <c r="E12" s="18"/>
      <c r="F12" s="18"/>
      <c r="G12" s="18"/>
      <c r="H12" s="395">
        <v>1447160</v>
      </c>
      <c r="I12" s="395">
        <v>1688701</v>
      </c>
      <c r="J12" s="395">
        <v>1802473</v>
      </c>
      <c r="K12" s="395">
        <v>1995172</v>
      </c>
      <c r="L12" s="151"/>
      <c r="M12" s="151"/>
      <c r="N12" s="151"/>
      <c r="O12" s="151"/>
      <c r="P12" s="151"/>
      <c r="Q12" s="151"/>
      <c r="R12" s="151"/>
      <c r="S12" s="151"/>
      <c r="T12" s="408"/>
      <c r="U12" s="1518"/>
      <c r="V12" s="1518"/>
      <c r="W12" s="1518"/>
      <c r="X12" s="1518"/>
      <c r="Y12" s="1518"/>
      <c r="Z12" s="1518"/>
      <c r="AA12" s="1518"/>
      <c r="AC12" s="397"/>
      <c r="AD12" s="397"/>
      <c r="AE12" s="397"/>
      <c r="AF12" s="397"/>
      <c r="AG12" s="397"/>
      <c r="AH12" s="397"/>
      <c r="AI12" s="397"/>
      <c r="AK12" s="1518"/>
      <c r="AL12" s="1518"/>
      <c r="AM12" s="1518"/>
      <c r="AN12" s="1518"/>
      <c r="AO12" s="1518"/>
      <c r="AP12" s="1518"/>
      <c r="AQ12" s="1518"/>
    </row>
    <row r="13" spans="1:43" s="1365" customFormat="1" hidden="1">
      <c r="A13" s="22"/>
      <c r="B13" s="22"/>
      <c r="C13" s="22"/>
      <c r="D13" s="22" t="s">
        <v>11</v>
      </c>
      <c r="E13" s="22"/>
      <c r="F13" s="22"/>
      <c r="G13" s="22"/>
      <c r="H13" s="61">
        <f>H14-H12</f>
        <v>-3.0899999896064401E-2</v>
      </c>
      <c r="I13" s="61">
        <f t="shared" ref="I13:K13" si="0">I14-I12</f>
        <v>-27563.596074329223</v>
      </c>
      <c r="J13" s="61">
        <f t="shared" si="0"/>
        <v>-0.77850976213812828</v>
      </c>
      <c r="K13" s="61">
        <f t="shared" si="0"/>
        <v>-0.5</v>
      </c>
      <c r="L13" s="149"/>
      <c r="M13" s="149"/>
      <c r="N13" s="149"/>
      <c r="O13" s="149"/>
      <c r="P13" s="149"/>
      <c r="Q13" s="149"/>
      <c r="R13" s="149"/>
      <c r="S13" s="149"/>
      <c r="T13" s="726"/>
      <c r="U13" s="1523"/>
      <c r="V13" s="1523"/>
      <c r="W13" s="1523"/>
      <c r="X13" s="1523"/>
      <c r="Y13" s="1523"/>
      <c r="Z13" s="1523"/>
      <c r="AA13" s="1523"/>
      <c r="AC13" s="1472"/>
      <c r="AD13" s="1472"/>
      <c r="AE13" s="1472"/>
      <c r="AF13" s="1472"/>
      <c r="AG13" s="1472"/>
      <c r="AH13" s="1472"/>
      <c r="AI13" s="1472"/>
      <c r="AK13" s="1523"/>
      <c r="AL13" s="1523"/>
      <c r="AM13" s="1523"/>
      <c r="AN13" s="1523"/>
      <c r="AO13" s="1523"/>
      <c r="AP13" s="1523"/>
      <c r="AQ13" s="1523"/>
    </row>
    <row r="14" spans="1:43">
      <c r="C14" s="397" t="s">
        <v>12</v>
      </c>
      <c r="H14" s="19">
        <f>H42+H936+H961+H975+H984</f>
        <v>1447159.9691000001</v>
      </c>
      <c r="I14" s="19">
        <f t="shared" ref="I14:S14" si="1">I42+I936+I961+I975+I984</f>
        <v>1661137.4039256708</v>
      </c>
      <c r="J14" s="19">
        <f t="shared" si="1"/>
        <v>1802472.2214902379</v>
      </c>
      <c r="K14" s="19">
        <f t="shared" si="1"/>
        <v>1995171.5</v>
      </c>
      <c r="L14" s="19">
        <f t="shared" si="1"/>
        <v>2429130.3347805925</v>
      </c>
      <c r="M14" s="19">
        <f t="shared" si="1"/>
        <v>1436328.0856014558</v>
      </c>
      <c r="N14" s="19">
        <f t="shared" si="1"/>
        <v>2517340.91226788</v>
      </c>
      <c r="O14" s="19">
        <f t="shared" si="1"/>
        <v>2879797.3595134034</v>
      </c>
      <c r="P14" s="19">
        <f t="shared" si="1"/>
        <v>3295186.7636916642</v>
      </c>
      <c r="Q14" s="19">
        <f t="shared" si="1"/>
        <v>3751035.6677283975</v>
      </c>
      <c r="R14" s="19">
        <f t="shared" si="1"/>
        <v>4252530.1787395701</v>
      </c>
      <c r="S14" s="19">
        <f t="shared" si="1"/>
        <v>4773022.1899959641</v>
      </c>
      <c r="AC14" s="14"/>
      <c r="AD14" s="14"/>
      <c r="AE14" s="14"/>
      <c r="AF14" s="14"/>
      <c r="AG14" s="14"/>
      <c r="AH14" s="14"/>
      <c r="AI14" s="14"/>
    </row>
    <row r="15" spans="1:43" hidden="1">
      <c r="AC15" s="14"/>
      <c r="AD15" s="14"/>
      <c r="AE15" s="14"/>
      <c r="AF15" s="14"/>
      <c r="AG15" s="14"/>
      <c r="AH15" s="14"/>
      <c r="AI15" s="14"/>
    </row>
    <row r="16" spans="1:43" s="1365" customFormat="1" hidden="1">
      <c r="A16" s="22"/>
      <c r="B16" s="22"/>
      <c r="C16" s="22"/>
      <c r="D16" s="22" t="s">
        <v>13</v>
      </c>
      <c r="E16" s="22"/>
      <c r="F16" s="22"/>
      <c r="G16" s="22"/>
      <c r="H16" s="396">
        <v>0</v>
      </c>
      <c r="I16" s="396">
        <v>-15478</v>
      </c>
      <c r="J16" s="396">
        <v>-20781</v>
      </c>
      <c r="K16" s="396">
        <v>-60289.4</v>
      </c>
      <c r="L16" s="149"/>
      <c r="M16" s="22"/>
      <c r="N16" s="149"/>
      <c r="O16" s="149"/>
      <c r="P16" s="149"/>
      <c r="Q16" s="149"/>
      <c r="R16" s="149"/>
      <c r="S16" s="149"/>
      <c r="T16" s="726"/>
      <c r="U16" s="1523"/>
      <c r="V16" s="1523"/>
      <c r="W16" s="1523"/>
      <c r="X16" s="1523"/>
      <c r="Y16" s="1523"/>
      <c r="Z16" s="1523"/>
      <c r="AA16" s="1523"/>
      <c r="AC16" s="1472"/>
      <c r="AD16" s="1472"/>
      <c r="AE16" s="1472"/>
      <c r="AF16" s="1472"/>
      <c r="AG16" s="1472"/>
      <c r="AH16" s="1472"/>
      <c r="AI16" s="1472"/>
      <c r="AK16" s="1523"/>
      <c r="AL16" s="1523"/>
      <c r="AM16" s="1523"/>
      <c r="AN16" s="1523"/>
      <c r="AO16" s="1523"/>
      <c r="AP16" s="1523"/>
      <c r="AQ16" s="1523"/>
    </row>
    <row r="17" spans="1:43" s="1365" customFormat="1" hidden="1">
      <c r="A17" s="22"/>
      <c r="B17" s="22"/>
      <c r="C17" s="22"/>
      <c r="D17" s="22" t="s">
        <v>14</v>
      </c>
      <c r="E17" s="22"/>
      <c r="F17" s="22"/>
      <c r="G17" s="22"/>
      <c r="H17" s="396">
        <v>-37132.5</v>
      </c>
      <c r="I17" s="396">
        <v>-21551</v>
      </c>
      <c r="J17" s="396">
        <v>-3926</v>
      </c>
      <c r="K17" s="396">
        <v>-4442.3999999999996</v>
      </c>
      <c r="L17" s="149"/>
      <c r="M17" s="22"/>
      <c r="N17" s="149"/>
      <c r="O17" s="149"/>
      <c r="P17" s="149"/>
      <c r="Q17" s="149"/>
      <c r="R17" s="149"/>
      <c r="S17" s="149"/>
      <c r="T17" s="726"/>
      <c r="U17" s="1523"/>
      <c r="V17" s="1523"/>
      <c r="W17" s="1523"/>
      <c r="X17" s="1523"/>
      <c r="Y17" s="1523"/>
      <c r="Z17" s="1523"/>
      <c r="AA17" s="1523"/>
      <c r="AC17" s="1472"/>
      <c r="AD17" s="1472"/>
      <c r="AE17" s="1472"/>
      <c r="AF17" s="1472"/>
      <c r="AG17" s="1472"/>
      <c r="AH17" s="1472"/>
      <c r="AI17" s="1472"/>
      <c r="AK17" s="1523"/>
      <c r="AL17" s="1523"/>
      <c r="AM17" s="1523"/>
      <c r="AN17" s="1523"/>
      <c r="AO17" s="1523"/>
      <c r="AP17" s="1523"/>
      <c r="AQ17" s="1523"/>
    </row>
    <row r="18" spans="1:43" s="1365" customFormat="1" hidden="1">
      <c r="A18" s="22"/>
      <c r="B18" s="22"/>
      <c r="C18" s="22"/>
      <c r="D18" s="22" t="s">
        <v>15</v>
      </c>
      <c r="E18" s="22"/>
      <c r="F18" s="22"/>
      <c r="G18" s="22"/>
      <c r="H18" s="396">
        <v>-3864.5</v>
      </c>
      <c r="I18" s="396">
        <v>0</v>
      </c>
      <c r="J18" s="396">
        <v>0</v>
      </c>
      <c r="K18" s="396">
        <v>0</v>
      </c>
      <c r="L18" s="149"/>
      <c r="M18" s="22"/>
      <c r="N18" s="149"/>
      <c r="O18" s="149"/>
      <c r="P18" s="149"/>
      <c r="Q18" s="149"/>
      <c r="R18" s="149"/>
      <c r="S18" s="149"/>
      <c r="T18" s="726"/>
      <c r="U18" s="1523"/>
      <c r="V18" s="1523"/>
      <c r="W18" s="1523"/>
      <c r="X18" s="1523"/>
      <c r="Y18" s="1523"/>
      <c r="Z18" s="1523"/>
      <c r="AA18" s="1523"/>
      <c r="AC18" s="1472"/>
      <c r="AD18" s="1472"/>
      <c r="AE18" s="1472"/>
      <c r="AF18" s="1472"/>
      <c r="AG18" s="1472"/>
      <c r="AH18" s="1472"/>
      <c r="AI18" s="1472"/>
      <c r="AK18" s="1523"/>
      <c r="AL18" s="1523"/>
      <c r="AM18" s="1523"/>
      <c r="AN18" s="1523"/>
      <c r="AO18" s="1523"/>
      <c r="AP18" s="1523"/>
      <c r="AQ18" s="1523"/>
    </row>
    <row r="19" spans="1:43" s="1126" customFormat="1" hidden="1">
      <c r="A19" s="18"/>
      <c r="B19" s="18"/>
      <c r="C19" s="18" t="s">
        <v>16</v>
      </c>
      <c r="D19" s="18"/>
      <c r="E19" s="18"/>
      <c r="F19" s="18"/>
      <c r="G19" s="18"/>
      <c r="H19" s="19">
        <f>SUM(H14,H16:H18)</f>
        <v>1406162.9691000001</v>
      </c>
      <c r="I19" s="19">
        <f t="shared" ref="I19:K19" si="2">SUM(I14,I16:I18)</f>
        <v>1624108.4039256708</v>
      </c>
      <c r="J19" s="19">
        <f t="shared" si="2"/>
        <v>1777765.2214902379</v>
      </c>
      <c r="K19" s="19">
        <f t="shared" si="2"/>
        <v>1930439.7000000002</v>
      </c>
      <c r="L19" s="150"/>
      <c r="M19" s="19"/>
      <c r="N19" s="150"/>
      <c r="O19" s="150"/>
      <c r="P19" s="150"/>
      <c r="Q19" s="150"/>
      <c r="R19" s="150"/>
      <c r="S19" s="150"/>
      <c r="T19" s="408"/>
      <c r="U19" s="1518"/>
      <c r="V19" s="1518"/>
      <c r="W19" s="1518"/>
      <c r="X19" s="1518"/>
      <c r="Y19" s="1518"/>
      <c r="Z19" s="1518"/>
      <c r="AA19" s="1518"/>
      <c r="AC19" s="397"/>
      <c r="AD19" s="397"/>
      <c r="AE19" s="397"/>
      <c r="AF19" s="397"/>
      <c r="AG19" s="397"/>
      <c r="AH19" s="397"/>
      <c r="AI19" s="397"/>
      <c r="AK19" s="1518"/>
      <c r="AL19" s="1518"/>
      <c r="AM19" s="1518"/>
      <c r="AN19" s="1518"/>
      <c r="AO19" s="1518"/>
      <c r="AP19" s="1518"/>
      <c r="AQ19" s="1518"/>
    </row>
    <row r="20" spans="1:43" hidden="1">
      <c r="AC20" s="14"/>
      <c r="AD20" s="14"/>
      <c r="AE20" s="14"/>
      <c r="AF20" s="14"/>
      <c r="AG20" s="14"/>
      <c r="AH20" s="14"/>
      <c r="AI20" s="14"/>
    </row>
    <row r="21" spans="1:43">
      <c r="C21" s="397" t="s">
        <v>17</v>
      </c>
      <c r="H21" s="23">
        <f t="shared" ref="H21:S21" si="3">H49+H943+H967+H978+H987</f>
        <v>-1066205</v>
      </c>
      <c r="I21" s="23">
        <f t="shared" si="3"/>
        <v>-1170043.3999999999</v>
      </c>
      <c r="J21" s="23">
        <f t="shared" si="3"/>
        <v>-1139493</v>
      </c>
      <c r="K21" s="23">
        <f t="shared" si="3"/>
        <v>-1295211</v>
      </c>
      <c r="L21" s="23">
        <f t="shared" si="3"/>
        <v>-1578846.8858389854</v>
      </c>
      <c r="M21" s="23">
        <f t="shared" si="3"/>
        <v>-974788.32353247376</v>
      </c>
      <c r="N21" s="23">
        <f t="shared" si="3"/>
        <v>-1714995.0990768494</v>
      </c>
      <c r="O21" s="23">
        <f t="shared" si="3"/>
        <v>-1909399.5524312484</v>
      </c>
      <c r="P21" s="23">
        <f t="shared" si="3"/>
        <v>-2153614.8001825637</v>
      </c>
      <c r="Q21" s="23">
        <f t="shared" si="3"/>
        <v>-2427786.9931682311</v>
      </c>
      <c r="R21" s="23">
        <f t="shared" si="3"/>
        <v>-2735259.0871737013</v>
      </c>
      <c r="S21" s="23">
        <f t="shared" si="3"/>
        <v>-3054672.1804023688</v>
      </c>
      <c r="AC21" s="14"/>
      <c r="AD21" s="14"/>
      <c r="AE21" s="14"/>
      <c r="AF21" s="14"/>
      <c r="AG21" s="14"/>
      <c r="AH21" s="14"/>
      <c r="AI21" s="14"/>
    </row>
    <row r="22" spans="1:43" hidden="1">
      <c r="H22" s="17"/>
      <c r="I22" s="17"/>
      <c r="J22" s="17"/>
      <c r="K22" s="17"/>
      <c r="AC22" s="14"/>
      <c r="AD22" s="14"/>
      <c r="AE22" s="14"/>
      <c r="AF22" s="14"/>
      <c r="AG22" s="14"/>
      <c r="AH22" s="14"/>
      <c r="AI22" s="14"/>
    </row>
    <row r="23" spans="1:43">
      <c r="C23" s="18" t="s">
        <v>18</v>
      </c>
      <c r="H23" s="23">
        <f>H14+H21</f>
        <v>380954.9691000001</v>
      </c>
      <c r="I23" s="23">
        <f t="shared" ref="I23:S23" si="4">I14+I21</f>
        <v>491094.00392567087</v>
      </c>
      <c r="J23" s="23">
        <f t="shared" si="4"/>
        <v>662979.22149023786</v>
      </c>
      <c r="K23" s="23">
        <f>K14+K21</f>
        <v>699960.5</v>
      </c>
      <c r="L23" s="23">
        <f>L14+L21</f>
        <v>850283.44894160703</v>
      </c>
      <c r="M23" s="23">
        <f>M14+M21</f>
        <v>461539.762068982</v>
      </c>
      <c r="N23" s="23">
        <f t="shared" si="4"/>
        <v>802345.81319103064</v>
      </c>
      <c r="O23" s="23">
        <f t="shared" si="4"/>
        <v>970397.80708215502</v>
      </c>
      <c r="P23" s="23">
        <f t="shared" si="4"/>
        <v>1141571.9635091005</v>
      </c>
      <c r="Q23" s="23">
        <f t="shared" si="4"/>
        <v>1323248.6745601664</v>
      </c>
      <c r="R23" s="23">
        <f t="shared" si="4"/>
        <v>1517271.0915658688</v>
      </c>
      <c r="S23" s="23">
        <f t="shared" si="4"/>
        <v>1718350.0095935953</v>
      </c>
      <c r="AC23" s="14"/>
      <c r="AD23" s="14"/>
      <c r="AE23" s="14"/>
      <c r="AF23" s="14"/>
      <c r="AG23" s="14"/>
      <c r="AH23" s="14"/>
      <c r="AI23" s="14"/>
    </row>
    <row r="24" spans="1:43">
      <c r="D24" s="1" t="s">
        <v>20</v>
      </c>
      <c r="H24" s="25">
        <f>H23/H14</f>
        <v>0.2632431640138021</v>
      </c>
      <c r="I24" s="25">
        <f>I23/I14</f>
        <v>0.29563719579433739</v>
      </c>
      <c r="J24" s="25">
        <f>J23/J14</f>
        <v>0.36781660964633545</v>
      </c>
      <c r="K24" s="25">
        <f>K23/K14</f>
        <v>0.35082723465125681</v>
      </c>
      <c r="L24" s="25">
        <f t="shared" ref="L24:S24" si="5">L23/L14</f>
        <v>0.35003615770102658</v>
      </c>
      <c r="M24" s="25">
        <f t="shared" si="5"/>
        <v>0.3213331039723521</v>
      </c>
      <c r="N24" s="25">
        <f t="shared" si="5"/>
        <v>0.31872751492692936</v>
      </c>
      <c r="O24" s="25">
        <f t="shared" si="5"/>
        <v>0.33696739247171276</v>
      </c>
      <c r="P24" s="25">
        <f t="shared" si="5"/>
        <v>0.34643619478192317</v>
      </c>
      <c r="Q24" s="25">
        <f t="shared" si="5"/>
        <v>0.35276888618910868</v>
      </c>
      <c r="R24" s="25">
        <f t="shared" si="5"/>
        <v>0.35679255120902653</v>
      </c>
      <c r="S24" s="25">
        <f t="shared" si="5"/>
        <v>0.36001299411412296</v>
      </c>
      <c r="AC24" s="14"/>
      <c r="AD24" s="14"/>
      <c r="AE24" s="14"/>
      <c r="AF24" s="14"/>
      <c r="AG24" s="14"/>
      <c r="AH24" s="14"/>
      <c r="AI24" s="14"/>
    </row>
    <row r="25" spans="1:43" ht="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s="1478"/>
      <c r="AC25" s="14"/>
      <c r="AD25" s="14"/>
      <c r="AE25" s="14"/>
      <c r="AF25" s="14"/>
      <c r="AG25" s="14"/>
      <c r="AH25" s="14"/>
      <c r="AI25" s="14"/>
    </row>
    <row r="26" spans="1:43" s="1125" customFormat="1" outlineLevel="1">
      <c r="A26" s="10" t="s">
        <v>8</v>
      </c>
      <c r="B26" s="10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03"/>
      <c r="U26" s="1515"/>
      <c r="V26" s="1515"/>
      <c r="W26" s="1515"/>
      <c r="X26" s="1515"/>
      <c r="Y26" s="1515"/>
      <c r="Z26" s="1515"/>
      <c r="AA26" s="1515"/>
      <c r="AC26" s="1179"/>
      <c r="AD26" s="1179"/>
      <c r="AE26" s="1179"/>
      <c r="AF26" s="1179"/>
      <c r="AG26" s="1179"/>
      <c r="AH26" s="1179"/>
      <c r="AI26" s="1179"/>
      <c r="AK26" s="1515"/>
      <c r="AL26" s="1515"/>
      <c r="AM26" s="1515"/>
      <c r="AN26" s="1515"/>
      <c r="AO26" s="1515"/>
      <c r="AP26" s="1515"/>
      <c r="AQ26" s="1515"/>
    </row>
    <row r="27" spans="1:43" outlineLevel="1">
      <c r="AC27" s="14"/>
      <c r="AD27" s="14"/>
      <c r="AE27" s="14"/>
      <c r="AF27" s="14"/>
      <c r="AG27" s="14"/>
      <c r="AH27" s="14"/>
      <c r="AI27" s="14"/>
    </row>
    <row r="28" spans="1:43" s="1126" customFormat="1" outlineLevel="1">
      <c r="A28" s="26" t="s">
        <v>8</v>
      </c>
      <c r="B28" s="26"/>
      <c r="C28" s="26" t="s">
        <v>23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408"/>
      <c r="U28" s="1518"/>
      <c r="V28" s="1518"/>
      <c r="W28" s="1518"/>
      <c r="X28" s="1518"/>
      <c r="Y28" s="1518"/>
      <c r="Z28" s="1518"/>
      <c r="AA28" s="1518"/>
      <c r="AC28" s="397"/>
      <c r="AD28" s="397"/>
      <c r="AE28" s="397"/>
      <c r="AF28" s="397"/>
      <c r="AG28" s="397"/>
      <c r="AH28" s="397"/>
      <c r="AI28" s="397"/>
      <c r="AK28" s="1518"/>
      <c r="AL28" s="1518"/>
      <c r="AM28" s="1518"/>
      <c r="AN28" s="1518"/>
      <c r="AO28" s="1518"/>
      <c r="AP28" s="1518"/>
      <c r="AQ28" s="1518"/>
    </row>
    <row r="29" spans="1:43" outlineLevel="1">
      <c r="L29" s="20"/>
      <c r="M29" s="20"/>
      <c r="N29" s="20"/>
      <c r="S29" s="20"/>
      <c r="AC29" s="14"/>
      <c r="AD29" s="14"/>
      <c r="AE29" s="14"/>
      <c r="AF29" s="14"/>
      <c r="AG29" s="14"/>
      <c r="AH29" s="14"/>
      <c r="AI29" s="14"/>
    </row>
    <row r="30" spans="1:43" s="1126" customFormat="1" outlineLevel="1">
      <c r="A30" s="18"/>
      <c r="B30" s="18"/>
      <c r="C30" s="18" t="s">
        <v>1091</v>
      </c>
      <c r="D30" s="18"/>
      <c r="E30" s="18"/>
      <c r="F30" s="18"/>
      <c r="G30" s="18"/>
      <c r="H30" s="23">
        <f>SUM(H31:H35)</f>
        <v>16650029.418999702</v>
      </c>
      <c r="I30" s="23">
        <f t="shared" ref="I30:K30" si="6">SUM(I31:I35)</f>
        <v>13438929.965999492</v>
      </c>
      <c r="J30" s="23">
        <f t="shared" si="6"/>
        <v>15275680.0429944</v>
      </c>
      <c r="K30" s="23">
        <f t="shared" si="6"/>
        <v>18007576</v>
      </c>
      <c r="L30" s="23">
        <f t="shared" ref="L30:S35" si="7">L57+L277+L318+L618</f>
        <v>23402167.933258515</v>
      </c>
      <c r="M30" s="23">
        <f t="shared" si="7"/>
        <v>13177358.050651912</v>
      </c>
      <c r="N30" s="23">
        <f t="shared" si="7"/>
        <v>22160961.700849198</v>
      </c>
      <c r="O30" s="23">
        <f t="shared" si="7"/>
        <v>23213050.013717309</v>
      </c>
      <c r="P30" s="23">
        <f t="shared" si="7"/>
        <v>25282806.742490407</v>
      </c>
      <c r="Q30" s="23">
        <f t="shared" si="7"/>
        <v>27725511.011805378</v>
      </c>
      <c r="R30" s="23">
        <f t="shared" si="7"/>
        <v>30391848.549027212</v>
      </c>
      <c r="S30" s="23">
        <f t="shared" si="7"/>
        <v>33180345.930784777</v>
      </c>
      <c r="T30" s="675"/>
      <c r="U30" s="1518"/>
      <c r="V30" s="1518"/>
      <c r="W30" s="1518"/>
      <c r="X30" s="1518"/>
      <c r="Y30" s="1518"/>
      <c r="Z30" s="1518"/>
      <c r="AA30" s="1518"/>
      <c r="AC30" s="18"/>
      <c r="AD30" s="18"/>
      <c r="AE30" s="18"/>
      <c r="AF30" s="18"/>
      <c r="AG30" s="18"/>
      <c r="AH30" s="18"/>
      <c r="AI30" s="18"/>
      <c r="AK30" s="1518"/>
      <c r="AL30" s="1518"/>
      <c r="AM30" s="1518"/>
      <c r="AN30" s="1518"/>
      <c r="AO30" s="1518"/>
      <c r="AP30" s="1518"/>
      <c r="AQ30" s="1518"/>
    </row>
    <row r="31" spans="1:43" outlineLevel="1">
      <c r="D31" s="27" t="s">
        <v>841</v>
      </c>
      <c r="E31" s="28"/>
      <c r="F31" s="28"/>
      <c r="G31" s="28"/>
      <c r="H31" s="29">
        <f t="shared" ref="H31:K35" si="8">H58+H278+H319+H619</f>
        <v>418516.91399999993</v>
      </c>
      <c r="I31" s="29">
        <f t="shared" si="8"/>
        <v>426508.01400000014</v>
      </c>
      <c r="J31" s="29">
        <f t="shared" si="8"/>
        <v>381428.16399999999</v>
      </c>
      <c r="K31" s="29">
        <f t="shared" si="8"/>
        <v>747323</v>
      </c>
      <c r="L31" s="29">
        <f t="shared" si="7"/>
        <v>935983.50600000005</v>
      </c>
      <c r="M31" s="29">
        <f t="shared" si="7"/>
        <v>654454.84099999978</v>
      </c>
      <c r="N31" s="689">
        <f t="shared" si="7"/>
        <v>1174159.8026000001</v>
      </c>
      <c r="O31" s="689">
        <f t="shared" si="7"/>
        <v>1489515.0035300003</v>
      </c>
      <c r="P31" s="689">
        <f t="shared" si="7"/>
        <v>1835014.0651795003</v>
      </c>
      <c r="Q31" s="689">
        <f t="shared" si="7"/>
        <v>2152042.3764933757</v>
      </c>
      <c r="R31" s="689">
        <f t="shared" si="7"/>
        <v>2476095.9046191196</v>
      </c>
      <c r="S31" s="689">
        <f t="shared" si="7"/>
        <v>2793490.7618829836</v>
      </c>
    </row>
    <row r="32" spans="1:43" outlineLevel="1">
      <c r="D32" s="31" t="s">
        <v>842</v>
      </c>
      <c r="H32" s="20">
        <f t="shared" si="8"/>
        <v>414317.19500000001</v>
      </c>
      <c r="I32" s="20">
        <f t="shared" si="8"/>
        <v>888708.79399949999</v>
      </c>
      <c r="J32" s="20">
        <f t="shared" si="8"/>
        <v>1076382.929</v>
      </c>
      <c r="K32" s="20">
        <f t="shared" si="8"/>
        <v>1583462</v>
      </c>
      <c r="L32" s="20">
        <f t="shared" si="7"/>
        <v>1840541.0173728871</v>
      </c>
      <c r="M32" s="20">
        <f t="shared" si="7"/>
        <v>1076800.204360601</v>
      </c>
      <c r="N32" s="690">
        <f t="shared" si="7"/>
        <v>2025129.7601728872</v>
      </c>
      <c r="O32" s="690">
        <f t="shared" si="7"/>
        <v>2266490.7421828872</v>
      </c>
      <c r="P32" s="690">
        <f t="shared" si="7"/>
        <v>2455371.7244998869</v>
      </c>
      <c r="Q32" s="690">
        <f t="shared" si="7"/>
        <v>2696486.8302675863</v>
      </c>
      <c r="R32" s="690">
        <f t="shared" si="7"/>
        <v>2965166.6522089061</v>
      </c>
      <c r="S32" s="690">
        <f t="shared" si="7"/>
        <v>3234679.618171569</v>
      </c>
    </row>
    <row r="33" spans="3:19" outlineLevel="1">
      <c r="D33" s="31" t="s">
        <v>843</v>
      </c>
      <c r="H33" s="20">
        <f t="shared" si="8"/>
        <v>2518324.3430000017</v>
      </c>
      <c r="I33" s="20">
        <f t="shared" si="8"/>
        <v>2105046.2419999996</v>
      </c>
      <c r="J33" s="20">
        <f t="shared" si="8"/>
        <v>3025944.0510000009</v>
      </c>
      <c r="K33" s="20">
        <f t="shared" si="8"/>
        <v>3101879</v>
      </c>
      <c r="L33" s="20">
        <f t="shared" si="7"/>
        <v>3735522.106736891</v>
      </c>
      <c r="M33" s="20">
        <f t="shared" si="7"/>
        <v>2623855.0596641805</v>
      </c>
      <c r="N33" s="690">
        <f t="shared" si="7"/>
        <v>4311927.4372897465</v>
      </c>
      <c r="O33" s="690">
        <f t="shared" si="7"/>
        <v>5278064.8364208685</v>
      </c>
      <c r="P33" s="690">
        <f t="shared" si="7"/>
        <v>6270562.6640906762</v>
      </c>
      <c r="Q33" s="690">
        <f t="shared" si="7"/>
        <v>7250726.4745726567</v>
      </c>
      <c r="R33" s="690">
        <f t="shared" si="7"/>
        <v>8271421.1521113049</v>
      </c>
      <c r="S33" s="690">
        <f t="shared" si="7"/>
        <v>9238681.604780186</v>
      </c>
    </row>
    <row r="34" spans="3:19" outlineLevel="1">
      <c r="D34" s="31" t="s">
        <v>844</v>
      </c>
      <c r="H34" s="20">
        <f t="shared" si="8"/>
        <v>11903012.676999699</v>
      </c>
      <c r="I34" s="20">
        <f t="shared" si="8"/>
        <v>9117465.535999991</v>
      </c>
      <c r="J34" s="20">
        <f t="shared" si="8"/>
        <v>10064278.7549944</v>
      </c>
      <c r="K34" s="20">
        <f t="shared" si="8"/>
        <v>12242474</v>
      </c>
      <c r="L34" s="20">
        <f t="shared" si="7"/>
        <v>15171177.359446004</v>
      </c>
      <c r="M34" s="20">
        <f t="shared" si="7"/>
        <v>8431115.2922967412</v>
      </c>
      <c r="N34" s="690">
        <f t="shared" si="7"/>
        <v>13804946.560773015</v>
      </c>
      <c r="O34" s="690">
        <f t="shared" si="7"/>
        <v>13141458.24193792</v>
      </c>
      <c r="P34" s="690">
        <f t="shared" si="7"/>
        <v>13491414.757612346</v>
      </c>
      <c r="Q34" s="690">
        <f t="shared" si="7"/>
        <v>14227617.007044405</v>
      </c>
      <c r="R34" s="690">
        <f t="shared" si="7"/>
        <v>15120595.71641334</v>
      </c>
      <c r="S34" s="690">
        <f t="shared" si="7"/>
        <v>16174851.865998581</v>
      </c>
    </row>
    <row r="35" spans="3:19" outlineLevel="1">
      <c r="D35" s="33" t="s">
        <v>665</v>
      </c>
      <c r="E35" s="34"/>
      <c r="F35" s="34"/>
      <c r="G35" s="34"/>
      <c r="H35" s="35">
        <f t="shared" si="8"/>
        <v>1395858.29</v>
      </c>
      <c r="I35" s="35">
        <f t="shared" si="8"/>
        <v>901201.38</v>
      </c>
      <c r="J35" s="35">
        <f t="shared" si="8"/>
        <v>727646.14399999997</v>
      </c>
      <c r="K35" s="35">
        <f t="shared" si="8"/>
        <v>332438</v>
      </c>
      <c r="L35" s="35">
        <f t="shared" si="7"/>
        <v>1718943.9437027327</v>
      </c>
      <c r="M35" s="35">
        <f t="shared" si="7"/>
        <v>391132.65333038935</v>
      </c>
      <c r="N35" s="691">
        <f t="shared" si="7"/>
        <v>844798.14001354889</v>
      </c>
      <c r="O35" s="691">
        <f t="shared" si="7"/>
        <v>1037521.1896456289</v>
      </c>
      <c r="P35" s="691">
        <f t="shared" si="7"/>
        <v>1230443.5311079994</v>
      </c>
      <c r="Q35" s="691">
        <f t="shared" si="7"/>
        <v>1398638.3234273575</v>
      </c>
      <c r="R35" s="691">
        <f t="shared" si="7"/>
        <v>1558569.1236745398</v>
      </c>
      <c r="S35" s="691">
        <f t="shared" si="7"/>
        <v>1738642.079951453</v>
      </c>
    </row>
    <row r="36" spans="3:19" outlineLevel="1">
      <c r="C36" s="1" t="s">
        <v>31</v>
      </c>
      <c r="H36" s="692">
        <f>H42/H30</f>
        <v>7.5640885514763459E-2</v>
      </c>
      <c r="I36" s="692">
        <f t="shared" ref="I36:K36" si="9">I42/I30</f>
        <v>0.10590578323769238</v>
      </c>
      <c r="J36" s="692">
        <f t="shared" si="9"/>
        <v>0.10543025364221609</v>
      </c>
      <c r="K36" s="692">
        <f t="shared" si="9"/>
        <v>0.10050750306426584</v>
      </c>
      <c r="L36" s="692">
        <f>L42/L30</f>
        <v>9.3965924056780462E-2</v>
      </c>
      <c r="M36" s="692">
        <f>M42/M30</f>
        <v>9.1058471735318267E-2</v>
      </c>
      <c r="N36" s="692">
        <f>N42/N30</f>
        <v>9.5547620941216466E-2</v>
      </c>
      <c r="O36" s="692">
        <f t="shared" ref="O36:S36" si="10">O42/O30</f>
        <v>0.10441167724489035</v>
      </c>
      <c r="P36" s="692">
        <f t="shared" si="10"/>
        <v>0.10980476551113545</v>
      </c>
      <c r="Q36" s="692">
        <f t="shared" si="10"/>
        <v>0.11398964902342695</v>
      </c>
      <c r="R36" s="692">
        <f t="shared" si="10"/>
        <v>0.11779391671977606</v>
      </c>
      <c r="S36" s="692">
        <f t="shared" si="10"/>
        <v>0.12074895511737668</v>
      </c>
    </row>
    <row r="37" spans="3:19" outlineLevel="1">
      <c r="D37" s="27" t="s">
        <v>841</v>
      </c>
      <c r="E37" s="28"/>
      <c r="F37" s="28"/>
      <c r="G37" s="28"/>
      <c r="H37" s="693">
        <f>IFERROR(H43/H31,"NA")</f>
        <v>0.11609243293330794</v>
      </c>
      <c r="I37" s="693">
        <f t="shared" ref="I37:S41" si="11">IFERROR(I43/I31,"NA")</f>
        <v>0.18931837345422303</v>
      </c>
      <c r="J37" s="693">
        <f t="shared" si="11"/>
        <v>0.18383470951048073</v>
      </c>
      <c r="K37" s="693">
        <f t="shared" si="11"/>
        <v>0.11699827250064564</v>
      </c>
      <c r="L37" s="693">
        <f t="shared" si="11"/>
        <v>0.11960994308688648</v>
      </c>
      <c r="M37" s="693">
        <f t="shared" si="11"/>
        <v>0.12321340964909938</v>
      </c>
      <c r="N37" s="694">
        <f t="shared" si="11"/>
        <v>0.12112184479774021</v>
      </c>
      <c r="O37" s="694">
        <f t="shared" si="11"/>
        <v>0.11995786368256615</v>
      </c>
      <c r="P37" s="694">
        <f t="shared" si="11"/>
        <v>0.11918015694724854</v>
      </c>
      <c r="Q37" s="694">
        <f t="shared" si="11"/>
        <v>0.11928150708709119</v>
      </c>
      <c r="R37" s="694">
        <f t="shared" si="11"/>
        <v>0.11966509767703778</v>
      </c>
      <c r="S37" s="694">
        <f t="shared" si="11"/>
        <v>0.11972763131707832</v>
      </c>
    </row>
    <row r="38" spans="3:19" outlineLevel="1">
      <c r="D38" s="31" t="s">
        <v>842</v>
      </c>
      <c r="H38" s="695">
        <f t="shared" ref="H38:J41" si="12">IFERROR(H44/H32,"NA")</f>
        <v>0.16522041599070003</v>
      </c>
      <c r="I38" s="695">
        <f t="shared" si="12"/>
        <v>0.23583145386329771</v>
      </c>
      <c r="J38" s="695">
        <f t="shared" si="12"/>
        <v>0.22511660203039136</v>
      </c>
      <c r="K38" s="695">
        <f t="shared" si="11"/>
        <v>0.19736659294634162</v>
      </c>
      <c r="L38" s="695">
        <f t="shared" si="11"/>
        <v>0.19577333818349046</v>
      </c>
      <c r="M38" s="695">
        <f t="shared" si="11"/>
        <v>0.17916421858332324</v>
      </c>
      <c r="N38" s="696">
        <f t="shared" si="11"/>
        <v>0.18507295273251045</v>
      </c>
      <c r="O38" s="696">
        <f t="shared" si="11"/>
        <v>0.19868186602263463</v>
      </c>
      <c r="P38" s="696">
        <f t="shared" si="11"/>
        <v>0.21334438893439225</v>
      </c>
      <c r="Q38" s="696">
        <f t="shared" si="11"/>
        <v>0.22610352545628645</v>
      </c>
      <c r="R38" s="696">
        <f t="shared" si="11"/>
        <v>0.23598205006727405</v>
      </c>
      <c r="S38" s="696">
        <f t="shared" si="11"/>
        <v>0.24406029402124252</v>
      </c>
    </row>
    <row r="39" spans="3:19" outlineLevel="1">
      <c r="D39" s="31" t="s">
        <v>843</v>
      </c>
      <c r="H39" s="695">
        <f t="shared" si="12"/>
        <v>9.4734105546467259E-2</v>
      </c>
      <c r="I39" s="695">
        <f t="shared" si="12"/>
        <v>0.12366201911207232</v>
      </c>
      <c r="J39" s="695">
        <f t="shared" si="12"/>
        <v>0.14286397475700216</v>
      </c>
      <c r="K39" s="695">
        <f t="shared" si="11"/>
        <v>0.14587641877713475</v>
      </c>
      <c r="L39" s="695">
        <f t="shared" si="11"/>
        <v>0.14360241893570705</v>
      </c>
      <c r="M39" s="695">
        <f t="shared" si="11"/>
        <v>0.13364478201355146</v>
      </c>
      <c r="N39" s="696">
        <f t="shared" si="11"/>
        <v>0.14622985351017342</v>
      </c>
      <c r="O39" s="696">
        <f t="shared" si="11"/>
        <v>0.15336954760520097</v>
      </c>
      <c r="P39" s="696">
        <f t="shared" si="11"/>
        <v>0.1567424998832414</v>
      </c>
      <c r="Q39" s="696">
        <f t="shared" si="11"/>
        <v>0.15947352494597095</v>
      </c>
      <c r="R39" s="696">
        <f t="shared" si="11"/>
        <v>0.1626332139422576</v>
      </c>
      <c r="S39" s="696">
        <f t="shared" si="11"/>
        <v>0.16489902188301209</v>
      </c>
    </row>
    <row r="40" spans="3:19" outlineLevel="1">
      <c r="D40" s="31" t="s">
        <v>844</v>
      </c>
      <c r="H40" s="695">
        <f t="shared" si="12"/>
        <v>6.5801997858362854E-2</v>
      </c>
      <c r="I40" s="695">
        <f t="shared" si="12"/>
        <v>7.7388265642905157E-2</v>
      </c>
      <c r="J40" s="695">
        <f t="shared" si="12"/>
        <v>7.3195762485291707E-2</v>
      </c>
      <c r="K40" s="695">
        <f t="shared" si="11"/>
        <v>7.2331090921655211E-2</v>
      </c>
      <c r="L40" s="695">
        <f t="shared" si="11"/>
        <v>7.157981497326317E-2</v>
      </c>
      <c r="M40" s="695">
        <f t="shared" si="11"/>
        <v>6.1732402559232485E-2</v>
      </c>
      <c r="N40" s="696">
        <f t="shared" si="11"/>
        <v>6.409059900531365E-2</v>
      </c>
      <c r="O40" s="696">
        <f t="shared" si="11"/>
        <v>6.6489354284608601E-2</v>
      </c>
      <c r="P40" s="696">
        <f t="shared" si="11"/>
        <v>6.8040818044455526E-2</v>
      </c>
      <c r="Q40" s="696">
        <f t="shared" si="11"/>
        <v>6.9425302645897621E-2</v>
      </c>
      <c r="R40" s="696">
        <f t="shared" si="11"/>
        <v>7.0952356431241315E-2</v>
      </c>
      <c r="S40" s="696">
        <f t="shared" si="11"/>
        <v>7.2677913740478342E-2</v>
      </c>
    </row>
    <row r="41" spans="3:19" ht="15" outlineLevel="1" thickBot="1">
      <c r="C41" s="37"/>
      <c r="D41" s="38" t="s">
        <v>665</v>
      </c>
      <c r="E41" s="37"/>
      <c r="F41" s="37"/>
      <c r="G41" s="37"/>
      <c r="H41" s="697">
        <f t="shared" si="12"/>
        <v>8.6376564937691497E-2</v>
      </c>
      <c r="I41" s="697">
        <f t="shared" si="12"/>
        <v>0.18534148272165318</v>
      </c>
      <c r="J41" s="697">
        <f t="shared" si="12"/>
        <v>0.17745777602537485</v>
      </c>
      <c r="K41" s="697">
        <f t="shared" si="11"/>
        <v>0.21638922144881151</v>
      </c>
      <c r="L41" s="697">
        <f t="shared" si="11"/>
        <v>6.0702656078035884E-2</v>
      </c>
      <c r="M41" s="697">
        <f t="shared" si="11"/>
        <v>0.14115636931464098</v>
      </c>
      <c r="N41" s="698">
        <f t="shared" si="11"/>
        <v>0.10075094472460105</v>
      </c>
      <c r="O41" s="698">
        <f t="shared" si="11"/>
        <v>0.10743139535870208</v>
      </c>
      <c r="P41" s="698">
        <f t="shared" si="11"/>
        <v>0.10793267116869215</v>
      </c>
      <c r="Q41" s="698">
        <f t="shared" si="11"/>
        <v>0.10723408911519666</v>
      </c>
      <c r="R41" s="698">
        <f t="shared" si="11"/>
        <v>0.10644174082456305</v>
      </c>
      <c r="S41" s="698">
        <f t="shared" si="11"/>
        <v>0.1055842166662251</v>
      </c>
    </row>
    <row r="42" spans="3:19" outlineLevel="1">
      <c r="C42" s="18" t="s">
        <v>845</v>
      </c>
      <c r="H42" s="23">
        <f>SUM(H43:H47)</f>
        <v>1259422.9691000001</v>
      </c>
      <c r="I42" s="23">
        <f t="shared" ref="I42:K42" si="13">SUM(I43:I47)</f>
        <v>1423260.4039256708</v>
      </c>
      <c r="J42" s="23">
        <f t="shared" si="13"/>
        <v>1610518.821490238</v>
      </c>
      <c r="K42" s="23">
        <f t="shared" si="13"/>
        <v>1809896.5</v>
      </c>
      <c r="L42" s="23">
        <f t="shared" ref="L42:S42" si="14">L69+L301+L330+L630+L902</f>
        <v>2199006.3347805925</v>
      </c>
      <c r="M42" s="23">
        <f t="shared" si="14"/>
        <v>1199910.0856014558</v>
      </c>
      <c r="N42" s="23">
        <f t="shared" si="14"/>
        <v>2117427.1682855547</v>
      </c>
      <c r="O42" s="23">
        <f t="shared" si="14"/>
        <v>2423713.4859017492</v>
      </c>
      <c r="P42" s="23">
        <f t="shared" si="14"/>
        <v>2776172.6658225134</v>
      </c>
      <c r="Q42" s="23">
        <f t="shared" si="14"/>
        <v>3160421.2692308542</v>
      </c>
      <c r="R42" s="23">
        <f t="shared" si="14"/>
        <v>3579974.8769441582</v>
      </c>
      <c r="S42" s="23">
        <f t="shared" si="14"/>
        <v>4006492.101575363</v>
      </c>
    </row>
    <row r="43" spans="3:19" outlineLevel="1">
      <c r="D43" s="27" t="s">
        <v>841</v>
      </c>
      <c r="E43" s="28"/>
      <c r="F43" s="28"/>
      <c r="G43" s="28"/>
      <c r="H43" s="29">
        <f>H70+H302+H331+H631</f>
        <v>48586.646769999999</v>
      </c>
      <c r="I43" s="29">
        <f t="shared" ref="I43:S43" si="15">I70+I302+I331+I631</f>
        <v>80745.803475671011</v>
      </c>
      <c r="J43" s="29">
        <f t="shared" si="15"/>
        <v>70119.735728055995</v>
      </c>
      <c r="K43" s="29">
        <f t="shared" si="15"/>
        <v>87435.5</v>
      </c>
      <c r="L43" s="29">
        <f t="shared" si="15"/>
        <v>111952.93388292448</v>
      </c>
      <c r="M43" s="29">
        <f t="shared" si="15"/>
        <v>80637.612420969177</v>
      </c>
      <c r="N43" s="689">
        <f t="shared" si="15"/>
        <v>142216.4013782625</v>
      </c>
      <c r="O43" s="689">
        <f t="shared" si="15"/>
        <v>178679.03774658882</v>
      </c>
      <c r="P43" s="689">
        <f t="shared" si="15"/>
        <v>218697.26428850141</v>
      </c>
      <c r="Q43" s="689">
        <f t="shared" si="15"/>
        <v>256698.85798341516</v>
      </c>
      <c r="R43" s="689">
        <f t="shared" si="15"/>
        <v>296302.25828396017</v>
      </c>
      <c r="S43" s="689">
        <f t="shared" si="15"/>
        <v>334458.03202639008</v>
      </c>
    </row>
    <row r="44" spans="3:19" outlineLevel="1">
      <c r="D44" s="31" t="s">
        <v>842</v>
      </c>
      <c r="H44" s="20">
        <f t="shared" ref="H44:S44" si="16">H71+H303+H332+H632</f>
        <v>68453.659309999988</v>
      </c>
      <c r="I44" s="20">
        <f t="shared" si="16"/>
        <v>209585.48695000002</v>
      </c>
      <c r="J44" s="20">
        <f t="shared" si="16"/>
        <v>242311.66746</v>
      </c>
      <c r="K44" s="20">
        <f t="shared" si="16"/>
        <v>312522.5</v>
      </c>
      <c r="L44" s="20">
        <f t="shared" si="16"/>
        <v>360328.85903472785</v>
      </c>
      <c r="M44" s="20">
        <f t="shared" si="16"/>
        <v>192924.06718462985</v>
      </c>
      <c r="N44" s="690">
        <f t="shared" si="16"/>
        <v>374796.74438167701</v>
      </c>
      <c r="O44" s="690">
        <f t="shared" si="16"/>
        <v>450310.60997992213</v>
      </c>
      <c r="P44" s="690">
        <f t="shared" si="16"/>
        <v>523839.78017021326</v>
      </c>
      <c r="Q44" s="690">
        <f t="shared" si="16"/>
        <v>609685.17866994836</v>
      </c>
      <c r="R44" s="690">
        <f t="shared" si="16"/>
        <v>699726.10537937342</v>
      </c>
      <c r="S44" s="690">
        <f t="shared" si="16"/>
        <v>789456.8586754736</v>
      </c>
    </row>
    <row r="45" spans="3:19" outlineLevel="1">
      <c r="D45" s="31" t="s">
        <v>843</v>
      </c>
      <c r="H45" s="20">
        <f t="shared" ref="H45:S45" si="17">H72+H304+H333+H633</f>
        <v>238571.20410999999</v>
      </c>
      <c r="I45" s="20">
        <f t="shared" si="17"/>
        <v>260314.26860999997</v>
      </c>
      <c r="J45" s="20">
        <f t="shared" si="17"/>
        <v>432298.39451816498</v>
      </c>
      <c r="K45" s="20">
        <f t="shared" si="17"/>
        <v>452491</v>
      </c>
      <c r="L45" s="20">
        <f t="shared" si="17"/>
        <v>536430.01051522605</v>
      </c>
      <c r="M45" s="20">
        <f t="shared" si="17"/>
        <v>350664.53748397343</v>
      </c>
      <c r="N45" s="690">
        <f t="shared" si="17"/>
        <v>630532.51750137715</v>
      </c>
      <c r="O45" s="690">
        <f t="shared" si="17"/>
        <v>809494.4161927877</v>
      </c>
      <c r="P45" s="690">
        <f t="shared" si="17"/>
        <v>982863.66764409072</v>
      </c>
      <c r="Q45" s="690">
        <f t="shared" si="17"/>
        <v>1156298.9093191745</v>
      </c>
      <c r="R45" s="690">
        <f t="shared" si="17"/>
        <v>1345207.8058378326</v>
      </c>
      <c r="S45" s="690">
        <f t="shared" si="17"/>
        <v>1523449.5601168291</v>
      </c>
    </row>
    <row r="46" spans="3:19" outlineLevel="1">
      <c r="D46" s="31" t="s">
        <v>844</v>
      </c>
      <c r="H46" s="20">
        <f t="shared" ref="H46:S46" si="18">H73+H305+H334+H634</f>
        <v>783242.01468000014</v>
      </c>
      <c r="I46" s="20">
        <f t="shared" si="18"/>
        <v>705584.84488999995</v>
      </c>
      <c r="J46" s="20">
        <f t="shared" si="18"/>
        <v>736662.5573363374</v>
      </c>
      <c r="K46" s="20">
        <f t="shared" si="18"/>
        <v>885511.5</v>
      </c>
      <c r="L46" s="20">
        <f t="shared" si="18"/>
        <v>1085950.0683157044</v>
      </c>
      <c r="M46" s="20">
        <f t="shared" si="18"/>
        <v>520473.00324736349</v>
      </c>
      <c r="N46" s="690">
        <f t="shared" si="18"/>
        <v>884767.29431628704</v>
      </c>
      <c r="O46" s="690">
        <f t="shared" si="18"/>
        <v>873767.07286460011</v>
      </c>
      <c r="P46" s="690">
        <f t="shared" si="18"/>
        <v>917966.89668498375</v>
      </c>
      <c r="Q46" s="690">
        <f t="shared" si="18"/>
        <v>987756.61664397793</v>
      </c>
      <c r="R46" s="690">
        <f t="shared" si="18"/>
        <v>1072841.8967236599</v>
      </c>
      <c r="S46" s="690">
        <f t="shared" si="18"/>
        <v>1175554.48868206</v>
      </c>
    </row>
    <row r="47" spans="3:19" outlineLevel="1">
      <c r="D47" s="33" t="s">
        <v>665</v>
      </c>
      <c r="E47" s="34"/>
      <c r="F47" s="34"/>
      <c r="G47" s="34"/>
      <c r="H47" s="35">
        <f t="shared" ref="H47:S47" si="19">H74+H306+H335+H635+H902</f>
        <v>120569.44423000001</v>
      </c>
      <c r="I47" s="35">
        <f t="shared" si="19"/>
        <v>167030</v>
      </c>
      <c r="J47" s="35">
        <f t="shared" si="19"/>
        <v>129126.46644767965</v>
      </c>
      <c r="K47" s="35">
        <f t="shared" si="19"/>
        <v>71936</v>
      </c>
      <c r="L47" s="35">
        <f t="shared" si="19"/>
        <v>104344.46303200966</v>
      </c>
      <c r="M47" s="35">
        <f t="shared" si="19"/>
        <v>55210.865264519882</v>
      </c>
      <c r="N47" s="691">
        <f t="shared" si="19"/>
        <v>85114.210707950842</v>
      </c>
      <c r="O47" s="691">
        <f t="shared" si="19"/>
        <v>111462.34911785048</v>
      </c>
      <c r="P47" s="691">
        <f t="shared" si="19"/>
        <v>132805.05703472413</v>
      </c>
      <c r="Q47" s="691">
        <f t="shared" si="19"/>
        <v>149981.7066143385</v>
      </c>
      <c r="R47" s="691">
        <f t="shared" si="19"/>
        <v>165896.81071933173</v>
      </c>
      <c r="S47" s="691">
        <f t="shared" si="19"/>
        <v>183573.16207461047</v>
      </c>
    </row>
    <row r="48" spans="3:19" outlineLevel="1"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43" ht="14.5" customHeight="1" outlineLevel="1" thickBot="1">
      <c r="C49" s="37" t="s">
        <v>659</v>
      </c>
      <c r="D49" s="37"/>
      <c r="E49" s="37"/>
      <c r="F49" s="37"/>
      <c r="G49" s="37"/>
      <c r="H49" s="39">
        <f t="shared" ref="H49:S49" si="20">H76+H308+H337+H637+H905</f>
        <v>-1021070</v>
      </c>
      <c r="I49" s="39">
        <f t="shared" si="20"/>
        <v>-1089043</v>
      </c>
      <c r="J49" s="39">
        <f t="shared" si="20"/>
        <v>-1091571</v>
      </c>
      <c r="K49" s="39">
        <f t="shared" si="20"/>
        <v>-1220621</v>
      </c>
      <c r="L49" s="39">
        <f t="shared" si="20"/>
        <v>-1490861.8858389854</v>
      </c>
      <c r="M49" s="39">
        <f t="shared" si="20"/>
        <v>-862628.32353247376</v>
      </c>
      <c r="N49" s="39">
        <f t="shared" si="20"/>
        <v>-1500175.1870548262</v>
      </c>
      <c r="O49" s="39">
        <f t="shared" si="20"/>
        <v>-1659069.5377759999</v>
      </c>
      <c r="P49" s="39">
        <f t="shared" si="20"/>
        <v>-1865251.4302908583</v>
      </c>
      <c r="Q49" s="39">
        <f t="shared" si="20"/>
        <v>-2096944.1757782765</v>
      </c>
      <c r="R49" s="39">
        <f t="shared" si="20"/>
        <v>-2356186.8118234994</v>
      </c>
      <c r="S49" s="39">
        <f t="shared" si="20"/>
        <v>-2620514.5596056813</v>
      </c>
    </row>
    <row r="50" spans="1:43" s="1126" customFormat="1" outlineLevel="1">
      <c r="A50" s="18"/>
      <c r="B50" s="18"/>
      <c r="C50" s="18" t="s">
        <v>846</v>
      </c>
      <c r="D50" s="18"/>
      <c r="E50" s="18"/>
      <c r="F50" s="18"/>
      <c r="G50" s="18"/>
      <c r="H50" s="23">
        <f>H42+H49</f>
        <v>238352.9691000001</v>
      </c>
      <c r="I50" s="23">
        <f t="shared" ref="I50:M50" si="21">I42+I49</f>
        <v>334217.40392567078</v>
      </c>
      <c r="J50" s="23">
        <f t="shared" si="21"/>
        <v>518947.82149023796</v>
      </c>
      <c r="K50" s="23">
        <f t="shared" si="21"/>
        <v>589275.5</v>
      </c>
      <c r="L50" s="23">
        <f t="shared" si="21"/>
        <v>708144.44894160703</v>
      </c>
      <c r="M50" s="23">
        <f t="shared" si="21"/>
        <v>337281.762068982</v>
      </c>
      <c r="N50" s="23">
        <f>N42+N49</f>
        <v>617251.98123072856</v>
      </c>
      <c r="O50" s="23">
        <f t="shared" ref="O50:S50" si="22">O42+O49</f>
        <v>764643.94812574936</v>
      </c>
      <c r="P50" s="23">
        <f t="shared" si="22"/>
        <v>910921.23553165514</v>
      </c>
      <c r="Q50" s="23">
        <f t="shared" si="22"/>
        <v>1063477.0934525777</v>
      </c>
      <c r="R50" s="23">
        <f t="shared" si="22"/>
        <v>1223788.0651206588</v>
      </c>
      <c r="S50" s="23">
        <f t="shared" si="22"/>
        <v>1385977.5419696816</v>
      </c>
      <c r="T50" s="408"/>
      <c r="U50" s="1518"/>
      <c r="V50" s="1518"/>
      <c r="W50" s="1518"/>
      <c r="X50" s="1518"/>
      <c r="Y50" s="1518"/>
      <c r="Z50" s="1518"/>
      <c r="AA50" s="1518"/>
      <c r="AC50" s="18"/>
      <c r="AD50" s="18"/>
      <c r="AE50" s="18"/>
      <c r="AF50" s="18"/>
      <c r="AG50" s="18"/>
      <c r="AH50" s="18"/>
      <c r="AI50" s="18"/>
      <c r="AK50" s="1518"/>
      <c r="AL50" s="1518"/>
      <c r="AM50" s="1518"/>
      <c r="AN50" s="1518"/>
      <c r="AO50" s="1518"/>
      <c r="AP50" s="1518"/>
      <c r="AQ50" s="1518"/>
    </row>
    <row r="51" spans="1:43" s="1365" customFormat="1" outlineLevel="1">
      <c r="A51" s="22"/>
      <c r="B51" s="22"/>
      <c r="C51" s="22" t="s">
        <v>660</v>
      </c>
      <c r="D51" s="22"/>
      <c r="E51" s="22"/>
      <c r="F51" s="22"/>
      <c r="G51" s="22"/>
      <c r="H51" s="25">
        <f>H50/H42</f>
        <v>0.18925569482850563</v>
      </c>
      <c r="I51" s="25">
        <f t="shared" ref="I51:M51" si="23">I50/I42</f>
        <v>0.23482519643195607</v>
      </c>
      <c r="J51" s="25">
        <f t="shared" si="23"/>
        <v>0.32222400295207199</v>
      </c>
      <c r="K51" s="25">
        <f t="shared" si="23"/>
        <v>0.32558519230243277</v>
      </c>
      <c r="L51" s="25">
        <f t="shared" si="23"/>
        <v>0.32202929011219183</v>
      </c>
      <c r="M51" s="25">
        <f t="shared" si="23"/>
        <v>0.28108919669586685</v>
      </c>
      <c r="N51" s="25">
        <f>N50/N42</f>
        <v>0.29151037186818907</v>
      </c>
      <c r="O51" s="25">
        <f t="shared" ref="O51:S51" si="24">O50/O42</f>
        <v>0.31548446323112384</v>
      </c>
      <c r="P51" s="25">
        <f t="shared" si="24"/>
        <v>0.32812124647217178</v>
      </c>
      <c r="Q51" s="25">
        <f t="shared" si="24"/>
        <v>0.33649852436013827</v>
      </c>
      <c r="R51" s="25">
        <f t="shared" si="24"/>
        <v>0.34184264057329805</v>
      </c>
      <c r="S51" s="25">
        <f t="shared" si="24"/>
        <v>0.34593292756641447</v>
      </c>
      <c r="T51" s="726"/>
      <c r="U51" s="1523"/>
      <c r="V51" s="1523"/>
      <c r="W51" s="1523"/>
      <c r="X51" s="1523"/>
      <c r="Y51" s="1523"/>
      <c r="Z51" s="1523"/>
      <c r="AA51" s="1523"/>
      <c r="AC51" s="1472"/>
      <c r="AD51" s="1472"/>
      <c r="AE51" s="1472"/>
      <c r="AF51" s="1472"/>
      <c r="AG51" s="1472"/>
      <c r="AH51" s="1472"/>
      <c r="AI51" s="1472"/>
      <c r="AK51" s="1523"/>
      <c r="AL51" s="1523"/>
      <c r="AM51" s="1523"/>
      <c r="AN51" s="1523"/>
      <c r="AO51" s="1523"/>
      <c r="AP51" s="1523"/>
      <c r="AQ51" s="1523"/>
    </row>
    <row r="52" spans="1:43" outlineLevel="1">
      <c r="AC52" s="14"/>
      <c r="AD52" s="14"/>
      <c r="AE52" s="14"/>
      <c r="AF52" s="14"/>
      <c r="AG52" s="14"/>
      <c r="AH52" s="14"/>
      <c r="AI52" s="14"/>
    </row>
    <row r="53" spans="1:43" s="1125" customFormat="1" outlineLevel="2">
      <c r="A53" s="15" t="s">
        <v>8</v>
      </c>
      <c r="B53" s="15" t="s">
        <v>37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103"/>
      <c r="U53" s="1515"/>
      <c r="V53" s="1515"/>
      <c r="W53" s="1515"/>
      <c r="X53" s="1515"/>
      <c r="Y53" s="1515"/>
      <c r="Z53" s="1515"/>
      <c r="AA53" s="1515"/>
      <c r="AC53" s="1179"/>
      <c r="AD53" s="1179"/>
      <c r="AE53" s="1179"/>
      <c r="AF53" s="1179"/>
      <c r="AG53" s="1179"/>
      <c r="AH53" s="1179"/>
      <c r="AI53" s="1179"/>
      <c r="AK53" s="1515"/>
      <c r="AL53" s="1515"/>
      <c r="AM53" s="1515"/>
      <c r="AN53" s="1515"/>
      <c r="AO53" s="1515"/>
      <c r="AP53" s="1515"/>
      <c r="AQ53" s="1515"/>
    </row>
    <row r="54" spans="1:43" outlineLevel="2">
      <c r="AC54" s="14"/>
      <c r="AD54" s="14"/>
      <c r="AE54" s="14"/>
      <c r="AF54" s="14"/>
      <c r="AG54" s="14"/>
      <c r="AH54" s="14"/>
      <c r="AI54" s="14"/>
    </row>
    <row r="55" spans="1:43" s="1126" customFormat="1" outlineLevel="2">
      <c r="A55" s="26" t="s">
        <v>8</v>
      </c>
      <c r="B55" s="26"/>
      <c r="C55" s="26" t="s">
        <v>38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408"/>
      <c r="U55" s="1518"/>
      <c r="V55" s="1518"/>
      <c r="W55" s="1518"/>
      <c r="X55" s="1518"/>
      <c r="Y55" s="1518"/>
      <c r="Z55" s="1518"/>
      <c r="AA55" s="1518"/>
      <c r="AC55" s="397"/>
      <c r="AD55" s="397"/>
      <c r="AE55" s="397"/>
      <c r="AF55" s="397"/>
      <c r="AG55" s="397"/>
      <c r="AH55" s="397"/>
      <c r="AI55" s="397"/>
      <c r="AK55" s="1518"/>
      <c r="AL55" s="1518"/>
      <c r="AM55" s="1518"/>
      <c r="AN55" s="1518"/>
      <c r="AO55" s="1518"/>
      <c r="AP55" s="1518"/>
      <c r="AQ55" s="1518"/>
    </row>
    <row r="56" spans="1:43" outlineLevel="2">
      <c r="L56" s="20"/>
      <c r="M56" s="20"/>
      <c r="N56" s="20"/>
      <c r="S56" s="20"/>
      <c r="AC56" s="14"/>
      <c r="AD56" s="14"/>
      <c r="AE56" s="14"/>
      <c r="AF56" s="14"/>
      <c r="AG56" s="14"/>
      <c r="AH56" s="14"/>
      <c r="AI56" s="14"/>
    </row>
    <row r="57" spans="1:43" s="1126" customFormat="1" outlineLevel="2">
      <c r="A57" s="18"/>
      <c r="B57" s="18"/>
      <c r="C57" s="18" t="s">
        <v>840</v>
      </c>
      <c r="D57" s="18"/>
      <c r="E57" s="18"/>
      <c r="F57" s="18"/>
      <c r="G57" s="18"/>
      <c r="H57" s="23">
        <f>SUM(H58:H62)</f>
        <v>9167406.0399999991</v>
      </c>
      <c r="I57" s="23">
        <f t="shared" ref="I57:K57" si="25">SUM(I58:I62)</f>
        <v>7337177.0169999916</v>
      </c>
      <c r="J57" s="23">
        <f t="shared" si="25"/>
        <v>8709226.4060000014</v>
      </c>
      <c r="K57" s="23">
        <f t="shared" si="25"/>
        <v>11075004</v>
      </c>
      <c r="L57" s="23">
        <f>SUM(L58:L62)</f>
        <v>13536020.779743496</v>
      </c>
      <c r="M57" s="23">
        <f t="shared" ref="M57" si="26">SUM(M58:M62)</f>
        <v>7167350.3691085959</v>
      </c>
      <c r="N57" s="23">
        <f t="shared" ref="N57:S62" si="27">N82+N121+N160+N199+N238</f>
        <v>11314520.565665508</v>
      </c>
      <c r="O57" s="23">
        <f t="shared" si="27"/>
        <v>9777818.3700839616</v>
      </c>
      <c r="P57" s="23">
        <f t="shared" si="27"/>
        <v>9218775.887395082</v>
      </c>
      <c r="Q57" s="23">
        <f t="shared" si="27"/>
        <v>8980323.0032837056</v>
      </c>
      <c r="R57" s="23">
        <f t="shared" si="27"/>
        <v>8841521.3107978199</v>
      </c>
      <c r="S57" s="23">
        <f t="shared" si="27"/>
        <v>8730814.1451671794</v>
      </c>
      <c r="T57" s="675"/>
      <c r="U57" s="1518"/>
      <c r="V57" s="1518"/>
      <c r="W57" s="1518"/>
      <c r="X57" s="1518"/>
      <c r="Y57" s="1518"/>
      <c r="Z57" s="1518"/>
      <c r="AA57" s="1518"/>
      <c r="AC57" s="18"/>
      <c r="AD57" s="18"/>
      <c r="AE57" s="18"/>
      <c r="AF57" s="18"/>
      <c r="AG57" s="18"/>
      <c r="AH57" s="18"/>
      <c r="AI57" s="18"/>
      <c r="AK57" s="1518"/>
      <c r="AL57" s="1518"/>
      <c r="AM57" s="1518"/>
      <c r="AN57" s="1518"/>
      <c r="AO57" s="1518"/>
      <c r="AP57" s="1518"/>
      <c r="AQ57" s="1518"/>
    </row>
    <row r="58" spans="1:43" outlineLevel="2">
      <c r="D58" s="27" t="s">
        <v>841</v>
      </c>
      <c r="E58" s="28"/>
      <c r="F58" s="28"/>
      <c r="G58" s="28"/>
      <c r="H58" s="29">
        <f t="shared" ref="H58:M62" si="28">H83+H122+H161+H200+H239</f>
        <v>130387.92</v>
      </c>
      <c r="I58" s="29">
        <f t="shared" si="28"/>
        <v>105600.56</v>
      </c>
      <c r="J58" s="29">
        <f t="shared" si="28"/>
        <v>119984.65999999996</v>
      </c>
      <c r="K58" s="29">
        <f t="shared" si="28"/>
        <v>159112</v>
      </c>
      <c r="L58" s="29">
        <f t="shared" si="28"/>
        <v>229320.83999999997</v>
      </c>
      <c r="M58" s="29">
        <f t="shared" si="28"/>
        <v>211864.84999999998</v>
      </c>
      <c r="N58" s="689">
        <f t="shared" si="27"/>
        <v>262195.57400000002</v>
      </c>
      <c r="O58" s="689">
        <f t="shared" si="27"/>
        <v>279680.26899999997</v>
      </c>
      <c r="P58" s="689">
        <f t="shared" si="27"/>
        <v>295546.84419999993</v>
      </c>
      <c r="Q58" s="689">
        <f t="shared" si="27"/>
        <v>314704.33689000004</v>
      </c>
      <c r="R58" s="689">
        <f t="shared" si="27"/>
        <v>326649.02164200001</v>
      </c>
      <c r="S58" s="689">
        <f t="shared" si="27"/>
        <v>339864.74765640002</v>
      </c>
    </row>
    <row r="59" spans="1:43" outlineLevel="2">
      <c r="D59" s="31" t="s">
        <v>842</v>
      </c>
      <c r="H59" s="20">
        <f t="shared" si="28"/>
        <v>324571.28000000003</v>
      </c>
      <c r="I59" s="20">
        <f t="shared" si="28"/>
        <v>647785.48800000001</v>
      </c>
      <c r="J59" s="20">
        <f t="shared" si="28"/>
        <v>672994.77199999976</v>
      </c>
      <c r="K59" s="20">
        <f t="shared" si="28"/>
        <v>1141278</v>
      </c>
      <c r="L59" s="20">
        <f t="shared" si="28"/>
        <v>1311929.7100000004</v>
      </c>
      <c r="M59" s="20">
        <f t="shared" si="28"/>
        <v>783320.89200000057</v>
      </c>
      <c r="N59" s="690">
        <f t="shared" si="27"/>
        <v>1373797.2940000007</v>
      </c>
      <c r="O59" s="690">
        <f t="shared" si="27"/>
        <v>1374558.3845000009</v>
      </c>
      <c r="P59" s="690">
        <f t="shared" si="27"/>
        <v>1310198.9634900007</v>
      </c>
      <c r="Q59" s="690">
        <f t="shared" si="27"/>
        <v>1266960.1902930008</v>
      </c>
      <c r="R59" s="690">
        <f t="shared" si="27"/>
        <v>1256290.3488703505</v>
      </c>
      <c r="S59" s="690">
        <f t="shared" si="27"/>
        <v>1251419.2393306731</v>
      </c>
    </row>
    <row r="60" spans="1:43" outlineLevel="2">
      <c r="D60" s="31" t="s">
        <v>843</v>
      </c>
      <c r="H60" s="20">
        <f t="shared" si="28"/>
        <v>1104736.6000000001</v>
      </c>
      <c r="I60" s="20">
        <f t="shared" si="28"/>
        <v>837792.08999999962</v>
      </c>
      <c r="J60" s="20">
        <f t="shared" si="28"/>
        <v>1349003.4700000004</v>
      </c>
      <c r="K60" s="20">
        <f t="shared" si="28"/>
        <v>1297588</v>
      </c>
      <c r="L60" s="20">
        <f t="shared" si="28"/>
        <v>1538847.9699999995</v>
      </c>
      <c r="M60" s="20">
        <f t="shared" si="28"/>
        <v>1059422.1800000009</v>
      </c>
      <c r="N60" s="690">
        <f t="shared" si="27"/>
        <v>1452674.0298411034</v>
      </c>
      <c r="O60" s="690">
        <f t="shared" si="27"/>
        <v>1422555.2581298759</v>
      </c>
      <c r="P60" s="690">
        <f t="shared" si="27"/>
        <v>1447204.7709032008</v>
      </c>
      <c r="Q60" s="690">
        <f t="shared" si="27"/>
        <v>1517321.426416704</v>
      </c>
      <c r="R60" s="690">
        <f t="shared" si="27"/>
        <v>1594395.6861540698</v>
      </c>
      <c r="S60" s="690">
        <f t="shared" si="27"/>
        <v>1679177.3718651719</v>
      </c>
    </row>
    <row r="61" spans="1:43" outlineLevel="2">
      <c r="D61" s="31" t="s">
        <v>844</v>
      </c>
      <c r="H61" s="20">
        <f t="shared" si="28"/>
        <v>7537324.9500000002</v>
      </c>
      <c r="I61" s="20">
        <f t="shared" si="28"/>
        <v>5646275.4989999924</v>
      </c>
      <c r="J61" s="20">
        <f t="shared" si="28"/>
        <v>6301281.120000001</v>
      </c>
      <c r="K61" s="20">
        <f t="shared" si="28"/>
        <v>8422087</v>
      </c>
      <c r="L61" s="20">
        <f t="shared" si="28"/>
        <v>10388071.04999999</v>
      </c>
      <c r="M61" s="20">
        <f t="shared" si="28"/>
        <v>5035170.9850000022</v>
      </c>
      <c r="N61" s="690">
        <f t="shared" si="27"/>
        <v>8136185.2869269978</v>
      </c>
      <c r="O61" s="690">
        <f t="shared" si="27"/>
        <v>6592825.2680259012</v>
      </c>
      <c r="P61" s="690">
        <f t="shared" si="27"/>
        <v>6048744.1382529261</v>
      </c>
      <c r="Q61" s="690">
        <f t="shared" si="27"/>
        <v>5763447.4113109931</v>
      </c>
      <c r="R61" s="690">
        <f t="shared" si="27"/>
        <v>5545404.964032392</v>
      </c>
      <c r="S61" s="690">
        <f t="shared" si="27"/>
        <v>5340635.261903625</v>
      </c>
    </row>
    <row r="62" spans="1:43" outlineLevel="2">
      <c r="D62" s="33" t="s">
        <v>665</v>
      </c>
      <c r="E62" s="34"/>
      <c r="F62" s="34"/>
      <c r="G62" s="34"/>
      <c r="H62" s="35">
        <f t="shared" si="28"/>
        <v>70385.290000000008</v>
      </c>
      <c r="I62" s="35">
        <f t="shared" si="28"/>
        <v>99723.38</v>
      </c>
      <c r="J62" s="35">
        <f t="shared" si="28"/>
        <v>265962.38399999996</v>
      </c>
      <c r="K62" s="35">
        <f t="shared" si="28"/>
        <v>54939</v>
      </c>
      <c r="L62" s="35">
        <f t="shared" si="28"/>
        <v>67851.209743507963</v>
      </c>
      <c r="M62" s="35">
        <f t="shared" si="28"/>
        <v>77571.462108592881</v>
      </c>
      <c r="N62" s="691">
        <f t="shared" si="27"/>
        <v>89668.380897403185</v>
      </c>
      <c r="O62" s="691">
        <f t="shared" si="27"/>
        <v>108199.19042818222</v>
      </c>
      <c r="P62" s="691">
        <f t="shared" si="27"/>
        <v>117081.17054895489</v>
      </c>
      <c r="Q62" s="691">
        <f t="shared" si="27"/>
        <v>117889.63837300715</v>
      </c>
      <c r="R62" s="691">
        <f t="shared" si="27"/>
        <v>118781.29009900715</v>
      </c>
      <c r="S62" s="691">
        <f t="shared" si="27"/>
        <v>119717.52441130715</v>
      </c>
    </row>
    <row r="63" spans="1:43" outlineLevel="2">
      <c r="C63" s="1" t="s">
        <v>31</v>
      </c>
      <c r="H63" s="692">
        <f>H69/H57</f>
        <v>7.1448458346020871E-2</v>
      </c>
      <c r="I63" s="692">
        <f t="shared" ref="I63:S63" si="29">I69/I57</f>
        <v>9.6192718039202901E-2</v>
      </c>
      <c r="J63" s="692">
        <f t="shared" si="29"/>
        <v>8.1812138638298226E-2</v>
      </c>
      <c r="K63" s="692">
        <f t="shared" si="29"/>
        <v>7.6480198110989397E-2</v>
      </c>
      <c r="L63" s="692">
        <f t="shared" si="29"/>
        <v>7.6504511622774288E-2</v>
      </c>
      <c r="M63" s="692">
        <f t="shared" si="29"/>
        <v>6.0713046026815043E-2</v>
      </c>
      <c r="N63" s="692">
        <f t="shared" si="29"/>
        <v>6.2497159078913463E-2</v>
      </c>
      <c r="O63" s="692">
        <f t="shared" si="29"/>
        <v>6.5566938908803093E-2</v>
      </c>
      <c r="P63" s="692">
        <f t="shared" si="29"/>
        <v>6.682333191245049E-2</v>
      </c>
      <c r="Q63" s="692">
        <f t="shared" si="29"/>
        <v>6.7679510162201084E-2</v>
      </c>
      <c r="R63" s="692">
        <f t="shared" si="29"/>
        <v>6.8553440082725542E-2</v>
      </c>
      <c r="S63" s="692">
        <f t="shared" si="29"/>
        <v>6.9500467323605736E-2</v>
      </c>
    </row>
    <row r="64" spans="1:43" outlineLevel="2">
      <c r="D64" s="27" t="s">
        <v>841</v>
      </c>
      <c r="E64" s="28"/>
      <c r="F64" s="28"/>
      <c r="G64" s="28"/>
      <c r="H64" s="693">
        <f>IFERROR(H70/H58,"NA")</f>
        <v>0.12388827983451228</v>
      </c>
      <c r="I64" s="693">
        <f t="shared" ref="I64:S68" si="30">IFERROR(I70/I58,"NA")</f>
        <v>0.20141938641234478</v>
      </c>
      <c r="J64" s="693">
        <f t="shared" si="30"/>
        <v>0.1674229414826863</v>
      </c>
      <c r="K64" s="693">
        <f t="shared" si="30"/>
        <v>0.13128173864950476</v>
      </c>
      <c r="L64" s="693">
        <f t="shared" si="30"/>
        <v>0.12178022576665749</v>
      </c>
      <c r="M64" s="693">
        <f t="shared" si="30"/>
        <v>0.11166253970631719</v>
      </c>
      <c r="N64" s="699">
        <f t="shared" si="30"/>
        <v>0.11083765602765337</v>
      </c>
      <c r="O64" s="699">
        <f t="shared" si="30"/>
        <v>0.10887340223186333</v>
      </c>
      <c r="P64" s="699">
        <f t="shared" si="30"/>
        <v>0.10762116590273099</v>
      </c>
      <c r="Q64" s="699">
        <f t="shared" si="30"/>
        <v>0.10645557840145944</v>
      </c>
      <c r="R64" s="699">
        <f t="shared" si="30"/>
        <v>0.10583239717052456</v>
      </c>
      <c r="S64" s="699">
        <f t="shared" si="30"/>
        <v>0.10519420497884099</v>
      </c>
    </row>
    <row r="65" spans="1:43" outlineLevel="2">
      <c r="D65" s="31" t="s">
        <v>842</v>
      </c>
      <c r="H65" s="695">
        <f t="shared" ref="H65:K68" si="31">IFERROR(H71/H59,"NA")</f>
        <v>0.10914502219666505</v>
      </c>
      <c r="I65" s="695">
        <f t="shared" si="31"/>
        <v>0.19581327823756373</v>
      </c>
      <c r="J65" s="695">
        <f t="shared" si="31"/>
        <v>0.16085564487862031</v>
      </c>
      <c r="K65" s="695">
        <f t="shared" si="31"/>
        <v>0.15239275619086673</v>
      </c>
      <c r="L65" s="695">
        <f t="shared" si="30"/>
        <v>0.15217657037139087</v>
      </c>
      <c r="M65" s="695">
        <f t="shared" si="30"/>
        <v>0.12738277367335232</v>
      </c>
      <c r="N65" s="700">
        <f t="shared" si="30"/>
        <v>0.12709841995430271</v>
      </c>
      <c r="O65" s="700">
        <f t="shared" si="30"/>
        <v>0.12870065517175983</v>
      </c>
      <c r="P65" s="700">
        <f t="shared" si="30"/>
        <v>0.13049189040032472</v>
      </c>
      <c r="Q65" s="700">
        <f t="shared" si="30"/>
        <v>0.13258666027432797</v>
      </c>
      <c r="R65" s="700">
        <f t="shared" si="30"/>
        <v>0.1337657662542967</v>
      </c>
      <c r="S65" s="700">
        <f t="shared" si="30"/>
        <v>0.13501340238112838</v>
      </c>
    </row>
    <row r="66" spans="1:43" outlineLevel="2">
      <c r="D66" s="31" t="s">
        <v>843</v>
      </c>
      <c r="H66" s="695">
        <f t="shared" si="31"/>
        <v>8.9052556871927674E-2</v>
      </c>
      <c r="I66" s="695">
        <f t="shared" si="31"/>
        <v>0.11196930732540103</v>
      </c>
      <c r="J66" s="695">
        <f t="shared" si="31"/>
        <v>8.4297017101075331E-2</v>
      </c>
      <c r="K66" s="695">
        <f t="shared" si="31"/>
        <v>8.1921996812547582E-2</v>
      </c>
      <c r="L66" s="695">
        <f t="shared" si="30"/>
        <v>8.299906502131886E-2</v>
      </c>
      <c r="M66" s="695">
        <f t="shared" si="30"/>
        <v>5.4920365596034706E-2</v>
      </c>
      <c r="N66" s="700">
        <f t="shared" si="30"/>
        <v>6.4246012458085339E-2</v>
      </c>
      <c r="O66" s="700">
        <f t="shared" si="30"/>
        <v>6.6691589178159955E-2</v>
      </c>
      <c r="P66" s="700">
        <f t="shared" si="30"/>
        <v>6.8571307610588855E-2</v>
      </c>
      <c r="Q66" s="700">
        <f t="shared" si="30"/>
        <v>6.9776217283348263E-2</v>
      </c>
      <c r="R66" s="700">
        <f t="shared" si="30"/>
        <v>7.0960673072548539E-2</v>
      </c>
      <c r="S66" s="700">
        <f t="shared" si="30"/>
        <v>7.2137987747865243E-2</v>
      </c>
    </row>
    <row r="67" spans="1:43" outlineLevel="2">
      <c r="D67" s="31" t="s">
        <v>844</v>
      </c>
      <c r="H67" s="695">
        <f t="shared" si="31"/>
        <v>6.2254724838418977E-2</v>
      </c>
      <c r="I67" s="695">
        <f t="shared" si="31"/>
        <v>7.4400903759372264E-2</v>
      </c>
      <c r="J67" s="695">
        <f t="shared" si="31"/>
        <v>6.2429690486495909E-2</v>
      </c>
      <c r="K67" s="695">
        <f t="shared" si="31"/>
        <v>6.1202704270331094E-2</v>
      </c>
      <c r="L67" s="695">
        <f t="shared" si="30"/>
        <v>6.1162041944051303E-2</v>
      </c>
      <c r="M67" s="695">
        <f t="shared" si="30"/>
        <v>4.73169526554401E-2</v>
      </c>
      <c r="N67" s="700">
        <f t="shared" si="30"/>
        <v>4.8330173656578657E-2</v>
      </c>
      <c r="O67" s="700">
        <f t="shared" si="30"/>
        <v>4.8196103486653021E-2</v>
      </c>
      <c r="P67" s="700">
        <f t="shared" si="30"/>
        <v>4.8105521498351726E-2</v>
      </c>
      <c r="Q67" s="700">
        <f t="shared" si="30"/>
        <v>4.8115815574432806E-2</v>
      </c>
      <c r="R67" s="700">
        <f t="shared" si="30"/>
        <v>4.8176468691381723E-2</v>
      </c>
      <c r="S67" s="700">
        <f t="shared" si="30"/>
        <v>4.8245456089554495E-2</v>
      </c>
    </row>
    <row r="68" spans="1:43" ht="15" outlineLevel="2" thickBot="1">
      <c r="C68" s="37"/>
      <c r="D68" s="38" t="s">
        <v>665</v>
      </c>
      <c r="E68" s="37"/>
      <c r="F68" s="37"/>
      <c r="G68" s="37"/>
      <c r="H68" s="697">
        <f t="shared" si="31"/>
        <v>0.50869214618565906</v>
      </c>
      <c r="I68" s="697">
        <f t="shared" si="31"/>
        <v>0.43894420746669432</v>
      </c>
      <c r="J68" s="697">
        <f t="shared" si="31"/>
        <v>0.28979002846507673</v>
      </c>
      <c r="K68" s="697">
        <f t="shared" si="31"/>
        <v>0.55428748248056936</v>
      </c>
      <c r="L68" s="697">
        <f t="shared" si="30"/>
        <v>0.66198335648873441</v>
      </c>
      <c r="M68" s="697">
        <f t="shared" si="30"/>
        <v>0.19697858921916478</v>
      </c>
      <c r="N68" s="701">
        <f t="shared" si="30"/>
        <v>0.18852823747877184</v>
      </c>
      <c r="O68" s="701">
        <f t="shared" si="30"/>
        <v>0.19523577601002728</v>
      </c>
      <c r="P68" s="701">
        <f t="shared" si="30"/>
        <v>0.19676238836680415</v>
      </c>
      <c r="Q68" s="701">
        <f t="shared" si="30"/>
        <v>0.19606377188970575</v>
      </c>
      <c r="R68" s="701">
        <f t="shared" si="30"/>
        <v>0.19532193654473307</v>
      </c>
      <c r="S68" s="701">
        <f t="shared" si="30"/>
        <v>0.19455490234460027</v>
      </c>
    </row>
    <row r="69" spans="1:43" outlineLevel="2">
      <c r="C69" s="18" t="s">
        <v>845</v>
      </c>
      <c r="H69" s="23">
        <f>SUM(H70:H74)</f>
        <v>654997.02859000012</v>
      </c>
      <c r="I69" s="23">
        <f t="shared" ref="I69:M69" si="32">SUM(I70:I74)</f>
        <v>705783</v>
      </c>
      <c r="J69" s="23">
        <f t="shared" si="32"/>
        <v>712520.4381599999</v>
      </c>
      <c r="K69" s="23">
        <f t="shared" si="32"/>
        <v>847018.5</v>
      </c>
      <c r="L69" s="23">
        <f t="shared" si="32"/>
        <v>1035566.6590700005</v>
      </c>
      <c r="M69" s="23">
        <f t="shared" si="32"/>
        <v>435151.67284999997</v>
      </c>
      <c r="N69" s="23">
        <f t="shared" ref="N69:N74" si="33">N106+N145+N184+N223+N262</f>
        <v>707125.39169403515</v>
      </c>
      <c r="O69" s="23">
        <f t="shared" ref="O69:S69" si="34">O106+O145+O184+O223+O262</f>
        <v>641101.61973266769</v>
      </c>
      <c r="P69" s="23">
        <f t="shared" si="34"/>
        <v>616029.32094989682</v>
      </c>
      <c r="Q69" s="23">
        <f t="shared" si="34"/>
        <v>607783.86196058767</v>
      </c>
      <c r="R69" s="23">
        <f t="shared" si="34"/>
        <v>606116.70141991938</v>
      </c>
      <c r="S69" s="23">
        <f t="shared" si="34"/>
        <v>606795.66320466634</v>
      </c>
    </row>
    <row r="70" spans="1:43" outlineLevel="2">
      <c r="D70" s="27" t="s">
        <v>841</v>
      </c>
      <c r="E70" s="28"/>
      <c r="F70" s="28"/>
      <c r="G70" s="28"/>
      <c r="H70" s="29">
        <f t="shared" ref="H70:K74" si="35">H107+H146+H185+H224+H263</f>
        <v>16153.53512</v>
      </c>
      <c r="I70" s="29">
        <f t="shared" si="35"/>
        <v>21270</v>
      </c>
      <c r="J70" s="29">
        <f t="shared" si="35"/>
        <v>20088.184710000005</v>
      </c>
      <c r="K70" s="29">
        <f t="shared" si="35"/>
        <v>20888.5</v>
      </c>
      <c r="L70" s="29">
        <f t="shared" ref="L70:M74" si="36">L107+L146+L185+L224+L263</f>
        <v>27926.743668199535</v>
      </c>
      <c r="M70" s="29">
        <f t="shared" si="36"/>
        <v>23657.367225497932</v>
      </c>
      <c r="N70" s="689">
        <f t="shared" si="33"/>
        <v>29061.142842985137</v>
      </c>
      <c r="O70" s="689">
        <f t="shared" ref="O70:S74" si="37">O107+O146+O185+O224+O263</f>
        <v>30449.742423152733</v>
      </c>
      <c r="P70" s="689">
        <f t="shared" si="37"/>
        <v>31807.09595167678</v>
      </c>
      <c r="Q70" s="689">
        <f t="shared" si="37"/>
        <v>33502.032209072706</v>
      </c>
      <c r="R70" s="689">
        <f t="shared" si="37"/>
        <v>34570.048993779419</v>
      </c>
      <c r="S70" s="689">
        <f t="shared" si="37"/>
        <v>35751.801930049412</v>
      </c>
    </row>
    <row r="71" spans="1:43" outlineLevel="2">
      <c r="D71" s="31" t="s">
        <v>842</v>
      </c>
      <c r="H71" s="20">
        <f t="shared" si="35"/>
        <v>35425.339559999993</v>
      </c>
      <c r="I71" s="20">
        <f t="shared" si="35"/>
        <v>126845</v>
      </c>
      <c r="J71" s="20">
        <f t="shared" si="35"/>
        <v>108255.00805</v>
      </c>
      <c r="K71" s="20">
        <f t="shared" si="35"/>
        <v>173922.5</v>
      </c>
      <c r="L71" s="20">
        <f t="shared" si="36"/>
        <v>199644.96383613348</v>
      </c>
      <c r="M71" s="20">
        <f t="shared" si="36"/>
        <v>99781.587899244536</v>
      </c>
      <c r="N71" s="690">
        <f t="shared" si="33"/>
        <v>174607.46540489676</v>
      </c>
      <c r="O71" s="690">
        <f t="shared" si="37"/>
        <v>176906.56465698587</v>
      </c>
      <c r="P71" s="690">
        <f t="shared" si="37"/>
        <v>170970.3395463562</v>
      </c>
      <c r="Q71" s="690">
        <f t="shared" si="37"/>
        <v>167982.020331476</v>
      </c>
      <c r="R71" s="690">
        <f t="shared" si="37"/>
        <v>168048.64115452016</v>
      </c>
      <c r="S71" s="690">
        <f t="shared" si="37"/>
        <v>168958.36930723776</v>
      </c>
    </row>
    <row r="72" spans="1:43" outlineLevel="2">
      <c r="D72" s="31" t="s">
        <v>843</v>
      </c>
      <c r="H72" s="20">
        <f t="shared" si="35"/>
        <v>98379.618900000016</v>
      </c>
      <c r="I72" s="20">
        <f t="shared" si="35"/>
        <v>93807</v>
      </c>
      <c r="J72" s="20">
        <f t="shared" si="35"/>
        <v>113716.96858</v>
      </c>
      <c r="K72" s="20">
        <f t="shared" si="35"/>
        <v>106301</v>
      </c>
      <c r="L72" s="20">
        <f t="shared" si="36"/>
        <v>127722.94271995449</v>
      </c>
      <c r="M72" s="20">
        <f t="shared" si="36"/>
        <v>58183.853446148132</v>
      </c>
      <c r="N72" s="690">
        <f t="shared" si="33"/>
        <v>93328.513818708569</v>
      </c>
      <c r="O72" s="690">
        <f t="shared" si="37"/>
        <v>94872.470858428976</v>
      </c>
      <c r="P72" s="690">
        <f t="shared" si="37"/>
        <v>99236.723521115156</v>
      </c>
      <c r="Q72" s="690">
        <f t="shared" si="37"/>
        <v>105872.94953833186</v>
      </c>
      <c r="R72" s="690">
        <f t="shared" si="37"/>
        <v>113139.39103346065</v>
      </c>
      <c r="S72" s="690">
        <f t="shared" si="37"/>
        <v>121132.47667810232</v>
      </c>
    </row>
    <row r="73" spans="1:43" outlineLevel="2">
      <c r="D73" s="31" t="s">
        <v>844</v>
      </c>
      <c r="H73" s="20">
        <f t="shared" si="35"/>
        <v>469234.09078000009</v>
      </c>
      <c r="I73" s="20">
        <f t="shared" si="35"/>
        <v>420088</v>
      </c>
      <c r="J73" s="20">
        <f t="shared" si="35"/>
        <v>393387.02999000036</v>
      </c>
      <c r="K73" s="20">
        <f t="shared" si="35"/>
        <v>515454.5</v>
      </c>
      <c r="L73" s="20">
        <f t="shared" si="36"/>
        <v>635355.63727788441</v>
      </c>
      <c r="M73" s="20">
        <f t="shared" si="36"/>
        <v>238248.94710929081</v>
      </c>
      <c r="N73" s="690">
        <f t="shared" si="33"/>
        <v>393223.24781928206</v>
      </c>
      <c r="O73" s="690">
        <f t="shared" si="37"/>
        <v>317748.48888719728</v>
      </c>
      <c r="P73" s="690">
        <f t="shared" si="37"/>
        <v>290977.99118075514</v>
      </c>
      <c r="Q73" s="690">
        <f t="shared" si="37"/>
        <v>277312.97271558194</v>
      </c>
      <c r="R73" s="690">
        <f t="shared" si="37"/>
        <v>267158.02863073931</v>
      </c>
      <c r="S73" s="690">
        <f t="shared" si="37"/>
        <v>257661.38401849772</v>
      </c>
    </row>
    <row r="74" spans="1:43" outlineLevel="2">
      <c r="D74" s="33" t="s">
        <v>665</v>
      </c>
      <c r="E74" s="34"/>
      <c r="F74" s="34"/>
      <c r="G74" s="34"/>
      <c r="H74" s="35">
        <f t="shared" si="35"/>
        <v>35804.444230000008</v>
      </c>
      <c r="I74" s="35">
        <f t="shared" si="35"/>
        <v>43773</v>
      </c>
      <c r="J74" s="35">
        <f t="shared" si="35"/>
        <v>77073.246829999654</v>
      </c>
      <c r="K74" s="35">
        <f t="shared" si="35"/>
        <v>30452</v>
      </c>
      <c r="L74" s="35">
        <f t="shared" si="36"/>
        <v>44916.371567828523</v>
      </c>
      <c r="M74" s="35">
        <f t="shared" si="36"/>
        <v>15279.917169818524</v>
      </c>
      <c r="N74" s="691">
        <f t="shared" si="33"/>
        <v>16905.021808162597</v>
      </c>
      <c r="O74" s="691">
        <f t="shared" si="37"/>
        <v>21124.352906902874</v>
      </c>
      <c r="P74" s="691">
        <f t="shared" si="37"/>
        <v>23037.170749993496</v>
      </c>
      <c r="Q74" s="691">
        <f t="shared" si="37"/>
        <v>23113.887166125176</v>
      </c>
      <c r="R74" s="691">
        <f t="shared" si="37"/>
        <v>23200.591607419803</v>
      </c>
      <c r="S74" s="691">
        <f t="shared" si="37"/>
        <v>23291.631270779162</v>
      </c>
    </row>
    <row r="75" spans="1:43" outlineLevel="2"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 spans="1:43" ht="15" outlineLevel="2" thickBot="1">
      <c r="C76" s="37" t="s">
        <v>659</v>
      </c>
      <c r="D76" s="37"/>
      <c r="E76" s="37"/>
      <c r="F76" s="37"/>
      <c r="G76" s="37"/>
      <c r="H76" s="39">
        <f>H113+H152+H191+H230+H269</f>
        <v>-571498</v>
      </c>
      <c r="I76" s="39">
        <f>I113+I152+I191+I230+I269</f>
        <v>-573332</v>
      </c>
      <c r="J76" s="39">
        <f>J113+J152+J191+J230+J269</f>
        <v>-503241</v>
      </c>
      <c r="K76" s="39">
        <f>K113+K152+K191+K230+K269</f>
        <v>-604238.60000000009</v>
      </c>
      <c r="L76" s="39">
        <f t="shared" ref="L76:M76" si="38">L113+L152+L191+L230+L269</f>
        <v>-744333.87051543233</v>
      </c>
      <c r="M76" s="39">
        <f t="shared" si="38"/>
        <v>-375974.75401112391</v>
      </c>
      <c r="N76" s="39">
        <f t="shared" ref="N76:S76" si="39">N113+N152+N191+N230+N269</f>
        <v>-603164.91256329871</v>
      </c>
      <c r="O76" s="39">
        <f t="shared" si="39"/>
        <v>-531370.28874386323</v>
      </c>
      <c r="P76" s="39">
        <f t="shared" si="39"/>
        <v>-498641.46789740189</v>
      </c>
      <c r="Q76" s="39">
        <f t="shared" si="39"/>
        <v>-482628.93334910279</v>
      </c>
      <c r="R76" s="39">
        <f t="shared" si="39"/>
        <v>-474173.68579139351</v>
      </c>
      <c r="S76" s="39">
        <f t="shared" si="39"/>
        <v>-467297.31244112609</v>
      </c>
    </row>
    <row r="77" spans="1:43" outlineLevel="2">
      <c r="C77" s="18" t="s">
        <v>846</v>
      </c>
      <c r="D77" s="18"/>
      <c r="E77" s="18"/>
      <c r="F77" s="18"/>
      <c r="G77" s="18"/>
      <c r="H77" s="23">
        <f>H76+H69</f>
        <v>83499.028590000118</v>
      </c>
      <c r="I77" s="23">
        <f t="shared" ref="I77:K77" si="40">I76+I69</f>
        <v>132451</v>
      </c>
      <c r="J77" s="23">
        <f t="shared" si="40"/>
        <v>209279.4381599999</v>
      </c>
      <c r="K77" s="23">
        <f t="shared" si="40"/>
        <v>242779.89999999991</v>
      </c>
      <c r="L77" s="23">
        <f>L76+L69</f>
        <v>291232.78855456819</v>
      </c>
      <c r="M77" s="23">
        <f>M76+M69</f>
        <v>59176.918838876067</v>
      </c>
      <c r="N77" s="23">
        <f>N76+N69</f>
        <v>103960.47913073644</v>
      </c>
      <c r="O77" s="23">
        <f t="shared" ref="O77:S77" si="41">O76+O69</f>
        <v>109731.33098880446</v>
      </c>
      <c r="P77" s="23">
        <f t="shared" si="41"/>
        <v>117387.85305249493</v>
      </c>
      <c r="Q77" s="23">
        <f t="shared" si="41"/>
        <v>125154.92861148488</v>
      </c>
      <c r="R77" s="23">
        <f t="shared" si="41"/>
        <v>131943.01562852587</v>
      </c>
      <c r="S77" s="23">
        <f t="shared" si="41"/>
        <v>139498.35076354025</v>
      </c>
    </row>
    <row r="78" spans="1:43" outlineLevel="2">
      <c r="C78" s="22" t="s">
        <v>660</v>
      </c>
      <c r="D78" s="22"/>
      <c r="E78" s="22"/>
      <c r="F78" s="22"/>
      <c r="G78" s="22"/>
      <c r="H78" s="56">
        <f>IFERROR(H77/H69,"NA")</f>
        <v>0.12748001127538994</v>
      </c>
      <c r="I78" s="56">
        <f t="shared" ref="I78:S78" si="42">IFERROR(I77/I69,"NA")</f>
        <v>0.18766533056194326</v>
      </c>
      <c r="J78" s="56">
        <f t="shared" si="42"/>
        <v>0.29371710192684353</v>
      </c>
      <c r="K78" s="56">
        <f t="shared" si="42"/>
        <v>0.28662880444760053</v>
      </c>
      <c r="L78" s="56">
        <f t="shared" si="42"/>
        <v>0.2812303640753675</v>
      </c>
      <c r="M78" s="56">
        <f>IFERROR(M77/M69,"NA")</f>
        <v>0.13599147729641106</v>
      </c>
      <c r="N78" s="56">
        <f t="shared" si="42"/>
        <v>0.14701845012478199</v>
      </c>
      <c r="O78" s="56">
        <f t="shared" si="42"/>
        <v>0.1711605892285239</v>
      </c>
      <c r="P78" s="56">
        <f t="shared" si="42"/>
        <v>0.19055562626708539</v>
      </c>
      <c r="Q78" s="56">
        <f t="shared" si="42"/>
        <v>0.20592012464391604</v>
      </c>
      <c r="R78" s="56">
        <f t="shared" si="42"/>
        <v>0.21768582736530695</v>
      </c>
      <c r="S78" s="56">
        <f t="shared" si="42"/>
        <v>0.22989345379762346</v>
      </c>
      <c r="AC78" s="14"/>
      <c r="AD78" s="14"/>
      <c r="AE78" s="14"/>
      <c r="AF78" s="14"/>
      <c r="AG78" s="14"/>
      <c r="AH78" s="14"/>
      <c r="AI78" s="14"/>
    </row>
    <row r="79" spans="1:43" outlineLevel="2">
      <c r="AC79" s="14"/>
      <c r="AD79" s="14"/>
      <c r="AE79" s="14"/>
      <c r="AF79" s="14"/>
      <c r="AG79" s="14"/>
      <c r="AH79" s="14"/>
      <c r="AI79" s="14"/>
    </row>
    <row r="80" spans="1:43" s="1126" customFormat="1" outlineLevel="3">
      <c r="A80" s="26" t="s">
        <v>8</v>
      </c>
      <c r="B80" s="26"/>
      <c r="C80" s="26" t="s">
        <v>39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408"/>
      <c r="U80" s="1518"/>
      <c r="V80" s="1518"/>
      <c r="W80" s="1518"/>
      <c r="X80" s="1518"/>
      <c r="Y80" s="1518"/>
      <c r="Z80" s="1518"/>
      <c r="AA80" s="1518"/>
      <c r="AC80" s="397"/>
      <c r="AD80" s="397"/>
      <c r="AE80" s="397"/>
      <c r="AF80" s="397"/>
      <c r="AG80" s="397"/>
      <c r="AH80" s="397"/>
      <c r="AI80" s="397"/>
      <c r="AK80" s="1518"/>
      <c r="AL80" s="1518"/>
      <c r="AM80" s="1518"/>
      <c r="AN80" s="1518"/>
      <c r="AO80" s="1518"/>
      <c r="AP80" s="1518"/>
      <c r="AQ80" s="1518"/>
    </row>
    <row r="81" spans="1:43" outlineLevel="3">
      <c r="AC81" s="14"/>
      <c r="AD81" s="14"/>
      <c r="AE81" s="14"/>
      <c r="AF81" s="14"/>
      <c r="AG81" s="14"/>
      <c r="AH81" s="14"/>
      <c r="AI81" s="14"/>
    </row>
    <row r="82" spans="1:43" s="1126" customFormat="1" outlineLevel="3">
      <c r="A82" s="18"/>
      <c r="B82" s="18"/>
      <c r="C82" s="18" t="s">
        <v>840</v>
      </c>
      <c r="D82" s="18"/>
      <c r="E82" s="18"/>
      <c r="F82" s="18"/>
      <c r="G82" s="18"/>
      <c r="H82" s="23">
        <f>SUM(H83:H87)</f>
        <v>6971498.9459999986</v>
      </c>
      <c r="I82" s="23">
        <f t="shared" ref="I82:K82" si="43">SUM(I83:I87)</f>
        <v>6111907.9649999971</v>
      </c>
      <c r="J82" s="23">
        <f t="shared" si="43"/>
        <v>6806043.6120000035</v>
      </c>
      <c r="K82" s="23">
        <f t="shared" si="43"/>
        <v>9064060</v>
      </c>
      <c r="L82" s="23">
        <f>SUM(L83:L87)</f>
        <v>11069117.229999997</v>
      </c>
      <c r="M82" s="23">
        <f>SUM(M83:M87)</f>
        <v>6087214.359000002</v>
      </c>
      <c r="N82" s="23">
        <f t="shared" ref="N82:S82" si="44">SUM(N83:N87)</f>
        <v>9234774.8654999994</v>
      </c>
      <c r="O82" s="23">
        <f t="shared" si="44"/>
        <v>7727210.2236499991</v>
      </c>
      <c r="P82" s="23">
        <f t="shared" si="44"/>
        <v>7031313.6193974987</v>
      </c>
      <c r="Q82" s="23">
        <f t="shared" si="44"/>
        <v>6631071.7344852984</v>
      </c>
      <c r="R82" s="23">
        <f t="shared" si="44"/>
        <v>6351453.6951324083</v>
      </c>
      <c r="S82" s="23">
        <f t="shared" si="44"/>
        <v>6085816.5577471629</v>
      </c>
      <c r="T82" s="408"/>
      <c r="U82" s="1519">
        <f>$L82*(1+$AA82)</f>
        <v>10903080.471549997</v>
      </c>
      <c r="V82" s="1519">
        <f>U82*(1+$AA82)</f>
        <v>10739534.264476746</v>
      </c>
      <c r="W82" s="1519">
        <f t="shared" ref="W82:Z82" si="45">V82*(1+$AA82)</f>
        <v>10578441.250509595</v>
      </c>
      <c r="X82" s="1519">
        <f t="shared" si="45"/>
        <v>10419764.631751951</v>
      </c>
      <c r="Y82" s="1519">
        <f t="shared" si="45"/>
        <v>10263468.162275672</v>
      </c>
      <c r="Z82" s="1519">
        <f t="shared" si="45"/>
        <v>10109516.139841536</v>
      </c>
      <c r="AA82" s="1520">
        <f>'回报测算-EVEBITDA（核心假设）'!G200-1.5%</f>
        <v>-1.4999999999999999E-2</v>
      </c>
      <c r="AB82" s="1321"/>
      <c r="AC82" s="20"/>
      <c r="AD82" s="20"/>
      <c r="AE82" s="20"/>
      <c r="AF82" s="20"/>
      <c r="AG82" s="20"/>
      <c r="AH82" s="20"/>
      <c r="AI82" s="702"/>
      <c r="AJ82" s="1321"/>
      <c r="AK82" s="1519">
        <f>$L82*(1+$AQ82)</f>
        <v>10958426.057699997</v>
      </c>
      <c r="AL82" s="1519">
        <f>AK82*(1+$AQ82)</f>
        <v>10848841.797122996</v>
      </c>
      <c r="AM82" s="1519">
        <f t="shared" ref="AM82:AP82" si="46">AL82*(1+$AQ82)</f>
        <v>10740353.379151767</v>
      </c>
      <c r="AN82" s="1519">
        <f t="shared" si="46"/>
        <v>10632949.845360249</v>
      </c>
      <c r="AO82" s="1519">
        <f>AN82*(1+$AQ82)</f>
        <v>10526620.346906647</v>
      </c>
      <c r="AP82" s="1519">
        <f t="shared" si="46"/>
        <v>10421354.143437581</v>
      </c>
      <c r="AQ82" s="1520">
        <f>'回报测算-EVEBITDA（核心假设）'!G202-1%</f>
        <v>-0.01</v>
      </c>
    </row>
    <row r="83" spans="1:43" outlineLevel="3">
      <c r="D83" s="27" t="s">
        <v>841</v>
      </c>
      <c r="E83" s="27"/>
      <c r="F83" s="28"/>
      <c r="G83" s="28"/>
      <c r="H83" s="398">
        <v>121923.72</v>
      </c>
      <c r="I83" s="398">
        <v>85008.460000000021</v>
      </c>
      <c r="J83" s="398">
        <v>99027.359999999971</v>
      </c>
      <c r="K83" s="398">
        <v>124859</v>
      </c>
      <c r="L83" s="398">
        <v>179049.24</v>
      </c>
      <c r="M83" s="398">
        <v>181199.35000000009</v>
      </c>
      <c r="N83" s="703">
        <f>L83*(1+N89)</f>
        <v>196954.16400000002</v>
      </c>
      <c r="O83" s="29">
        <f>N83*(1+O89)</f>
        <v>196954.16400000002</v>
      </c>
      <c r="P83" s="29">
        <f t="shared" ref="P83:S83" si="47">O83*(1+P89)</f>
        <v>196954.16400000002</v>
      </c>
      <c r="Q83" s="29">
        <f t="shared" si="47"/>
        <v>196954.16400000002</v>
      </c>
      <c r="R83" s="29">
        <f t="shared" si="47"/>
        <v>196954.16400000002</v>
      </c>
      <c r="S83" s="30">
        <f t="shared" si="47"/>
        <v>196954.16400000002</v>
      </c>
    </row>
    <row r="84" spans="1:43" outlineLevel="3">
      <c r="D84" s="31" t="s">
        <v>842</v>
      </c>
      <c r="E84" s="31"/>
      <c r="H84" s="400">
        <v>322105.28000000003</v>
      </c>
      <c r="I84" s="400">
        <v>637757.16800000006</v>
      </c>
      <c r="J84" s="400">
        <v>608664.75199999998</v>
      </c>
      <c r="K84" s="400">
        <v>1041248</v>
      </c>
      <c r="L84" s="400">
        <v>1189641.0700000012</v>
      </c>
      <c r="M84" s="400">
        <v>660707.41200000048</v>
      </c>
      <c r="N84" s="704">
        <f t="shared" ref="N84:N87" si="48">L84*(1+N90)</f>
        <v>1189641.0700000012</v>
      </c>
      <c r="O84" s="20">
        <f t="shared" ref="O84:S87" si="49">N84*(1+O90)</f>
        <v>1130159.0165000011</v>
      </c>
      <c r="P84" s="20">
        <f t="shared" si="49"/>
        <v>1017143.1148500009</v>
      </c>
      <c r="Q84" s="20">
        <f t="shared" si="49"/>
        <v>915428.80336500087</v>
      </c>
      <c r="R84" s="20">
        <f t="shared" si="49"/>
        <v>869657.36319675075</v>
      </c>
      <c r="S84" s="32">
        <f t="shared" si="49"/>
        <v>826174.4950369132</v>
      </c>
    </row>
    <row r="85" spans="1:43" outlineLevel="3">
      <c r="D85" s="31" t="s">
        <v>843</v>
      </c>
      <c r="E85" s="31"/>
      <c r="H85" s="400">
        <v>751529.4</v>
      </c>
      <c r="I85" s="400">
        <v>692875.68999999971</v>
      </c>
      <c r="J85" s="400">
        <v>1141623.1200000006</v>
      </c>
      <c r="K85" s="400">
        <v>888431</v>
      </c>
      <c r="L85" s="400">
        <v>1021635.9699999997</v>
      </c>
      <c r="M85" s="400">
        <v>821588.05999999982</v>
      </c>
      <c r="N85" s="704">
        <f t="shared" si="48"/>
        <v>868390.57449999976</v>
      </c>
      <c r="O85" s="20">
        <f t="shared" si="49"/>
        <v>781551.51704999979</v>
      </c>
      <c r="P85" s="20">
        <f t="shared" si="49"/>
        <v>742473.94119749975</v>
      </c>
      <c r="Q85" s="20">
        <f t="shared" si="49"/>
        <v>742473.94119749975</v>
      </c>
      <c r="R85" s="20">
        <f t="shared" si="49"/>
        <v>742473.94119749975</v>
      </c>
      <c r="S85" s="32">
        <f t="shared" si="49"/>
        <v>742473.94119749975</v>
      </c>
    </row>
    <row r="86" spans="1:43" outlineLevel="3">
      <c r="D86" s="31" t="s">
        <v>844</v>
      </c>
      <c r="E86" s="31"/>
      <c r="H86" s="400">
        <v>5761447.4799999986</v>
      </c>
      <c r="I86" s="400">
        <v>4674267.2989999969</v>
      </c>
      <c r="J86" s="400">
        <v>4733140.3600000031</v>
      </c>
      <c r="K86" s="400">
        <v>6979746</v>
      </c>
      <c r="L86" s="400">
        <v>8637950.6199999955</v>
      </c>
      <c r="M86" s="400">
        <v>4357836.205000001</v>
      </c>
      <c r="N86" s="704">
        <f t="shared" si="48"/>
        <v>6910360.4959999966</v>
      </c>
      <c r="O86" s="20">
        <f t="shared" si="49"/>
        <v>5528288.3967999974</v>
      </c>
      <c r="P86" s="20">
        <f t="shared" si="49"/>
        <v>4975459.5571199981</v>
      </c>
      <c r="Q86" s="20">
        <f t="shared" si="49"/>
        <v>4676931.9836927978</v>
      </c>
      <c r="R86" s="20">
        <f t="shared" si="49"/>
        <v>4443085.3845081581</v>
      </c>
      <c r="S86" s="32">
        <f t="shared" si="49"/>
        <v>4220931.1152827498</v>
      </c>
    </row>
    <row r="87" spans="1:43" outlineLevel="3">
      <c r="D87" s="33" t="s">
        <v>665</v>
      </c>
      <c r="E87" s="33"/>
      <c r="F87" s="34"/>
      <c r="G87" s="34"/>
      <c r="H87" s="402">
        <v>14493.066000000001</v>
      </c>
      <c r="I87" s="402">
        <v>21999.347999999998</v>
      </c>
      <c r="J87" s="402">
        <v>223588.01999999996</v>
      </c>
      <c r="K87" s="402">
        <v>29776</v>
      </c>
      <c r="L87" s="402">
        <v>40840.33</v>
      </c>
      <c r="M87" s="402">
        <v>65883.331999999995</v>
      </c>
      <c r="N87" s="705">
        <f t="shared" si="48"/>
        <v>69428.561000000002</v>
      </c>
      <c r="O87" s="35">
        <f t="shared" si="49"/>
        <v>90257.129300000001</v>
      </c>
      <c r="P87" s="35">
        <f t="shared" si="49"/>
        <v>99282.842230000009</v>
      </c>
      <c r="Q87" s="35">
        <f t="shared" si="49"/>
        <v>99282.842230000009</v>
      </c>
      <c r="R87" s="35">
        <f t="shared" si="49"/>
        <v>99282.842230000009</v>
      </c>
      <c r="S87" s="36">
        <f t="shared" si="49"/>
        <v>99282.842230000009</v>
      </c>
      <c r="AC87" s="448"/>
      <c r="AD87" s="448"/>
      <c r="AE87" s="448"/>
      <c r="AF87" s="448"/>
      <c r="AG87" s="448"/>
      <c r="AH87" s="448"/>
    </row>
    <row r="88" spans="1:43" s="1365" customFormat="1" outlineLevel="3">
      <c r="A88" s="22"/>
      <c r="B88" s="22"/>
      <c r="C88" s="22" t="s">
        <v>847</v>
      </c>
      <c r="D88" s="22"/>
      <c r="E88" s="22"/>
      <c r="F88" s="22"/>
      <c r="G88" s="22"/>
      <c r="H88" s="219"/>
      <c r="I88" s="24">
        <f>I82/H82-1</f>
        <v>-0.12330074029390836</v>
      </c>
      <c r="J88" s="24">
        <f t="shared" ref="J88:J89" si="50">J82/I82-1</f>
        <v>0.11357102413436082</v>
      </c>
      <c r="K88" s="24"/>
      <c r="L88" s="24">
        <f>L82/J82-1</f>
        <v>0.62636589787400143</v>
      </c>
      <c r="M88" s="24"/>
      <c r="N88" s="24">
        <f>N82/L82-1</f>
        <v>-0.16571713230468677</v>
      </c>
      <c r="O88" s="24">
        <f>O82/N82-1</f>
        <v>-0.16324866212841627</v>
      </c>
      <c r="P88" s="24">
        <f t="shared" ref="P88:S88" si="51">P82/O82-1</f>
        <v>-9.0057936061145427E-2</v>
      </c>
      <c r="Q88" s="24">
        <f t="shared" si="51"/>
        <v>-5.6922775256111557E-2</v>
      </c>
      <c r="R88" s="24">
        <f t="shared" si="51"/>
        <v>-4.2167850167977972E-2</v>
      </c>
      <c r="S88" s="24">
        <f t="shared" si="51"/>
        <v>-4.1823045579128304E-2</v>
      </c>
      <c r="T88" s="726"/>
      <c r="U88" s="1521"/>
      <c r="V88" s="1521"/>
      <c r="W88" s="1521"/>
      <c r="X88" s="1521"/>
      <c r="Y88" s="1521"/>
      <c r="Z88" s="1521"/>
      <c r="AA88" s="1522"/>
      <c r="AC88" s="219"/>
      <c r="AD88" s="219"/>
      <c r="AE88" s="219"/>
      <c r="AF88" s="219"/>
      <c r="AG88" s="219"/>
      <c r="AH88" s="219"/>
      <c r="AI88" s="706"/>
      <c r="AK88" s="1521"/>
      <c r="AL88" s="1521"/>
      <c r="AM88" s="1521"/>
      <c r="AN88" s="1521"/>
      <c r="AO88" s="1521"/>
      <c r="AP88" s="1521"/>
      <c r="AQ88" s="1522"/>
    </row>
    <row r="89" spans="1:43" s="1365" customFormat="1" outlineLevel="3">
      <c r="A89" s="22"/>
      <c r="B89" s="22"/>
      <c r="C89" s="22"/>
      <c r="D89" s="707" t="s">
        <v>841</v>
      </c>
      <c r="E89" s="708"/>
      <c r="F89" s="708"/>
      <c r="G89" s="708"/>
      <c r="H89" s="709"/>
      <c r="I89" s="710">
        <f>I83/H83-1</f>
        <v>-0.30277340619200255</v>
      </c>
      <c r="J89" s="710">
        <f t="shared" si="50"/>
        <v>0.16491182171750851</v>
      </c>
      <c r="K89" s="710"/>
      <c r="L89" s="710">
        <f>L83/J83-1</f>
        <v>0.80807849467056414</v>
      </c>
      <c r="M89" s="710"/>
      <c r="N89" s="711">
        <f t="shared" ref="N89:S93" si="52">CHOOSE(case,U89,AC89,AK89)</f>
        <v>0.1</v>
      </c>
      <c r="O89" s="712">
        <f t="shared" si="52"/>
        <v>0</v>
      </c>
      <c r="P89" s="712">
        <f t="shared" si="52"/>
        <v>0</v>
      </c>
      <c r="Q89" s="712">
        <f t="shared" si="52"/>
        <v>0</v>
      </c>
      <c r="R89" s="712">
        <f t="shared" si="52"/>
        <v>0</v>
      </c>
      <c r="S89" s="713">
        <f t="shared" si="52"/>
        <v>0</v>
      </c>
      <c r="T89" s="726"/>
      <c r="U89" s="1521"/>
      <c r="V89" s="1521"/>
      <c r="W89" s="1521"/>
      <c r="X89" s="1521"/>
      <c r="Y89" s="1521"/>
      <c r="Z89" s="1521"/>
      <c r="AA89" s="1523"/>
      <c r="AC89" s="714">
        <v>0.1</v>
      </c>
      <c r="AD89" s="714">
        <v>0</v>
      </c>
      <c r="AE89" s="714">
        <v>0</v>
      </c>
      <c r="AF89" s="714">
        <v>0</v>
      </c>
      <c r="AG89" s="714">
        <v>0</v>
      </c>
      <c r="AH89" s="714">
        <v>0</v>
      </c>
      <c r="AI89" s="22"/>
      <c r="AK89" s="1521"/>
      <c r="AL89" s="1521"/>
      <c r="AM89" s="1521"/>
      <c r="AN89" s="1521"/>
      <c r="AO89" s="1521"/>
      <c r="AP89" s="1521"/>
      <c r="AQ89" s="1523"/>
    </row>
    <row r="90" spans="1:43" s="1365" customFormat="1" outlineLevel="3">
      <c r="A90" s="22"/>
      <c r="B90" s="22"/>
      <c r="C90" s="22"/>
      <c r="D90" s="715" t="s">
        <v>842</v>
      </c>
      <c r="E90" s="22"/>
      <c r="F90" s="22"/>
      <c r="G90" s="22"/>
      <c r="H90" s="219"/>
      <c r="I90" s="175">
        <f t="shared" ref="I90:J93" si="53">I84/H84-1</f>
        <v>0.97996496052470805</v>
      </c>
      <c r="J90" s="175">
        <f t="shared" si="53"/>
        <v>-4.56167605159713E-2</v>
      </c>
      <c r="K90" s="175"/>
      <c r="L90" s="175">
        <f t="shared" ref="L90:L93" si="54">L84/J84-1</f>
        <v>0.95450954912533081</v>
      </c>
      <c r="M90" s="175"/>
      <c r="N90" s="716">
        <f t="shared" si="52"/>
        <v>0</v>
      </c>
      <c r="O90" s="717">
        <f t="shared" si="52"/>
        <v>-0.05</v>
      </c>
      <c r="P90" s="717">
        <f t="shared" si="52"/>
        <v>-0.1</v>
      </c>
      <c r="Q90" s="717">
        <f t="shared" si="52"/>
        <v>-0.1</v>
      </c>
      <c r="R90" s="717">
        <f t="shared" si="52"/>
        <v>-0.05</v>
      </c>
      <c r="S90" s="718">
        <f t="shared" si="52"/>
        <v>-0.05</v>
      </c>
      <c r="T90" s="726"/>
      <c r="U90" s="1521"/>
      <c r="V90" s="1521"/>
      <c r="W90" s="1521"/>
      <c r="X90" s="1521"/>
      <c r="Y90" s="1521"/>
      <c r="Z90" s="1521"/>
      <c r="AA90" s="1523"/>
      <c r="AC90" s="714">
        <v>0</v>
      </c>
      <c r="AD90" s="714">
        <v>-0.05</v>
      </c>
      <c r="AE90" s="714">
        <v>-0.1</v>
      </c>
      <c r="AF90" s="714">
        <v>-0.1</v>
      </c>
      <c r="AG90" s="714">
        <v>-0.05</v>
      </c>
      <c r="AH90" s="714">
        <v>-0.05</v>
      </c>
      <c r="AI90" s="22"/>
      <c r="AK90" s="1521"/>
      <c r="AL90" s="1521"/>
      <c r="AM90" s="1521"/>
      <c r="AN90" s="1521"/>
      <c r="AO90" s="1521"/>
      <c r="AP90" s="1521"/>
      <c r="AQ90" s="1523"/>
    </row>
    <row r="91" spans="1:43" s="1365" customFormat="1" outlineLevel="3">
      <c r="A91" s="22"/>
      <c r="B91" s="22"/>
      <c r="C91" s="22"/>
      <c r="D91" s="715" t="s">
        <v>843</v>
      </c>
      <c r="E91" s="22"/>
      <c r="F91" s="22"/>
      <c r="G91" s="22"/>
      <c r="H91" s="219"/>
      <c r="I91" s="175">
        <f t="shared" si="53"/>
        <v>-7.8045795680116159E-2</v>
      </c>
      <c r="J91" s="175">
        <f t="shared" si="53"/>
        <v>0.64765936585248229</v>
      </c>
      <c r="K91" s="175"/>
      <c r="L91" s="175">
        <f t="shared" si="54"/>
        <v>-0.10510224249838318</v>
      </c>
      <c r="M91" s="175"/>
      <c r="N91" s="716">
        <f t="shared" si="52"/>
        <v>-0.15</v>
      </c>
      <c r="O91" s="717">
        <f t="shared" si="52"/>
        <v>-0.1</v>
      </c>
      <c r="P91" s="717">
        <f t="shared" si="52"/>
        <v>-0.05</v>
      </c>
      <c r="Q91" s="717">
        <f t="shared" si="52"/>
        <v>0</v>
      </c>
      <c r="R91" s="717">
        <f t="shared" si="52"/>
        <v>0</v>
      </c>
      <c r="S91" s="718">
        <f t="shared" si="52"/>
        <v>0</v>
      </c>
      <c r="T91" s="726"/>
      <c r="U91" s="1521"/>
      <c r="V91" s="1521"/>
      <c r="W91" s="1521"/>
      <c r="X91" s="1521"/>
      <c r="Y91" s="1521"/>
      <c r="Z91" s="1521"/>
      <c r="AA91" s="1523"/>
      <c r="AC91" s="714">
        <v>-0.15</v>
      </c>
      <c r="AD91" s="714">
        <v>-0.1</v>
      </c>
      <c r="AE91" s="714">
        <v>-0.05</v>
      </c>
      <c r="AF91" s="714">
        <v>0</v>
      </c>
      <c r="AG91" s="714">
        <v>0</v>
      </c>
      <c r="AH91" s="714">
        <v>0</v>
      </c>
      <c r="AI91" s="22"/>
      <c r="AK91" s="1521"/>
      <c r="AL91" s="1521"/>
      <c r="AM91" s="1521"/>
      <c r="AN91" s="1521"/>
      <c r="AO91" s="1521"/>
      <c r="AP91" s="1521"/>
      <c r="AQ91" s="1523"/>
    </row>
    <row r="92" spans="1:43" s="1365" customFormat="1" outlineLevel="3">
      <c r="A92" s="22"/>
      <c r="B92" s="22"/>
      <c r="C92" s="22"/>
      <c r="D92" s="715" t="s">
        <v>844</v>
      </c>
      <c r="E92" s="22"/>
      <c r="F92" s="22"/>
      <c r="G92" s="22"/>
      <c r="H92" s="219"/>
      <c r="I92" s="175">
        <f t="shared" si="53"/>
        <v>-0.1886991393697478</v>
      </c>
      <c r="J92" s="175">
        <f t="shared" si="53"/>
        <v>1.2595142133313919E-2</v>
      </c>
      <c r="K92" s="175"/>
      <c r="L92" s="175">
        <f t="shared" si="54"/>
        <v>0.82499354825809346</v>
      </c>
      <c r="M92" s="175"/>
      <c r="N92" s="716">
        <f t="shared" si="52"/>
        <v>-0.2</v>
      </c>
      <c r="O92" s="717">
        <f t="shared" si="52"/>
        <v>-0.2</v>
      </c>
      <c r="P92" s="717">
        <f t="shared" si="52"/>
        <v>-0.1</v>
      </c>
      <c r="Q92" s="717">
        <f t="shared" si="52"/>
        <v>-0.06</v>
      </c>
      <c r="R92" s="717">
        <f t="shared" si="52"/>
        <v>-0.05</v>
      </c>
      <c r="S92" s="718">
        <f t="shared" si="52"/>
        <v>-0.05</v>
      </c>
      <c r="T92" s="726"/>
      <c r="U92" s="1521"/>
      <c r="V92" s="1521"/>
      <c r="W92" s="1521"/>
      <c r="X92" s="1521"/>
      <c r="Y92" s="1521"/>
      <c r="Z92" s="1521"/>
      <c r="AA92" s="1523"/>
      <c r="AC92" s="714">
        <v>-0.2</v>
      </c>
      <c r="AD92" s="714">
        <v>-0.2</v>
      </c>
      <c r="AE92" s="714">
        <v>-0.1</v>
      </c>
      <c r="AF92" s="714">
        <v>-0.06</v>
      </c>
      <c r="AG92" s="714">
        <v>-0.05</v>
      </c>
      <c r="AH92" s="714">
        <v>-0.05</v>
      </c>
      <c r="AI92" s="22"/>
      <c r="AK92" s="1521"/>
      <c r="AL92" s="1521"/>
      <c r="AM92" s="1521"/>
      <c r="AN92" s="1521"/>
      <c r="AO92" s="1521"/>
      <c r="AP92" s="1521"/>
      <c r="AQ92" s="1523"/>
    </row>
    <row r="93" spans="1:43" s="1365" customFormat="1" outlineLevel="3">
      <c r="A93" s="22"/>
      <c r="B93" s="22"/>
      <c r="C93" s="22"/>
      <c r="D93" s="719" t="s">
        <v>665</v>
      </c>
      <c r="E93" s="720"/>
      <c r="F93" s="720"/>
      <c r="G93" s="720"/>
      <c r="H93" s="721"/>
      <c r="I93" s="722">
        <f t="shared" si="53"/>
        <v>0.51792229470285966</v>
      </c>
      <c r="J93" s="722">
        <f t="shared" si="53"/>
        <v>9.1633930241932617</v>
      </c>
      <c r="K93" s="722"/>
      <c r="L93" s="722">
        <f t="shared" si="54"/>
        <v>-0.81734115271471164</v>
      </c>
      <c r="M93" s="722"/>
      <c r="N93" s="723">
        <f t="shared" si="52"/>
        <v>0.7</v>
      </c>
      <c r="O93" s="724">
        <f t="shared" si="52"/>
        <v>0.3</v>
      </c>
      <c r="P93" s="724">
        <f t="shared" si="52"/>
        <v>0.1</v>
      </c>
      <c r="Q93" s="724">
        <f t="shared" si="52"/>
        <v>0</v>
      </c>
      <c r="R93" s="724">
        <f t="shared" si="52"/>
        <v>0</v>
      </c>
      <c r="S93" s="725">
        <f t="shared" si="52"/>
        <v>0</v>
      </c>
      <c r="T93" s="726"/>
      <c r="U93" s="1521"/>
      <c r="V93" s="1521"/>
      <c r="W93" s="1521"/>
      <c r="X93" s="1521"/>
      <c r="Y93" s="1521"/>
      <c r="Z93" s="1521"/>
      <c r="AA93" s="1523"/>
      <c r="AC93" s="714">
        <v>0.7</v>
      </c>
      <c r="AD93" s="714">
        <v>0.3</v>
      </c>
      <c r="AE93" s="714">
        <v>0.1</v>
      </c>
      <c r="AF93" s="714">
        <v>0</v>
      </c>
      <c r="AG93" s="714">
        <v>0</v>
      </c>
      <c r="AH93" s="714">
        <v>0</v>
      </c>
      <c r="AI93" s="22"/>
      <c r="AK93" s="1521"/>
      <c r="AL93" s="1521"/>
      <c r="AM93" s="1521"/>
      <c r="AN93" s="1521"/>
      <c r="AO93" s="1521"/>
      <c r="AP93" s="1521"/>
      <c r="AQ93" s="1523"/>
    </row>
    <row r="94" spans="1:43" s="1365" customFormat="1" outlineLevel="3">
      <c r="A94" s="22"/>
      <c r="B94" s="22"/>
      <c r="C94" s="22" t="s">
        <v>848</v>
      </c>
      <c r="D94" s="22"/>
      <c r="E94" s="22"/>
      <c r="F94" s="22"/>
      <c r="G94" s="22"/>
      <c r="H94" s="24">
        <f>H82/H$82</f>
        <v>1</v>
      </c>
      <c r="I94" s="24">
        <f t="shared" ref="I94:S95" si="55">I82/I$82</f>
        <v>1</v>
      </c>
      <c r="J94" s="24">
        <f t="shared" si="55"/>
        <v>1</v>
      </c>
      <c r="K94" s="24">
        <f t="shared" si="55"/>
        <v>1</v>
      </c>
      <c r="L94" s="24">
        <f t="shared" si="55"/>
        <v>1</v>
      </c>
      <c r="M94" s="24">
        <f t="shared" si="55"/>
        <v>1</v>
      </c>
      <c r="N94" s="24">
        <f t="shared" si="55"/>
        <v>1</v>
      </c>
      <c r="O94" s="24">
        <f t="shared" si="55"/>
        <v>1</v>
      </c>
      <c r="P94" s="24">
        <f t="shared" si="55"/>
        <v>1</v>
      </c>
      <c r="Q94" s="24">
        <f t="shared" si="55"/>
        <v>1</v>
      </c>
      <c r="R94" s="24">
        <f t="shared" si="55"/>
        <v>1</v>
      </c>
      <c r="S94" s="24">
        <f t="shared" si="55"/>
        <v>1</v>
      </c>
      <c r="T94" s="726"/>
      <c r="U94" s="1521"/>
      <c r="V94" s="1521"/>
      <c r="W94" s="1521"/>
      <c r="X94" s="1521"/>
      <c r="Y94" s="1521"/>
      <c r="Z94" s="1521"/>
      <c r="AA94" s="1522"/>
      <c r="AC94" s="219"/>
      <c r="AD94" s="219"/>
      <c r="AE94" s="219"/>
      <c r="AF94" s="219"/>
      <c r="AG94" s="219"/>
      <c r="AH94" s="219"/>
      <c r="AI94" s="706"/>
      <c r="AK94" s="1521"/>
      <c r="AL94" s="1521"/>
      <c r="AM94" s="1521"/>
      <c r="AN94" s="1521"/>
      <c r="AO94" s="1521"/>
      <c r="AP94" s="1521"/>
      <c r="AQ94" s="1522"/>
    </row>
    <row r="95" spans="1:43" s="1365" customFormat="1" outlineLevel="3">
      <c r="A95" s="22"/>
      <c r="B95" s="22"/>
      <c r="C95" s="22"/>
      <c r="D95" s="707" t="s">
        <v>841</v>
      </c>
      <c r="E95" s="707"/>
      <c r="F95" s="708"/>
      <c r="G95" s="708"/>
      <c r="H95" s="710">
        <f>H83/H$82</f>
        <v>1.7488881651478345E-2</v>
      </c>
      <c r="I95" s="710">
        <f t="shared" si="55"/>
        <v>1.3908661662905138E-2</v>
      </c>
      <c r="J95" s="710">
        <f t="shared" si="55"/>
        <v>1.454991558170461E-2</v>
      </c>
      <c r="K95" s="710">
        <f t="shared" si="55"/>
        <v>1.3775173597703458E-2</v>
      </c>
      <c r="L95" s="710">
        <f t="shared" si="55"/>
        <v>1.6175566332853813E-2</v>
      </c>
      <c r="M95" s="710">
        <f t="shared" si="55"/>
        <v>2.9767203734512027E-2</v>
      </c>
      <c r="N95" s="710">
        <f t="shared" si="55"/>
        <v>2.1327446187756772E-2</v>
      </c>
      <c r="O95" s="710">
        <f t="shared" si="55"/>
        <v>2.5488392097473882E-2</v>
      </c>
      <c r="P95" s="710">
        <f t="shared" si="55"/>
        <v>2.8011005433843342E-2</v>
      </c>
      <c r="Q95" s="710">
        <f t="shared" si="55"/>
        <v>2.970170914842132E-2</v>
      </c>
      <c r="R95" s="710">
        <f t="shared" si="55"/>
        <v>3.1009304869992305E-2</v>
      </c>
      <c r="S95" s="727">
        <f t="shared" si="55"/>
        <v>3.2362816416028839E-2</v>
      </c>
      <c r="T95" s="726"/>
      <c r="U95" s="1521"/>
      <c r="V95" s="1521"/>
      <c r="W95" s="1521"/>
      <c r="X95" s="1521"/>
      <c r="Y95" s="1521"/>
      <c r="Z95" s="1521"/>
      <c r="AA95" s="1523"/>
      <c r="AC95" s="728"/>
      <c r="AD95" s="728"/>
      <c r="AE95" s="728"/>
      <c r="AF95" s="728"/>
      <c r="AG95" s="728"/>
      <c r="AH95" s="728"/>
      <c r="AI95" s="22"/>
      <c r="AK95" s="1521"/>
      <c r="AL95" s="1521"/>
      <c r="AM95" s="1521"/>
      <c r="AN95" s="1521"/>
      <c r="AO95" s="1521"/>
      <c r="AP95" s="1521"/>
      <c r="AQ95" s="1523"/>
    </row>
    <row r="96" spans="1:43" s="1365" customFormat="1" outlineLevel="3">
      <c r="A96" s="22"/>
      <c r="B96" s="22"/>
      <c r="C96" s="22"/>
      <c r="D96" s="715" t="s">
        <v>842</v>
      </c>
      <c r="E96" s="715"/>
      <c r="F96" s="22"/>
      <c r="G96" s="22"/>
      <c r="H96" s="175">
        <f t="shared" ref="H96:S99" si="56">H84/H$82</f>
        <v>4.6203159821864813E-2</v>
      </c>
      <c r="I96" s="175">
        <f t="shared" si="56"/>
        <v>0.10434665764800997</v>
      </c>
      <c r="J96" s="175">
        <f t="shared" si="56"/>
        <v>8.9430039931986213E-2</v>
      </c>
      <c r="K96" s="175">
        <f t="shared" si="56"/>
        <v>0.11487655642173596</v>
      </c>
      <c r="L96" s="175">
        <f t="shared" si="56"/>
        <v>0.1074738884123284</v>
      </c>
      <c r="M96" s="175">
        <f t="shared" si="56"/>
        <v>0.10854019146264145</v>
      </c>
      <c r="N96" s="175">
        <f t="shared" si="56"/>
        <v>0.12882188113154291</v>
      </c>
      <c r="O96" s="175">
        <f t="shared" si="56"/>
        <v>0.14625705575357867</v>
      </c>
      <c r="P96" s="175">
        <f t="shared" si="56"/>
        <v>0.14465904522363748</v>
      </c>
      <c r="Q96" s="175">
        <f t="shared" si="56"/>
        <v>0.13805141009171365</v>
      </c>
      <c r="R96" s="175">
        <f t="shared" si="56"/>
        <v>0.13692257000365662</v>
      </c>
      <c r="S96" s="729">
        <f t="shared" si="56"/>
        <v>0.13575409104061872</v>
      </c>
      <c r="T96" s="726"/>
      <c r="U96" s="1521"/>
      <c r="V96" s="1521"/>
      <c r="W96" s="1521"/>
      <c r="X96" s="1521"/>
      <c r="Y96" s="1521"/>
      <c r="Z96" s="1521"/>
      <c r="AA96" s="1523"/>
      <c r="AC96" s="728"/>
      <c r="AD96" s="728"/>
      <c r="AE96" s="728"/>
      <c r="AF96" s="728"/>
      <c r="AG96" s="728"/>
      <c r="AH96" s="728"/>
      <c r="AI96" s="22"/>
      <c r="AK96" s="1521"/>
      <c r="AL96" s="1521"/>
      <c r="AM96" s="1521"/>
      <c r="AN96" s="1521"/>
      <c r="AO96" s="1521"/>
      <c r="AP96" s="1521"/>
      <c r="AQ96" s="1523"/>
    </row>
    <row r="97" spans="1:43" s="1365" customFormat="1" outlineLevel="3">
      <c r="A97" s="22"/>
      <c r="B97" s="22"/>
      <c r="C97" s="22"/>
      <c r="D97" s="715" t="s">
        <v>843</v>
      </c>
      <c r="E97" s="715"/>
      <c r="F97" s="22"/>
      <c r="G97" s="22"/>
      <c r="H97" s="175">
        <f t="shared" si="56"/>
        <v>0.10780026014795588</v>
      </c>
      <c r="I97" s="175">
        <f t="shared" si="56"/>
        <v>0.11336487623304714</v>
      </c>
      <c r="J97" s="175">
        <f t="shared" si="56"/>
        <v>0.16773667420925131</v>
      </c>
      <c r="K97" s="175">
        <f t="shared" si="56"/>
        <v>9.8016893092058091E-2</v>
      </c>
      <c r="L97" s="175">
        <f t="shared" si="56"/>
        <v>9.2296065600526667E-2</v>
      </c>
      <c r="M97" s="175">
        <f t="shared" si="56"/>
        <v>0.13496946411707589</v>
      </c>
      <c r="N97" s="175">
        <f t="shared" si="56"/>
        <v>9.4034839738671036E-2</v>
      </c>
      <c r="O97" s="175">
        <f t="shared" si="56"/>
        <v>0.10114277914401412</v>
      </c>
      <c r="P97" s="175">
        <f t="shared" si="56"/>
        <v>0.10559533842285378</v>
      </c>
      <c r="Q97" s="175">
        <f t="shared" si="56"/>
        <v>0.11196892009721719</v>
      </c>
      <c r="R97" s="175">
        <f t="shared" si="56"/>
        <v>0.11689826878002949</v>
      </c>
      <c r="S97" s="729">
        <f t="shared" si="56"/>
        <v>0.12200071003657519</v>
      </c>
      <c r="T97" s="726"/>
      <c r="U97" s="1521"/>
      <c r="V97" s="1521"/>
      <c r="W97" s="1521"/>
      <c r="X97" s="1521"/>
      <c r="Y97" s="1521"/>
      <c r="Z97" s="1521"/>
      <c r="AA97" s="1523"/>
      <c r="AC97" s="728"/>
      <c r="AD97" s="728"/>
      <c r="AE97" s="728"/>
      <c r="AF97" s="728"/>
      <c r="AG97" s="728"/>
      <c r="AH97" s="728"/>
      <c r="AI97" s="22"/>
      <c r="AK97" s="1521"/>
      <c r="AL97" s="1521"/>
      <c r="AM97" s="1521"/>
      <c r="AN97" s="1521"/>
      <c r="AO97" s="1521"/>
      <c r="AP97" s="1521"/>
      <c r="AQ97" s="1523"/>
    </row>
    <row r="98" spans="1:43" s="1365" customFormat="1" outlineLevel="3">
      <c r="A98" s="22"/>
      <c r="B98" s="22"/>
      <c r="C98" s="22"/>
      <c r="D98" s="715" t="s">
        <v>844</v>
      </c>
      <c r="E98" s="715"/>
      <c r="F98" s="22"/>
      <c r="G98" s="22"/>
      <c r="H98" s="175">
        <f t="shared" si="56"/>
        <v>0.82642879596298513</v>
      </c>
      <c r="I98" s="175">
        <f t="shared" si="56"/>
        <v>0.76478038049121688</v>
      </c>
      <c r="J98" s="175">
        <f t="shared" si="56"/>
        <v>0.6954319763180502</v>
      </c>
      <c r="K98" s="175">
        <f t="shared" si="56"/>
        <v>0.7700463147860892</v>
      </c>
      <c r="L98" s="175">
        <f t="shared" si="56"/>
        <v>0.78036490539544123</v>
      </c>
      <c r="M98" s="175">
        <f t="shared" si="56"/>
        <v>0.71589990888967137</v>
      </c>
      <c r="N98" s="175">
        <f t="shared" si="56"/>
        <v>0.74829766796116126</v>
      </c>
      <c r="O98" s="175">
        <f t="shared" si="56"/>
        <v>0.71543134414540022</v>
      </c>
      <c r="P98" s="175">
        <f t="shared" si="56"/>
        <v>0.70761451222912974</v>
      </c>
      <c r="Q98" s="175">
        <f t="shared" si="56"/>
        <v>0.70530559326784603</v>
      </c>
      <c r="R98" s="175">
        <f t="shared" si="56"/>
        <v>0.69953834157890893</v>
      </c>
      <c r="S98" s="729">
        <f t="shared" si="56"/>
        <v>0.69356857460804677</v>
      </c>
      <c r="T98" s="726"/>
      <c r="U98" s="1521"/>
      <c r="V98" s="1521"/>
      <c r="W98" s="1521"/>
      <c r="X98" s="1521"/>
      <c r="Y98" s="1521"/>
      <c r="Z98" s="1521"/>
      <c r="AA98" s="1523"/>
      <c r="AC98" s="728"/>
      <c r="AD98" s="728"/>
      <c r="AE98" s="728"/>
      <c r="AF98" s="728"/>
      <c r="AG98" s="728"/>
      <c r="AH98" s="728"/>
      <c r="AI98" s="22"/>
      <c r="AK98" s="1521"/>
      <c r="AL98" s="1521"/>
      <c r="AM98" s="1521"/>
      <c r="AN98" s="1521"/>
      <c r="AO98" s="1521"/>
      <c r="AP98" s="1521"/>
      <c r="AQ98" s="1523"/>
    </row>
    <row r="99" spans="1:43" s="1365" customFormat="1" outlineLevel="3">
      <c r="A99" s="22"/>
      <c r="B99" s="22"/>
      <c r="C99" s="22"/>
      <c r="D99" s="719" t="s">
        <v>665</v>
      </c>
      <c r="E99" s="719"/>
      <c r="F99" s="720"/>
      <c r="G99" s="720"/>
      <c r="H99" s="722">
        <f t="shared" si="56"/>
        <v>2.0789024157158646E-3</v>
      </c>
      <c r="I99" s="722">
        <f t="shared" si="56"/>
        <v>3.5994239648207806E-3</v>
      </c>
      <c r="J99" s="722">
        <f t="shared" si="56"/>
        <v>3.2851393959007713E-2</v>
      </c>
      <c r="K99" s="722">
        <f t="shared" si="56"/>
        <v>3.2850621024132672E-3</v>
      </c>
      <c r="L99" s="722">
        <f t="shared" si="56"/>
        <v>3.6895742588499095E-3</v>
      </c>
      <c r="M99" s="722">
        <f t="shared" si="56"/>
        <v>1.0823231796099128E-2</v>
      </c>
      <c r="N99" s="722">
        <f t="shared" si="56"/>
        <v>7.5181649808677741E-3</v>
      </c>
      <c r="O99" s="722">
        <f t="shared" si="56"/>
        <v>1.1680428859533014E-2</v>
      </c>
      <c r="P99" s="722">
        <f t="shared" si="56"/>
        <v>1.4120098690535637E-2</v>
      </c>
      <c r="Q99" s="722">
        <f t="shared" si="56"/>
        <v>1.4972367394801877E-2</v>
      </c>
      <c r="R99" s="722">
        <f t="shared" si="56"/>
        <v>1.5631514767412671E-2</v>
      </c>
      <c r="S99" s="730">
        <f t="shared" si="56"/>
        <v>1.6313807898730416E-2</v>
      </c>
      <c r="T99" s="726"/>
      <c r="U99" s="1521"/>
      <c r="V99" s="1521"/>
      <c r="W99" s="1521"/>
      <c r="X99" s="1521"/>
      <c r="Y99" s="1521"/>
      <c r="Z99" s="1521"/>
      <c r="AA99" s="1523"/>
      <c r="AC99" s="728"/>
      <c r="AD99" s="728"/>
      <c r="AE99" s="728"/>
      <c r="AF99" s="728"/>
      <c r="AG99" s="728"/>
      <c r="AH99" s="728"/>
      <c r="AI99" s="22"/>
      <c r="AK99" s="1521"/>
      <c r="AL99" s="1521"/>
      <c r="AM99" s="1521"/>
      <c r="AN99" s="1521"/>
      <c r="AO99" s="1521"/>
      <c r="AP99" s="1521"/>
      <c r="AQ99" s="1523"/>
    </row>
    <row r="100" spans="1:43" s="1126" customFormat="1" outlineLevel="3">
      <c r="A100" s="18"/>
      <c r="B100" s="18"/>
      <c r="C100" s="18" t="s">
        <v>31</v>
      </c>
      <c r="D100" s="18"/>
      <c r="E100" s="18"/>
      <c r="F100" s="18"/>
      <c r="G100" s="18"/>
      <c r="H100" s="731">
        <f t="shared" ref="H100:M100" si="57">H106/H82</f>
        <v>8.0007188254690761E-2</v>
      </c>
      <c r="I100" s="731">
        <f t="shared" si="57"/>
        <v>0.10460121514607923</v>
      </c>
      <c r="J100" s="731">
        <f t="shared" si="57"/>
        <v>8.8692737304193414E-2</v>
      </c>
      <c r="K100" s="731">
        <f t="shared" si="57"/>
        <v>7.990387309881003E-2</v>
      </c>
      <c r="L100" s="731">
        <f t="shared" si="57"/>
        <v>7.9951544717717357E-2</v>
      </c>
      <c r="M100" s="731">
        <f t="shared" si="57"/>
        <v>5.9041556343194287E-2</v>
      </c>
      <c r="N100" s="731">
        <f t="shared" ref="N100:S100" si="58">N106/N82</f>
        <v>5.9585786356631823E-2</v>
      </c>
      <c r="O100" s="731">
        <f t="shared" si="58"/>
        <v>6.1823267740188495E-2</v>
      </c>
      <c r="P100" s="731">
        <f t="shared" si="58"/>
        <v>6.2263453069107196E-2</v>
      </c>
      <c r="Q100" s="731">
        <f t="shared" si="58"/>
        <v>6.2004611964559177E-2</v>
      </c>
      <c r="R100" s="731">
        <f t="shared" si="58"/>
        <v>6.2099500557669732E-2</v>
      </c>
      <c r="S100" s="731">
        <f t="shared" si="58"/>
        <v>6.2197721134751451E-2</v>
      </c>
      <c r="T100" s="408"/>
      <c r="U100" s="1524">
        <f>$L100*(1+$AA100)</f>
        <v>8.1550575612071699E-2</v>
      </c>
      <c r="V100" s="1524">
        <f>U100*(1+$AA100)</f>
        <v>8.3181587124313131E-2</v>
      </c>
      <c r="W100" s="1524">
        <f t="shared" ref="W100:Z100" si="59">V100*(1+$AA100)</f>
        <v>8.4845218866799396E-2</v>
      </c>
      <c r="X100" s="1524">
        <f t="shared" si="59"/>
        <v>8.6542123244135391E-2</v>
      </c>
      <c r="Y100" s="1524">
        <f t="shared" si="59"/>
        <v>8.8272965709018103E-2</v>
      </c>
      <c r="Z100" s="1524">
        <f t="shared" si="59"/>
        <v>9.0038425023198462E-2</v>
      </c>
      <c r="AA100" s="1525">
        <v>0.02</v>
      </c>
      <c r="AC100" s="733"/>
      <c r="AD100" s="733"/>
      <c r="AE100" s="733"/>
      <c r="AF100" s="733"/>
      <c r="AG100" s="733"/>
      <c r="AH100" s="733"/>
      <c r="AI100" s="219"/>
      <c r="AK100" s="1524"/>
      <c r="AL100" s="1524"/>
      <c r="AM100" s="1524"/>
      <c r="AN100" s="1524"/>
      <c r="AO100" s="1524"/>
      <c r="AP100" s="1524"/>
      <c r="AQ100" s="1525"/>
    </row>
    <row r="101" spans="1:43" outlineLevel="3">
      <c r="D101" s="27" t="s">
        <v>841</v>
      </c>
      <c r="E101" s="28"/>
      <c r="F101" s="28"/>
      <c r="G101" s="28"/>
      <c r="H101" s="693">
        <f t="shared" ref="H101:M105" si="60">IFERROR(H107/H83,"NA")</f>
        <v>0.1254106675878984</v>
      </c>
      <c r="I101" s="693">
        <f t="shared" si="60"/>
        <v>0.22811847197326002</v>
      </c>
      <c r="J101" s="693">
        <f t="shared" si="60"/>
        <v>0.18175971478993291</v>
      </c>
      <c r="K101" s="693">
        <f t="shared" si="60"/>
        <v>0.14089893399754924</v>
      </c>
      <c r="L101" s="693">
        <f t="shared" si="60"/>
        <v>0.13139552857079984</v>
      </c>
      <c r="M101" s="693">
        <f t="shared" si="60"/>
        <v>0.11500037963712331</v>
      </c>
      <c r="N101" s="734">
        <f>CHOOSE(case,U101,AC101,AK101)</f>
        <v>0.11500037963712331</v>
      </c>
      <c r="O101" s="735">
        <f t="shared" ref="O101:S101" si="61">CHOOSE(case,V101,AD101,AL101)</f>
        <v>0.11500037963712331</v>
      </c>
      <c r="P101" s="735">
        <f t="shared" si="61"/>
        <v>0.11500037963712331</v>
      </c>
      <c r="Q101" s="735">
        <f t="shared" si="61"/>
        <v>0.11500037963712331</v>
      </c>
      <c r="R101" s="735">
        <f t="shared" si="61"/>
        <v>0.11500037963712331</v>
      </c>
      <c r="S101" s="736">
        <f t="shared" si="61"/>
        <v>0.11500037963712331</v>
      </c>
      <c r="AC101" s="737">
        <f>M101</f>
        <v>0.11500037963712331</v>
      </c>
      <c r="AD101" s="737">
        <f t="shared" ref="AD101:AH105" si="62">N101</f>
        <v>0.11500037963712331</v>
      </c>
      <c r="AE101" s="737">
        <f t="shared" si="62"/>
        <v>0.11500037963712331</v>
      </c>
      <c r="AF101" s="737">
        <f t="shared" si="62"/>
        <v>0.11500037963712331</v>
      </c>
      <c r="AG101" s="737">
        <f t="shared" si="62"/>
        <v>0.11500037963712331</v>
      </c>
      <c r="AH101" s="737">
        <f t="shared" si="62"/>
        <v>0.11500037963712331</v>
      </c>
      <c r="AI101" s="728"/>
    </row>
    <row r="102" spans="1:43" outlineLevel="3">
      <c r="D102" s="31" t="s">
        <v>842</v>
      </c>
      <c r="H102" s="695">
        <f t="shared" si="60"/>
        <v>0.10811787860167953</v>
      </c>
      <c r="I102" s="695">
        <f t="shared" si="60"/>
        <v>0.1963333479930405</v>
      </c>
      <c r="J102" s="695">
        <f t="shared" si="60"/>
        <v>0.15997576289747104</v>
      </c>
      <c r="K102" s="695">
        <f t="shared" si="60"/>
        <v>0.15239981253265311</v>
      </c>
      <c r="L102" s="695">
        <f t="shared" si="60"/>
        <v>0.15186516677673187</v>
      </c>
      <c r="M102" s="695">
        <f t="shared" si="60"/>
        <v>0.121829281067608</v>
      </c>
      <c r="N102" s="738">
        <f>CHOOSE(case,U102,AC102,AK102)</f>
        <v>0.121829281067608</v>
      </c>
      <c r="O102" s="739">
        <f t="shared" ref="O102:O105" si="63">CHOOSE(case,V102,AD102,AL102)</f>
        <v>0.121829281067608</v>
      </c>
      <c r="P102" s="739">
        <f t="shared" ref="P102:P105" si="64">CHOOSE(case,W102,AE102,AM102)</f>
        <v>0.121829281067608</v>
      </c>
      <c r="Q102" s="739">
        <f t="shared" ref="Q102:Q105" si="65">CHOOSE(case,X102,AF102,AN102)</f>
        <v>0.121829281067608</v>
      </c>
      <c r="R102" s="739">
        <f t="shared" ref="R102:R105" si="66">CHOOSE(case,Y102,AG102,AO102)</f>
        <v>0.121829281067608</v>
      </c>
      <c r="S102" s="740">
        <f t="shared" ref="S102:S105" si="67">CHOOSE(case,Z102,AH102,AP102)</f>
        <v>0.121829281067608</v>
      </c>
      <c r="AC102" s="737">
        <f t="shared" ref="AC102:AC105" si="68">M102</f>
        <v>0.121829281067608</v>
      </c>
      <c r="AD102" s="737">
        <f t="shared" si="62"/>
        <v>0.121829281067608</v>
      </c>
      <c r="AE102" s="737">
        <f t="shared" si="62"/>
        <v>0.121829281067608</v>
      </c>
      <c r="AF102" s="737">
        <f t="shared" si="62"/>
        <v>0.121829281067608</v>
      </c>
      <c r="AG102" s="737">
        <f t="shared" si="62"/>
        <v>0.121829281067608</v>
      </c>
      <c r="AH102" s="737">
        <f t="shared" si="62"/>
        <v>0.121829281067608</v>
      </c>
      <c r="AI102" s="728"/>
    </row>
    <row r="103" spans="1:43" outlineLevel="3">
      <c r="D103" s="31" t="s">
        <v>843</v>
      </c>
      <c r="H103" s="695">
        <f t="shared" si="60"/>
        <v>9.3849447406847974E-2</v>
      </c>
      <c r="I103" s="695">
        <f t="shared" si="60"/>
        <v>0.11083806389570405</v>
      </c>
      <c r="J103" s="695">
        <f t="shared" si="60"/>
        <v>7.4326603143776523E-2</v>
      </c>
      <c r="K103" s="695">
        <f t="shared" si="60"/>
        <v>7.2431623840230705E-2</v>
      </c>
      <c r="L103" s="695">
        <f t="shared" si="60"/>
        <v>7.5111250282231243E-2</v>
      </c>
      <c r="M103" s="695">
        <f t="shared" si="60"/>
        <v>4.3826727338272177E-2</v>
      </c>
      <c r="N103" s="738">
        <f>CHOOSE(case,U103,AC103,AK103)</f>
        <v>4.3826727338272177E-2</v>
      </c>
      <c r="O103" s="739">
        <f t="shared" si="63"/>
        <v>4.3826727338272177E-2</v>
      </c>
      <c r="P103" s="739">
        <f t="shared" si="64"/>
        <v>4.3826727338272177E-2</v>
      </c>
      <c r="Q103" s="739">
        <f t="shared" si="65"/>
        <v>4.3826727338272177E-2</v>
      </c>
      <c r="R103" s="739">
        <f t="shared" si="66"/>
        <v>4.3826727338272177E-2</v>
      </c>
      <c r="S103" s="740">
        <f t="shared" si="67"/>
        <v>4.3826727338272177E-2</v>
      </c>
      <c r="AC103" s="737">
        <f t="shared" si="68"/>
        <v>4.3826727338272177E-2</v>
      </c>
      <c r="AD103" s="737">
        <f t="shared" si="62"/>
        <v>4.3826727338272177E-2</v>
      </c>
      <c r="AE103" s="737">
        <f t="shared" si="62"/>
        <v>4.3826727338272177E-2</v>
      </c>
      <c r="AF103" s="737">
        <f t="shared" si="62"/>
        <v>4.3826727338272177E-2</v>
      </c>
      <c r="AG103" s="737">
        <f t="shared" si="62"/>
        <v>4.3826727338272177E-2</v>
      </c>
      <c r="AH103" s="737">
        <f t="shared" si="62"/>
        <v>4.3826727338272177E-2</v>
      </c>
      <c r="AI103" s="728"/>
    </row>
    <row r="104" spans="1:43" outlineLevel="3">
      <c r="D104" s="31" t="s">
        <v>844</v>
      </c>
      <c r="H104" s="695">
        <f t="shared" si="60"/>
        <v>7.028651952234756E-2</v>
      </c>
      <c r="I104" s="695">
        <f t="shared" si="60"/>
        <v>8.1043076009162621E-2</v>
      </c>
      <c r="J104" s="695">
        <f t="shared" si="60"/>
        <v>6.9819106313170926E-2</v>
      </c>
      <c r="K104" s="695">
        <f t="shared" si="60"/>
        <v>6.5303021055494001E-2</v>
      </c>
      <c r="L104" s="695">
        <f t="shared" si="60"/>
        <v>6.5052919874181991E-2</v>
      </c>
      <c r="M104" s="695">
        <f t="shared" si="60"/>
        <v>4.7717717139393948E-2</v>
      </c>
      <c r="N104" s="738">
        <f>CHOOSE(case,U104,AC104,AK104)</f>
        <v>4.7717717139393948E-2</v>
      </c>
      <c r="O104" s="739">
        <f t="shared" si="63"/>
        <v>4.7717717139393948E-2</v>
      </c>
      <c r="P104" s="739">
        <f t="shared" si="64"/>
        <v>4.7717717139393948E-2</v>
      </c>
      <c r="Q104" s="739">
        <f t="shared" si="65"/>
        <v>4.7717717139393948E-2</v>
      </c>
      <c r="R104" s="739">
        <f t="shared" si="66"/>
        <v>4.7717717139393948E-2</v>
      </c>
      <c r="S104" s="740">
        <f t="shared" si="67"/>
        <v>4.7717717139393948E-2</v>
      </c>
      <c r="AC104" s="737">
        <f t="shared" si="68"/>
        <v>4.7717717139393948E-2</v>
      </c>
      <c r="AD104" s="737">
        <f t="shared" si="62"/>
        <v>4.7717717139393948E-2</v>
      </c>
      <c r="AE104" s="737">
        <f t="shared" si="62"/>
        <v>4.7717717139393948E-2</v>
      </c>
      <c r="AF104" s="737">
        <f t="shared" si="62"/>
        <v>4.7717717139393948E-2</v>
      </c>
      <c r="AG104" s="737">
        <f t="shared" si="62"/>
        <v>4.7717717139393948E-2</v>
      </c>
      <c r="AH104" s="737">
        <f t="shared" si="62"/>
        <v>4.7717717139393948E-2</v>
      </c>
      <c r="AI104" s="728"/>
    </row>
    <row r="105" spans="1:43" ht="15" outlineLevel="3" thickBot="1">
      <c r="C105" s="37"/>
      <c r="D105" s="38" t="s">
        <v>665</v>
      </c>
      <c r="E105" s="37"/>
      <c r="F105" s="37"/>
      <c r="G105" s="37"/>
      <c r="H105" s="697">
        <f t="shared" si="60"/>
        <v>2.2197818066929389</v>
      </c>
      <c r="I105" s="697">
        <f t="shared" si="60"/>
        <v>1.7770526653789922</v>
      </c>
      <c r="J105" s="697">
        <f t="shared" si="60"/>
        <v>0.32631107350921423</v>
      </c>
      <c r="K105" s="697">
        <f t="shared" si="60"/>
        <v>0.93451101558301986</v>
      </c>
      <c r="L105" s="697">
        <f t="shared" si="60"/>
        <v>1.0318586448738292</v>
      </c>
      <c r="M105" s="697">
        <f t="shared" si="60"/>
        <v>0.21422103013854857</v>
      </c>
      <c r="N105" s="741">
        <f>CHOOSE(case,U105,AC105,AK105)</f>
        <v>0.21422103013854857</v>
      </c>
      <c r="O105" s="742">
        <f t="shared" si="63"/>
        <v>0.21422103013854857</v>
      </c>
      <c r="P105" s="742">
        <f t="shared" si="64"/>
        <v>0.21422103013854857</v>
      </c>
      <c r="Q105" s="742">
        <f t="shared" si="65"/>
        <v>0.21422103013854857</v>
      </c>
      <c r="R105" s="742">
        <f t="shared" si="66"/>
        <v>0.21422103013854857</v>
      </c>
      <c r="S105" s="743">
        <f t="shared" si="67"/>
        <v>0.21422103013854857</v>
      </c>
      <c r="AC105" s="737">
        <f t="shared" si="68"/>
        <v>0.21422103013854857</v>
      </c>
      <c r="AD105" s="737">
        <f t="shared" si="62"/>
        <v>0.21422103013854857</v>
      </c>
      <c r="AE105" s="737">
        <f t="shared" si="62"/>
        <v>0.21422103013854857</v>
      </c>
      <c r="AF105" s="737">
        <f t="shared" si="62"/>
        <v>0.21422103013854857</v>
      </c>
      <c r="AG105" s="737">
        <f t="shared" si="62"/>
        <v>0.21422103013854857</v>
      </c>
      <c r="AH105" s="737">
        <f t="shared" si="62"/>
        <v>0.21422103013854857</v>
      </c>
      <c r="AI105" s="728"/>
    </row>
    <row r="106" spans="1:43" outlineLevel="3">
      <c r="C106" s="18" t="s">
        <v>845</v>
      </c>
      <c r="H106" s="23">
        <f>SUM(H107:H111)</f>
        <v>557770.02859000012</v>
      </c>
      <c r="I106" s="23">
        <f t="shared" ref="I106:K106" si="69">SUM(I107:I111)</f>
        <v>639313</v>
      </c>
      <c r="J106" s="23">
        <f t="shared" si="69"/>
        <v>603646.63815999997</v>
      </c>
      <c r="K106" s="23">
        <f t="shared" si="69"/>
        <v>724253.5</v>
      </c>
      <c r="L106" s="23">
        <f>SUM(L107:L111)</f>
        <v>884993.02120000042</v>
      </c>
      <c r="M106" s="23">
        <f>SUM(M107:M111)</f>
        <v>359398.60954999994</v>
      </c>
      <c r="N106" s="23">
        <f>SUM(N107:N111)</f>
        <v>550261.32218727632</v>
      </c>
      <c r="O106" s="23">
        <f t="shared" ref="O106:S106" si="70">SUM(O107:O111)</f>
        <v>477721.38654143573</v>
      </c>
      <c r="P106" s="23">
        <f t="shared" si="70"/>
        <v>437793.86555553041</v>
      </c>
      <c r="Q106" s="23">
        <f t="shared" si="70"/>
        <v>411157.02980591729</v>
      </c>
      <c r="R106" s="23">
        <f t="shared" si="70"/>
        <v>394422.10228288849</v>
      </c>
      <c r="S106" s="23">
        <f t="shared" si="70"/>
        <v>378523.92113601102</v>
      </c>
      <c r="AC106" s="744"/>
      <c r="AD106" s="744"/>
      <c r="AE106" s="744"/>
      <c r="AF106" s="744"/>
      <c r="AG106" s="744"/>
      <c r="AH106" s="744"/>
      <c r="AI106" s="219"/>
    </row>
    <row r="107" spans="1:43" outlineLevel="3">
      <c r="D107" s="27" t="s">
        <v>841</v>
      </c>
      <c r="E107" s="28"/>
      <c r="F107" s="28"/>
      <c r="G107" s="28"/>
      <c r="H107" s="398">
        <v>15290.53512</v>
      </c>
      <c r="I107" s="398">
        <v>19392</v>
      </c>
      <c r="J107" s="398">
        <v>17999.184710000005</v>
      </c>
      <c r="K107" s="398">
        <v>17592.5</v>
      </c>
      <c r="L107" s="398">
        <v>23526.269529999998</v>
      </c>
      <c r="M107" s="399">
        <v>20837.99403999999</v>
      </c>
      <c r="N107" s="29">
        <f>N83*N101</f>
        <v>22649.803631112249</v>
      </c>
      <c r="O107" s="29">
        <f t="shared" ref="O107:R107" si="71">O83*O101</f>
        <v>22649.803631112249</v>
      </c>
      <c r="P107" s="29">
        <f t="shared" si="71"/>
        <v>22649.803631112249</v>
      </c>
      <c r="Q107" s="29">
        <f t="shared" si="71"/>
        <v>22649.803631112249</v>
      </c>
      <c r="R107" s="29">
        <f t="shared" si="71"/>
        <v>22649.803631112249</v>
      </c>
      <c r="S107" s="30">
        <f>S83*S101</f>
        <v>22649.803631112249</v>
      </c>
    </row>
    <row r="108" spans="1:43" outlineLevel="3">
      <c r="D108" s="31" t="s">
        <v>842</v>
      </c>
      <c r="H108" s="400">
        <v>34825.339559999993</v>
      </c>
      <c r="I108" s="400">
        <v>125213</v>
      </c>
      <c r="J108" s="400">
        <v>97371.60805000001</v>
      </c>
      <c r="K108" s="400">
        <v>158686</v>
      </c>
      <c r="L108" s="400">
        <v>180665.03949999993</v>
      </c>
      <c r="M108" s="401">
        <v>80493.508999999933</v>
      </c>
      <c r="N108" s="20">
        <f t="shared" ref="N108:S111" si="72">N84*N102</f>
        <v>144933.11628660007</v>
      </c>
      <c r="O108" s="20">
        <f t="shared" si="72"/>
        <v>137686.46047227006</v>
      </c>
      <c r="P108" s="20">
        <f t="shared" si="72"/>
        <v>123917.81442504305</v>
      </c>
      <c r="Q108" s="20">
        <f t="shared" si="72"/>
        <v>111526.03298253875</v>
      </c>
      <c r="R108" s="20">
        <f t="shared" si="72"/>
        <v>105949.73133341181</v>
      </c>
      <c r="S108" s="32">
        <f t="shared" si="72"/>
        <v>100652.24476674121</v>
      </c>
    </row>
    <row r="109" spans="1:43" outlineLevel="3">
      <c r="D109" s="31" t="s">
        <v>843</v>
      </c>
      <c r="H109" s="400">
        <v>70530.618900000016</v>
      </c>
      <c r="I109" s="400">
        <v>76797</v>
      </c>
      <c r="J109" s="400">
        <v>84852.968580000001</v>
      </c>
      <c r="K109" s="400">
        <v>64350.5</v>
      </c>
      <c r="L109" s="400">
        <v>76736.355040000068</v>
      </c>
      <c r="M109" s="401">
        <v>36007.515889999995</v>
      </c>
      <c r="N109" s="20">
        <f t="shared" si="72"/>
        <v>38058.716931737021</v>
      </c>
      <c r="O109" s="20">
        <f t="shared" si="72"/>
        <v>34252.845238563321</v>
      </c>
      <c r="P109" s="20">
        <f t="shared" si="72"/>
        <v>32540.202976635152</v>
      </c>
      <c r="Q109" s="20">
        <f t="shared" si="72"/>
        <v>32540.202976635152</v>
      </c>
      <c r="R109" s="20">
        <f t="shared" si="72"/>
        <v>32540.202976635152</v>
      </c>
      <c r="S109" s="32">
        <f t="shared" si="72"/>
        <v>32540.202976635152</v>
      </c>
    </row>
    <row r="110" spans="1:43" outlineLevel="3">
      <c r="D110" s="31" t="s">
        <v>844</v>
      </c>
      <c r="H110" s="400">
        <v>404952.09078000009</v>
      </c>
      <c r="I110" s="400">
        <v>378817</v>
      </c>
      <c r="J110" s="400">
        <v>330463.62999000034</v>
      </c>
      <c r="K110" s="400">
        <v>455798.5</v>
      </c>
      <c r="L110" s="400">
        <v>561923.90956000041</v>
      </c>
      <c r="M110" s="401">
        <v>207945.99537000002</v>
      </c>
      <c r="N110" s="20">
        <f t="shared" si="72"/>
        <v>329746.62747936987</v>
      </c>
      <c r="O110" s="20">
        <f t="shared" si="72"/>
        <v>263797.30198349594</v>
      </c>
      <c r="P110" s="20">
        <f t="shared" si="72"/>
        <v>237417.57178514634</v>
      </c>
      <c r="Q110" s="20">
        <f t="shared" si="72"/>
        <v>223172.51747803757</v>
      </c>
      <c r="R110" s="20">
        <f t="shared" si="72"/>
        <v>212013.89160413569</v>
      </c>
      <c r="S110" s="32">
        <f t="shared" si="72"/>
        <v>201413.19702392886</v>
      </c>
    </row>
    <row r="111" spans="1:43" outlineLevel="3">
      <c r="D111" s="33" t="s">
        <v>665</v>
      </c>
      <c r="E111" s="34"/>
      <c r="F111" s="34"/>
      <c r="G111" s="34"/>
      <c r="H111" s="402">
        <v>32171.444230000005</v>
      </c>
      <c r="I111" s="402">
        <v>39094</v>
      </c>
      <c r="J111" s="402">
        <v>72959.246829999654</v>
      </c>
      <c r="K111" s="402">
        <v>27826</v>
      </c>
      <c r="L111" s="402">
        <v>42141.447569999989</v>
      </c>
      <c r="M111" s="403">
        <v>14113.59525</v>
      </c>
      <c r="N111" s="35">
        <f t="shared" si="72"/>
        <v>14873.057858457058</v>
      </c>
      <c r="O111" s="35">
        <f t="shared" si="72"/>
        <v>19334.975215994175</v>
      </c>
      <c r="P111" s="35">
        <f t="shared" si="72"/>
        <v>21268.472737593595</v>
      </c>
      <c r="Q111" s="35">
        <f t="shared" si="72"/>
        <v>21268.472737593595</v>
      </c>
      <c r="R111" s="35">
        <f t="shared" si="72"/>
        <v>21268.472737593595</v>
      </c>
      <c r="S111" s="36">
        <f t="shared" si="72"/>
        <v>21268.472737593595</v>
      </c>
    </row>
    <row r="112" spans="1:43" outlineLevel="3">
      <c r="H112" s="43"/>
      <c r="I112" s="43"/>
      <c r="J112" s="43"/>
      <c r="K112" s="43"/>
    </row>
    <row r="113" spans="1:43" outlineLevel="3">
      <c r="C113" s="1" t="s">
        <v>659</v>
      </c>
      <c r="H113" s="394">
        <v>-487389</v>
      </c>
      <c r="I113" s="394">
        <v>-513975</v>
      </c>
      <c r="J113" s="394">
        <v>-424288</v>
      </c>
      <c r="K113" s="394">
        <v>-520379.4</v>
      </c>
      <c r="L113" s="394">
        <v>-640722.10428689106</v>
      </c>
      <c r="M113" s="394">
        <v>-327301.85096851975</v>
      </c>
      <c r="N113" s="20">
        <f>N114*N82</f>
        <v>-501119.21549664374</v>
      </c>
      <c r="O113" s="20">
        <f t="shared" ref="O113:S113" si="73">O114*O82</f>
        <v>-429554.67063043872</v>
      </c>
      <c r="P113" s="20">
        <f t="shared" si="73"/>
        <v>-389652.64529390307</v>
      </c>
      <c r="Q113" s="20">
        <f t="shared" si="73"/>
        <v>-364458.24809909443</v>
      </c>
      <c r="R113" s="20">
        <f t="shared" si="73"/>
        <v>-348484.02847378491</v>
      </c>
      <c r="S113" s="20">
        <f t="shared" si="73"/>
        <v>-333346.47090462683</v>
      </c>
      <c r="AC113" s="745"/>
      <c r="AD113" s="745"/>
      <c r="AE113" s="745"/>
      <c r="AF113" s="745"/>
      <c r="AG113" s="745"/>
      <c r="AH113" s="745"/>
    </row>
    <row r="114" spans="1:43" outlineLevel="3">
      <c r="D114" s="1" t="s">
        <v>849</v>
      </c>
      <c r="H114" s="744">
        <f>H113/H82</f>
        <v>-6.991165081931866E-2</v>
      </c>
      <c r="I114" s="744">
        <f t="shared" ref="I114:M114" si="74">I113/I82</f>
        <v>-8.4094034619515132E-2</v>
      </c>
      <c r="J114" s="744">
        <f t="shared" si="74"/>
        <v>-6.2339888514954728E-2</v>
      </c>
      <c r="K114" s="744">
        <f t="shared" si="74"/>
        <v>-5.7411292511302885E-2</v>
      </c>
      <c r="L114" s="744">
        <f t="shared" si="74"/>
        <v>-5.7883758114908972E-2</v>
      </c>
      <c r="M114" s="744">
        <f t="shared" si="74"/>
        <v>-5.3768740784460957E-2</v>
      </c>
      <c r="N114" s="746">
        <f>N100/M100*M114</f>
        <v>-5.4264367328408239E-2</v>
      </c>
      <c r="O114" s="744">
        <f>N114*(1+O115)</f>
        <v>-5.5589877614011088E-2</v>
      </c>
      <c r="P114" s="744">
        <f t="shared" ref="P114:S114" si="75">O114*(1+P115)</f>
        <v>-5.5416763692485063E-2</v>
      </c>
      <c r="Q114" s="744">
        <f t="shared" si="75"/>
        <v>-5.4962193547644311E-2</v>
      </c>
      <c r="R114" s="744">
        <f t="shared" si="75"/>
        <v>-5.4866813992654022E-2</v>
      </c>
      <c r="S114" s="744">
        <f t="shared" si="75"/>
        <v>-5.4774321201036077E-2</v>
      </c>
    </row>
    <row r="115" spans="1:43" ht="15" outlineLevel="3" thickBot="1">
      <c r="C115" s="37"/>
      <c r="D115" s="74"/>
      <c r="E115" s="74" t="s">
        <v>151</v>
      </c>
      <c r="F115" s="37"/>
      <c r="G115" s="37"/>
      <c r="H115" s="747"/>
      <c r="I115" s="75">
        <f>I114/H114-1</f>
        <v>0.20286152070489316</v>
      </c>
      <c r="J115" s="75">
        <f t="shared" ref="J115" si="76">J114/I114-1</f>
        <v>-0.25868833863171625</v>
      </c>
      <c r="K115" s="75"/>
      <c r="L115" s="75">
        <f>L114/J114-1</f>
        <v>-7.1481205792929381E-2</v>
      </c>
      <c r="M115" s="75"/>
      <c r="N115" s="748">
        <f>N114/L114-1</f>
        <v>-6.2528607408586567E-2</v>
      </c>
      <c r="O115" s="749">
        <f>CHOOSE(case,V115,AD115,AL115)</f>
        <v>2.442690020839744E-2</v>
      </c>
      <c r="P115" s="750">
        <f>CHOOSE(case,W115,AE115,AM115)</f>
        <v>-3.1141266891796526E-3</v>
      </c>
      <c r="Q115" s="750">
        <f>CHOOSE(case,X115,AF115,AN115)</f>
        <v>-8.2027551692340772E-3</v>
      </c>
      <c r="R115" s="750">
        <f>CHOOSE(case,Y115,AG115,AO115)</f>
        <v>-1.7353666008181889E-3</v>
      </c>
      <c r="S115" s="751">
        <f>CHOOSE(case,Z115,AH115,AP115)</f>
        <v>-1.6857693182317224E-3</v>
      </c>
      <c r="AC115" s="752"/>
      <c r="AD115" s="753">
        <f>(SUMPRODUCT(O95:O98,各区域分剂型成本优化!K$87:K$90)+O99*O105)/(SUMPRODUCT(N95:N98,各区域分剂型成本优化!J$87:J$90)+N99*N105)-1</f>
        <v>2.442690020839744E-2</v>
      </c>
      <c r="AE115" s="753">
        <f>(SUMPRODUCT(P95:P98,各区域分剂型成本优化!L$87:L$90)+P99*P105)/(SUMPRODUCT(O95:O98,各区域分剂型成本优化!K$87:K$90)+O99*O105)-1</f>
        <v>-3.1141266891796526E-3</v>
      </c>
      <c r="AF115" s="753">
        <f>(SUMPRODUCT(Q95:Q98,各区域分剂型成本优化!M$87:M$90)+Q99*Q105)/(SUMPRODUCT(P95:P98,各区域分剂型成本优化!L$87:L$90)+P99*P105)-1</f>
        <v>-8.2027551692340772E-3</v>
      </c>
      <c r="AG115" s="753">
        <f>(SUMPRODUCT(R95:R98,各区域分剂型成本优化!N$87:N$90)+R99*R105)/(SUMPRODUCT(Q95:Q98,各区域分剂型成本优化!M$87:M$90)+Q99*Q105)-1</f>
        <v>-1.7353666008181889E-3</v>
      </c>
      <c r="AH115" s="753">
        <f>(SUMPRODUCT(S95:S98,各区域分剂型成本优化!O$87:O$90)+S99*S105)/(SUMPRODUCT(R95:R98,各区域分剂型成本优化!N$87:N$90)+R99*R105)-1</f>
        <v>-1.6857693182317224E-3</v>
      </c>
    </row>
    <row r="116" spans="1:43" outlineLevel="3">
      <c r="C116" s="18" t="s">
        <v>846</v>
      </c>
      <c r="D116" s="18"/>
      <c r="E116" s="18"/>
      <c r="F116" s="18"/>
      <c r="G116" s="18"/>
      <c r="H116" s="23">
        <f>H113+H106</f>
        <v>70381.028590000118</v>
      </c>
      <c r="I116" s="23">
        <f t="shared" ref="I116:L116" si="77">I113+I106</f>
        <v>125338</v>
      </c>
      <c r="J116" s="23">
        <f t="shared" si="77"/>
        <v>179358.63815999997</v>
      </c>
      <c r="K116" s="23">
        <f t="shared" si="77"/>
        <v>203874.09999999998</v>
      </c>
      <c r="L116" s="23">
        <f t="shared" si="77"/>
        <v>244270.91691310937</v>
      </c>
      <c r="M116" s="23">
        <f>M113+M106</f>
        <v>32096.758581480186</v>
      </c>
      <c r="N116" s="23">
        <f t="shared" ref="N116:S116" si="78">N113+N106</f>
        <v>49142.106690632587</v>
      </c>
      <c r="O116" s="23">
        <f t="shared" si="78"/>
        <v>48166.715910997009</v>
      </c>
      <c r="P116" s="23">
        <f t="shared" si="78"/>
        <v>48141.220261627343</v>
      </c>
      <c r="Q116" s="23">
        <f t="shared" si="78"/>
        <v>46698.781706822861</v>
      </c>
      <c r="R116" s="23">
        <f t="shared" si="78"/>
        <v>45938.073809103575</v>
      </c>
      <c r="S116" s="23">
        <f t="shared" si="78"/>
        <v>45177.450231384195</v>
      </c>
      <c r="AC116" s="745"/>
      <c r="AD116" s="745"/>
      <c r="AE116" s="745"/>
      <c r="AF116" s="745"/>
      <c r="AG116" s="745"/>
      <c r="AH116" s="745"/>
    </row>
    <row r="117" spans="1:43" outlineLevel="3">
      <c r="C117" s="22" t="s">
        <v>660</v>
      </c>
      <c r="D117" s="22"/>
      <c r="E117" s="22"/>
      <c r="F117" s="22"/>
      <c r="G117" s="22"/>
      <c r="H117" s="56">
        <f>IFERROR(H116/H106,"NA")</f>
        <v>0.12618288000866229</v>
      </c>
      <c r="I117" s="56">
        <f t="shared" ref="I117:L117" si="79">IFERROR(I116/I106,"NA")</f>
        <v>0.19605107357428991</v>
      </c>
      <c r="J117" s="56">
        <f t="shared" si="79"/>
        <v>0.29712521667760855</v>
      </c>
      <c r="K117" s="56">
        <f t="shared" si="79"/>
        <v>0.28149549846842298</v>
      </c>
      <c r="L117" s="56">
        <f t="shared" si="79"/>
        <v>0.27601451204879768</v>
      </c>
      <c r="M117" s="56">
        <f>IFERROR(M116/M106,"NA")</f>
        <v>8.930685241567371E-2</v>
      </c>
      <c r="N117" s="65">
        <f>N116/N106</f>
        <v>8.9306852415673738E-2</v>
      </c>
      <c r="O117" s="65">
        <f t="shared" ref="O117:S117" si="80">O116/O106</f>
        <v>0.10082595686098557</v>
      </c>
      <c r="P117" s="65">
        <f t="shared" si="80"/>
        <v>0.10996321339619373</v>
      </c>
      <c r="Q117" s="65">
        <f t="shared" si="80"/>
        <v>0.11357894507815317</v>
      </c>
      <c r="R117" s="65">
        <f t="shared" si="80"/>
        <v>0.11646931939974232</v>
      </c>
      <c r="S117" s="65">
        <f t="shared" si="80"/>
        <v>0.11935163858548073</v>
      </c>
      <c r="U117" s="1526">
        <f>AC117+1%</f>
        <v>0.01</v>
      </c>
      <c r="V117" s="1526">
        <f t="shared" ref="V117:W117" si="81">U117</f>
        <v>0.01</v>
      </c>
      <c r="W117" s="1526">
        <f t="shared" si="81"/>
        <v>0.01</v>
      </c>
      <c r="X117" s="1526">
        <f>W117</f>
        <v>0.01</v>
      </c>
      <c r="Y117" s="1526">
        <f t="shared" ref="Y117:Z117" si="82">X117</f>
        <v>0.01</v>
      </c>
      <c r="Z117" s="1526">
        <f t="shared" si="82"/>
        <v>0.01</v>
      </c>
      <c r="AC117" s="416"/>
      <c r="AD117" s="416"/>
      <c r="AE117" s="416"/>
      <c r="AF117" s="416"/>
      <c r="AG117" s="416"/>
      <c r="AH117" s="416"/>
      <c r="AK117" s="1526">
        <f>AC117-1%</f>
        <v>-0.01</v>
      </c>
      <c r="AL117" s="1526">
        <f t="shared" ref="AL117:AP117" si="83">AK117</f>
        <v>-0.01</v>
      </c>
      <c r="AM117" s="1526">
        <f t="shared" si="83"/>
        <v>-0.01</v>
      </c>
      <c r="AN117" s="1526">
        <f t="shared" si="83"/>
        <v>-0.01</v>
      </c>
      <c r="AO117" s="1526">
        <f t="shared" si="83"/>
        <v>-0.01</v>
      </c>
      <c r="AP117" s="1526">
        <f t="shared" si="83"/>
        <v>-0.01</v>
      </c>
    </row>
    <row r="118" spans="1:43" outlineLevel="3">
      <c r="AC118" s="14"/>
      <c r="AD118" s="14"/>
      <c r="AE118" s="14"/>
      <c r="AF118" s="14"/>
      <c r="AG118" s="14"/>
      <c r="AH118" s="14"/>
      <c r="AI118" s="14"/>
    </row>
    <row r="119" spans="1:43" s="1126" customFormat="1" outlineLevel="3">
      <c r="A119" s="26" t="s">
        <v>8</v>
      </c>
      <c r="B119" s="26"/>
      <c r="C119" s="26" t="s">
        <v>40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408"/>
      <c r="U119" s="1518"/>
      <c r="V119" s="1518"/>
      <c r="W119" s="1518"/>
      <c r="X119" s="1518"/>
      <c r="Y119" s="1518"/>
      <c r="Z119" s="1518"/>
      <c r="AA119" s="1518"/>
      <c r="AC119" s="397"/>
      <c r="AD119" s="397"/>
      <c r="AE119" s="397"/>
      <c r="AF119" s="397"/>
      <c r="AG119" s="397"/>
      <c r="AH119" s="397"/>
      <c r="AI119" s="397"/>
      <c r="AK119" s="1518"/>
      <c r="AL119" s="1518"/>
      <c r="AM119" s="1518"/>
      <c r="AN119" s="1518"/>
      <c r="AO119" s="1518"/>
      <c r="AP119" s="1518"/>
      <c r="AQ119" s="1518"/>
    </row>
    <row r="120" spans="1:43" outlineLevel="3">
      <c r="AC120" s="14"/>
      <c r="AD120" s="14"/>
      <c r="AE120" s="14"/>
      <c r="AF120" s="14"/>
      <c r="AG120" s="14"/>
      <c r="AH120" s="14"/>
      <c r="AI120" s="14"/>
    </row>
    <row r="121" spans="1:43" s="1126" customFormat="1" outlineLevel="3">
      <c r="A121" s="18"/>
      <c r="B121" s="18"/>
      <c r="C121" s="18" t="s">
        <v>840</v>
      </c>
      <c r="D121" s="18"/>
      <c r="E121" s="18"/>
      <c r="F121" s="18"/>
      <c r="G121" s="18"/>
      <c r="H121" s="23">
        <f>SUM(H122:H126)</f>
        <v>2031116.1939999999</v>
      </c>
      <c r="I121" s="23">
        <f t="shared" ref="I121:K121" si="84">SUM(I122:I126)</f>
        <v>966333.82199999981</v>
      </c>
      <c r="J121" s="23">
        <f t="shared" si="84"/>
        <v>1630329.5640000002</v>
      </c>
      <c r="K121" s="23">
        <f t="shared" si="84"/>
        <v>1508997</v>
      </c>
      <c r="L121" s="23">
        <f>SUM(L122:L126)</f>
        <v>1827009.2500000009</v>
      </c>
      <c r="M121" s="23">
        <f>SUM(M122:M126)</f>
        <v>765529.44000000018</v>
      </c>
      <c r="N121" s="23">
        <f t="shared" ref="N121:S121" si="85">SUM(N122:N126)</f>
        <v>1413797.2020000007</v>
      </c>
      <c r="O121" s="23">
        <f t="shared" si="85"/>
        <v>1301088.0242500007</v>
      </c>
      <c r="P121" s="23">
        <f t="shared" si="85"/>
        <v>1351008.8147000007</v>
      </c>
      <c r="Q121" s="23">
        <f t="shared" si="85"/>
        <v>1408729.2583950006</v>
      </c>
      <c r="R121" s="23">
        <f t="shared" si="85"/>
        <v>1459462.0175095007</v>
      </c>
      <c r="S121" s="23">
        <f t="shared" si="85"/>
        <v>1515300.0427363508</v>
      </c>
      <c r="T121" s="408"/>
      <c r="U121" s="1519">
        <f>$L121*(1+$AA121)</f>
        <v>1827009.2500000009</v>
      </c>
      <c r="V121" s="1519">
        <f>U121*(1+$AA121)</f>
        <v>1827009.2500000009</v>
      </c>
      <c r="W121" s="1519">
        <f t="shared" ref="W121:Z121" si="86">V121*(1+$AA121)</f>
        <v>1827009.2500000009</v>
      </c>
      <c r="X121" s="1519">
        <f>W121*(1+$AA121)</f>
        <v>1827009.2500000009</v>
      </c>
      <c r="Y121" s="1519">
        <f t="shared" si="86"/>
        <v>1827009.2500000009</v>
      </c>
      <c r="Z121" s="1519">
        <f t="shared" si="86"/>
        <v>1827009.2500000009</v>
      </c>
      <c r="AA121" s="1520">
        <f>'回报测算-EVEBITDA（核心假设）'!H200</f>
        <v>0</v>
      </c>
      <c r="AB121" s="1321"/>
      <c r="AC121" s="84"/>
      <c r="AD121" s="84"/>
      <c r="AE121" s="84"/>
      <c r="AF121" s="84"/>
      <c r="AG121" s="84"/>
      <c r="AH121" s="84"/>
      <c r="AI121" s="1473"/>
      <c r="AJ121" s="1321"/>
      <c r="AK121" s="1519">
        <f>$L121*(1+$AQ121)</f>
        <v>1827009.2500000009</v>
      </c>
      <c r="AL121" s="1519">
        <f>AK121*(1+$AQ121)</f>
        <v>1827009.2500000009</v>
      </c>
      <c r="AM121" s="1519">
        <f t="shared" ref="AM121:AN121" si="87">AL121*(1+$AQ121)</f>
        <v>1827009.2500000009</v>
      </c>
      <c r="AN121" s="1519">
        <f t="shared" si="87"/>
        <v>1827009.2500000009</v>
      </c>
      <c r="AO121" s="1519">
        <f>AN121*(1+$AQ121)</f>
        <v>1827009.2500000009</v>
      </c>
      <c r="AP121" s="1519">
        <f t="shared" ref="AP121" si="88">AO121*(1+$AQ121)</f>
        <v>1827009.2500000009</v>
      </c>
      <c r="AQ121" s="1520">
        <f>'回报测算-EVEBITDA（核心假设）'!H202</f>
        <v>0</v>
      </c>
    </row>
    <row r="122" spans="1:43" outlineLevel="3">
      <c r="D122" s="27" t="s">
        <v>841</v>
      </c>
      <c r="E122" s="28"/>
      <c r="F122" s="28"/>
      <c r="G122" s="28"/>
      <c r="H122" s="398">
        <v>0</v>
      </c>
      <c r="I122" s="398">
        <v>0</v>
      </c>
      <c r="J122" s="398">
        <v>0</v>
      </c>
      <c r="K122" s="398"/>
      <c r="L122" s="398">
        <v>1031.2</v>
      </c>
      <c r="M122" s="398">
        <v>1022.6</v>
      </c>
      <c r="N122" s="703">
        <f>L122*(1+N128)</f>
        <v>1753.04</v>
      </c>
      <c r="O122" s="29">
        <f>N122*(1+O128)</f>
        <v>2454.2559999999999</v>
      </c>
      <c r="P122" s="29">
        <f t="shared" ref="P122:S122" si="89">O122*(1+P128)</f>
        <v>3190.5328</v>
      </c>
      <c r="Q122" s="29">
        <f t="shared" si="89"/>
        <v>3828.6393599999997</v>
      </c>
      <c r="R122" s="29">
        <f t="shared" si="89"/>
        <v>4594.3672319999996</v>
      </c>
      <c r="S122" s="30">
        <f t="shared" si="89"/>
        <v>5513.2406783999995</v>
      </c>
    </row>
    <row r="123" spans="1:43" outlineLevel="3">
      <c r="D123" s="31" t="s">
        <v>842</v>
      </c>
      <c r="H123" s="400">
        <v>1213.1999999999998</v>
      </c>
      <c r="I123" s="400">
        <v>1995.8400000000001</v>
      </c>
      <c r="J123" s="400">
        <v>31656.239999999998</v>
      </c>
      <c r="K123" s="400">
        <v>47275</v>
      </c>
      <c r="L123" s="400">
        <v>65544</v>
      </c>
      <c r="M123" s="400">
        <v>47967.359999999986</v>
      </c>
      <c r="N123" s="704">
        <f t="shared" ref="N123:N126" si="90">L123*(1+N129)</f>
        <v>85207.2</v>
      </c>
      <c r="O123" s="20">
        <f t="shared" ref="O123:S126" si="91">N123*(1+O129)</f>
        <v>106509</v>
      </c>
      <c r="P123" s="20">
        <f t="shared" si="91"/>
        <v>127810.79999999999</v>
      </c>
      <c r="Q123" s="20">
        <f t="shared" si="91"/>
        <v>153372.96</v>
      </c>
      <c r="R123" s="20">
        <f t="shared" si="91"/>
        <v>168710.25599999999</v>
      </c>
      <c r="S123" s="32">
        <f t="shared" si="91"/>
        <v>185581.28160000002</v>
      </c>
    </row>
    <row r="124" spans="1:43" outlineLevel="3">
      <c r="D124" s="31" t="s">
        <v>843</v>
      </c>
      <c r="H124" s="400">
        <v>344151.1</v>
      </c>
      <c r="I124" s="400">
        <v>131553.04999999996</v>
      </c>
      <c r="J124" s="400">
        <v>137376.80000000005</v>
      </c>
      <c r="K124" s="400">
        <v>194715</v>
      </c>
      <c r="L124" s="400">
        <v>230435.65000000002</v>
      </c>
      <c r="M124" s="400">
        <v>95617.400000000023</v>
      </c>
      <c r="N124" s="704">
        <f t="shared" si="90"/>
        <v>253479.21500000005</v>
      </c>
      <c r="O124" s="20">
        <f t="shared" si="91"/>
        <v>278827.13650000008</v>
      </c>
      <c r="P124" s="20">
        <f t="shared" si="91"/>
        <v>306709.85015000013</v>
      </c>
      <c r="Q124" s="20">
        <f t="shared" si="91"/>
        <v>337380.83516500017</v>
      </c>
      <c r="R124" s="20">
        <f t="shared" si="91"/>
        <v>371118.91868150025</v>
      </c>
      <c r="S124" s="32">
        <f t="shared" si="91"/>
        <v>408230.81054965028</v>
      </c>
    </row>
    <row r="125" spans="1:43" outlineLevel="3">
      <c r="D125" s="31" t="s">
        <v>844</v>
      </c>
      <c r="H125" s="400">
        <v>1662359.67</v>
      </c>
      <c r="I125" s="400">
        <v>790060.89999999991</v>
      </c>
      <c r="J125" s="400">
        <v>1419572.1600000001</v>
      </c>
      <c r="K125" s="400">
        <v>1244228</v>
      </c>
      <c r="L125" s="400">
        <v>1506409.7300000009</v>
      </c>
      <c r="M125" s="400">
        <v>609872.20000000019</v>
      </c>
      <c r="N125" s="704">
        <f t="shared" si="90"/>
        <v>1054486.8110000007</v>
      </c>
      <c r="O125" s="20">
        <f t="shared" si="91"/>
        <v>896313.78935000056</v>
      </c>
      <c r="P125" s="20">
        <f t="shared" si="91"/>
        <v>896313.78935000056</v>
      </c>
      <c r="Q125" s="20">
        <f t="shared" si="91"/>
        <v>896313.78935000056</v>
      </c>
      <c r="R125" s="20">
        <f t="shared" si="91"/>
        <v>896313.78935000056</v>
      </c>
      <c r="S125" s="32">
        <f t="shared" si="91"/>
        <v>896313.78935000056</v>
      </c>
    </row>
    <row r="126" spans="1:43" outlineLevel="3">
      <c r="D126" s="33" t="s">
        <v>665</v>
      </c>
      <c r="E126" s="34"/>
      <c r="F126" s="34"/>
      <c r="G126" s="34"/>
      <c r="H126" s="402">
        <v>23392.224000000002</v>
      </c>
      <c r="I126" s="402">
        <v>42724.032000000007</v>
      </c>
      <c r="J126" s="402">
        <v>41724.363999999994</v>
      </c>
      <c r="K126" s="402">
        <v>22779</v>
      </c>
      <c r="L126" s="402">
        <v>23588.670000000002</v>
      </c>
      <c r="M126" s="402">
        <v>11049.880000000001</v>
      </c>
      <c r="N126" s="705">
        <f t="shared" si="90"/>
        <v>18870.936000000002</v>
      </c>
      <c r="O126" s="35">
        <f t="shared" si="91"/>
        <v>16983.842400000001</v>
      </c>
      <c r="P126" s="35">
        <f t="shared" si="91"/>
        <v>16983.842400000001</v>
      </c>
      <c r="Q126" s="35">
        <f t="shared" si="91"/>
        <v>17833.034520000001</v>
      </c>
      <c r="R126" s="35">
        <f t="shared" si="91"/>
        <v>18724.686246000001</v>
      </c>
      <c r="S126" s="36">
        <f t="shared" si="91"/>
        <v>19660.9205583</v>
      </c>
      <c r="AC126" s="448"/>
      <c r="AD126" s="448"/>
      <c r="AE126" s="448"/>
      <c r="AF126" s="448"/>
      <c r="AG126" s="448"/>
      <c r="AH126" s="448"/>
    </row>
    <row r="127" spans="1:43" s="1365" customFormat="1" outlineLevel="3">
      <c r="A127" s="22"/>
      <c r="B127" s="22"/>
      <c r="C127" s="22" t="s">
        <v>847</v>
      </c>
      <c r="D127" s="22"/>
      <c r="E127" s="22"/>
      <c r="F127" s="22"/>
      <c r="G127" s="22"/>
      <c r="H127" s="219"/>
      <c r="I127" s="24">
        <f>I121/H121-1</f>
        <v>-0.52423508568609245</v>
      </c>
      <c r="J127" s="24">
        <f t="shared" ref="J127" si="92">J121/I121-1</f>
        <v>0.68712874048612216</v>
      </c>
      <c r="K127" s="24"/>
      <c r="L127" s="24">
        <f>L121/J121-1</f>
        <v>0.12063799267520414</v>
      </c>
      <c r="M127" s="24"/>
      <c r="N127" s="24">
        <f>N121/L121-1</f>
        <v>-0.22616855825989934</v>
      </c>
      <c r="O127" s="24">
        <f>O121/N121-1</f>
        <v>-7.9720894616680638E-2</v>
      </c>
      <c r="P127" s="24">
        <f t="shared" ref="P127:S127" si="93">P121/O121-1</f>
        <v>3.8368495843143613E-2</v>
      </c>
      <c r="Q127" s="24">
        <f t="shared" si="93"/>
        <v>4.2723957880183905E-2</v>
      </c>
      <c r="R127" s="24">
        <f t="shared" si="93"/>
        <v>3.6013136528662226E-2</v>
      </c>
      <c r="S127" s="24">
        <f t="shared" si="93"/>
        <v>3.8259320596869539E-2</v>
      </c>
      <c r="T127" s="726"/>
      <c r="U127" s="1521"/>
      <c r="V127" s="1521"/>
      <c r="W127" s="1521"/>
      <c r="X127" s="1521"/>
      <c r="Y127" s="1521"/>
      <c r="Z127" s="1521"/>
      <c r="AA127" s="1522"/>
      <c r="AC127" s="219"/>
      <c r="AD127" s="219"/>
      <c r="AE127" s="219"/>
      <c r="AF127" s="219"/>
      <c r="AG127" s="219"/>
      <c r="AH127" s="219"/>
      <c r="AI127" s="706"/>
      <c r="AK127" s="1521"/>
      <c r="AL127" s="1521"/>
      <c r="AM127" s="1521"/>
      <c r="AN127" s="1521"/>
      <c r="AO127" s="1521"/>
      <c r="AP127" s="1521"/>
      <c r="AQ127" s="1522"/>
    </row>
    <row r="128" spans="1:43" s="1365" customFormat="1" outlineLevel="3">
      <c r="A128" s="22"/>
      <c r="B128" s="22"/>
      <c r="C128" s="22"/>
      <c r="D128" s="707" t="s">
        <v>841</v>
      </c>
      <c r="E128" s="708"/>
      <c r="F128" s="708"/>
      <c r="G128" s="708"/>
      <c r="H128" s="709"/>
      <c r="I128" s="710"/>
      <c r="J128" s="710"/>
      <c r="K128" s="710"/>
      <c r="L128" s="710"/>
      <c r="M128" s="710"/>
      <c r="N128" s="711">
        <f t="shared" ref="N128:S132" si="94">CHOOSE(case,U128,AC128,AK128)</f>
        <v>0.7</v>
      </c>
      <c r="O128" s="712">
        <f t="shared" si="94"/>
        <v>0.4</v>
      </c>
      <c r="P128" s="712">
        <f t="shared" si="94"/>
        <v>0.3</v>
      </c>
      <c r="Q128" s="712">
        <f t="shared" si="94"/>
        <v>0.2</v>
      </c>
      <c r="R128" s="712">
        <f t="shared" si="94"/>
        <v>0.2</v>
      </c>
      <c r="S128" s="713">
        <f t="shared" si="94"/>
        <v>0.2</v>
      </c>
      <c r="T128" s="726"/>
      <c r="U128" s="1521"/>
      <c r="V128" s="1521"/>
      <c r="W128" s="1521"/>
      <c r="X128" s="1521"/>
      <c r="Y128" s="1521"/>
      <c r="Z128" s="1521"/>
      <c r="AA128" s="1523"/>
      <c r="AC128" s="714">
        <v>0.7</v>
      </c>
      <c r="AD128" s="714">
        <v>0.4</v>
      </c>
      <c r="AE128" s="714">
        <v>0.3</v>
      </c>
      <c r="AF128" s="714">
        <v>0.2</v>
      </c>
      <c r="AG128" s="714">
        <v>0.2</v>
      </c>
      <c r="AH128" s="714">
        <v>0.2</v>
      </c>
      <c r="AI128" s="22"/>
      <c r="AK128" s="1521"/>
      <c r="AL128" s="1521"/>
      <c r="AM128" s="1521"/>
      <c r="AN128" s="1521"/>
      <c r="AO128" s="1521"/>
      <c r="AP128" s="1521"/>
      <c r="AQ128" s="1523"/>
    </row>
    <row r="129" spans="1:43" s="1365" customFormat="1" outlineLevel="3">
      <c r="A129" s="22"/>
      <c r="B129" s="22"/>
      <c r="C129" s="22"/>
      <c r="D129" s="715" t="s">
        <v>842</v>
      </c>
      <c r="E129" s="22"/>
      <c r="F129" s="22"/>
      <c r="G129" s="22"/>
      <c r="H129" s="219"/>
      <c r="I129" s="175">
        <f>I123/H123-1</f>
        <v>0.64510385756676603</v>
      </c>
      <c r="J129" s="175">
        <f t="shared" ref="J129" si="95">J123/I123-1</f>
        <v>14.861111111111109</v>
      </c>
      <c r="K129" s="175"/>
      <c r="L129" s="175">
        <f t="shared" ref="L129:L132" si="96">L123/J123-1</f>
        <v>1.0704922631367468</v>
      </c>
      <c r="M129" s="175"/>
      <c r="N129" s="716">
        <f t="shared" si="94"/>
        <v>0.3</v>
      </c>
      <c r="O129" s="717">
        <f t="shared" si="94"/>
        <v>0.25</v>
      </c>
      <c r="P129" s="717">
        <f t="shared" si="94"/>
        <v>0.2</v>
      </c>
      <c r="Q129" s="717">
        <f t="shared" si="94"/>
        <v>0.2</v>
      </c>
      <c r="R129" s="717">
        <f t="shared" si="94"/>
        <v>0.1</v>
      </c>
      <c r="S129" s="718">
        <f t="shared" si="94"/>
        <v>0.1</v>
      </c>
      <c r="T129" s="726"/>
      <c r="U129" s="1521"/>
      <c r="V129" s="1521"/>
      <c r="W129" s="1521"/>
      <c r="X129" s="1521"/>
      <c r="Y129" s="1521"/>
      <c r="Z129" s="1521"/>
      <c r="AA129" s="1523"/>
      <c r="AC129" s="714">
        <v>0.3</v>
      </c>
      <c r="AD129" s="714">
        <v>0.25</v>
      </c>
      <c r="AE129" s="714">
        <v>0.2</v>
      </c>
      <c r="AF129" s="714">
        <v>0.2</v>
      </c>
      <c r="AG129" s="714">
        <v>0.1</v>
      </c>
      <c r="AH129" s="714">
        <v>0.1</v>
      </c>
      <c r="AI129" s="22"/>
      <c r="AK129" s="1521"/>
      <c r="AL129" s="1521"/>
      <c r="AM129" s="1521"/>
      <c r="AN129" s="1521"/>
      <c r="AO129" s="1521"/>
      <c r="AP129" s="1521"/>
      <c r="AQ129" s="1523"/>
    </row>
    <row r="130" spans="1:43" s="1365" customFormat="1" outlineLevel="3">
      <c r="A130" s="22"/>
      <c r="B130" s="22"/>
      <c r="C130" s="22"/>
      <c r="D130" s="715" t="s">
        <v>843</v>
      </c>
      <c r="E130" s="22"/>
      <c r="F130" s="22"/>
      <c r="G130" s="22"/>
      <c r="H130" s="219"/>
      <c r="I130" s="175">
        <f t="shared" ref="I130:J132" si="97">I124/H124-1</f>
        <v>-0.61774624576239923</v>
      </c>
      <c r="J130" s="175">
        <f t="shared" si="97"/>
        <v>4.4269213066516322E-2</v>
      </c>
      <c r="K130" s="175"/>
      <c r="L130" s="175">
        <f t="shared" si="96"/>
        <v>0.67739858549624055</v>
      </c>
      <c r="M130" s="175"/>
      <c r="N130" s="716">
        <f t="shared" si="94"/>
        <v>0.1</v>
      </c>
      <c r="O130" s="717">
        <f t="shared" si="94"/>
        <v>0.1</v>
      </c>
      <c r="P130" s="717">
        <f t="shared" si="94"/>
        <v>0.1</v>
      </c>
      <c r="Q130" s="717">
        <f t="shared" si="94"/>
        <v>0.1</v>
      </c>
      <c r="R130" s="717">
        <f t="shared" si="94"/>
        <v>0.1</v>
      </c>
      <c r="S130" s="718">
        <f t="shared" si="94"/>
        <v>0.1</v>
      </c>
      <c r="T130" s="726"/>
      <c r="U130" s="1521"/>
      <c r="V130" s="1521"/>
      <c r="W130" s="1521"/>
      <c r="X130" s="1521"/>
      <c r="Y130" s="1521"/>
      <c r="Z130" s="1521"/>
      <c r="AA130" s="1523"/>
      <c r="AC130" s="714">
        <v>0.1</v>
      </c>
      <c r="AD130" s="714">
        <v>0.1</v>
      </c>
      <c r="AE130" s="714">
        <v>0.1</v>
      </c>
      <c r="AF130" s="714">
        <v>0.1</v>
      </c>
      <c r="AG130" s="714">
        <v>0.1</v>
      </c>
      <c r="AH130" s="714">
        <v>0.1</v>
      </c>
      <c r="AI130" s="22"/>
      <c r="AK130" s="1521"/>
      <c r="AL130" s="1521"/>
      <c r="AM130" s="1521"/>
      <c r="AN130" s="1521"/>
      <c r="AO130" s="1521"/>
      <c r="AP130" s="1521"/>
      <c r="AQ130" s="1523"/>
    </row>
    <row r="131" spans="1:43" s="1365" customFormat="1" outlineLevel="3">
      <c r="A131" s="22"/>
      <c r="B131" s="22"/>
      <c r="C131" s="22"/>
      <c r="D131" s="715" t="s">
        <v>844</v>
      </c>
      <c r="E131" s="22"/>
      <c r="F131" s="22"/>
      <c r="G131" s="22"/>
      <c r="H131" s="219"/>
      <c r="I131" s="175">
        <f t="shared" si="97"/>
        <v>-0.52473528186592744</v>
      </c>
      <c r="J131" s="175">
        <f t="shared" si="97"/>
        <v>0.79678827290402587</v>
      </c>
      <c r="K131" s="175"/>
      <c r="L131" s="175">
        <f t="shared" si="96"/>
        <v>6.1171649069252432E-2</v>
      </c>
      <c r="M131" s="175"/>
      <c r="N131" s="716">
        <f t="shared" si="94"/>
        <v>-0.3</v>
      </c>
      <c r="O131" s="717">
        <f t="shared" si="94"/>
        <v>-0.15</v>
      </c>
      <c r="P131" s="717">
        <f t="shared" si="94"/>
        <v>0</v>
      </c>
      <c r="Q131" s="717">
        <f t="shared" si="94"/>
        <v>0</v>
      </c>
      <c r="R131" s="717">
        <f t="shared" si="94"/>
        <v>0</v>
      </c>
      <c r="S131" s="718">
        <f t="shared" si="94"/>
        <v>0</v>
      </c>
      <c r="T131" s="726"/>
      <c r="U131" s="1521"/>
      <c r="V131" s="1521"/>
      <c r="W131" s="1521"/>
      <c r="X131" s="1521"/>
      <c r="Y131" s="1521"/>
      <c r="Z131" s="1521"/>
      <c r="AA131" s="1523"/>
      <c r="AC131" s="714">
        <v>-0.3</v>
      </c>
      <c r="AD131" s="714">
        <v>-0.15</v>
      </c>
      <c r="AE131" s="714">
        <v>0</v>
      </c>
      <c r="AF131" s="714">
        <v>0</v>
      </c>
      <c r="AG131" s="714">
        <v>0</v>
      </c>
      <c r="AH131" s="714">
        <v>0</v>
      </c>
      <c r="AI131" s="22"/>
      <c r="AK131" s="1521"/>
      <c r="AL131" s="1521"/>
      <c r="AM131" s="1521"/>
      <c r="AN131" s="1521"/>
      <c r="AO131" s="1521"/>
      <c r="AP131" s="1521"/>
      <c r="AQ131" s="1523"/>
    </row>
    <row r="132" spans="1:43" s="1365" customFormat="1" outlineLevel="3">
      <c r="A132" s="22"/>
      <c r="B132" s="22"/>
      <c r="C132" s="22"/>
      <c r="D132" s="719" t="s">
        <v>665</v>
      </c>
      <c r="E132" s="720"/>
      <c r="F132" s="720"/>
      <c r="G132" s="720"/>
      <c r="H132" s="721"/>
      <c r="I132" s="722">
        <f t="shared" si="97"/>
        <v>0.82642026683739012</v>
      </c>
      <c r="J132" s="722">
        <f t="shared" si="97"/>
        <v>-2.3398259789712994E-2</v>
      </c>
      <c r="K132" s="722"/>
      <c r="L132" s="722">
        <f t="shared" si="96"/>
        <v>-0.43465477388702667</v>
      </c>
      <c r="M132" s="722"/>
      <c r="N132" s="723">
        <f t="shared" si="94"/>
        <v>-0.2</v>
      </c>
      <c r="O132" s="724">
        <f t="shared" si="94"/>
        <v>-0.1</v>
      </c>
      <c r="P132" s="724">
        <f t="shared" si="94"/>
        <v>0</v>
      </c>
      <c r="Q132" s="724">
        <f t="shared" si="94"/>
        <v>0.05</v>
      </c>
      <c r="R132" s="724">
        <f t="shared" si="94"/>
        <v>0.05</v>
      </c>
      <c r="S132" s="725">
        <f t="shared" si="94"/>
        <v>0.05</v>
      </c>
      <c r="T132" s="726"/>
      <c r="U132" s="1521"/>
      <c r="V132" s="1521"/>
      <c r="W132" s="1521"/>
      <c r="X132" s="1521"/>
      <c r="Y132" s="1521"/>
      <c r="Z132" s="1521"/>
      <c r="AA132" s="1523"/>
      <c r="AC132" s="714">
        <v>-0.2</v>
      </c>
      <c r="AD132" s="714">
        <v>-0.1</v>
      </c>
      <c r="AE132" s="714">
        <v>0</v>
      </c>
      <c r="AF132" s="714">
        <v>0.05</v>
      </c>
      <c r="AG132" s="714">
        <v>0.05</v>
      </c>
      <c r="AH132" s="714">
        <v>0.05</v>
      </c>
      <c r="AI132" s="22"/>
      <c r="AK132" s="1521"/>
      <c r="AL132" s="1521"/>
      <c r="AM132" s="1521"/>
      <c r="AN132" s="1521"/>
      <c r="AO132" s="1521"/>
      <c r="AP132" s="1521"/>
      <c r="AQ132" s="1523"/>
    </row>
    <row r="133" spans="1:43" s="1365" customFormat="1" outlineLevel="3">
      <c r="A133" s="22"/>
      <c r="B133" s="22"/>
      <c r="C133" s="22" t="s">
        <v>848</v>
      </c>
      <c r="D133" s="22"/>
      <c r="E133" s="22"/>
      <c r="F133" s="22"/>
      <c r="G133" s="22"/>
      <c r="H133" s="24">
        <f>H121/H$121</f>
        <v>1</v>
      </c>
      <c r="I133" s="24">
        <f t="shared" ref="I133:S134" si="98">I121/I$121</f>
        <v>1</v>
      </c>
      <c r="J133" s="24">
        <f t="shared" si="98"/>
        <v>1</v>
      </c>
      <c r="K133" s="24">
        <f t="shared" si="98"/>
        <v>1</v>
      </c>
      <c r="L133" s="24">
        <f t="shared" si="98"/>
        <v>1</v>
      </c>
      <c r="M133" s="24">
        <f t="shared" si="98"/>
        <v>1</v>
      </c>
      <c r="N133" s="24">
        <f t="shared" si="98"/>
        <v>1</v>
      </c>
      <c r="O133" s="24">
        <f t="shared" si="98"/>
        <v>1</v>
      </c>
      <c r="P133" s="24">
        <f t="shared" si="98"/>
        <v>1</v>
      </c>
      <c r="Q133" s="24">
        <f t="shared" si="98"/>
        <v>1</v>
      </c>
      <c r="R133" s="24">
        <f t="shared" si="98"/>
        <v>1</v>
      </c>
      <c r="S133" s="24">
        <f t="shared" si="98"/>
        <v>1</v>
      </c>
      <c r="T133" s="726"/>
      <c r="U133" s="1521"/>
      <c r="V133" s="1521"/>
      <c r="W133" s="1521"/>
      <c r="X133" s="1521"/>
      <c r="Y133" s="1521"/>
      <c r="Z133" s="1521"/>
      <c r="AA133" s="1522"/>
      <c r="AC133" s="219"/>
      <c r="AD133" s="219"/>
      <c r="AE133" s="219"/>
      <c r="AF133" s="219"/>
      <c r="AG133" s="219"/>
      <c r="AH133" s="219"/>
      <c r="AI133" s="706"/>
      <c r="AK133" s="1521"/>
      <c r="AL133" s="1521"/>
      <c r="AM133" s="1521"/>
      <c r="AN133" s="1521"/>
      <c r="AO133" s="1521"/>
      <c r="AP133" s="1521"/>
      <c r="AQ133" s="1522"/>
    </row>
    <row r="134" spans="1:43" s="1365" customFormat="1" outlineLevel="3">
      <c r="A134" s="22"/>
      <c r="B134" s="22"/>
      <c r="C134" s="22"/>
      <c r="D134" s="707" t="s">
        <v>841</v>
      </c>
      <c r="E134" s="708"/>
      <c r="F134" s="708"/>
      <c r="G134" s="708"/>
      <c r="H134" s="710">
        <f>H122/H$121</f>
        <v>0</v>
      </c>
      <c r="I134" s="710">
        <f t="shared" si="98"/>
        <v>0</v>
      </c>
      <c r="J134" s="710">
        <f t="shared" si="98"/>
        <v>0</v>
      </c>
      <c r="K134" s="710">
        <f t="shared" si="98"/>
        <v>0</v>
      </c>
      <c r="L134" s="710">
        <f t="shared" si="98"/>
        <v>5.644196930037434E-4</v>
      </c>
      <c r="M134" s="710">
        <f t="shared" si="98"/>
        <v>1.3358075425551235E-3</v>
      </c>
      <c r="N134" s="710">
        <f t="shared" si="98"/>
        <v>1.2399515273619837E-3</v>
      </c>
      <c r="O134" s="710">
        <f t="shared" si="98"/>
        <v>1.8863104987955994E-3</v>
      </c>
      <c r="P134" s="710">
        <f t="shared" si="98"/>
        <v>2.3615928817670049E-3</v>
      </c>
      <c r="Q134" s="710">
        <f t="shared" si="98"/>
        <v>2.717796437593737E-3</v>
      </c>
      <c r="R134" s="710">
        <f t="shared" si="98"/>
        <v>3.1479868450705272E-3</v>
      </c>
      <c r="S134" s="727">
        <f t="shared" si="98"/>
        <v>3.6383821836658233E-3</v>
      </c>
      <c r="T134" s="726"/>
      <c r="U134" s="1521"/>
      <c r="V134" s="1521"/>
      <c r="W134" s="1521"/>
      <c r="X134" s="1521"/>
      <c r="Y134" s="1521"/>
      <c r="Z134" s="1521"/>
      <c r="AA134" s="1523"/>
      <c r="AC134" s="728"/>
      <c r="AD134" s="728"/>
      <c r="AE134" s="728"/>
      <c r="AF134" s="728"/>
      <c r="AG134" s="728"/>
      <c r="AH134" s="728"/>
      <c r="AI134" s="22"/>
      <c r="AK134" s="1521"/>
      <c r="AL134" s="1521"/>
      <c r="AM134" s="1521"/>
      <c r="AN134" s="1521"/>
      <c r="AO134" s="1521"/>
      <c r="AP134" s="1521"/>
      <c r="AQ134" s="1523"/>
    </row>
    <row r="135" spans="1:43" s="1365" customFormat="1" outlineLevel="3">
      <c r="A135" s="22"/>
      <c r="B135" s="22"/>
      <c r="C135" s="22"/>
      <c r="D135" s="715" t="s">
        <v>842</v>
      </c>
      <c r="E135" s="22"/>
      <c r="F135" s="22"/>
      <c r="G135" s="22"/>
      <c r="H135" s="175">
        <f t="shared" ref="H135:S138" si="99">H123/H$121</f>
        <v>5.9730703914618081E-4</v>
      </c>
      <c r="I135" s="175">
        <f t="shared" si="99"/>
        <v>2.0653732225466913E-3</v>
      </c>
      <c r="J135" s="175">
        <f t="shared" si="99"/>
        <v>1.9417080263411081E-2</v>
      </c>
      <c r="K135" s="175">
        <f t="shared" si="99"/>
        <v>3.1328756783479357E-2</v>
      </c>
      <c r="L135" s="175">
        <f t="shared" si="99"/>
        <v>3.5875023621254228E-2</v>
      </c>
      <c r="M135" s="175">
        <f t="shared" si="99"/>
        <v>6.2659066384174553E-2</v>
      </c>
      <c r="N135" s="175">
        <f t="shared" si="99"/>
        <v>6.0268332600646887E-2</v>
      </c>
      <c r="O135" s="175">
        <f t="shared" si="99"/>
        <v>8.1861486705633202E-2</v>
      </c>
      <c r="P135" s="175">
        <f t="shared" si="99"/>
        <v>9.460397194253771E-2</v>
      </c>
      <c r="Q135" s="175">
        <f t="shared" si="99"/>
        <v>0.10887326935676876</v>
      </c>
      <c r="R135" s="175">
        <f t="shared" si="99"/>
        <v>0.11559756538775545</v>
      </c>
      <c r="S135" s="729">
        <f t="shared" si="99"/>
        <v>0.12247164018082825</v>
      </c>
      <c r="T135" s="726"/>
      <c r="U135" s="1521"/>
      <c r="V135" s="1521"/>
      <c r="W135" s="1521"/>
      <c r="X135" s="1521"/>
      <c r="Y135" s="1521"/>
      <c r="Z135" s="1521"/>
      <c r="AA135" s="1523"/>
      <c r="AC135" s="728"/>
      <c r="AD135" s="728"/>
      <c r="AE135" s="728"/>
      <c r="AF135" s="728"/>
      <c r="AG135" s="728"/>
      <c r="AH135" s="728"/>
      <c r="AI135" s="22"/>
      <c r="AK135" s="1521"/>
      <c r="AL135" s="1521"/>
      <c r="AM135" s="1521"/>
      <c r="AN135" s="1521"/>
      <c r="AO135" s="1521"/>
      <c r="AP135" s="1521"/>
      <c r="AQ135" s="1523"/>
    </row>
    <row r="136" spans="1:43" s="1365" customFormat="1" outlineLevel="3">
      <c r="A136" s="22"/>
      <c r="B136" s="22"/>
      <c r="C136" s="22"/>
      <c r="D136" s="715" t="s">
        <v>843</v>
      </c>
      <c r="E136" s="22"/>
      <c r="F136" s="22"/>
      <c r="G136" s="22"/>
      <c r="H136" s="175">
        <f t="shared" si="99"/>
        <v>0.16943939544996803</v>
      </c>
      <c r="I136" s="175">
        <f t="shared" si="99"/>
        <v>0.13613623677967465</v>
      </c>
      <c r="J136" s="175">
        <f t="shared" si="99"/>
        <v>8.4263208515306068E-2</v>
      </c>
      <c r="K136" s="175">
        <f t="shared" si="99"/>
        <v>0.12903604182115669</v>
      </c>
      <c r="L136" s="175">
        <f t="shared" si="99"/>
        <v>0.12612724867156525</v>
      </c>
      <c r="M136" s="175">
        <f t="shared" si="99"/>
        <v>0.12490362225651309</v>
      </c>
      <c r="N136" s="175">
        <f t="shared" si="99"/>
        <v>0.1792896567070727</v>
      </c>
      <c r="O136" s="175">
        <f t="shared" si="99"/>
        <v>0.21430305352378232</v>
      </c>
      <c r="P136" s="175">
        <f t="shared" si="99"/>
        <v>0.2270228342056427</v>
      </c>
      <c r="Q136" s="175">
        <f t="shared" si="99"/>
        <v>0.23949302760232746</v>
      </c>
      <c r="R136" s="175">
        <f t="shared" si="99"/>
        <v>0.25428473932798623</v>
      </c>
      <c r="S136" s="729">
        <f t="shared" si="99"/>
        <v>0.26940592558320076</v>
      </c>
      <c r="T136" s="726"/>
      <c r="U136" s="1521"/>
      <c r="V136" s="1521"/>
      <c r="W136" s="1521"/>
      <c r="X136" s="1521"/>
      <c r="Y136" s="1521"/>
      <c r="Z136" s="1521"/>
      <c r="AA136" s="1523"/>
      <c r="AC136" s="728"/>
      <c r="AD136" s="728"/>
      <c r="AE136" s="728"/>
      <c r="AF136" s="728"/>
      <c r="AG136" s="728"/>
      <c r="AH136" s="728"/>
      <c r="AI136" s="22"/>
      <c r="AK136" s="1521"/>
      <c r="AL136" s="1521"/>
      <c r="AM136" s="1521"/>
      <c r="AN136" s="1521"/>
      <c r="AO136" s="1521"/>
      <c r="AP136" s="1521"/>
      <c r="AQ136" s="1523"/>
    </row>
    <row r="137" spans="1:43" s="1365" customFormat="1" outlineLevel="3">
      <c r="A137" s="22"/>
      <c r="B137" s="22"/>
      <c r="C137" s="22"/>
      <c r="D137" s="715" t="s">
        <v>844</v>
      </c>
      <c r="E137" s="22"/>
      <c r="F137" s="22"/>
      <c r="G137" s="22"/>
      <c r="H137" s="175">
        <f t="shared" si="99"/>
        <v>0.81844636703241214</v>
      </c>
      <c r="I137" s="175">
        <f t="shared" si="99"/>
        <v>0.81758589217629607</v>
      </c>
      <c r="J137" s="175">
        <f t="shared" si="99"/>
        <v>0.87072711637338618</v>
      </c>
      <c r="K137" s="175">
        <f t="shared" si="99"/>
        <v>0.82453974394912644</v>
      </c>
      <c r="L137" s="175">
        <f t="shared" si="99"/>
        <v>0.82452222395699426</v>
      </c>
      <c r="M137" s="175">
        <f t="shared" si="99"/>
        <v>0.79666720590131723</v>
      </c>
      <c r="N137" s="175">
        <f t="shared" si="99"/>
        <v>0.74585436264005289</v>
      </c>
      <c r="O137" s="175">
        <f t="shared" si="99"/>
        <v>0.68889558019463881</v>
      </c>
      <c r="P137" s="175">
        <f t="shared" si="99"/>
        <v>0.66344037107487874</v>
      </c>
      <c r="Q137" s="175">
        <f t="shared" si="99"/>
        <v>0.63625695569863627</v>
      </c>
      <c r="R137" s="175">
        <f t="shared" si="99"/>
        <v>0.61413985331356236</v>
      </c>
      <c r="S137" s="729">
        <f t="shared" si="99"/>
        <v>0.59150911639349268</v>
      </c>
      <c r="T137" s="726"/>
      <c r="U137" s="1521"/>
      <c r="V137" s="1521"/>
      <c r="W137" s="1521"/>
      <c r="X137" s="1521"/>
      <c r="Y137" s="1521"/>
      <c r="Z137" s="1521"/>
      <c r="AA137" s="1523"/>
      <c r="AC137" s="728"/>
      <c r="AD137" s="728"/>
      <c r="AE137" s="728"/>
      <c r="AF137" s="728"/>
      <c r="AG137" s="728"/>
      <c r="AH137" s="728"/>
      <c r="AI137" s="22"/>
      <c r="AK137" s="1521"/>
      <c r="AL137" s="1521"/>
      <c r="AM137" s="1521"/>
      <c r="AN137" s="1521"/>
      <c r="AO137" s="1521"/>
      <c r="AP137" s="1521"/>
      <c r="AQ137" s="1523"/>
    </row>
    <row r="138" spans="1:43" s="1365" customFormat="1" outlineLevel="3">
      <c r="A138" s="22"/>
      <c r="B138" s="22"/>
      <c r="C138" s="22"/>
      <c r="D138" s="719" t="s">
        <v>665</v>
      </c>
      <c r="E138" s="720"/>
      <c r="F138" s="720"/>
      <c r="G138" s="720"/>
      <c r="H138" s="722">
        <f t="shared" si="99"/>
        <v>1.1516930478473651E-2</v>
      </c>
      <c r="I138" s="722">
        <f t="shared" si="99"/>
        <v>4.4212497821482663E-2</v>
      </c>
      <c r="J138" s="722">
        <f t="shared" si="99"/>
        <v>2.5592594847896648E-2</v>
      </c>
      <c r="K138" s="722">
        <f t="shared" si="99"/>
        <v>1.5095457446237468E-2</v>
      </c>
      <c r="L138" s="722">
        <f t="shared" si="99"/>
        <v>1.2911084057182519E-2</v>
      </c>
      <c r="M138" s="722">
        <f t="shared" si="99"/>
        <v>1.4434297915440063E-2</v>
      </c>
      <c r="N138" s="722">
        <f t="shared" si="99"/>
        <v>1.3347696524865517E-2</v>
      </c>
      <c r="O138" s="722">
        <f t="shared" si="99"/>
        <v>1.3053569077150003E-2</v>
      </c>
      <c r="P138" s="722">
        <f t="shared" si="99"/>
        <v>1.2571229895173824E-2</v>
      </c>
      <c r="Q138" s="722">
        <f t="shared" si="99"/>
        <v>1.2658950904673911E-2</v>
      </c>
      <c r="R138" s="722">
        <f t="shared" si="99"/>
        <v>1.2829855125625501E-2</v>
      </c>
      <c r="S138" s="730">
        <f t="shared" si="99"/>
        <v>1.2974935658812511E-2</v>
      </c>
      <c r="T138" s="726"/>
      <c r="U138" s="1521"/>
      <c r="V138" s="1521"/>
      <c r="W138" s="1521"/>
      <c r="X138" s="1521"/>
      <c r="Y138" s="1521"/>
      <c r="Z138" s="1521"/>
      <c r="AA138" s="1523"/>
      <c r="AC138" s="728"/>
      <c r="AD138" s="728"/>
      <c r="AE138" s="728"/>
      <c r="AF138" s="728"/>
      <c r="AG138" s="728"/>
      <c r="AH138" s="728"/>
      <c r="AI138" s="22"/>
      <c r="AK138" s="1521"/>
      <c r="AL138" s="1521"/>
      <c r="AM138" s="1521"/>
      <c r="AN138" s="1521"/>
      <c r="AO138" s="1521"/>
      <c r="AP138" s="1521"/>
      <c r="AQ138" s="1523"/>
    </row>
    <row r="139" spans="1:43" outlineLevel="3">
      <c r="C139" s="1" t="s">
        <v>31</v>
      </c>
      <c r="H139" s="731">
        <f>H145/H121</f>
        <v>4.2604160340814066E-2</v>
      </c>
      <c r="I139" s="731">
        <f t="shared" ref="I139:S139" si="100">I145/I121</f>
        <v>5.0744368957832055E-2</v>
      </c>
      <c r="J139" s="731">
        <f t="shared" si="100"/>
        <v>5.0389811860149764E-2</v>
      </c>
      <c r="K139" s="731">
        <f t="shared" si="100"/>
        <v>5.5214821500639166E-2</v>
      </c>
      <c r="L139" s="731">
        <f t="shared" si="100"/>
        <v>5.4523096842558384E-2</v>
      </c>
      <c r="M139" s="731">
        <f t="shared" si="100"/>
        <v>6.1215805508407363E-2</v>
      </c>
      <c r="N139" s="731">
        <f t="shared" si="100"/>
        <v>6.5737276660679161E-2</v>
      </c>
      <c r="O139" s="731">
        <f t="shared" si="100"/>
        <v>7.192021701234802E-2</v>
      </c>
      <c r="P139" s="731">
        <f t="shared" si="100"/>
        <v>7.483749255750044E-2</v>
      </c>
      <c r="Q139" s="731">
        <f t="shared" si="100"/>
        <v>7.7970747730728235E-2</v>
      </c>
      <c r="R139" s="731">
        <f t="shared" si="100"/>
        <v>8.0274373584927644E-2</v>
      </c>
      <c r="S139" s="731">
        <f t="shared" si="100"/>
        <v>8.2630167693248255E-2</v>
      </c>
      <c r="T139" s="408"/>
      <c r="U139" s="1524">
        <f>$L139*(1+$AA139)</f>
        <v>5.5613558779409551E-2</v>
      </c>
      <c r="V139" s="1524">
        <f>U139*(1+$AA139)</f>
        <v>5.6725829954997746E-2</v>
      </c>
      <c r="W139" s="1524">
        <f>V139*(1+$AA139)</f>
        <v>5.7860346554097705E-2</v>
      </c>
      <c r="X139" s="1524">
        <f t="shared" ref="X139:Z139" si="101">W139*(1+$AA139)</f>
        <v>5.9017553485179661E-2</v>
      </c>
      <c r="Y139" s="1524">
        <f t="shared" si="101"/>
        <v>6.0197904554883254E-2</v>
      </c>
      <c r="Z139" s="1524">
        <f t="shared" si="101"/>
        <v>6.1401862645980923E-2</v>
      </c>
      <c r="AA139" s="1525">
        <v>0.02</v>
      </c>
      <c r="AB139" s="1126"/>
      <c r="AC139" s="733"/>
      <c r="AD139" s="733"/>
      <c r="AE139" s="733"/>
      <c r="AF139" s="733"/>
      <c r="AG139" s="733"/>
      <c r="AH139" s="733"/>
      <c r="AI139" s="702"/>
      <c r="AK139" s="1529">
        <f>$L139*(1+$AQ139)</f>
        <v>5.4523096842558384E-2</v>
      </c>
      <c r="AL139" s="1529">
        <f>AK139*(1+$AQ139)</f>
        <v>5.4523096842558384E-2</v>
      </c>
      <c r="AM139" s="1529">
        <f t="shared" ref="AM139:AN139" si="102">AL139*(1+$AQ139)</f>
        <v>5.4523096842558384E-2</v>
      </c>
      <c r="AN139" s="1529">
        <f t="shared" si="102"/>
        <v>5.4523096842558384E-2</v>
      </c>
      <c r="AO139" s="1529">
        <f>AN139*(1+$AQ139)</f>
        <v>5.4523096842558384E-2</v>
      </c>
      <c r="AP139" s="1529">
        <f t="shared" ref="AP139" si="103">AO139*(1+$AQ139)</f>
        <v>5.4523096842558384E-2</v>
      </c>
      <c r="AQ139" s="1520">
        <v>0</v>
      </c>
    </row>
    <row r="140" spans="1:43" outlineLevel="3">
      <c r="D140" s="27" t="s">
        <v>841</v>
      </c>
      <c r="E140" s="28"/>
      <c r="F140" s="28"/>
      <c r="G140" s="28"/>
      <c r="H140" s="693" t="str">
        <f>IFERROR(H146/H122,"NA")</f>
        <v>NA</v>
      </c>
      <c r="I140" s="693" t="str">
        <f t="shared" ref="I140:M144" si="104">IFERROR(I146/I122,"NA")</f>
        <v>NA</v>
      </c>
      <c r="J140" s="693" t="str">
        <f t="shared" si="104"/>
        <v>NA</v>
      </c>
      <c r="K140" s="693" t="str">
        <f t="shared" si="104"/>
        <v>NA</v>
      </c>
      <c r="L140" s="693">
        <f t="shared" si="104"/>
        <v>0.10892173196276182</v>
      </c>
      <c r="M140" s="693">
        <f t="shared" si="104"/>
        <v>9.0560541756307442E-2</v>
      </c>
      <c r="N140" s="734">
        <f>CHOOSE(case,U140,AC140,AK140)</f>
        <v>9.0560541756307442E-2</v>
      </c>
      <c r="O140" s="735">
        <f t="shared" ref="O140:S144" si="105">CHOOSE(case,V140,AD140,AL140)</f>
        <v>9.0560541756307442E-2</v>
      </c>
      <c r="P140" s="735">
        <f t="shared" si="105"/>
        <v>9.0560541756307442E-2</v>
      </c>
      <c r="Q140" s="735">
        <f t="shared" si="105"/>
        <v>9.0560541756307442E-2</v>
      </c>
      <c r="R140" s="735">
        <f t="shared" si="105"/>
        <v>9.0560541756307442E-2</v>
      </c>
      <c r="S140" s="736">
        <f t="shared" si="105"/>
        <v>9.0560541756307442E-2</v>
      </c>
      <c r="AC140" s="737">
        <f>M140</f>
        <v>9.0560541756307442E-2</v>
      </c>
      <c r="AD140" s="737">
        <f>AC140</f>
        <v>9.0560541756307442E-2</v>
      </c>
      <c r="AE140" s="737">
        <f t="shared" ref="AE140:AH140" si="106">AD140</f>
        <v>9.0560541756307442E-2</v>
      </c>
      <c r="AF140" s="737">
        <f t="shared" si="106"/>
        <v>9.0560541756307442E-2</v>
      </c>
      <c r="AG140" s="737">
        <f t="shared" si="106"/>
        <v>9.0560541756307442E-2</v>
      </c>
      <c r="AH140" s="737">
        <f t="shared" si="106"/>
        <v>9.0560541756307442E-2</v>
      </c>
    </row>
    <row r="141" spans="1:43" outlineLevel="3">
      <c r="D141" s="31" t="s">
        <v>842</v>
      </c>
      <c r="H141" s="695">
        <f>IFERROR(H147/H123,"NA")</f>
        <v>0.19535113748763602</v>
      </c>
      <c r="I141" s="695">
        <f t="shared" ref="I141:J144" si="107">IFERROR(I147/I123,"NA")</f>
        <v>0.1984126984126984</v>
      </c>
      <c r="J141" s="695">
        <f t="shared" si="107"/>
        <v>0.19582237182937709</v>
      </c>
      <c r="K141" s="695">
        <f t="shared" si="104"/>
        <v>0.16096245372818616</v>
      </c>
      <c r="L141" s="695">
        <f t="shared" si="104"/>
        <v>0.15984673501769803</v>
      </c>
      <c r="M141" s="695">
        <f t="shared" si="104"/>
        <v>0.17923696655392343</v>
      </c>
      <c r="N141" s="738">
        <f>CHOOSE(case,U141,AC141,AK141)</f>
        <v>0.17923696655392343</v>
      </c>
      <c r="O141" s="739">
        <f t="shared" si="105"/>
        <v>0.17923696655392343</v>
      </c>
      <c r="P141" s="739">
        <f t="shared" si="105"/>
        <v>0.17923696655392343</v>
      </c>
      <c r="Q141" s="739">
        <f t="shared" si="105"/>
        <v>0.17923696655392343</v>
      </c>
      <c r="R141" s="739">
        <f t="shared" si="105"/>
        <v>0.17923696655392343</v>
      </c>
      <c r="S141" s="740">
        <f t="shared" si="105"/>
        <v>0.17923696655392343</v>
      </c>
      <c r="AC141" s="737">
        <f t="shared" ref="AC141:AC144" si="108">M141</f>
        <v>0.17923696655392343</v>
      </c>
      <c r="AD141" s="737">
        <f t="shared" ref="AD141:AH144" si="109">AC141</f>
        <v>0.17923696655392343</v>
      </c>
      <c r="AE141" s="737">
        <f t="shared" si="109"/>
        <v>0.17923696655392343</v>
      </c>
      <c r="AF141" s="737">
        <f t="shared" si="109"/>
        <v>0.17923696655392343</v>
      </c>
      <c r="AG141" s="737">
        <f t="shared" si="109"/>
        <v>0.17923696655392343</v>
      </c>
      <c r="AH141" s="737">
        <f t="shared" si="109"/>
        <v>0.17923696655392343</v>
      </c>
    </row>
    <row r="142" spans="1:43" outlineLevel="3">
      <c r="D142" s="31" t="s">
        <v>843</v>
      </c>
      <c r="H142" s="695">
        <f>IFERROR(H148/H124,"NA")</f>
        <v>7.8212738532580608E-2</v>
      </c>
      <c r="I142" s="695">
        <f t="shared" si="107"/>
        <v>0.11842370815423896</v>
      </c>
      <c r="J142" s="695">
        <f t="shared" si="107"/>
        <v>0.15909527664059719</v>
      </c>
      <c r="K142" s="695">
        <f t="shared" si="104"/>
        <v>0.14334026654340959</v>
      </c>
      <c r="L142" s="695">
        <f t="shared" si="104"/>
        <v>0.14169128991108793</v>
      </c>
      <c r="M142" s="695">
        <f t="shared" si="104"/>
        <v>0.13079183987433249</v>
      </c>
      <c r="N142" s="738">
        <f>CHOOSE(case,U142,AC142,AK142)</f>
        <v>0.13079183987433249</v>
      </c>
      <c r="O142" s="739">
        <f t="shared" si="105"/>
        <v>0.13079183987433249</v>
      </c>
      <c r="P142" s="739">
        <f t="shared" si="105"/>
        <v>0.13079183987433249</v>
      </c>
      <c r="Q142" s="739">
        <f t="shared" si="105"/>
        <v>0.13079183987433249</v>
      </c>
      <c r="R142" s="739">
        <f t="shared" si="105"/>
        <v>0.13079183987433249</v>
      </c>
      <c r="S142" s="740">
        <f t="shared" si="105"/>
        <v>0.13079183987433249</v>
      </c>
      <c r="AC142" s="737">
        <f t="shared" si="108"/>
        <v>0.13079183987433249</v>
      </c>
      <c r="AD142" s="737">
        <f t="shared" si="109"/>
        <v>0.13079183987433249</v>
      </c>
      <c r="AE142" s="737">
        <f t="shared" si="109"/>
        <v>0.13079183987433249</v>
      </c>
      <c r="AF142" s="737">
        <f t="shared" si="109"/>
        <v>0.13079183987433249</v>
      </c>
      <c r="AG142" s="737">
        <f t="shared" si="109"/>
        <v>0.13079183987433249</v>
      </c>
      <c r="AH142" s="737">
        <f t="shared" si="109"/>
        <v>0.13079183987433249</v>
      </c>
    </row>
    <row r="143" spans="1:43" outlineLevel="3">
      <c r="D143" s="31" t="s">
        <v>844</v>
      </c>
      <c r="H143" s="695">
        <f>IFERROR(H149/H125,"NA")</f>
        <v>3.3623289236799157E-2</v>
      </c>
      <c r="I143" s="695">
        <f t="shared" si="107"/>
        <v>3.613392334692174E-2</v>
      </c>
      <c r="J143" s="695">
        <f t="shared" si="107"/>
        <v>3.5444482089589578E-2</v>
      </c>
      <c r="K143" s="695">
        <f t="shared" si="104"/>
        <v>3.6581719749113506E-2</v>
      </c>
      <c r="L143" s="695">
        <f t="shared" si="104"/>
        <v>3.5907636224574824E-2</v>
      </c>
      <c r="M143" s="695">
        <f t="shared" si="104"/>
        <v>4.0323040105779535E-2</v>
      </c>
      <c r="N143" s="738">
        <f>CHOOSE(case,U143,AC143,AK143)</f>
        <v>4.0323040105779535E-2</v>
      </c>
      <c r="O143" s="739">
        <f t="shared" si="105"/>
        <v>4.0323040105779535E-2</v>
      </c>
      <c r="P143" s="739">
        <f t="shared" si="105"/>
        <v>4.0323040105779535E-2</v>
      </c>
      <c r="Q143" s="739">
        <f t="shared" si="105"/>
        <v>4.0323040105779535E-2</v>
      </c>
      <c r="R143" s="739">
        <f t="shared" si="105"/>
        <v>4.0323040105779535E-2</v>
      </c>
      <c r="S143" s="740">
        <f t="shared" si="105"/>
        <v>4.0323040105779535E-2</v>
      </c>
      <c r="AC143" s="737">
        <f t="shared" si="108"/>
        <v>4.0323040105779535E-2</v>
      </c>
      <c r="AD143" s="737">
        <f t="shared" si="109"/>
        <v>4.0323040105779535E-2</v>
      </c>
      <c r="AE143" s="737">
        <f t="shared" si="109"/>
        <v>4.0323040105779535E-2</v>
      </c>
      <c r="AF143" s="737">
        <f t="shared" si="109"/>
        <v>4.0323040105779535E-2</v>
      </c>
      <c r="AG143" s="737">
        <f t="shared" si="109"/>
        <v>4.0323040105779535E-2</v>
      </c>
      <c r="AH143" s="737">
        <f t="shared" si="109"/>
        <v>4.0323040105779535E-2</v>
      </c>
    </row>
    <row r="144" spans="1:43" ht="15" outlineLevel="3" thickBot="1">
      <c r="C144" s="37"/>
      <c r="D144" s="38" t="s">
        <v>665</v>
      </c>
      <c r="E144" s="37"/>
      <c r="F144" s="37"/>
      <c r="G144" s="37"/>
      <c r="H144" s="697">
        <f>IFERROR(H150/H126,"NA")</f>
        <v>0.14902388075627182</v>
      </c>
      <c r="I144" s="697">
        <f t="shared" si="107"/>
        <v>0.10563141606110582</v>
      </c>
      <c r="J144" s="697">
        <f t="shared" si="107"/>
        <v>9.0618517276860128E-2</v>
      </c>
      <c r="K144" s="697">
        <f t="shared" si="104"/>
        <v>0.10022389042539182</v>
      </c>
      <c r="L144" s="697">
        <f t="shared" si="104"/>
        <v>9.6764705258923014E-2</v>
      </c>
      <c r="M144" s="697">
        <f t="shared" si="104"/>
        <v>9.7240255097792924E-2</v>
      </c>
      <c r="N144" s="741">
        <f>CHOOSE(case,U144,AC144,AK144)</f>
        <v>9.7240255097792924E-2</v>
      </c>
      <c r="O144" s="742">
        <f t="shared" si="105"/>
        <v>9.7240255097792924E-2</v>
      </c>
      <c r="P144" s="742">
        <f t="shared" si="105"/>
        <v>9.7240255097792924E-2</v>
      </c>
      <c r="Q144" s="742">
        <f t="shared" si="105"/>
        <v>9.7240255097792924E-2</v>
      </c>
      <c r="R144" s="742">
        <f t="shared" si="105"/>
        <v>9.7240255097792924E-2</v>
      </c>
      <c r="S144" s="743">
        <f t="shared" si="105"/>
        <v>9.7240255097792924E-2</v>
      </c>
      <c r="AC144" s="737">
        <f t="shared" si="108"/>
        <v>9.7240255097792924E-2</v>
      </c>
      <c r="AD144" s="737">
        <f>AC144</f>
        <v>9.7240255097792924E-2</v>
      </c>
      <c r="AE144" s="737">
        <f t="shared" si="109"/>
        <v>9.7240255097792924E-2</v>
      </c>
      <c r="AF144" s="737">
        <f t="shared" si="109"/>
        <v>9.7240255097792924E-2</v>
      </c>
      <c r="AG144" s="737">
        <f t="shared" si="109"/>
        <v>9.7240255097792924E-2</v>
      </c>
      <c r="AH144" s="737">
        <f t="shared" si="109"/>
        <v>9.7240255097792924E-2</v>
      </c>
    </row>
    <row r="145" spans="1:43" outlineLevel="3">
      <c r="C145" s="18" t="s">
        <v>845</v>
      </c>
      <c r="H145" s="23">
        <f>SUM(H146:H150)</f>
        <v>86534</v>
      </c>
      <c r="I145" s="23">
        <f t="shared" ref="I145:S145" si="110">SUM(I146:I150)</f>
        <v>49036</v>
      </c>
      <c r="J145" s="23">
        <f t="shared" si="110"/>
        <v>82152</v>
      </c>
      <c r="K145" s="23">
        <f t="shared" si="110"/>
        <v>83319</v>
      </c>
      <c r="L145" s="23">
        <f t="shared" si="110"/>
        <v>99614.202270000009</v>
      </c>
      <c r="M145" s="23">
        <f t="shared" si="110"/>
        <v>46862.501310000014</v>
      </c>
      <c r="N145" s="23">
        <f t="shared" si="110"/>
        <v>92939.177809968154</v>
      </c>
      <c r="O145" s="23">
        <f t="shared" si="110"/>
        <v>93574.53305622717</v>
      </c>
      <c r="P145" s="23">
        <f t="shared" si="110"/>
        <v>101106.1121152288</v>
      </c>
      <c r="Q145" s="23">
        <f t="shared" si="110"/>
        <v>109839.67362721247</v>
      </c>
      <c r="R145" s="23">
        <f t="shared" si="110"/>
        <v>117157.39922656988</v>
      </c>
      <c r="S145" s="23">
        <f t="shared" si="110"/>
        <v>125209.49663689092</v>
      </c>
    </row>
    <row r="146" spans="1:43" outlineLevel="3">
      <c r="D146" s="27" t="s">
        <v>841</v>
      </c>
      <c r="E146" s="28"/>
      <c r="F146" s="28"/>
      <c r="G146" s="28"/>
      <c r="H146" s="398"/>
      <c r="I146" s="398"/>
      <c r="J146" s="398"/>
      <c r="K146" s="398"/>
      <c r="L146" s="398">
        <v>112.32008999999999</v>
      </c>
      <c r="M146" s="398">
        <v>92.607209999999995</v>
      </c>
      <c r="N146" s="29">
        <f>N122*N140</f>
        <v>158.7562521204772</v>
      </c>
      <c r="O146" s="29">
        <f t="shared" ref="O146:R146" si="111">O122*O140</f>
        <v>222.25875296866806</v>
      </c>
      <c r="P146" s="29">
        <f t="shared" si="111"/>
        <v>288.93637885926847</v>
      </c>
      <c r="Q146" s="29">
        <f t="shared" si="111"/>
        <v>346.72365463112214</v>
      </c>
      <c r="R146" s="29">
        <f t="shared" si="111"/>
        <v>416.06838555734663</v>
      </c>
      <c r="S146" s="30">
        <f>S122*S140</f>
        <v>499.28206266881591</v>
      </c>
    </row>
    <row r="147" spans="1:43" outlineLevel="3">
      <c r="D147" s="31" t="s">
        <v>842</v>
      </c>
      <c r="H147" s="400">
        <v>237</v>
      </c>
      <c r="I147" s="400">
        <v>396</v>
      </c>
      <c r="J147" s="400">
        <v>6199</v>
      </c>
      <c r="K147" s="400">
        <v>7609.5</v>
      </c>
      <c r="L147" s="400">
        <v>10476.9944</v>
      </c>
      <c r="M147" s="400">
        <v>8597.5241000000024</v>
      </c>
      <c r="N147" s="20">
        <f t="shared" ref="N147:S150" si="112">N123*N141</f>
        <v>15272.280056553464</v>
      </c>
      <c r="O147" s="20">
        <f t="shared" si="112"/>
        <v>19090.350070691831</v>
      </c>
      <c r="P147" s="20">
        <f t="shared" si="112"/>
        <v>22908.420084830195</v>
      </c>
      <c r="Q147" s="20">
        <f t="shared" si="112"/>
        <v>27490.104101796234</v>
      </c>
      <c r="R147" s="20">
        <f t="shared" si="112"/>
        <v>30239.114511975858</v>
      </c>
      <c r="S147" s="32">
        <f t="shared" si="112"/>
        <v>33263.025963173452</v>
      </c>
    </row>
    <row r="148" spans="1:43" outlineLevel="3">
      <c r="D148" s="31" t="s">
        <v>843</v>
      </c>
      <c r="H148" s="400">
        <v>26917</v>
      </c>
      <c r="I148" s="400">
        <v>15579</v>
      </c>
      <c r="J148" s="400">
        <v>21856</v>
      </c>
      <c r="K148" s="400">
        <v>27910.5</v>
      </c>
      <c r="L148" s="400">
        <v>32650.724489999993</v>
      </c>
      <c r="M148" s="400">
        <v>12505.975670000002</v>
      </c>
      <c r="N148" s="20">
        <f t="shared" si="112"/>
        <v>33153.012899751506</v>
      </c>
      <c r="O148" s="20">
        <f t="shared" si="112"/>
        <v>36468.314189726661</v>
      </c>
      <c r="P148" s="20">
        <f t="shared" si="112"/>
        <v>40115.145608699328</v>
      </c>
      <c r="Q148" s="20">
        <f t="shared" si="112"/>
        <v>44126.660169569266</v>
      </c>
      <c r="R148" s="20">
        <f t="shared" si="112"/>
        <v>48539.326186526203</v>
      </c>
      <c r="S148" s="32">
        <f t="shared" si="112"/>
        <v>53393.258805178819</v>
      </c>
    </row>
    <row r="149" spans="1:43" outlineLevel="3">
      <c r="D149" s="31" t="s">
        <v>844</v>
      </c>
      <c r="H149" s="400">
        <v>55894</v>
      </c>
      <c r="I149" s="400">
        <v>28548</v>
      </c>
      <c r="J149" s="400">
        <v>50316</v>
      </c>
      <c r="K149" s="400">
        <v>45516</v>
      </c>
      <c r="L149" s="400">
        <v>54091.612590000012</v>
      </c>
      <c r="M149" s="400">
        <v>24591.901180000004</v>
      </c>
      <c r="N149" s="20">
        <f t="shared" si="112"/>
        <v>42520.113970968596</v>
      </c>
      <c r="O149" s="20">
        <f t="shared" si="112"/>
        <v>36142.096875323303</v>
      </c>
      <c r="P149" s="20">
        <f t="shared" si="112"/>
        <v>36142.096875323303</v>
      </c>
      <c r="Q149" s="20">
        <f t="shared" si="112"/>
        <v>36142.096875323303</v>
      </c>
      <c r="R149" s="20">
        <f t="shared" si="112"/>
        <v>36142.096875323303</v>
      </c>
      <c r="S149" s="32">
        <f t="shared" si="112"/>
        <v>36142.096875323303</v>
      </c>
    </row>
    <row r="150" spans="1:43" outlineLevel="3">
      <c r="D150" s="33" t="s">
        <v>665</v>
      </c>
      <c r="E150" s="34"/>
      <c r="F150" s="34"/>
      <c r="G150" s="34"/>
      <c r="H150" s="402">
        <v>3486</v>
      </c>
      <c r="I150" s="402">
        <v>4513</v>
      </c>
      <c r="J150" s="402">
        <v>3781</v>
      </c>
      <c r="K150" s="402">
        <v>2283</v>
      </c>
      <c r="L150" s="402">
        <v>2282.5506999999998</v>
      </c>
      <c r="M150" s="402">
        <v>1074.4931500000002</v>
      </c>
      <c r="N150" s="35">
        <f t="shared" si="112"/>
        <v>1835.0146305741241</v>
      </c>
      <c r="O150" s="35">
        <f t="shared" si="112"/>
        <v>1651.5131675167117</v>
      </c>
      <c r="P150" s="35">
        <f t="shared" si="112"/>
        <v>1651.5131675167117</v>
      </c>
      <c r="Q150" s="35">
        <f t="shared" si="112"/>
        <v>1734.0888258925472</v>
      </c>
      <c r="R150" s="35">
        <f t="shared" si="112"/>
        <v>1820.7932671871747</v>
      </c>
      <c r="S150" s="36">
        <f t="shared" si="112"/>
        <v>1911.8329305465334</v>
      </c>
    </row>
    <row r="151" spans="1:43" outlineLevel="3">
      <c r="H151" s="43"/>
      <c r="I151" s="43"/>
      <c r="J151" s="43"/>
      <c r="K151" s="43"/>
      <c r="L151" s="43"/>
      <c r="M151" s="43"/>
    </row>
    <row r="152" spans="1:43" outlineLevel="3">
      <c r="C152" s="1" t="s">
        <v>659</v>
      </c>
      <c r="H152" s="394">
        <v>-74917</v>
      </c>
      <c r="I152" s="394">
        <v>-45164</v>
      </c>
      <c r="J152" s="394">
        <v>-59492</v>
      </c>
      <c r="K152" s="394">
        <v>-59645.4</v>
      </c>
      <c r="L152" s="394">
        <v>-72089.488301057849</v>
      </c>
      <c r="M152" s="394">
        <v>-31850.571807836153</v>
      </c>
      <c r="N152" s="20">
        <f>N153*N121</f>
        <v>-63167.049855402649</v>
      </c>
      <c r="O152" s="20">
        <f t="shared" ref="O152:S152" si="113">O153*O121</f>
        <v>-61033.177636179164</v>
      </c>
      <c r="P152" s="20">
        <f t="shared" si="113"/>
        <v>-64791.617966898222</v>
      </c>
      <c r="Q152" s="20">
        <f t="shared" si="113"/>
        <v>-69123.934467967309</v>
      </c>
      <c r="R152" s="20">
        <f t="shared" si="113"/>
        <v>-72590.068236972555</v>
      </c>
      <c r="S152" s="20">
        <f t="shared" si="113"/>
        <v>-76405.727841860382</v>
      </c>
    </row>
    <row r="153" spans="1:43" outlineLevel="3">
      <c r="D153" s="1" t="s">
        <v>849</v>
      </c>
      <c r="H153" s="744">
        <f>H152/H121</f>
        <v>-3.6884645113513387E-2</v>
      </c>
      <c r="I153" s="744">
        <f t="shared" ref="I153:M153" si="114">I152/I121</f>
        <v>-4.6737472053420485E-2</v>
      </c>
      <c r="J153" s="744">
        <f t="shared" si="114"/>
        <v>-3.6490781565683486E-2</v>
      </c>
      <c r="K153" s="744">
        <f t="shared" si="114"/>
        <v>-3.9526519933439232E-2</v>
      </c>
      <c r="L153" s="744">
        <f t="shared" si="114"/>
        <v>-3.945764823087667E-2</v>
      </c>
      <c r="M153" s="744">
        <f t="shared" si="114"/>
        <v>-4.1605939815764818E-2</v>
      </c>
      <c r="N153" s="746">
        <f>N139/M139*M153</f>
        <v>-4.4679003301212231E-2</v>
      </c>
      <c r="O153" s="744">
        <f>N153*(1+O154)</f>
        <v>-4.690933779930926E-2</v>
      </c>
      <c r="P153" s="744">
        <f t="shared" ref="P153:S153" si="115">O153*(1+P154)</f>
        <v>-4.7957953539544872E-2</v>
      </c>
      <c r="Q153" s="744">
        <f t="shared" si="115"/>
        <v>-4.9068289066929643E-2</v>
      </c>
      <c r="R153" s="744">
        <f t="shared" si="115"/>
        <v>-4.9737552170657992E-2</v>
      </c>
      <c r="S153" s="744">
        <f t="shared" si="115"/>
        <v>-5.0422837515325225E-2</v>
      </c>
    </row>
    <row r="154" spans="1:43" ht="15" outlineLevel="3" thickBot="1">
      <c r="C154" s="37"/>
      <c r="D154" s="74"/>
      <c r="E154" s="74" t="s">
        <v>151</v>
      </c>
      <c r="F154" s="37"/>
      <c r="G154" s="37"/>
      <c r="H154" s="747"/>
      <c r="I154" s="75">
        <f>I153/H153-1</f>
        <v>0.26712543687447132</v>
      </c>
      <c r="J154" s="75">
        <f t="shared" ref="J154" si="116">J153/I153-1</f>
        <v>-0.21923929638353412</v>
      </c>
      <c r="K154" s="75"/>
      <c r="L154" s="75">
        <f>L153/J153-1</f>
        <v>8.1304552489587456E-2</v>
      </c>
      <c r="M154" s="75"/>
      <c r="N154" s="748">
        <f>N153/L153-1</f>
        <v>0.13232808604770585</v>
      </c>
      <c r="O154" s="749">
        <f>CHOOSE(case,V154,AD154,AL154)</f>
        <v>4.9919074583217427E-2</v>
      </c>
      <c r="P154" s="750">
        <f>CHOOSE(case,W154,AE154,AM154)</f>
        <v>2.235409386339815E-2</v>
      </c>
      <c r="Q154" s="750">
        <f>CHOOSE(case,X154,AF154,AN154)</f>
        <v>2.3152270800488095E-2</v>
      </c>
      <c r="R154" s="750">
        <f>CHOOSE(case,Y154,AG154,AO154)</f>
        <v>1.3639422047413641E-2</v>
      </c>
      <c r="S154" s="751">
        <f>CHOOSE(case,Z154,AH154,AP154)</f>
        <v>1.377802715975851E-2</v>
      </c>
      <c r="AC154" s="752"/>
      <c r="AD154" s="753">
        <f>(SUMPRODUCT(O134:O137,各区域分剂型成本优化!K$87:K$90)+O138*O144)/(SUMPRODUCT(N134:N137,各区域分剂型成本优化!J$87:J$90)+N138*N144)-1</f>
        <v>4.9919074583217427E-2</v>
      </c>
      <c r="AE154" s="753">
        <f>(SUMPRODUCT(P134:P137,各区域分剂型成本优化!L$87:L$90)+P138*P144)/(SUMPRODUCT(O134:O137,各区域分剂型成本优化!K$87:K$90)+O138*O144)-1</f>
        <v>2.235409386339815E-2</v>
      </c>
      <c r="AF154" s="753">
        <f>(SUMPRODUCT(Q134:Q137,各区域分剂型成本优化!M$87:M$90)+Q138*Q144)/(SUMPRODUCT(P134:P137,各区域分剂型成本优化!L$87:L$90)+P138*P144)-1</f>
        <v>2.3152270800488095E-2</v>
      </c>
      <c r="AG154" s="753">
        <f>(SUMPRODUCT(R134:R137,各区域分剂型成本优化!N$87:N$90)+R138*R144)/(SUMPRODUCT(Q134:Q137,各区域分剂型成本优化!M$87:M$90)+Q138*Q144)-1</f>
        <v>1.3639422047413641E-2</v>
      </c>
      <c r="AH154" s="753">
        <f>(SUMPRODUCT(S134:S137,各区域分剂型成本优化!O$87:O$90)+S138*S144)/(SUMPRODUCT(R134:R137,各区域分剂型成本优化!N$87:N$90)+R138*R144)-1</f>
        <v>1.377802715975851E-2</v>
      </c>
    </row>
    <row r="155" spans="1:43" outlineLevel="3">
      <c r="C155" s="18" t="s">
        <v>846</v>
      </c>
      <c r="D155" s="18"/>
      <c r="E155" s="18"/>
      <c r="F155" s="18"/>
      <c r="G155" s="18"/>
      <c r="H155" s="23">
        <f>H152+H145</f>
        <v>11617</v>
      </c>
      <c r="I155" s="23">
        <f t="shared" ref="I155:S155" si="117">I152+I145</f>
        <v>3872</v>
      </c>
      <c r="J155" s="23">
        <f t="shared" si="117"/>
        <v>22660</v>
      </c>
      <c r="K155" s="23">
        <f t="shared" si="117"/>
        <v>23673.599999999999</v>
      </c>
      <c r="L155" s="23">
        <f t="shared" si="117"/>
        <v>27524.71396894216</v>
      </c>
      <c r="M155" s="23">
        <f t="shared" si="117"/>
        <v>15011.929502163861</v>
      </c>
      <c r="N155" s="23">
        <f t="shared" si="117"/>
        <v>29772.127954565505</v>
      </c>
      <c r="O155" s="23">
        <f t="shared" si="117"/>
        <v>32541.355420048007</v>
      </c>
      <c r="P155" s="23">
        <f t="shared" si="117"/>
        <v>36314.494148330574</v>
      </c>
      <c r="Q155" s="23">
        <f t="shared" si="117"/>
        <v>40715.73915924516</v>
      </c>
      <c r="R155" s="23">
        <f t="shared" si="117"/>
        <v>44567.330989597322</v>
      </c>
      <c r="S155" s="23">
        <f t="shared" si="117"/>
        <v>48803.768795030541</v>
      </c>
      <c r="AC155" s="745"/>
      <c r="AD155" s="745"/>
      <c r="AE155" s="745"/>
      <c r="AF155" s="745"/>
      <c r="AG155" s="745"/>
      <c r="AH155" s="745"/>
    </row>
    <row r="156" spans="1:43" outlineLevel="3">
      <c r="C156" s="22" t="s">
        <v>660</v>
      </c>
      <c r="D156" s="22"/>
      <c r="E156" s="22"/>
      <c r="F156" s="22"/>
      <c r="G156" s="22"/>
      <c r="H156" s="56">
        <f>IFERROR(H155/H145,"NA")</f>
        <v>0.13424781010932119</v>
      </c>
      <c r="I156" s="56">
        <f t="shared" ref="I156:S156" si="118">IFERROR(I155/I145,"NA")</f>
        <v>7.8962394975120323E-2</v>
      </c>
      <c r="J156" s="56">
        <f t="shared" si="118"/>
        <v>0.27583016846820529</v>
      </c>
      <c r="K156" s="56">
        <f t="shared" si="118"/>
        <v>0.28413207071616314</v>
      </c>
      <c r="L156" s="56">
        <f t="shared" si="118"/>
        <v>0.27631314954806951</v>
      </c>
      <c r="M156" s="56">
        <f t="shared" si="118"/>
        <v>0.32033991107001492</v>
      </c>
      <c r="N156" s="56">
        <f t="shared" si="118"/>
        <v>0.32033991107001497</v>
      </c>
      <c r="O156" s="56">
        <f t="shared" si="118"/>
        <v>0.34775867276296768</v>
      </c>
      <c r="P156" s="56">
        <f t="shared" si="118"/>
        <v>0.35917209542132927</v>
      </c>
      <c r="Q156" s="56">
        <f t="shared" si="118"/>
        <v>0.37068335888752996</v>
      </c>
      <c r="R156" s="56">
        <f t="shared" si="118"/>
        <v>0.38040560206879354</v>
      </c>
      <c r="S156" s="56">
        <f t="shared" si="118"/>
        <v>0.38977689477150501</v>
      </c>
      <c r="U156" s="1526">
        <f>AC156+1%</f>
        <v>0.01</v>
      </c>
      <c r="V156" s="1526">
        <f t="shared" ref="V156:Z156" si="119">U156</f>
        <v>0.01</v>
      </c>
      <c r="W156" s="1526">
        <f t="shared" si="119"/>
        <v>0.01</v>
      </c>
      <c r="X156" s="1526">
        <f t="shared" si="119"/>
        <v>0.01</v>
      </c>
      <c r="Y156" s="1526">
        <f t="shared" si="119"/>
        <v>0.01</v>
      </c>
      <c r="Z156" s="1526">
        <f t="shared" si="119"/>
        <v>0.01</v>
      </c>
      <c r="AC156" s="416"/>
      <c r="AD156" s="65"/>
      <c r="AE156" s="65"/>
      <c r="AF156" s="65"/>
      <c r="AG156" s="65"/>
      <c r="AH156" s="65"/>
      <c r="AK156" s="1526">
        <f>AC156-1%</f>
        <v>-0.01</v>
      </c>
      <c r="AL156" s="1526">
        <f t="shared" ref="AL156:AP156" si="120">AK156</f>
        <v>-0.01</v>
      </c>
      <c r="AM156" s="1526">
        <f t="shared" si="120"/>
        <v>-0.01</v>
      </c>
      <c r="AN156" s="1526">
        <f t="shared" si="120"/>
        <v>-0.01</v>
      </c>
      <c r="AO156" s="1526">
        <f t="shared" si="120"/>
        <v>-0.01</v>
      </c>
      <c r="AP156" s="1526">
        <f t="shared" si="120"/>
        <v>-0.01</v>
      </c>
    </row>
    <row r="157" spans="1:43" outlineLevel="3"/>
    <row r="158" spans="1:43" s="1126" customFormat="1" outlineLevel="3">
      <c r="A158" s="26" t="s">
        <v>8</v>
      </c>
      <c r="B158" s="26"/>
      <c r="C158" s="26" t="s">
        <v>41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408"/>
      <c r="U158" s="1518"/>
      <c r="V158" s="1518"/>
      <c r="W158" s="1518"/>
      <c r="X158" s="1518"/>
      <c r="Y158" s="1518"/>
      <c r="Z158" s="1518"/>
      <c r="AA158" s="1518"/>
      <c r="AC158" s="397"/>
      <c r="AD158" s="397"/>
      <c r="AE158" s="397"/>
      <c r="AF158" s="397"/>
      <c r="AG158" s="397"/>
      <c r="AH158" s="397"/>
      <c r="AI158" s="397"/>
      <c r="AK158" s="1518"/>
      <c r="AL158" s="1518"/>
      <c r="AM158" s="1518"/>
      <c r="AN158" s="1518"/>
      <c r="AO158" s="1518"/>
      <c r="AP158" s="1518"/>
      <c r="AQ158" s="1518"/>
    </row>
    <row r="159" spans="1:43" outlineLevel="3"/>
    <row r="160" spans="1:43" s="1126" customFormat="1" outlineLevel="3">
      <c r="A160" s="18"/>
      <c r="B160" s="18"/>
      <c r="C160" s="18" t="s">
        <v>840</v>
      </c>
      <c r="D160" s="18"/>
      <c r="E160" s="18"/>
      <c r="F160" s="18"/>
      <c r="G160" s="18"/>
      <c r="H160" s="23"/>
      <c r="I160" s="23">
        <f t="shared" ref="I160:M160" si="121">SUM(I161:I165)</f>
        <v>7468</v>
      </c>
      <c r="J160" s="23">
        <f t="shared" si="121"/>
        <v>149753.03</v>
      </c>
      <c r="K160" s="23">
        <f t="shared" si="121"/>
        <v>356119</v>
      </c>
      <c r="L160" s="23">
        <f t="shared" si="121"/>
        <v>459736.82</v>
      </c>
      <c r="M160" s="23">
        <f t="shared" si="121"/>
        <v>292969.94999999995</v>
      </c>
      <c r="N160" s="23">
        <f>SUM(N161:N165)</f>
        <v>586473.04599999997</v>
      </c>
      <c r="O160" s="23">
        <f t="shared" ref="O160:S160" si="122">SUM(O161:O165)</f>
        <v>686474.84539999999</v>
      </c>
      <c r="P160" s="23">
        <f t="shared" si="122"/>
        <v>776610.70468000008</v>
      </c>
      <c r="Q160" s="23">
        <f t="shared" si="122"/>
        <v>880057.8248360001</v>
      </c>
      <c r="R160" s="23">
        <f t="shared" si="122"/>
        <v>968063.6073196003</v>
      </c>
      <c r="S160" s="23">
        <f t="shared" si="122"/>
        <v>1064869.9680515602</v>
      </c>
      <c r="T160" s="408"/>
      <c r="U160" s="1519">
        <f>$L160*(1+$AA160)</f>
        <v>459736.82</v>
      </c>
      <c r="V160" s="1519">
        <f>U160*(1+$AA160)</f>
        <v>459736.82</v>
      </c>
      <c r="W160" s="1519">
        <f t="shared" ref="W160:Z160" si="123">V160*(1+$AA160)</f>
        <v>459736.82</v>
      </c>
      <c r="X160" s="1519">
        <f t="shared" si="123"/>
        <v>459736.82</v>
      </c>
      <c r="Y160" s="1519">
        <f t="shared" si="123"/>
        <v>459736.82</v>
      </c>
      <c r="Z160" s="1519">
        <f t="shared" si="123"/>
        <v>459736.82</v>
      </c>
      <c r="AA160" s="1520">
        <f>'回报测算-EVEBITDA（核心假设）'!I200</f>
        <v>0</v>
      </c>
      <c r="AB160" s="1321"/>
      <c r="AC160" s="20"/>
      <c r="AD160" s="20"/>
      <c r="AE160" s="20"/>
      <c r="AF160" s="20"/>
      <c r="AG160" s="20"/>
      <c r="AH160" s="20"/>
      <c r="AI160" s="702"/>
      <c r="AJ160" s="1321"/>
      <c r="AK160" s="1519">
        <f>$L160*(1+$AQ160)</f>
        <v>459736.82</v>
      </c>
      <c r="AL160" s="1519">
        <f>AK160*(1+$AQ160)</f>
        <v>459736.82</v>
      </c>
      <c r="AM160" s="1519">
        <f t="shared" ref="AM160:AN160" si="124">AL160*(1+$AQ160)</f>
        <v>459736.82</v>
      </c>
      <c r="AN160" s="1519">
        <f t="shared" si="124"/>
        <v>459736.82</v>
      </c>
      <c r="AO160" s="1519">
        <f>AN160*(1+$AQ160)</f>
        <v>459736.82</v>
      </c>
      <c r="AP160" s="1519">
        <f t="shared" ref="AP160" si="125">AO160*(1+$AQ160)</f>
        <v>459736.82</v>
      </c>
      <c r="AQ160" s="1520">
        <f>'回报测算-EVEBITDA（核心假设）'!I202</f>
        <v>0</v>
      </c>
    </row>
    <row r="161" spans="1:43" outlineLevel="3">
      <c r="D161" s="27" t="s">
        <v>841</v>
      </c>
      <c r="E161" s="28"/>
      <c r="F161" s="28"/>
      <c r="G161" s="28"/>
      <c r="H161" s="398"/>
      <c r="I161" s="398"/>
      <c r="J161" s="398">
        <v>15153.699999999997</v>
      </c>
      <c r="K161" s="398">
        <v>31088</v>
      </c>
      <c r="L161" s="398">
        <v>39811.099999999991</v>
      </c>
      <c r="M161" s="398">
        <v>29132.399999999998</v>
      </c>
      <c r="N161" s="703">
        <f>L161*(1+N167)</f>
        <v>59716.649999999987</v>
      </c>
      <c r="O161" s="29">
        <f>N161*(1+O167)</f>
        <v>77631.64499999999</v>
      </c>
      <c r="P161" s="29">
        <f t="shared" ref="P161:S165" si="126">O161*(1+P167)</f>
        <v>93157.973999999987</v>
      </c>
      <c r="Q161" s="29">
        <f t="shared" si="126"/>
        <v>111789.56879999998</v>
      </c>
      <c r="R161" s="29">
        <f t="shared" si="126"/>
        <v>122968.52567999999</v>
      </c>
      <c r="S161" s="30">
        <f t="shared" si="126"/>
        <v>135265.37824799999</v>
      </c>
    </row>
    <row r="162" spans="1:43" outlineLevel="3">
      <c r="D162" s="31" t="s">
        <v>842</v>
      </c>
      <c r="H162" s="400"/>
      <c r="I162" s="400">
        <v>7468</v>
      </c>
      <c r="J162" s="400">
        <v>30657.780000000002</v>
      </c>
      <c r="K162" s="400">
        <v>50475</v>
      </c>
      <c r="L162" s="400">
        <v>54465.119999999995</v>
      </c>
      <c r="M162" s="400">
        <v>72114.599999999977</v>
      </c>
      <c r="N162" s="704">
        <f t="shared" ref="N162:N165" si="127">L162*(1+N168)</f>
        <v>98037.216</v>
      </c>
      <c r="O162" s="20">
        <f t="shared" ref="O162:O165" si="128">N162*(1+O168)</f>
        <v>137252.1024</v>
      </c>
      <c r="P162" s="20">
        <f t="shared" si="126"/>
        <v>164702.52288</v>
      </c>
      <c r="Q162" s="20">
        <f t="shared" si="126"/>
        <v>197643.02745600001</v>
      </c>
      <c r="R162" s="20">
        <f t="shared" si="126"/>
        <v>217407.33020160004</v>
      </c>
      <c r="S162" s="32">
        <f t="shared" si="126"/>
        <v>239148.06322176007</v>
      </c>
    </row>
    <row r="163" spans="1:43" outlineLevel="3">
      <c r="D163" s="31" t="s">
        <v>843</v>
      </c>
      <c r="H163" s="400"/>
      <c r="I163" s="400"/>
      <c r="J163" s="400">
        <v>50119.45</v>
      </c>
      <c r="K163" s="400">
        <v>199134</v>
      </c>
      <c r="L163" s="400">
        <v>267125.2</v>
      </c>
      <c r="M163" s="400">
        <v>136751.75</v>
      </c>
      <c r="N163" s="704">
        <f t="shared" si="127"/>
        <v>320550.24</v>
      </c>
      <c r="O163" s="20">
        <f t="shared" si="128"/>
        <v>352605.26400000002</v>
      </c>
      <c r="P163" s="20">
        <f t="shared" si="126"/>
        <v>387865.79040000006</v>
      </c>
      <c r="Q163" s="20">
        <f t="shared" si="126"/>
        <v>426652.3694400001</v>
      </c>
      <c r="R163" s="20">
        <f t="shared" si="126"/>
        <v>469317.60638400016</v>
      </c>
      <c r="S163" s="32">
        <f t="shared" si="126"/>
        <v>516249.3670224002</v>
      </c>
    </row>
    <row r="164" spans="1:43" outlineLevel="3">
      <c r="D164" s="31" t="s">
        <v>844</v>
      </c>
      <c r="H164" s="400"/>
      <c r="I164" s="400"/>
      <c r="J164" s="400">
        <v>53822.1</v>
      </c>
      <c r="K164" s="400">
        <v>75422</v>
      </c>
      <c r="L164" s="400">
        <v>98335.400000000023</v>
      </c>
      <c r="M164" s="400">
        <v>54971.200000000012</v>
      </c>
      <c r="N164" s="704">
        <f t="shared" si="127"/>
        <v>108168.94000000003</v>
      </c>
      <c r="O164" s="20">
        <f t="shared" si="128"/>
        <v>118985.83400000005</v>
      </c>
      <c r="P164" s="20">
        <f t="shared" si="126"/>
        <v>130884.41740000006</v>
      </c>
      <c r="Q164" s="20">
        <f t="shared" si="126"/>
        <v>143972.85914000007</v>
      </c>
      <c r="R164" s="20">
        <f t="shared" si="126"/>
        <v>158370.14505400008</v>
      </c>
      <c r="S164" s="32">
        <f t="shared" si="126"/>
        <v>174207.15955940011</v>
      </c>
    </row>
    <row r="165" spans="1:43" outlineLevel="3">
      <c r="D165" s="33" t="s">
        <v>665</v>
      </c>
      <c r="E165" s="34"/>
      <c r="F165" s="34"/>
      <c r="G165" s="34"/>
      <c r="H165" s="402"/>
      <c r="I165" s="402"/>
      <c r="J165" s="402"/>
      <c r="K165" s="402"/>
      <c r="L165" s="402"/>
      <c r="M165" s="402"/>
      <c r="N165" s="705">
        <f t="shared" si="127"/>
        <v>0</v>
      </c>
      <c r="O165" s="35">
        <f t="shared" si="128"/>
        <v>0</v>
      </c>
      <c r="P165" s="35">
        <f t="shared" si="126"/>
        <v>0</v>
      </c>
      <c r="Q165" s="35">
        <f t="shared" si="126"/>
        <v>0</v>
      </c>
      <c r="R165" s="35">
        <f t="shared" si="126"/>
        <v>0</v>
      </c>
      <c r="S165" s="36">
        <f t="shared" si="126"/>
        <v>0</v>
      </c>
      <c r="AC165" s="448"/>
      <c r="AD165" s="448"/>
      <c r="AE165" s="448"/>
      <c r="AF165" s="448"/>
      <c r="AG165" s="448"/>
      <c r="AH165" s="448"/>
    </row>
    <row r="166" spans="1:43" s="1365" customFormat="1" outlineLevel="3">
      <c r="A166" s="22"/>
      <c r="B166" s="22"/>
      <c r="C166" s="22" t="s">
        <v>847</v>
      </c>
      <c r="D166" s="22"/>
      <c r="E166" s="22"/>
      <c r="F166" s="22"/>
      <c r="G166" s="22"/>
      <c r="H166" s="219"/>
      <c r="I166" s="24"/>
      <c r="J166" s="24">
        <f t="shared" ref="J166" si="129">J160/I160-1</f>
        <v>19.052628548473486</v>
      </c>
      <c r="K166" s="24"/>
      <c r="L166" s="754">
        <f>L160/J160-1</f>
        <v>2.0699667312240693</v>
      </c>
      <c r="M166" s="24"/>
      <c r="N166" s="24">
        <f>N160/L160-1</f>
        <v>0.27567125469741582</v>
      </c>
      <c r="O166" s="24">
        <f>O160/N160-1</f>
        <v>0.1705138882034829</v>
      </c>
      <c r="P166" s="24">
        <f t="shared" ref="P166:S166" si="130">P160/O160-1</f>
        <v>0.13130249401560978</v>
      </c>
      <c r="Q166" s="24">
        <f t="shared" si="130"/>
        <v>0.1332033147787024</v>
      </c>
      <c r="R166" s="24">
        <f t="shared" si="130"/>
        <v>0.10000000000000031</v>
      </c>
      <c r="S166" s="24">
        <f t="shared" si="130"/>
        <v>9.9999999999999867E-2</v>
      </c>
      <c r="T166" s="726"/>
      <c r="U166" s="1521"/>
      <c r="V166" s="1521"/>
      <c r="W166" s="1521"/>
      <c r="X166" s="1521"/>
      <c r="Y166" s="1521"/>
      <c r="Z166" s="1521"/>
      <c r="AA166" s="1522"/>
      <c r="AC166" s="219"/>
      <c r="AD166" s="219"/>
      <c r="AE166" s="219"/>
      <c r="AF166" s="219"/>
      <c r="AG166" s="219"/>
      <c r="AH166" s="219"/>
      <c r="AI166" s="706"/>
      <c r="AK166" s="1521"/>
      <c r="AL166" s="1521"/>
      <c r="AM166" s="1521"/>
      <c r="AN166" s="1521"/>
      <c r="AO166" s="1521"/>
      <c r="AP166" s="1521"/>
      <c r="AQ166" s="1522"/>
    </row>
    <row r="167" spans="1:43" s="1365" customFormat="1" outlineLevel="3">
      <c r="A167" s="22"/>
      <c r="B167" s="22"/>
      <c r="C167" s="22"/>
      <c r="D167" s="707" t="s">
        <v>841</v>
      </c>
      <c r="E167" s="708"/>
      <c r="F167" s="708"/>
      <c r="G167" s="708"/>
      <c r="H167" s="709"/>
      <c r="I167" s="710"/>
      <c r="J167" s="710"/>
      <c r="K167" s="710"/>
      <c r="L167" s="175">
        <f t="shared" ref="L167:L170" si="131">L161/J161-1</f>
        <v>1.6271537644271694</v>
      </c>
      <c r="M167" s="710"/>
      <c r="N167" s="711">
        <f t="shared" ref="N167:S171" si="132">CHOOSE(case,U167,AC167,AK167)</f>
        <v>0.5</v>
      </c>
      <c r="O167" s="712">
        <f t="shared" si="132"/>
        <v>0.3</v>
      </c>
      <c r="P167" s="712">
        <f t="shared" si="132"/>
        <v>0.2</v>
      </c>
      <c r="Q167" s="712">
        <f t="shared" si="132"/>
        <v>0.2</v>
      </c>
      <c r="R167" s="712">
        <f t="shared" si="132"/>
        <v>0.1</v>
      </c>
      <c r="S167" s="713">
        <f t="shared" si="132"/>
        <v>0.1</v>
      </c>
      <c r="T167" s="726"/>
      <c r="U167" s="1521"/>
      <c r="V167" s="1521"/>
      <c r="W167" s="1521"/>
      <c r="X167" s="1521"/>
      <c r="Y167" s="1521"/>
      <c r="Z167" s="1521"/>
      <c r="AA167" s="1523"/>
      <c r="AC167" s="714">
        <v>0.5</v>
      </c>
      <c r="AD167" s="714">
        <v>0.3</v>
      </c>
      <c r="AE167" s="714">
        <v>0.2</v>
      </c>
      <c r="AF167" s="714">
        <v>0.2</v>
      </c>
      <c r="AG167" s="714">
        <v>0.1</v>
      </c>
      <c r="AH167" s="714">
        <v>0.1</v>
      </c>
      <c r="AI167" s="22"/>
      <c r="AK167" s="1521"/>
      <c r="AL167" s="1521"/>
      <c r="AM167" s="1521"/>
      <c r="AN167" s="1521"/>
      <c r="AO167" s="1521"/>
      <c r="AP167" s="1521"/>
      <c r="AQ167" s="1523"/>
    </row>
    <row r="168" spans="1:43" s="1365" customFormat="1" outlineLevel="3">
      <c r="A168" s="22"/>
      <c r="B168" s="22"/>
      <c r="C168" s="22"/>
      <c r="D168" s="715" t="s">
        <v>842</v>
      </c>
      <c r="E168" s="22"/>
      <c r="F168" s="22"/>
      <c r="G168" s="22"/>
      <c r="H168" s="219"/>
      <c r="I168" s="175"/>
      <c r="J168" s="175">
        <f t="shared" ref="J168" si="133">J162/I162-1</f>
        <v>3.1052196036422073</v>
      </c>
      <c r="K168" s="175"/>
      <c r="L168" s="175">
        <f t="shared" si="131"/>
        <v>0.77655133541958987</v>
      </c>
      <c r="M168" s="175"/>
      <c r="N168" s="716">
        <f t="shared" si="132"/>
        <v>0.8</v>
      </c>
      <c r="O168" s="717">
        <f t="shared" si="132"/>
        <v>0.4</v>
      </c>
      <c r="P168" s="717">
        <f t="shared" si="132"/>
        <v>0.2</v>
      </c>
      <c r="Q168" s="717">
        <f t="shared" si="132"/>
        <v>0.2</v>
      </c>
      <c r="R168" s="717">
        <f t="shared" si="132"/>
        <v>0.1</v>
      </c>
      <c r="S168" s="718">
        <f t="shared" si="132"/>
        <v>0.1</v>
      </c>
      <c r="T168" s="726"/>
      <c r="U168" s="1521"/>
      <c r="V168" s="1521"/>
      <c r="W168" s="1521"/>
      <c r="X168" s="1521"/>
      <c r="Y168" s="1521"/>
      <c r="Z168" s="1521"/>
      <c r="AA168" s="1523"/>
      <c r="AC168" s="714">
        <v>0.8</v>
      </c>
      <c r="AD168" s="714">
        <v>0.4</v>
      </c>
      <c r="AE168" s="714">
        <v>0.2</v>
      </c>
      <c r="AF168" s="714">
        <v>0.2</v>
      </c>
      <c r="AG168" s="714">
        <v>0.1</v>
      </c>
      <c r="AH168" s="714">
        <v>0.1</v>
      </c>
      <c r="AI168" s="22"/>
      <c r="AK168" s="1521"/>
      <c r="AL168" s="1521"/>
      <c r="AM168" s="1521"/>
      <c r="AN168" s="1521"/>
      <c r="AO168" s="1521"/>
      <c r="AP168" s="1521"/>
      <c r="AQ168" s="1523"/>
    </row>
    <row r="169" spans="1:43" s="1365" customFormat="1" outlineLevel="3">
      <c r="A169" s="22"/>
      <c r="B169" s="22"/>
      <c r="C169" s="22"/>
      <c r="D169" s="715" t="s">
        <v>843</v>
      </c>
      <c r="E169" s="22"/>
      <c r="F169" s="22"/>
      <c r="G169" s="22"/>
      <c r="H169" s="219"/>
      <c r="I169" s="175"/>
      <c r="J169" s="175"/>
      <c r="K169" s="175"/>
      <c r="L169" s="175">
        <f t="shared" si="131"/>
        <v>4.3297711766589622</v>
      </c>
      <c r="M169" s="175"/>
      <c r="N169" s="716">
        <f t="shared" si="132"/>
        <v>0.2</v>
      </c>
      <c r="O169" s="717">
        <f t="shared" si="132"/>
        <v>0.1</v>
      </c>
      <c r="P169" s="717">
        <f t="shared" si="132"/>
        <v>0.1</v>
      </c>
      <c r="Q169" s="717">
        <f t="shared" si="132"/>
        <v>0.1</v>
      </c>
      <c r="R169" s="717">
        <f t="shared" si="132"/>
        <v>0.1</v>
      </c>
      <c r="S169" s="718">
        <f t="shared" si="132"/>
        <v>0.1</v>
      </c>
      <c r="T169" s="726"/>
      <c r="U169" s="1521"/>
      <c r="V169" s="1521"/>
      <c r="W169" s="1521"/>
      <c r="X169" s="1521"/>
      <c r="Y169" s="1521"/>
      <c r="Z169" s="1521"/>
      <c r="AA169" s="1523"/>
      <c r="AC169" s="714">
        <v>0.2</v>
      </c>
      <c r="AD169" s="714">
        <v>0.1</v>
      </c>
      <c r="AE169" s="714">
        <v>0.1</v>
      </c>
      <c r="AF169" s="714">
        <v>0.1</v>
      </c>
      <c r="AG169" s="714">
        <v>0.1</v>
      </c>
      <c r="AH169" s="714">
        <v>0.1</v>
      </c>
      <c r="AI169" s="22"/>
      <c r="AK169" s="1521"/>
      <c r="AL169" s="1521"/>
      <c r="AM169" s="1521"/>
      <c r="AN169" s="1521"/>
      <c r="AO169" s="1521"/>
      <c r="AP169" s="1521"/>
      <c r="AQ169" s="1523"/>
    </row>
    <row r="170" spans="1:43" s="1365" customFormat="1" outlineLevel="3">
      <c r="A170" s="22"/>
      <c r="B170" s="22"/>
      <c r="C170" s="22"/>
      <c r="D170" s="715" t="s">
        <v>844</v>
      </c>
      <c r="E170" s="22"/>
      <c r="F170" s="22"/>
      <c r="G170" s="22"/>
      <c r="H170" s="219"/>
      <c r="I170" s="175"/>
      <c r="J170" s="175"/>
      <c r="K170" s="175"/>
      <c r="L170" s="175">
        <f t="shared" si="131"/>
        <v>0.82704502425583581</v>
      </c>
      <c r="M170" s="175"/>
      <c r="N170" s="716">
        <f t="shared" si="132"/>
        <v>0.1</v>
      </c>
      <c r="O170" s="717">
        <f t="shared" si="132"/>
        <v>0.1</v>
      </c>
      <c r="P170" s="717">
        <f t="shared" si="132"/>
        <v>0.1</v>
      </c>
      <c r="Q170" s="717">
        <f t="shared" si="132"/>
        <v>0.1</v>
      </c>
      <c r="R170" s="717">
        <f t="shared" si="132"/>
        <v>0.1</v>
      </c>
      <c r="S170" s="718">
        <f t="shared" si="132"/>
        <v>0.1</v>
      </c>
      <c r="T170" s="726"/>
      <c r="U170" s="1521"/>
      <c r="V170" s="1521"/>
      <c r="W170" s="1521"/>
      <c r="X170" s="1521"/>
      <c r="Y170" s="1521"/>
      <c r="Z170" s="1521"/>
      <c r="AA170" s="1523"/>
      <c r="AC170" s="714">
        <v>0.1</v>
      </c>
      <c r="AD170" s="714">
        <v>0.1</v>
      </c>
      <c r="AE170" s="714">
        <v>0.1</v>
      </c>
      <c r="AF170" s="714">
        <v>0.1</v>
      </c>
      <c r="AG170" s="714">
        <v>0.1</v>
      </c>
      <c r="AH170" s="714">
        <v>0.1</v>
      </c>
      <c r="AI170" s="22"/>
      <c r="AK170" s="1521"/>
      <c r="AL170" s="1521"/>
      <c r="AM170" s="1521"/>
      <c r="AN170" s="1521"/>
      <c r="AO170" s="1521"/>
      <c r="AP170" s="1521"/>
      <c r="AQ170" s="1523"/>
    </row>
    <row r="171" spans="1:43" s="1365" customFormat="1" outlineLevel="3">
      <c r="A171" s="22"/>
      <c r="B171" s="22"/>
      <c r="C171" s="22"/>
      <c r="D171" s="719" t="s">
        <v>665</v>
      </c>
      <c r="E171" s="720"/>
      <c r="F171" s="720"/>
      <c r="G171" s="720"/>
      <c r="H171" s="721"/>
      <c r="I171" s="722"/>
      <c r="J171" s="722"/>
      <c r="K171" s="722"/>
      <c r="L171" s="722"/>
      <c r="M171" s="722"/>
      <c r="N171" s="723">
        <f t="shared" si="132"/>
        <v>0</v>
      </c>
      <c r="O171" s="724">
        <f t="shared" si="132"/>
        <v>0</v>
      </c>
      <c r="P171" s="724">
        <f t="shared" si="132"/>
        <v>0</v>
      </c>
      <c r="Q171" s="724">
        <f t="shared" si="132"/>
        <v>0</v>
      </c>
      <c r="R171" s="724">
        <f t="shared" si="132"/>
        <v>0</v>
      </c>
      <c r="S171" s="725">
        <f t="shared" si="132"/>
        <v>0</v>
      </c>
      <c r="T171" s="726"/>
      <c r="U171" s="1521"/>
      <c r="V171" s="1521"/>
      <c r="W171" s="1521"/>
      <c r="X171" s="1521"/>
      <c r="Y171" s="1521"/>
      <c r="Z171" s="1521"/>
      <c r="AA171" s="1523"/>
      <c r="AC171" s="714">
        <v>0</v>
      </c>
      <c r="AD171" s="714">
        <v>0</v>
      </c>
      <c r="AE171" s="714">
        <v>0</v>
      </c>
      <c r="AF171" s="714">
        <v>0</v>
      </c>
      <c r="AG171" s="714">
        <v>0</v>
      </c>
      <c r="AH171" s="714">
        <v>0</v>
      </c>
      <c r="AI171" s="22"/>
      <c r="AK171" s="1521"/>
      <c r="AL171" s="1521"/>
      <c r="AM171" s="1521"/>
      <c r="AN171" s="1521"/>
      <c r="AO171" s="1521"/>
      <c r="AP171" s="1521"/>
      <c r="AQ171" s="1523"/>
    </row>
    <row r="172" spans="1:43" s="1365" customFormat="1" outlineLevel="3">
      <c r="A172" s="22"/>
      <c r="B172" s="22"/>
      <c r="C172" s="22" t="s">
        <v>848</v>
      </c>
      <c r="D172" s="22"/>
      <c r="E172" s="22"/>
      <c r="F172" s="22"/>
      <c r="G172" s="22"/>
      <c r="H172" s="24"/>
      <c r="I172" s="24">
        <f t="shared" ref="I172:S177" si="134">I160/I$160</f>
        <v>1</v>
      </c>
      <c r="J172" s="24">
        <f t="shared" si="134"/>
        <v>1</v>
      </c>
      <c r="K172" s="24">
        <f t="shared" si="134"/>
        <v>1</v>
      </c>
      <c r="L172" s="24">
        <f t="shared" si="134"/>
        <v>1</v>
      </c>
      <c r="M172" s="24">
        <f t="shared" si="134"/>
        <v>1</v>
      </c>
      <c r="N172" s="24">
        <f t="shared" si="134"/>
        <v>1</v>
      </c>
      <c r="O172" s="24">
        <f t="shared" si="134"/>
        <v>1</v>
      </c>
      <c r="P172" s="24">
        <f t="shared" si="134"/>
        <v>1</v>
      </c>
      <c r="Q172" s="24">
        <f t="shared" si="134"/>
        <v>1</v>
      </c>
      <c r="R172" s="24">
        <f t="shared" si="134"/>
        <v>1</v>
      </c>
      <c r="S172" s="24">
        <f t="shared" si="134"/>
        <v>1</v>
      </c>
      <c r="T172" s="726"/>
      <c r="U172" s="1521"/>
      <c r="V172" s="1521"/>
      <c r="W172" s="1521"/>
      <c r="X172" s="1521"/>
      <c r="Y172" s="1521"/>
      <c r="Z172" s="1521"/>
      <c r="AA172" s="1522"/>
      <c r="AC172" s="219"/>
      <c r="AD172" s="219"/>
      <c r="AE172" s="219"/>
      <c r="AF172" s="219"/>
      <c r="AG172" s="219"/>
      <c r="AH172" s="219"/>
      <c r="AI172" s="706"/>
      <c r="AK172" s="1521"/>
      <c r="AL172" s="1521"/>
      <c r="AM172" s="1521"/>
      <c r="AN172" s="1521"/>
      <c r="AO172" s="1521"/>
      <c r="AP172" s="1521"/>
      <c r="AQ172" s="1522"/>
    </row>
    <row r="173" spans="1:43" s="1365" customFormat="1" outlineLevel="3">
      <c r="A173" s="22"/>
      <c r="B173" s="22"/>
      <c r="C173" s="22"/>
      <c r="D173" s="707" t="s">
        <v>841</v>
      </c>
      <c r="E173" s="708"/>
      <c r="F173" s="708"/>
      <c r="G173" s="708"/>
      <c r="H173" s="710"/>
      <c r="I173" s="710">
        <f t="shared" si="134"/>
        <v>0</v>
      </c>
      <c r="J173" s="710">
        <f t="shared" si="134"/>
        <v>0.10119127472746292</v>
      </c>
      <c r="K173" s="710">
        <f t="shared" si="134"/>
        <v>8.7296662070824635E-2</v>
      </c>
      <c r="L173" s="710">
        <f t="shared" si="134"/>
        <v>8.6595413436757127E-2</v>
      </c>
      <c r="M173" s="710">
        <f t="shared" si="134"/>
        <v>9.9438184701195476E-2</v>
      </c>
      <c r="N173" s="710">
        <f>N161/N$160</f>
        <v>0.10182334961051218</v>
      </c>
      <c r="O173" s="710">
        <f t="shared" si="134"/>
        <v>0.11308738480397637</v>
      </c>
      <c r="P173" s="710">
        <f t="shared" si="134"/>
        <v>0.11995453248147722</v>
      </c>
      <c r="Q173" s="710">
        <f t="shared" si="134"/>
        <v>0.12702525407444915</v>
      </c>
      <c r="R173" s="710">
        <f t="shared" si="134"/>
        <v>0.12702525407444915</v>
      </c>
      <c r="S173" s="710">
        <f t="shared" si="134"/>
        <v>0.12702525407444915</v>
      </c>
      <c r="T173" s="726"/>
      <c r="U173" s="1521"/>
      <c r="V173" s="1521"/>
      <c r="W173" s="1521"/>
      <c r="X173" s="1521"/>
      <c r="Y173" s="1521"/>
      <c r="Z173" s="1521"/>
      <c r="AA173" s="1523"/>
      <c r="AC173" s="728"/>
      <c r="AD173" s="728"/>
      <c r="AE173" s="728"/>
      <c r="AF173" s="728"/>
      <c r="AG173" s="728"/>
      <c r="AH173" s="728"/>
      <c r="AI173" s="22"/>
      <c r="AK173" s="1521"/>
      <c r="AL173" s="1521"/>
      <c r="AM173" s="1521"/>
      <c r="AN173" s="1521"/>
      <c r="AO173" s="1521"/>
      <c r="AP173" s="1521"/>
      <c r="AQ173" s="1523"/>
    </row>
    <row r="174" spans="1:43" s="1365" customFormat="1" outlineLevel="3">
      <c r="A174" s="22"/>
      <c r="B174" s="22"/>
      <c r="C174" s="22"/>
      <c r="D174" s="715" t="s">
        <v>842</v>
      </c>
      <c r="E174" s="22"/>
      <c r="F174" s="22"/>
      <c r="G174" s="22"/>
      <c r="H174" s="175"/>
      <c r="I174" s="175">
        <f t="shared" si="134"/>
        <v>1</v>
      </c>
      <c r="J174" s="175">
        <f t="shared" si="134"/>
        <v>0.20472226839082991</v>
      </c>
      <c r="K174" s="175">
        <f t="shared" si="134"/>
        <v>0.14173632971001265</v>
      </c>
      <c r="L174" s="175">
        <f t="shared" si="134"/>
        <v>0.1184702151983389</v>
      </c>
      <c r="M174" s="175">
        <f t="shared" si="134"/>
        <v>0.24615015976894555</v>
      </c>
      <c r="N174" s="175">
        <f t="shared" si="134"/>
        <v>0.1671640609379344</v>
      </c>
      <c r="O174" s="175">
        <f t="shared" si="134"/>
        <v>0.19993755535211924</v>
      </c>
      <c r="P174" s="175">
        <f t="shared" si="134"/>
        <v>0.21207861530554764</v>
      </c>
      <c r="Q174" s="175">
        <f t="shared" si="134"/>
        <v>0.22457959224762422</v>
      </c>
      <c r="R174" s="175">
        <f t="shared" si="134"/>
        <v>0.22457959224762422</v>
      </c>
      <c r="S174" s="175">
        <f>S162/S$160</f>
        <v>0.22457959224762425</v>
      </c>
      <c r="T174" s="726"/>
      <c r="U174" s="1521"/>
      <c r="V174" s="1521"/>
      <c r="W174" s="1521"/>
      <c r="X174" s="1521"/>
      <c r="Y174" s="1521"/>
      <c r="Z174" s="1521"/>
      <c r="AA174" s="1523"/>
      <c r="AC174" s="728"/>
      <c r="AD174" s="728"/>
      <c r="AE174" s="728"/>
      <c r="AF174" s="728"/>
      <c r="AG174" s="728"/>
      <c r="AH174" s="728"/>
      <c r="AI174" s="22"/>
      <c r="AK174" s="1521"/>
      <c r="AL174" s="1521"/>
      <c r="AM174" s="1521"/>
      <c r="AN174" s="1521"/>
      <c r="AO174" s="1521"/>
      <c r="AP174" s="1521"/>
      <c r="AQ174" s="1523"/>
    </row>
    <row r="175" spans="1:43" s="1365" customFormat="1" outlineLevel="3">
      <c r="A175" s="22"/>
      <c r="B175" s="22"/>
      <c r="C175" s="22"/>
      <c r="D175" s="715" t="s">
        <v>843</v>
      </c>
      <c r="E175" s="22"/>
      <c r="F175" s="22"/>
      <c r="G175" s="22"/>
      <c r="H175" s="175"/>
      <c r="I175" s="175">
        <f t="shared" si="134"/>
        <v>0</v>
      </c>
      <c r="J175" s="175">
        <f t="shared" si="134"/>
        <v>0.3346807072952046</v>
      </c>
      <c r="K175" s="175">
        <f t="shared" si="134"/>
        <v>0.55917825221344553</v>
      </c>
      <c r="L175" s="175">
        <f t="shared" si="134"/>
        <v>0.581039386838757</v>
      </c>
      <c r="M175" s="175">
        <f t="shared" si="134"/>
        <v>0.46677739474645785</v>
      </c>
      <c r="N175" s="175">
        <f t="shared" si="134"/>
        <v>0.54657284283786167</v>
      </c>
      <c r="O175" s="175">
        <f>O163/O$160</f>
        <v>0.5136462994423947</v>
      </c>
      <c r="P175" s="175">
        <f t="shared" si="134"/>
        <v>0.4994339996379768</v>
      </c>
      <c r="Q175" s="175">
        <f t="shared" si="134"/>
        <v>0.48480038174708273</v>
      </c>
      <c r="R175" s="175">
        <f t="shared" si="134"/>
        <v>0.48480038174708268</v>
      </c>
      <c r="S175" s="175">
        <f t="shared" si="134"/>
        <v>0.48480038174708273</v>
      </c>
      <c r="T175" s="726"/>
      <c r="U175" s="1521"/>
      <c r="V175" s="1521"/>
      <c r="W175" s="1521"/>
      <c r="X175" s="1521"/>
      <c r="Y175" s="1521"/>
      <c r="Z175" s="1521"/>
      <c r="AA175" s="1523"/>
      <c r="AC175" s="728"/>
      <c r="AD175" s="728"/>
      <c r="AE175" s="728"/>
      <c r="AF175" s="728"/>
      <c r="AG175" s="728"/>
      <c r="AH175" s="728"/>
      <c r="AI175" s="22"/>
      <c r="AK175" s="1521"/>
      <c r="AL175" s="1521"/>
      <c r="AM175" s="1521"/>
      <c r="AN175" s="1521"/>
      <c r="AO175" s="1521"/>
      <c r="AP175" s="1521"/>
      <c r="AQ175" s="1523"/>
    </row>
    <row r="176" spans="1:43" s="1365" customFormat="1" outlineLevel="3">
      <c r="A176" s="22"/>
      <c r="B176" s="22"/>
      <c r="C176" s="22"/>
      <c r="D176" s="715" t="s">
        <v>844</v>
      </c>
      <c r="E176" s="22"/>
      <c r="F176" s="22"/>
      <c r="G176" s="22"/>
      <c r="H176" s="175"/>
      <c r="I176" s="175">
        <f t="shared" si="134"/>
        <v>0</v>
      </c>
      <c r="J176" s="175">
        <f t="shared" si="134"/>
        <v>0.35940574958650251</v>
      </c>
      <c r="K176" s="175">
        <f t="shared" si="134"/>
        <v>0.2117887560057172</v>
      </c>
      <c r="L176" s="175">
        <f t="shared" si="134"/>
        <v>0.213894984526147</v>
      </c>
      <c r="M176" s="175">
        <f t="shared" si="134"/>
        <v>0.18763426078340123</v>
      </c>
      <c r="N176" s="175">
        <f t="shared" si="134"/>
        <v>0.18443974661369184</v>
      </c>
      <c r="O176" s="175">
        <f t="shared" si="134"/>
        <v>0.17332876040150974</v>
      </c>
      <c r="P176" s="175">
        <f t="shared" si="134"/>
        <v>0.16853285257499839</v>
      </c>
      <c r="Q176" s="175">
        <f t="shared" si="134"/>
        <v>0.16359477193084399</v>
      </c>
      <c r="R176" s="175">
        <f t="shared" si="134"/>
        <v>0.16359477193084396</v>
      </c>
      <c r="S176" s="175">
        <f t="shared" si="134"/>
        <v>0.16359477193084399</v>
      </c>
      <c r="T176" s="726"/>
      <c r="U176" s="1521"/>
      <c r="V176" s="1521"/>
      <c r="W176" s="1521"/>
      <c r="X176" s="1521"/>
      <c r="Y176" s="1521"/>
      <c r="Z176" s="1521"/>
      <c r="AA176" s="1523"/>
      <c r="AC176" s="728"/>
      <c r="AD176" s="728"/>
      <c r="AE176" s="728"/>
      <c r="AF176" s="728"/>
      <c r="AG176" s="728"/>
      <c r="AH176" s="728"/>
      <c r="AI176" s="22"/>
      <c r="AK176" s="1521"/>
      <c r="AL176" s="1521"/>
      <c r="AM176" s="1521"/>
      <c r="AN176" s="1521"/>
      <c r="AO176" s="1521"/>
      <c r="AP176" s="1521"/>
      <c r="AQ176" s="1523"/>
    </row>
    <row r="177" spans="1:43" s="1365" customFormat="1" outlineLevel="3">
      <c r="A177" s="22"/>
      <c r="B177" s="22"/>
      <c r="C177" s="22"/>
      <c r="D177" s="719" t="s">
        <v>665</v>
      </c>
      <c r="E177" s="720"/>
      <c r="F177" s="720"/>
      <c r="G177" s="720"/>
      <c r="H177" s="722"/>
      <c r="I177" s="722">
        <f t="shared" si="134"/>
        <v>0</v>
      </c>
      <c r="J177" s="722">
        <f t="shared" si="134"/>
        <v>0</v>
      </c>
      <c r="K177" s="722">
        <f t="shared" si="134"/>
        <v>0</v>
      </c>
      <c r="L177" s="722">
        <f t="shared" si="134"/>
        <v>0</v>
      </c>
      <c r="M177" s="722">
        <f t="shared" si="134"/>
        <v>0</v>
      </c>
      <c r="N177" s="722">
        <f t="shared" si="134"/>
        <v>0</v>
      </c>
      <c r="O177" s="722">
        <f t="shared" si="134"/>
        <v>0</v>
      </c>
      <c r="P177" s="722">
        <f t="shared" si="134"/>
        <v>0</v>
      </c>
      <c r="Q177" s="722">
        <f t="shared" si="134"/>
        <v>0</v>
      </c>
      <c r="R177" s="722">
        <f t="shared" si="134"/>
        <v>0</v>
      </c>
      <c r="S177" s="722">
        <f t="shared" si="134"/>
        <v>0</v>
      </c>
      <c r="T177" s="726"/>
      <c r="U177" s="1521"/>
      <c r="V177" s="1521"/>
      <c r="W177" s="1521"/>
      <c r="X177" s="1521"/>
      <c r="Y177" s="1521"/>
      <c r="Z177" s="1521"/>
      <c r="AA177" s="1523"/>
      <c r="AC177" s="728"/>
      <c r="AD177" s="728"/>
      <c r="AE177" s="728"/>
      <c r="AF177" s="728"/>
      <c r="AG177" s="728"/>
      <c r="AH177" s="728"/>
      <c r="AI177" s="22"/>
      <c r="AK177" s="1521"/>
      <c r="AL177" s="1521"/>
      <c r="AM177" s="1521"/>
      <c r="AN177" s="1521"/>
      <c r="AO177" s="1521"/>
      <c r="AP177" s="1521"/>
      <c r="AQ177" s="1523"/>
    </row>
    <row r="178" spans="1:43" s="1126" customFormat="1" outlineLevel="3">
      <c r="A178" s="18"/>
      <c r="B178" s="18"/>
      <c r="C178" s="18" t="s">
        <v>31</v>
      </c>
      <c r="D178" s="18"/>
      <c r="E178" s="18"/>
      <c r="F178" s="18"/>
      <c r="G178" s="18"/>
      <c r="H178" s="755"/>
      <c r="I178" s="756">
        <f>IFERROR(I184/I160,"NA")</f>
        <v>0.14167113015532939</v>
      </c>
      <c r="J178" s="756">
        <f>IFERROR(J184/J160,"NA")</f>
        <v>9.7165312781985105E-2</v>
      </c>
      <c r="K178" s="756">
        <f>IFERROR(K184/K160,"NA")</f>
        <v>7.6943381285469181E-2</v>
      </c>
      <c r="L178" s="756">
        <f>IFERROR(L184/L160,"NA")</f>
        <v>7.4050262582840337E-2</v>
      </c>
      <c r="M178" s="756">
        <f>IFERROR(M184/M160,"NA")</f>
        <v>8.4556575444000345E-2</v>
      </c>
      <c r="N178" s="757">
        <f>N184/N160</f>
        <v>7.8057526798599008E-2</v>
      </c>
      <c r="O178" s="757">
        <f t="shared" ref="O178:S178" si="135">O184/O160</f>
        <v>8.1182687916465365E-2</v>
      </c>
      <c r="P178" s="757">
        <f t="shared" si="135"/>
        <v>8.2417153766090823E-2</v>
      </c>
      <c r="Q178" s="757">
        <f t="shared" si="135"/>
        <v>8.3688214874523242E-2</v>
      </c>
      <c r="R178" s="757">
        <f t="shared" si="135"/>
        <v>8.3688214874523228E-2</v>
      </c>
      <c r="S178" s="757">
        <f t="shared" si="135"/>
        <v>8.3688214874523242E-2</v>
      </c>
      <c r="T178" s="408"/>
      <c r="U178" s="1524">
        <f>$L178*(1+$AA178)</f>
        <v>7.5531267834497151E-2</v>
      </c>
      <c r="V178" s="1524">
        <f>U178*(1+$AA178)</f>
        <v>7.7041893191187094E-2</v>
      </c>
      <c r="W178" s="1524">
        <f>V178*(1+$AA178)</f>
        <v>7.8582731055010832E-2</v>
      </c>
      <c r="X178" s="1524">
        <f t="shared" ref="X178:Z178" si="136">W178*(1+$AA178)</f>
        <v>8.0154385676111051E-2</v>
      </c>
      <c r="Y178" s="1524">
        <f t="shared" si="136"/>
        <v>8.1757473389633267E-2</v>
      </c>
      <c r="Z178" s="1524">
        <f t="shared" si="136"/>
        <v>8.3392622857425935E-2</v>
      </c>
      <c r="AA178" s="1525">
        <v>0.02</v>
      </c>
      <c r="AC178" s="733"/>
      <c r="AD178" s="733"/>
      <c r="AE178" s="733"/>
      <c r="AF178" s="733"/>
      <c r="AG178" s="733"/>
      <c r="AH178" s="733"/>
      <c r="AI178" s="998"/>
      <c r="AK178" s="1524">
        <f>$L178*(1+$AQ178)</f>
        <v>7.4050262582840337E-2</v>
      </c>
      <c r="AL178" s="1524">
        <f>AK178*(1+$AQ178)</f>
        <v>7.4050262582840337E-2</v>
      </c>
      <c r="AM178" s="1524">
        <f t="shared" ref="AM178:AN178" si="137">AL178*(1+$AQ178)</f>
        <v>7.4050262582840337E-2</v>
      </c>
      <c r="AN178" s="1524">
        <f t="shared" si="137"/>
        <v>7.4050262582840337E-2</v>
      </c>
      <c r="AO178" s="1524">
        <f>AN178*(1+$AQ178)</f>
        <v>7.4050262582840337E-2</v>
      </c>
      <c r="AP178" s="1524">
        <f t="shared" ref="AP178" si="138">AO178*(1+$AQ178)</f>
        <v>7.4050262582840337E-2</v>
      </c>
      <c r="AQ178" s="1525">
        <v>0</v>
      </c>
    </row>
    <row r="179" spans="1:43" outlineLevel="3">
      <c r="D179" s="27" t="s">
        <v>841</v>
      </c>
      <c r="E179" s="28"/>
      <c r="F179" s="28"/>
      <c r="G179" s="28"/>
      <c r="H179" s="758"/>
      <c r="I179" s="759" t="str">
        <f t="shared" ref="I179:J183" si="139">IFERROR(I185/I161,"NA")</f>
        <v>NA</v>
      </c>
      <c r="J179" s="759">
        <f t="shared" si="139"/>
        <v>0.10347307918198198</v>
      </c>
      <c r="K179" s="759">
        <f t="shared" ref="K179:M183" si="140">IFERROR(K185/K161,"NA")</f>
        <v>9.109624292331446E-2</v>
      </c>
      <c r="L179" s="759">
        <f t="shared" si="140"/>
        <v>9.0981821150382711E-2</v>
      </c>
      <c r="M179" s="759">
        <f t="shared" si="140"/>
        <v>8.9334994713789473E-2</v>
      </c>
      <c r="N179" s="760">
        <f>CHOOSE(case,U179,AC179,AK179)</f>
        <v>8.9334994713789473E-2</v>
      </c>
      <c r="O179" s="761">
        <f t="shared" ref="O179:O183" si="141">CHOOSE(case,V179,AD179,AL179)</f>
        <v>8.9334994713789473E-2</v>
      </c>
      <c r="P179" s="761">
        <f t="shared" ref="P179:P183" si="142">CHOOSE(case,W179,AE179,AM179)</f>
        <v>8.9334994713789473E-2</v>
      </c>
      <c r="Q179" s="761">
        <f t="shared" ref="Q179:Q183" si="143">CHOOSE(case,X179,AF179,AN179)</f>
        <v>8.9334994713789473E-2</v>
      </c>
      <c r="R179" s="761">
        <f t="shared" ref="R179:R183" si="144">CHOOSE(case,Y179,AG179,AO179)</f>
        <v>8.9334994713789473E-2</v>
      </c>
      <c r="S179" s="762">
        <f t="shared" ref="S179:S183" si="145">CHOOSE(case,Z179,AH179,AP179)</f>
        <v>8.9334994713789473E-2</v>
      </c>
      <c r="AC179" s="737">
        <f>M179</f>
        <v>8.9334994713789473E-2</v>
      </c>
      <c r="AD179" s="737">
        <f>AC179</f>
        <v>8.9334994713789473E-2</v>
      </c>
      <c r="AE179" s="737">
        <f t="shared" ref="AE179:AH179" si="146">AD179</f>
        <v>8.9334994713789473E-2</v>
      </c>
      <c r="AF179" s="737">
        <f t="shared" si="146"/>
        <v>8.9334994713789473E-2</v>
      </c>
      <c r="AG179" s="737">
        <f t="shared" si="146"/>
        <v>8.9334994713789473E-2</v>
      </c>
      <c r="AH179" s="737">
        <f t="shared" si="146"/>
        <v>8.9334994713789473E-2</v>
      </c>
    </row>
    <row r="180" spans="1:43" outlineLevel="3">
      <c r="D180" s="31" t="s">
        <v>842</v>
      </c>
      <c r="H180" s="763"/>
      <c r="I180" s="764">
        <f t="shared" si="139"/>
        <v>0.14167113015532939</v>
      </c>
      <c r="J180" s="764">
        <f t="shared" si="139"/>
        <v>0.13661785034663304</v>
      </c>
      <c r="K180" s="764">
        <f t="shared" si="140"/>
        <v>0.14137691926696383</v>
      </c>
      <c r="L180" s="764">
        <f t="shared" si="140"/>
        <v>0.14317611014168341</v>
      </c>
      <c r="M180" s="764">
        <f t="shared" si="140"/>
        <v>0.14642115632618088</v>
      </c>
      <c r="N180" s="765">
        <f>CHOOSE(case,U180,AC180,AK180)</f>
        <v>0.14642115632618088</v>
      </c>
      <c r="O180" s="766">
        <f t="shared" si="141"/>
        <v>0.14642115632618088</v>
      </c>
      <c r="P180" s="766">
        <f t="shared" si="142"/>
        <v>0.14642115632618088</v>
      </c>
      <c r="Q180" s="766">
        <f t="shared" si="143"/>
        <v>0.14642115632618088</v>
      </c>
      <c r="R180" s="766">
        <f t="shared" si="144"/>
        <v>0.14642115632618088</v>
      </c>
      <c r="S180" s="767">
        <f t="shared" si="145"/>
        <v>0.14642115632618088</v>
      </c>
      <c r="AC180" s="737">
        <f t="shared" ref="AC180:AC182" si="147">M180</f>
        <v>0.14642115632618088</v>
      </c>
      <c r="AD180" s="737">
        <f t="shared" ref="AD180:AH182" si="148">AC180</f>
        <v>0.14642115632618088</v>
      </c>
      <c r="AE180" s="737">
        <f t="shared" si="148"/>
        <v>0.14642115632618088</v>
      </c>
      <c r="AF180" s="737">
        <f t="shared" si="148"/>
        <v>0.14642115632618088</v>
      </c>
      <c r="AG180" s="737">
        <f t="shared" si="148"/>
        <v>0.14642115632618088</v>
      </c>
      <c r="AH180" s="737">
        <f t="shared" si="148"/>
        <v>0.14642115632618088</v>
      </c>
    </row>
    <row r="181" spans="1:43" outlineLevel="3">
      <c r="D181" s="31" t="s">
        <v>843</v>
      </c>
      <c r="H181" s="763"/>
      <c r="I181" s="764" t="str">
        <f t="shared" si="139"/>
        <v>NA</v>
      </c>
      <c r="J181" s="764">
        <f t="shared" si="139"/>
        <v>7.6058296729114155E-2</v>
      </c>
      <c r="K181" s="764">
        <f t="shared" si="140"/>
        <v>5.7935862283688369E-2</v>
      </c>
      <c r="L181" s="764">
        <f t="shared" si="140"/>
        <v>5.5794878132051938E-2</v>
      </c>
      <c r="M181" s="764">
        <f t="shared" si="140"/>
        <v>6.3000832896105544E-2</v>
      </c>
      <c r="N181" s="765">
        <f>CHOOSE(case,U181,AC181,AK181)</f>
        <v>6.3000832896105544E-2</v>
      </c>
      <c r="O181" s="766">
        <f t="shared" si="141"/>
        <v>6.3000832896105544E-2</v>
      </c>
      <c r="P181" s="766">
        <f t="shared" si="142"/>
        <v>6.3000832896105544E-2</v>
      </c>
      <c r="Q181" s="766">
        <f t="shared" si="143"/>
        <v>6.3000832896105544E-2</v>
      </c>
      <c r="R181" s="766">
        <f t="shared" si="144"/>
        <v>6.3000832896105544E-2</v>
      </c>
      <c r="S181" s="767">
        <f t="shared" si="145"/>
        <v>6.3000832896105544E-2</v>
      </c>
      <c r="AC181" s="737">
        <f t="shared" si="147"/>
        <v>6.3000832896105544E-2</v>
      </c>
      <c r="AD181" s="737">
        <f t="shared" si="148"/>
        <v>6.3000832896105544E-2</v>
      </c>
      <c r="AE181" s="737">
        <f t="shared" si="148"/>
        <v>6.3000832896105544E-2</v>
      </c>
      <c r="AF181" s="737">
        <f t="shared" si="148"/>
        <v>6.3000832896105544E-2</v>
      </c>
      <c r="AG181" s="737">
        <f t="shared" si="148"/>
        <v>6.3000832896105544E-2</v>
      </c>
      <c r="AH181" s="737">
        <f t="shared" si="148"/>
        <v>6.3000832896105544E-2</v>
      </c>
    </row>
    <row r="182" spans="1:43" outlineLevel="3">
      <c r="D182" s="31" t="s">
        <v>844</v>
      </c>
      <c r="H182" s="763"/>
      <c r="I182" s="764" t="str">
        <f t="shared" si="139"/>
        <v>NA</v>
      </c>
      <c r="J182" s="764">
        <f t="shared" si="139"/>
        <v>9.2571638787784197E-2</v>
      </c>
      <c r="K182" s="764">
        <f t="shared" si="140"/>
        <v>7.8173477234759092E-2</v>
      </c>
      <c r="L182" s="764">
        <f t="shared" si="140"/>
        <v>7.849893181906005E-2</v>
      </c>
      <c r="M182" s="764">
        <f t="shared" si="140"/>
        <v>5.449063527810924E-2</v>
      </c>
      <c r="N182" s="765">
        <f>CHOOSE(case,U182,AC182,AK182)</f>
        <v>5.449063527810924E-2</v>
      </c>
      <c r="O182" s="766">
        <f t="shared" si="141"/>
        <v>5.449063527810924E-2</v>
      </c>
      <c r="P182" s="766">
        <f t="shared" si="142"/>
        <v>5.449063527810924E-2</v>
      </c>
      <c r="Q182" s="766">
        <f t="shared" si="143"/>
        <v>5.449063527810924E-2</v>
      </c>
      <c r="R182" s="766">
        <f t="shared" si="144"/>
        <v>5.449063527810924E-2</v>
      </c>
      <c r="S182" s="767">
        <f t="shared" si="145"/>
        <v>5.449063527810924E-2</v>
      </c>
      <c r="AC182" s="737">
        <f t="shared" si="147"/>
        <v>5.449063527810924E-2</v>
      </c>
      <c r="AD182" s="737">
        <f t="shared" si="148"/>
        <v>5.449063527810924E-2</v>
      </c>
      <c r="AE182" s="737">
        <f t="shared" si="148"/>
        <v>5.449063527810924E-2</v>
      </c>
      <c r="AF182" s="737">
        <f t="shared" si="148"/>
        <v>5.449063527810924E-2</v>
      </c>
      <c r="AG182" s="737">
        <f t="shared" si="148"/>
        <v>5.449063527810924E-2</v>
      </c>
      <c r="AH182" s="737">
        <f t="shared" si="148"/>
        <v>5.449063527810924E-2</v>
      </c>
    </row>
    <row r="183" spans="1:43" ht="15" outlineLevel="3" thickBot="1">
      <c r="C183" s="37"/>
      <c r="D183" s="38" t="s">
        <v>665</v>
      </c>
      <c r="E183" s="37"/>
      <c r="F183" s="37"/>
      <c r="G183" s="37"/>
      <c r="H183" s="768"/>
      <c r="I183" s="768" t="str">
        <f t="shared" si="139"/>
        <v>NA</v>
      </c>
      <c r="J183" s="768" t="str">
        <f t="shared" si="139"/>
        <v>NA</v>
      </c>
      <c r="K183" s="768" t="str">
        <f t="shared" si="140"/>
        <v>NA</v>
      </c>
      <c r="L183" s="768"/>
      <c r="M183" s="768"/>
      <c r="N183" s="741">
        <f>CHOOSE(case,U183,AC183,AK183)</f>
        <v>0</v>
      </c>
      <c r="O183" s="742">
        <f t="shared" si="141"/>
        <v>0</v>
      </c>
      <c r="P183" s="742">
        <f t="shared" si="142"/>
        <v>0</v>
      </c>
      <c r="Q183" s="742">
        <f t="shared" si="143"/>
        <v>0</v>
      </c>
      <c r="R183" s="742">
        <f t="shared" si="144"/>
        <v>0</v>
      </c>
      <c r="S183" s="743">
        <f t="shared" si="145"/>
        <v>0</v>
      </c>
      <c r="AC183" s="737"/>
      <c r="AD183" s="737"/>
      <c r="AE183" s="737"/>
      <c r="AF183" s="737"/>
      <c r="AG183" s="737"/>
      <c r="AH183" s="737"/>
    </row>
    <row r="184" spans="1:43" outlineLevel="3">
      <c r="C184" s="18" t="s">
        <v>845</v>
      </c>
      <c r="H184" s="23"/>
      <c r="I184" s="23">
        <f t="shared" ref="I184:S184" si="149">SUM(I185:I189)</f>
        <v>1058</v>
      </c>
      <c r="J184" s="23">
        <f t="shared" si="149"/>
        <v>14550.8</v>
      </c>
      <c r="K184" s="23">
        <f t="shared" si="149"/>
        <v>27401</v>
      </c>
      <c r="L184" s="23">
        <f t="shared" si="149"/>
        <v>34043.632240000006</v>
      </c>
      <c r="M184" s="23">
        <f t="shared" si="149"/>
        <v>24772.535680000005</v>
      </c>
      <c r="N184" s="23">
        <f t="shared" si="149"/>
        <v>45778.635504800986</v>
      </c>
      <c r="O184" s="23">
        <f t="shared" si="149"/>
        <v>55729.873136612005</v>
      </c>
      <c r="P184" s="23">
        <f t="shared" si="149"/>
        <v>64006.043864003717</v>
      </c>
      <c r="Q184" s="23">
        <f t="shared" si="149"/>
        <v>73650.46834688072</v>
      </c>
      <c r="R184" s="23">
        <f t="shared" si="149"/>
        <v>81015.515181568786</v>
      </c>
      <c r="S184" s="23">
        <f t="shared" si="149"/>
        <v>89117.066699725678</v>
      </c>
    </row>
    <row r="185" spans="1:43" outlineLevel="3">
      <c r="D185" s="27" t="s">
        <v>841</v>
      </c>
      <c r="E185" s="28"/>
      <c r="F185" s="28"/>
      <c r="G185" s="28"/>
      <c r="H185" s="398"/>
      <c r="I185" s="398"/>
      <c r="J185" s="398">
        <v>1568</v>
      </c>
      <c r="K185" s="398">
        <v>2832</v>
      </c>
      <c r="L185" s="398">
        <v>3622.0863800000002</v>
      </c>
      <c r="M185" s="398">
        <v>2602.5428000000002</v>
      </c>
      <c r="N185" s="29">
        <f>N161*N179</f>
        <v>5334.7866120752151</v>
      </c>
      <c r="O185" s="29">
        <f t="shared" ref="O185:R185" si="150">O161*O179</f>
        <v>6935.22259569778</v>
      </c>
      <c r="P185" s="29">
        <f t="shared" si="150"/>
        <v>8322.2671148373356</v>
      </c>
      <c r="Q185" s="29">
        <f t="shared" si="150"/>
        <v>9986.720537804802</v>
      </c>
      <c r="R185" s="29">
        <f t="shared" si="150"/>
        <v>10985.392591585285</v>
      </c>
      <c r="S185" s="30">
        <f>S161*S179</f>
        <v>12083.931850743813</v>
      </c>
    </row>
    <row r="186" spans="1:43" outlineLevel="3">
      <c r="D186" s="31" t="s">
        <v>842</v>
      </c>
      <c r="H186" s="400"/>
      <c r="I186" s="400">
        <v>1058</v>
      </c>
      <c r="J186" s="400">
        <v>4188.3999999999996</v>
      </c>
      <c r="K186" s="400">
        <v>7136</v>
      </c>
      <c r="L186" s="400">
        <v>7798.1040200000034</v>
      </c>
      <c r="M186" s="400">
        <v>10559.103120000002</v>
      </c>
      <c r="N186" s="20">
        <f t="shared" ref="N186:S189" si="151">N162*N180</f>
        <v>14354.722529719562</v>
      </c>
      <c r="O186" s="20">
        <f t="shared" si="151"/>
        <v>20096.611541607388</v>
      </c>
      <c r="P186" s="20">
        <f t="shared" si="151"/>
        <v>24115.933849928864</v>
      </c>
      <c r="Q186" s="20">
        <f t="shared" si="151"/>
        <v>28939.12061991464</v>
      </c>
      <c r="R186" s="20">
        <f t="shared" si="151"/>
        <v>31833.032681906105</v>
      </c>
      <c r="S186" s="32">
        <f t="shared" si="151"/>
        <v>35016.33595009672</v>
      </c>
    </row>
    <row r="187" spans="1:43" outlineLevel="3">
      <c r="D187" s="31" t="s">
        <v>843</v>
      </c>
      <c r="H187" s="400"/>
      <c r="I187" s="400"/>
      <c r="J187" s="400">
        <v>3812</v>
      </c>
      <c r="K187" s="400">
        <v>11537</v>
      </c>
      <c r="L187" s="400">
        <v>14904.217980000001</v>
      </c>
      <c r="M187" s="400">
        <v>8615.4741500000018</v>
      </c>
      <c r="N187" s="20">
        <f t="shared" si="151"/>
        <v>20194.932105046526</v>
      </c>
      <c r="O187" s="20">
        <f t="shared" si="151"/>
        <v>22214.42531555118</v>
      </c>
      <c r="P187" s="20">
        <f t="shared" si="151"/>
        <v>24435.867847106303</v>
      </c>
      <c r="Q187" s="20">
        <f t="shared" si="151"/>
        <v>26879.454631816934</v>
      </c>
      <c r="R187" s="20">
        <f t="shared" si="151"/>
        <v>29567.400094998629</v>
      </c>
      <c r="S187" s="32">
        <f t="shared" si="151"/>
        <v>32524.140104498496</v>
      </c>
    </row>
    <row r="188" spans="1:43" outlineLevel="3">
      <c r="D188" s="31" t="s">
        <v>844</v>
      </c>
      <c r="H188" s="400"/>
      <c r="I188" s="400"/>
      <c r="J188" s="400">
        <v>4982.3999999999996</v>
      </c>
      <c r="K188" s="400">
        <v>5896</v>
      </c>
      <c r="L188" s="400">
        <v>7719.2238599999991</v>
      </c>
      <c r="M188" s="400">
        <v>2995.4156099999991</v>
      </c>
      <c r="N188" s="20">
        <f t="shared" si="151"/>
        <v>5894.1942579596835</v>
      </c>
      <c r="O188" s="20">
        <f t="shared" si="151"/>
        <v>6483.6136837556523</v>
      </c>
      <c r="P188" s="20">
        <f t="shared" si="151"/>
        <v>7131.975052131218</v>
      </c>
      <c r="Q188" s="20">
        <f t="shared" si="151"/>
        <v>7845.17255734434</v>
      </c>
      <c r="R188" s="20">
        <f t="shared" si="151"/>
        <v>8629.689813078774</v>
      </c>
      <c r="S188" s="32">
        <f t="shared" si="151"/>
        <v>9492.6587943866525</v>
      </c>
    </row>
    <row r="189" spans="1:43" outlineLevel="3">
      <c r="D189" s="33" t="s">
        <v>665</v>
      </c>
      <c r="E189" s="34"/>
      <c r="F189" s="34"/>
      <c r="G189" s="34"/>
      <c r="H189" s="402"/>
      <c r="I189" s="402"/>
      <c r="J189" s="402"/>
      <c r="K189" s="402"/>
      <c r="L189" s="402"/>
      <c r="M189" s="402"/>
      <c r="N189" s="35">
        <f t="shared" si="151"/>
        <v>0</v>
      </c>
      <c r="O189" s="35">
        <f t="shared" si="151"/>
        <v>0</v>
      </c>
      <c r="P189" s="35">
        <f t="shared" si="151"/>
        <v>0</v>
      </c>
      <c r="Q189" s="35">
        <f t="shared" si="151"/>
        <v>0</v>
      </c>
      <c r="R189" s="35">
        <f t="shared" si="151"/>
        <v>0</v>
      </c>
      <c r="S189" s="36">
        <f t="shared" si="151"/>
        <v>0</v>
      </c>
    </row>
    <row r="190" spans="1:43" outlineLevel="3">
      <c r="H190" s="43"/>
      <c r="I190" s="43"/>
      <c r="J190" s="43"/>
      <c r="K190" s="43"/>
    </row>
    <row r="191" spans="1:43" outlineLevel="3">
      <c r="C191" s="1" t="s">
        <v>659</v>
      </c>
      <c r="H191" s="394"/>
      <c r="I191" s="394">
        <v>-770</v>
      </c>
      <c r="J191" s="394">
        <v>-10177</v>
      </c>
      <c r="K191" s="394">
        <v>-15786.4</v>
      </c>
      <c r="L191" s="394">
        <v>-19147.245467679539</v>
      </c>
      <c r="M191" s="394">
        <v>-14043.650268287271</v>
      </c>
      <c r="N191" s="20">
        <f>N192*N160</f>
        <v>-25952.092877915009</v>
      </c>
      <c r="O191" s="20">
        <f t="shared" ref="O191:S191" si="152">O192*O160</f>
        <v>-31050.278277788097</v>
      </c>
      <c r="P191" s="20">
        <f t="shared" si="152"/>
        <v>-35352.307143761944</v>
      </c>
      <c r="Q191" s="20">
        <f t="shared" si="152"/>
        <v>-40326.517579080792</v>
      </c>
      <c r="R191" s="20">
        <f t="shared" si="152"/>
        <v>-44210.344002598395</v>
      </c>
      <c r="S191" s="20">
        <f t="shared" si="152"/>
        <v>-48468.353975478749</v>
      </c>
      <c r="T191" s="97"/>
    </row>
    <row r="192" spans="1:43" outlineLevel="3">
      <c r="D192" s="1" t="s">
        <v>849</v>
      </c>
      <c r="H192" s="744"/>
      <c r="I192" s="744">
        <f t="shared" ref="I192:M192" si="153">I191/I160</f>
        <v>-0.10310658810926621</v>
      </c>
      <c r="J192" s="744">
        <f t="shared" si="153"/>
        <v>-6.7958558167404023E-2</v>
      </c>
      <c r="K192" s="744">
        <f t="shared" si="153"/>
        <v>-4.4329002384034547E-2</v>
      </c>
      <c r="L192" s="744">
        <f t="shared" si="153"/>
        <v>-4.164827491450334E-2</v>
      </c>
      <c r="M192" s="744">
        <f t="shared" si="153"/>
        <v>-4.7935463238763132E-2</v>
      </c>
      <c r="N192" s="746">
        <f>N178/M178*M192</f>
        <v>-4.4251126381543902E-2</v>
      </c>
      <c r="O192" s="744">
        <f>N192*(1+O193)</f>
        <v>-4.5231487338324106E-2</v>
      </c>
      <c r="P192" s="744">
        <f t="shared" ref="P192:S192" si="154">O192*(1+P193)</f>
        <v>-4.5521272023064302E-2</v>
      </c>
      <c r="Q192" s="744">
        <f t="shared" si="154"/>
        <v>-4.582257715462696E-2</v>
      </c>
      <c r="R192" s="744">
        <f t="shared" si="154"/>
        <v>-4.5668842076409775E-2</v>
      </c>
      <c r="S192" s="744">
        <f t="shared" si="154"/>
        <v>-4.5515748804676542E-2</v>
      </c>
    </row>
    <row r="193" spans="1:43" ht="15" outlineLevel="3" thickBot="1">
      <c r="C193" s="37"/>
      <c r="D193" s="74"/>
      <c r="E193" s="74" t="s">
        <v>151</v>
      </c>
      <c r="F193" s="37"/>
      <c r="G193" s="37"/>
      <c r="H193" s="747"/>
      <c r="I193" s="75"/>
      <c r="J193" s="75">
        <f t="shared" ref="J193" si="155">J192/I192-1</f>
        <v>-0.34089024364393083</v>
      </c>
      <c r="K193" s="75"/>
      <c r="L193" s="75">
        <f>L192/J192-1</f>
        <v>-0.38715187553111263</v>
      </c>
      <c r="M193" s="75"/>
      <c r="N193" s="748">
        <f>N192/L192-1</f>
        <v>6.2496021080915343E-2</v>
      </c>
      <c r="O193" s="749">
        <f>CHOOSE(case,V193,AD193,AL193)</f>
        <v>2.2154485929404277E-2</v>
      </c>
      <c r="P193" s="750">
        <f>CHOOSE(case,W193,AE193,AM193)</f>
        <v>6.4067025382705811E-3</v>
      </c>
      <c r="Q193" s="750">
        <f>CHOOSE(case,X193,AF193,AN193)</f>
        <v>6.6189963103402416E-3</v>
      </c>
      <c r="R193" s="750">
        <f>CHOOSE(case,Y193,AG193,AO193)</f>
        <v>-3.355007242355823E-3</v>
      </c>
      <c r="S193" s="751">
        <f>CHOOSE(case,Z193,AH193,AP193)</f>
        <v>-3.3522477201652912E-3</v>
      </c>
      <c r="AC193" s="752"/>
      <c r="AD193" s="753">
        <f>(SUMPRODUCT(O173:O176,各区域分剂型成本优化!K$87:K$90)+O177*O183)/(SUMPRODUCT(N173:N176,各区域分剂型成本优化!J$87:J$90)+N177*N183)-1</f>
        <v>2.2154485929404277E-2</v>
      </c>
      <c r="AE193" s="753">
        <f>(SUMPRODUCT(P173:P176,各区域分剂型成本优化!L$87:L$90)+P177*P183)/(SUMPRODUCT(O173:O176,各区域分剂型成本优化!K$87:K$90)+O177*O183)-1</f>
        <v>6.4067025382705811E-3</v>
      </c>
      <c r="AF193" s="753">
        <f>(SUMPRODUCT(Q173:Q176,各区域分剂型成本优化!M$87:M$90)+Q177*Q183)/(SUMPRODUCT(P173:P176,各区域分剂型成本优化!L$87:L$90)+P177*P183)-1</f>
        <v>6.6189963103402416E-3</v>
      </c>
      <c r="AG193" s="753">
        <f>(SUMPRODUCT(R173:R176,各区域分剂型成本优化!N$87:N$90)+R177*R183)/(SUMPRODUCT(Q173:Q176,各区域分剂型成本优化!M$87:M$90)+Q177*Q183)-1</f>
        <v>-3.355007242355823E-3</v>
      </c>
      <c r="AH193" s="753">
        <f>(SUMPRODUCT(S173:S176,各区域分剂型成本优化!O$87:O$90)+S177*S183)/(SUMPRODUCT(R173:R176,各区域分剂型成本优化!N$87:N$90)+R177*R183)-1</f>
        <v>-3.3522477201652912E-3</v>
      </c>
    </row>
    <row r="194" spans="1:43" outlineLevel="3">
      <c r="C194" s="18" t="s">
        <v>846</v>
      </c>
      <c r="D194" s="18"/>
      <c r="E194" s="18"/>
      <c r="F194" s="18"/>
      <c r="G194" s="18"/>
      <c r="H194" s="23"/>
      <c r="I194" s="23">
        <f t="shared" ref="I194:S194" si="156">I191+I184</f>
        <v>288</v>
      </c>
      <c r="J194" s="23">
        <f t="shared" si="156"/>
        <v>4373.7999999999993</v>
      </c>
      <c r="K194" s="23">
        <f t="shared" si="156"/>
        <v>11614.6</v>
      </c>
      <c r="L194" s="23">
        <f t="shared" si="156"/>
        <v>14896.386772320468</v>
      </c>
      <c r="M194" s="23">
        <f t="shared" si="156"/>
        <v>10728.885411712734</v>
      </c>
      <c r="N194" s="23">
        <f t="shared" si="156"/>
        <v>19826.542626885977</v>
      </c>
      <c r="O194" s="23">
        <f t="shared" si="156"/>
        <v>24679.594858823908</v>
      </c>
      <c r="P194" s="23">
        <f t="shared" si="156"/>
        <v>28653.736720241774</v>
      </c>
      <c r="Q194" s="23">
        <f t="shared" si="156"/>
        <v>33323.950767799928</v>
      </c>
      <c r="R194" s="23">
        <f t="shared" si="156"/>
        <v>36805.171178970391</v>
      </c>
      <c r="S194" s="23">
        <f t="shared" si="156"/>
        <v>40648.712724246929</v>
      </c>
      <c r="AC194" s="745"/>
      <c r="AD194" s="745"/>
      <c r="AE194" s="745"/>
      <c r="AF194" s="745"/>
      <c r="AG194" s="745"/>
      <c r="AH194" s="745"/>
    </row>
    <row r="195" spans="1:43" outlineLevel="3">
      <c r="C195" s="22" t="s">
        <v>660</v>
      </c>
      <c r="D195" s="22"/>
      <c r="E195" s="22"/>
      <c r="F195" s="22"/>
      <c r="G195" s="22"/>
      <c r="H195" s="56"/>
      <c r="I195" s="56">
        <f t="shared" ref="I195:S195" si="157">IFERROR(I194/I184,"NA")</f>
        <v>0.27221172022684309</v>
      </c>
      <c r="J195" s="56">
        <f t="shared" si="157"/>
        <v>0.30058828380570135</v>
      </c>
      <c r="K195" s="56">
        <f t="shared" si="157"/>
        <v>0.42387504105689577</v>
      </c>
      <c r="L195" s="56">
        <f t="shared" si="157"/>
        <v>0.4375674918382465</v>
      </c>
      <c r="M195" s="56">
        <f t="shared" si="157"/>
        <v>0.43309597169637548</v>
      </c>
      <c r="N195" s="56">
        <f t="shared" si="157"/>
        <v>0.43309597169637548</v>
      </c>
      <c r="O195" s="56">
        <f t="shared" si="157"/>
        <v>0.44284319108938597</v>
      </c>
      <c r="P195" s="56">
        <f t="shared" si="157"/>
        <v>0.44767236014654416</v>
      </c>
      <c r="Q195" s="56">
        <f t="shared" si="157"/>
        <v>0.45246081275206557</v>
      </c>
      <c r="R195" s="56">
        <f t="shared" si="157"/>
        <v>0.45429781069075581</v>
      </c>
      <c r="S195" s="56">
        <f t="shared" si="157"/>
        <v>0.45612713961075713</v>
      </c>
      <c r="U195" s="1526">
        <f>AC195+1%</f>
        <v>0.01</v>
      </c>
      <c r="V195" s="1526">
        <f t="shared" ref="V195:Z195" si="158">U195</f>
        <v>0.01</v>
      </c>
      <c r="W195" s="1526">
        <f t="shared" si="158"/>
        <v>0.01</v>
      </c>
      <c r="X195" s="1526">
        <f t="shared" si="158"/>
        <v>0.01</v>
      </c>
      <c r="Y195" s="1526">
        <f t="shared" si="158"/>
        <v>0.01</v>
      </c>
      <c r="Z195" s="1526">
        <f t="shared" si="158"/>
        <v>0.01</v>
      </c>
      <c r="AC195" s="416"/>
      <c r="AD195" s="65"/>
      <c r="AE195" s="65"/>
      <c r="AF195" s="65"/>
      <c r="AG195" s="65"/>
      <c r="AH195" s="65"/>
      <c r="AK195" s="1526">
        <f>AC195-1%</f>
        <v>-0.01</v>
      </c>
      <c r="AL195" s="1526">
        <f t="shared" ref="AL195:AP195" si="159">AK195</f>
        <v>-0.01</v>
      </c>
      <c r="AM195" s="1526">
        <f t="shared" si="159"/>
        <v>-0.01</v>
      </c>
      <c r="AN195" s="1526">
        <f t="shared" si="159"/>
        <v>-0.01</v>
      </c>
      <c r="AO195" s="1526">
        <f t="shared" si="159"/>
        <v>-0.01</v>
      </c>
      <c r="AP195" s="1526">
        <f t="shared" si="159"/>
        <v>-0.01</v>
      </c>
    </row>
    <row r="196" spans="1:43" outlineLevel="3"/>
    <row r="197" spans="1:43" s="1126" customFormat="1" outlineLevel="3">
      <c r="A197" s="26" t="s">
        <v>8</v>
      </c>
      <c r="B197" s="26"/>
      <c r="C197" s="26" t="s">
        <v>42</v>
      </c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408"/>
      <c r="U197" s="1518"/>
      <c r="V197" s="1518"/>
      <c r="W197" s="1518"/>
      <c r="X197" s="1518"/>
      <c r="Y197" s="1518"/>
      <c r="Z197" s="1518"/>
      <c r="AA197" s="1518"/>
      <c r="AC197" s="397"/>
      <c r="AD197" s="397"/>
      <c r="AE197" s="397"/>
      <c r="AF197" s="397"/>
      <c r="AG197" s="397"/>
      <c r="AH197" s="397"/>
      <c r="AI197" s="397"/>
      <c r="AK197" s="1518"/>
      <c r="AL197" s="1518"/>
      <c r="AM197" s="1518"/>
      <c r="AN197" s="1518"/>
      <c r="AO197" s="1518"/>
      <c r="AP197" s="1518"/>
      <c r="AQ197" s="1518"/>
    </row>
    <row r="198" spans="1:43" outlineLevel="3">
      <c r="L198" s="769">
        <f>L223/K223</f>
        <v>1.4354906642231364</v>
      </c>
      <c r="M198" s="769">
        <f>M223/K223</f>
        <v>0.26772236098694802</v>
      </c>
    </row>
    <row r="199" spans="1:43" s="1126" customFormat="1" outlineLevel="3">
      <c r="A199" s="18"/>
      <c r="B199" s="18"/>
      <c r="C199" s="18" t="s">
        <v>840</v>
      </c>
      <c r="D199" s="18"/>
      <c r="E199" s="18"/>
      <c r="F199" s="18"/>
      <c r="G199" s="18"/>
      <c r="H199" s="23">
        <f>SUM(H200:H204)</f>
        <v>152716.90000000177</v>
      </c>
      <c r="I199" s="23">
        <f t="shared" ref="I199:M199" si="160">SUM(I200:I204)</f>
        <v>247221.22999999556</v>
      </c>
      <c r="J199" s="23">
        <f t="shared" si="160"/>
        <v>116721.19999999811</v>
      </c>
      <c r="K199" s="23">
        <f t="shared" si="160"/>
        <v>141192</v>
      </c>
      <c r="L199" s="23">
        <f t="shared" si="160"/>
        <v>175524.69207593313</v>
      </c>
      <c r="M199" s="23">
        <f t="shared" si="160"/>
        <v>15574.28654482286</v>
      </c>
      <c r="N199" s="23">
        <f>SUM(N200:N204)</f>
        <v>70209.87683037325</v>
      </c>
      <c r="O199" s="23">
        <f t="shared" ref="O199:S199" si="161">SUM(O200:O204)</f>
        <v>49146.913781261275</v>
      </c>
      <c r="P199" s="23">
        <f t="shared" si="161"/>
        <v>41774.876714072088</v>
      </c>
      <c r="Q199" s="23">
        <f t="shared" si="161"/>
        <v>39686.13287836848</v>
      </c>
      <c r="R199" s="23">
        <f t="shared" si="161"/>
        <v>39686.13287836848</v>
      </c>
      <c r="S199" s="23">
        <f t="shared" si="161"/>
        <v>39686.13287836848</v>
      </c>
      <c r="T199" s="408"/>
      <c r="U199" s="1519">
        <f>$L199*(1+$AA199)</f>
        <v>172891.82169479414</v>
      </c>
      <c r="V199" s="1519">
        <f>U199*(1+$AA199)</f>
        <v>170298.44436937221</v>
      </c>
      <c r="W199" s="1519">
        <f t="shared" ref="W199:Z199" si="162">V199*(1+$AA199)</f>
        <v>167743.96770383161</v>
      </c>
      <c r="X199" s="1519">
        <f t="shared" si="162"/>
        <v>165227.80818827412</v>
      </c>
      <c r="Y199" s="1519">
        <f t="shared" si="162"/>
        <v>162749.39106545001</v>
      </c>
      <c r="Z199" s="1519">
        <f t="shared" si="162"/>
        <v>160308.15019946825</v>
      </c>
      <c r="AA199" s="1520">
        <f>'回报测算-EVEBITDA（核心假设）'!G200-1.5%</f>
        <v>-1.4999999999999999E-2</v>
      </c>
      <c r="AB199" s="1321"/>
      <c r="AC199" s="20"/>
      <c r="AD199" s="20"/>
      <c r="AE199" s="20"/>
      <c r="AF199" s="20"/>
      <c r="AG199" s="20"/>
      <c r="AH199" s="20"/>
      <c r="AI199" s="702"/>
      <c r="AJ199" s="1321"/>
      <c r="AK199" s="1519">
        <f>$L199*(1+$AQ199)</f>
        <v>173769.4451551738</v>
      </c>
      <c r="AL199" s="1519">
        <f>AK199*(1+$AQ199)</f>
        <v>172031.75070362206</v>
      </c>
      <c r="AM199" s="1519">
        <f t="shared" ref="AM199:AN199" si="163">AL199*(1+$AQ199)</f>
        <v>170311.43319658583</v>
      </c>
      <c r="AN199" s="1519">
        <f t="shared" si="163"/>
        <v>168608.31886461997</v>
      </c>
      <c r="AO199" s="1519">
        <f>AN199*(1+$AQ199)</f>
        <v>166922.23567597376</v>
      </c>
      <c r="AP199" s="1519">
        <f t="shared" ref="AP199" si="164">AO199*(1+$AQ199)</f>
        <v>165253.01331921402</v>
      </c>
      <c r="AQ199" s="1520">
        <f>'回报测算-EVEBITDA（核心假设）'!G202-1%</f>
        <v>-0.01</v>
      </c>
    </row>
    <row r="200" spans="1:43" outlineLevel="3">
      <c r="D200" s="27" t="s">
        <v>841</v>
      </c>
      <c r="E200" s="28"/>
      <c r="F200" s="28"/>
      <c r="G200" s="28"/>
      <c r="H200" s="398">
        <v>8464.1999999999971</v>
      </c>
      <c r="I200" s="398">
        <v>20592.099999999977</v>
      </c>
      <c r="J200" s="398">
        <v>5803.5999999999913</v>
      </c>
      <c r="K200" s="398">
        <v>3165</v>
      </c>
      <c r="L200" s="398">
        <v>9429.2999999999884</v>
      </c>
      <c r="M200" s="399">
        <v>510.49999999988722</v>
      </c>
      <c r="N200" s="29">
        <f>L200*(1+N206)</f>
        <v>3771.7199999999957</v>
      </c>
      <c r="O200" s="29">
        <f>N200*(1+O206)</f>
        <v>2640.203999999997</v>
      </c>
      <c r="P200" s="29">
        <f t="shared" ref="P200:S200" si="165">O200*(1+P206)</f>
        <v>2244.1733999999974</v>
      </c>
      <c r="Q200" s="29">
        <f t="shared" si="165"/>
        <v>2131.9647299999974</v>
      </c>
      <c r="R200" s="29">
        <f t="shared" si="165"/>
        <v>2131.9647299999974</v>
      </c>
      <c r="S200" s="30">
        <f t="shared" si="165"/>
        <v>2131.9647299999974</v>
      </c>
      <c r="AC200" s="770"/>
      <c r="AD200" s="770"/>
      <c r="AE200" s="770"/>
      <c r="AF200" s="770"/>
      <c r="AG200" s="770"/>
      <c r="AH200" s="770"/>
      <c r="AI200" s="702"/>
    </row>
    <row r="201" spans="1:43" outlineLevel="3">
      <c r="D201" s="31" t="s">
        <v>842</v>
      </c>
      <c r="E201" s="1133"/>
      <c r="F201" s="1133"/>
      <c r="G201" s="1133"/>
      <c r="H201" s="1189">
        <v>1252.8000000000002</v>
      </c>
      <c r="I201" s="1189">
        <v>564.48000000000502</v>
      </c>
      <c r="J201" s="1189">
        <v>2015.9999999997854</v>
      </c>
      <c r="K201" s="1189">
        <v>2280</v>
      </c>
      <c r="L201" s="1189">
        <v>2279.5199999989709</v>
      </c>
      <c r="M201" s="401">
        <v>2531.520000000135</v>
      </c>
      <c r="N201" s="1188">
        <f t="shared" ref="N201:N204" si="166">L201*(1+N207)</f>
        <v>911.80799999958845</v>
      </c>
      <c r="O201" s="20">
        <f t="shared" ref="O201:S204" si="167">N201*(1+O207)</f>
        <v>638.26559999971187</v>
      </c>
      <c r="P201" s="20">
        <f t="shared" si="167"/>
        <v>542.52575999975511</v>
      </c>
      <c r="Q201" s="20">
        <f t="shared" si="167"/>
        <v>515.39947199976734</v>
      </c>
      <c r="R201" s="20">
        <f t="shared" si="167"/>
        <v>515.39947199976734</v>
      </c>
      <c r="S201" s="32">
        <f t="shared" si="167"/>
        <v>515.39947199976734</v>
      </c>
      <c r="AC201" s="770"/>
      <c r="AD201" s="770"/>
      <c r="AE201" s="770"/>
      <c r="AF201" s="770"/>
      <c r="AG201" s="770"/>
      <c r="AH201" s="770"/>
      <c r="AI201" s="702"/>
    </row>
    <row r="202" spans="1:43" outlineLevel="3">
      <c r="D202" s="31" t="s">
        <v>843</v>
      </c>
      <c r="E202" s="1133"/>
      <c r="F202" s="1133"/>
      <c r="G202" s="1133"/>
      <c r="H202" s="1189">
        <v>4916.1000000000931</v>
      </c>
      <c r="I202" s="1189">
        <v>11221.349999999948</v>
      </c>
      <c r="J202" s="1189">
        <v>18318.099999999868</v>
      </c>
      <c r="K202" s="1189">
        <v>13811</v>
      </c>
      <c r="L202" s="1189">
        <v>18155.187286810211</v>
      </c>
      <c r="M202" s="401">
        <v>3507.3959393954319</v>
      </c>
      <c r="N202" s="1188">
        <f t="shared" si="166"/>
        <v>7262.0749147240849</v>
      </c>
      <c r="O202" s="20">
        <f t="shared" si="167"/>
        <v>5083.452440306859</v>
      </c>
      <c r="P202" s="20">
        <f t="shared" si="167"/>
        <v>4320.9345742608302</v>
      </c>
      <c r="Q202" s="20">
        <f t="shared" si="167"/>
        <v>4104.8878455477889</v>
      </c>
      <c r="R202" s="20">
        <f t="shared" si="167"/>
        <v>4104.8878455477889</v>
      </c>
      <c r="S202" s="32">
        <f t="shared" si="167"/>
        <v>4104.8878455477889</v>
      </c>
      <c r="AC202" s="770"/>
      <c r="AD202" s="770"/>
      <c r="AE202" s="770"/>
      <c r="AF202" s="770"/>
      <c r="AG202" s="770"/>
      <c r="AH202" s="770"/>
      <c r="AI202" s="702"/>
    </row>
    <row r="203" spans="1:43" outlineLevel="3">
      <c r="D203" s="31" t="s">
        <v>844</v>
      </c>
      <c r="E203" s="1133"/>
      <c r="F203" s="1133"/>
      <c r="G203" s="1133"/>
      <c r="H203" s="1189">
        <v>105583.80000000168</v>
      </c>
      <c r="I203" s="1189">
        <v>179843.29999999562</v>
      </c>
      <c r="J203" s="1189">
        <v>89933.499999998457</v>
      </c>
      <c r="K203" s="1189">
        <v>119552</v>
      </c>
      <c r="L203" s="1189">
        <v>142238.47504561598</v>
      </c>
      <c r="M203" s="401">
        <v>8386.6204968345228</v>
      </c>
      <c r="N203" s="1188">
        <f t="shared" si="166"/>
        <v>56895.390018246399</v>
      </c>
      <c r="O203" s="20">
        <f t="shared" si="167"/>
        <v>39826.773012772479</v>
      </c>
      <c r="P203" s="20">
        <f t="shared" si="167"/>
        <v>33852.757060856609</v>
      </c>
      <c r="Q203" s="20">
        <f t="shared" si="167"/>
        <v>32160.119207813776</v>
      </c>
      <c r="R203" s="20">
        <f t="shared" si="167"/>
        <v>32160.119207813776</v>
      </c>
      <c r="S203" s="32">
        <f t="shared" si="167"/>
        <v>32160.119207813776</v>
      </c>
      <c r="AC203" s="770"/>
      <c r="AD203" s="770"/>
      <c r="AE203" s="770"/>
      <c r="AF203" s="770"/>
      <c r="AG203" s="770"/>
      <c r="AH203" s="770"/>
      <c r="AI203" s="702"/>
    </row>
    <row r="204" spans="1:43" outlineLevel="3">
      <c r="D204" s="33" t="s">
        <v>665</v>
      </c>
      <c r="E204" s="34"/>
      <c r="F204" s="34"/>
      <c r="G204" s="34"/>
      <c r="H204" s="402">
        <v>32500</v>
      </c>
      <c r="I204" s="402">
        <v>35000</v>
      </c>
      <c r="J204" s="402">
        <v>650</v>
      </c>
      <c r="K204" s="402">
        <v>2384</v>
      </c>
      <c r="L204" s="1196">
        <f>L228/L222</f>
        <v>3422.2097435079568</v>
      </c>
      <c r="M204" s="1197">
        <f t="shared" ref="M204" si="168">M228/M222</f>
        <v>638.25010859288409</v>
      </c>
      <c r="N204" s="35">
        <f t="shared" si="166"/>
        <v>1368.8838974031828</v>
      </c>
      <c r="O204" s="35">
        <f t="shared" si="167"/>
        <v>958.21872818222789</v>
      </c>
      <c r="P204" s="35">
        <f t="shared" si="167"/>
        <v>814.48591895489369</v>
      </c>
      <c r="Q204" s="35">
        <f t="shared" si="167"/>
        <v>773.76162300714896</v>
      </c>
      <c r="R204" s="35">
        <f t="shared" si="167"/>
        <v>773.76162300714896</v>
      </c>
      <c r="S204" s="36">
        <f t="shared" si="167"/>
        <v>773.76162300714896</v>
      </c>
      <c r="AC204" s="770"/>
      <c r="AD204" s="770"/>
      <c r="AE204" s="770"/>
      <c r="AF204" s="770"/>
      <c r="AG204" s="770"/>
      <c r="AH204" s="770"/>
      <c r="AI204" s="702"/>
    </row>
    <row r="205" spans="1:43" s="1365" customFormat="1" outlineLevel="3">
      <c r="A205" s="22"/>
      <c r="B205" s="22"/>
      <c r="C205" s="22" t="s">
        <v>847</v>
      </c>
      <c r="D205" s="22"/>
      <c r="E205" s="22"/>
      <c r="F205" s="22"/>
      <c r="G205" s="22"/>
      <c r="H205" s="219"/>
      <c r="I205" s="24">
        <f t="shared" ref="I205:J210" si="169">I199/H199-1</f>
        <v>0.61882037940786305</v>
      </c>
      <c r="J205" s="24">
        <f t="shared" si="169"/>
        <v>-0.52786740847458691</v>
      </c>
      <c r="K205" s="24"/>
      <c r="L205" s="794">
        <f>L199/J199-1</f>
        <v>0.50379444416212293</v>
      </c>
      <c r="M205" s="24"/>
      <c r="N205" s="24">
        <f>N199/L199-1</f>
        <v>-0.6</v>
      </c>
      <c r="O205" s="24">
        <f>O199/N199-1</f>
        <v>-0.30000000000000004</v>
      </c>
      <c r="P205" s="24">
        <f t="shared" ref="P205:S205" si="170">P199/O199-1</f>
        <v>-0.14999999999999991</v>
      </c>
      <c r="Q205" s="24">
        <f t="shared" si="170"/>
        <v>-5.0000000000000044E-2</v>
      </c>
      <c r="R205" s="24">
        <f t="shared" si="170"/>
        <v>0</v>
      </c>
      <c r="S205" s="24">
        <f t="shared" si="170"/>
        <v>0</v>
      </c>
      <c r="T205" s="726"/>
      <c r="U205" s="1521"/>
      <c r="V205" s="1521"/>
      <c r="W205" s="1521"/>
      <c r="X205" s="1521"/>
      <c r="Y205" s="1521"/>
      <c r="Z205" s="1521"/>
      <c r="AA205" s="1522"/>
      <c r="AC205" s="219"/>
      <c r="AD205" s="219"/>
      <c r="AE205" s="219"/>
      <c r="AF205" s="219"/>
      <c r="AG205" s="219"/>
      <c r="AH205" s="219"/>
      <c r="AI205" s="706"/>
      <c r="AK205" s="1521"/>
      <c r="AL205" s="1521"/>
      <c r="AM205" s="1521"/>
      <c r="AN205" s="1521"/>
      <c r="AO205" s="1521"/>
      <c r="AP205" s="1521"/>
      <c r="AQ205" s="1522"/>
    </row>
    <row r="206" spans="1:43" s="1365" customFormat="1" outlineLevel="3">
      <c r="A206" s="22"/>
      <c r="B206" s="22"/>
      <c r="C206" s="22"/>
      <c r="D206" s="707" t="s">
        <v>841</v>
      </c>
      <c r="E206" s="708"/>
      <c r="F206" s="708"/>
      <c r="G206" s="708"/>
      <c r="H206" s="709"/>
      <c r="I206" s="710">
        <f t="shared" si="169"/>
        <v>1.4328465773493044</v>
      </c>
      <c r="J206" s="710">
        <f t="shared" si="169"/>
        <v>-0.71816376183099351</v>
      </c>
      <c r="K206" s="710"/>
      <c r="L206" s="175">
        <f>L200/J200-1</f>
        <v>0.62473292439175721</v>
      </c>
      <c r="M206" s="710"/>
      <c r="N206" s="711">
        <f t="shared" ref="N206:S210" si="171">CHOOSE(case,U206,AC206,AK206)</f>
        <v>-0.6</v>
      </c>
      <c r="O206" s="712">
        <f t="shared" si="171"/>
        <v>-0.3</v>
      </c>
      <c r="P206" s="712">
        <f t="shared" si="171"/>
        <v>-0.15</v>
      </c>
      <c r="Q206" s="712">
        <f t="shared" si="171"/>
        <v>-0.05</v>
      </c>
      <c r="R206" s="712">
        <f t="shared" si="171"/>
        <v>0</v>
      </c>
      <c r="S206" s="713">
        <f t="shared" si="171"/>
        <v>0</v>
      </c>
      <c r="T206" s="726"/>
      <c r="U206" s="1521"/>
      <c r="V206" s="1521"/>
      <c r="W206" s="1521"/>
      <c r="X206" s="1521"/>
      <c r="Y206" s="1521"/>
      <c r="Z206" s="1521"/>
      <c r="AA206" s="1523"/>
      <c r="AC206" s="714">
        <v>-0.6</v>
      </c>
      <c r="AD206" s="714">
        <v>-0.3</v>
      </c>
      <c r="AE206" s="714">
        <v>-0.15</v>
      </c>
      <c r="AF206" s="714">
        <v>-0.05</v>
      </c>
      <c r="AG206" s="714">
        <v>0</v>
      </c>
      <c r="AH206" s="714">
        <f>AG206</f>
        <v>0</v>
      </c>
      <c r="AI206" s="22"/>
      <c r="AK206" s="1521"/>
      <c r="AL206" s="1521"/>
      <c r="AM206" s="1521"/>
      <c r="AN206" s="1521"/>
      <c r="AO206" s="1521"/>
      <c r="AP206" s="1521"/>
      <c r="AQ206" s="1523"/>
    </row>
    <row r="207" spans="1:43" s="1365" customFormat="1" outlineLevel="3">
      <c r="A207" s="22"/>
      <c r="B207" s="22"/>
      <c r="C207" s="22"/>
      <c r="D207" s="715" t="s">
        <v>842</v>
      </c>
      <c r="E207" s="22"/>
      <c r="F207" s="22"/>
      <c r="G207" s="22"/>
      <c r="H207" s="219"/>
      <c r="I207" s="175">
        <f t="shared" si="169"/>
        <v>-0.5494252873563179</v>
      </c>
      <c r="J207" s="175">
        <f t="shared" si="169"/>
        <v>2.5714285714281595</v>
      </c>
      <c r="K207" s="175"/>
      <c r="L207" s="175">
        <f t="shared" ref="L207:L210" si="172">L201/J201-1</f>
        <v>0.13071428571389565</v>
      </c>
      <c r="M207" s="175"/>
      <c r="N207" s="716">
        <f t="shared" si="171"/>
        <v>-0.6</v>
      </c>
      <c r="O207" s="717">
        <f t="shared" si="171"/>
        <v>-0.3</v>
      </c>
      <c r="P207" s="717">
        <f t="shared" si="171"/>
        <v>-0.15</v>
      </c>
      <c r="Q207" s="717">
        <f t="shared" si="171"/>
        <v>-0.05</v>
      </c>
      <c r="R207" s="717">
        <f t="shared" si="171"/>
        <v>0</v>
      </c>
      <c r="S207" s="718">
        <f t="shared" si="171"/>
        <v>0</v>
      </c>
      <c r="T207" s="726"/>
      <c r="U207" s="1521"/>
      <c r="V207" s="1521"/>
      <c r="W207" s="1521"/>
      <c r="X207" s="1521"/>
      <c r="Y207" s="1521"/>
      <c r="Z207" s="1521"/>
      <c r="AA207" s="1523"/>
      <c r="AC207" s="714">
        <v>-0.6</v>
      </c>
      <c r="AD207" s="714">
        <v>-0.3</v>
      </c>
      <c r="AE207" s="714">
        <v>-0.15</v>
      </c>
      <c r="AF207" s="714">
        <v>-0.05</v>
      </c>
      <c r="AG207" s="714">
        <v>0</v>
      </c>
      <c r="AH207" s="714">
        <f t="shared" ref="AH207:AH210" si="173">AG207</f>
        <v>0</v>
      </c>
      <c r="AI207" s="22"/>
      <c r="AK207" s="1521"/>
      <c r="AL207" s="1521"/>
      <c r="AM207" s="1521"/>
      <c r="AN207" s="1521"/>
      <c r="AO207" s="1521"/>
      <c r="AP207" s="1521"/>
      <c r="AQ207" s="1523"/>
    </row>
    <row r="208" spans="1:43" s="1365" customFormat="1" outlineLevel="3">
      <c r="A208" s="22"/>
      <c r="B208" s="22"/>
      <c r="C208" s="22"/>
      <c r="D208" s="715" t="s">
        <v>843</v>
      </c>
      <c r="E208" s="22"/>
      <c r="F208" s="22"/>
      <c r="G208" s="22"/>
      <c r="H208" s="219"/>
      <c r="I208" s="175">
        <f t="shared" si="169"/>
        <v>1.2825715506193394</v>
      </c>
      <c r="J208" s="175">
        <f t="shared" si="169"/>
        <v>0.63243281779821081</v>
      </c>
      <c r="K208" s="175"/>
      <c r="L208" s="175">
        <f t="shared" si="172"/>
        <v>-8.8935377134996552E-3</v>
      </c>
      <c r="M208" s="175"/>
      <c r="N208" s="716">
        <f t="shared" si="171"/>
        <v>-0.6</v>
      </c>
      <c r="O208" s="717">
        <f t="shared" si="171"/>
        <v>-0.3</v>
      </c>
      <c r="P208" s="717">
        <f t="shared" si="171"/>
        <v>-0.15</v>
      </c>
      <c r="Q208" s="717">
        <f t="shared" si="171"/>
        <v>-0.05</v>
      </c>
      <c r="R208" s="717">
        <f t="shared" si="171"/>
        <v>0</v>
      </c>
      <c r="S208" s="718">
        <f t="shared" si="171"/>
        <v>0</v>
      </c>
      <c r="T208" s="726"/>
      <c r="U208" s="1521"/>
      <c r="V208" s="1521"/>
      <c r="W208" s="1521"/>
      <c r="X208" s="1521"/>
      <c r="Y208" s="1521"/>
      <c r="Z208" s="1521"/>
      <c r="AA208" s="1523"/>
      <c r="AC208" s="714">
        <v>-0.6</v>
      </c>
      <c r="AD208" s="714">
        <v>-0.3</v>
      </c>
      <c r="AE208" s="714">
        <v>-0.15</v>
      </c>
      <c r="AF208" s="714">
        <v>-0.05</v>
      </c>
      <c r="AG208" s="714">
        <v>0</v>
      </c>
      <c r="AH208" s="714">
        <f t="shared" si="173"/>
        <v>0</v>
      </c>
      <c r="AI208" s="22"/>
      <c r="AK208" s="1521"/>
      <c r="AL208" s="1521"/>
      <c r="AM208" s="1521"/>
      <c r="AN208" s="1521"/>
      <c r="AO208" s="1521"/>
      <c r="AP208" s="1521"/>
      <c r="AQ208" s="1523"/>
    </row>
    <row r="209" spans="1:43" s="1365" customFormat="1" outlineLevel="3">
      <c r="A209" s="22"/>
      <c r="B209" s="22"/>
      <c r="C209" s="22"/>
      <c r="D209" s="715" t="s">
        <v>844</v>
      </c>
      <c r="E209" s="22"/>
      <c r="F209" s="22"/>
      <c r="G209" s="22"/>
      <c r="H209" s="219"/>
      <c r="I209" s="175">
        <f t="shared" si="169"/>
        <v>0.70332285824144214</v>
      </c>
      <c r="J209" s="175">
        <f t="shared" si="169"/>
        <v>-0.49993410930515259</v>
      </c>
      <c r="K209" s="175"/>
      <c r="L209" s="175">
        <f t="shared" si="172"/>
        <v>0.58159612430983354</v>
      </c>
      <c r="M209" s="175"/>
      <c r="N209" s="716">
        <f t="shared" si="171"/>
        <v>-0.6</v>
      </c>
      <c r="O209" s="717">
        <f t="shared" si="171"/>
        <v>-0.3</v>
      </c>
      <c r="P209" s="717">
        <f t="shared" si="171"/>
        <v>-0.15</v>
      </c>
      <c r="Q209" s="717">
        <f t="shared" si="171"/>
        <v>-0.05</v>
      </c>
      <c r="R209" s="717">
        <f t="shared" si="171"/>
        <v>0</v>
      </c>
      <c r="S209" s="718">
        <f t="shared" si="171"/>
        <v>0</v>
      </c>
      <c r="T209" s="726"/>
      <c r="U209" s="1521"/>
      <c r="V209" s="1521"/>
      <c r="W209" s="1521"/>
      <c r="X209" s="1521"/>
      <c r="Y209" s="1521"/>
      <c r="Z209" s="1521"/>
      <c r="AA209" s="1523"/>
      <c r="AC209" s="714">
        <v>-0.6</v>
      </c>
      <c r="AD209" s="714">
        <v>-0.3</v>
      </c>
      <c r="AE209" s="714">
        <v>-0.15</v>
      </c>
      <c r="AF209" s="714">
        <v>-0.05</v>
      </c>
      <c r="AG209" s="714">
        <v>0</v>
      </c>
      <c r="AH209" s="714">
        <f t="shared" si="173"/>
        <v>0</v>
      </c>
      <c r="AI209" s="22"/>
      <c r="AK209" s="1521"/>
      <c r="AL209" s="1521"/>
      <c r="AM209" s="1521"/>
      <c r="AN209" s="1521"/>
      <c r="AO209" s="1521"/>
      <c r="AP209" s="1521"/>
      <c r="AQ209" s="1523"/>
    </row>
    <row r="210" spans="1:43" s="1365" customFormat="1" outlineLevel="3">
      <c r="A210" s="22"/>
      <c r="B210" s="22"/>
      <c r="C210" s="22"/>
      <c r="D210" s="719" t="s">
        <v>665</v>
      </c>
      <c r="E210" s="720"/>
      <c r="F210" s="720"/>
      <c r="G210" s="720"/>
      <c r="H210" s="721"/>
      <c r="I210" s="722">
        <f t="shared" si="169"/>
        <v>7.6923076923076872E-2</v>
      </c>
      <c r="J210" s="722">
        <f t="shared" si="169"/>
        <v>-0.98142857142857143</v>
      </c>
      <c r="K210" s="722"/>
      <c r="L210" s="722">
        <f t="shared" si="172"/>
        <v>4.2649380669353185</v>
      </c>
      <c r="M210" s="722"/>
      <c r="N210" s="723">
        <f t="shared" si="171"/>
        <v>-0.6</v>
      </c>
      <c r="O210" s="724">
        <f t="shared" si="171"/>
        <v>-0.3</v>
      </c>
      <c r="P210" s="724">
        <f t="shared" si="171"/>
        <v>-0.15</v>
      </c>
      <c r="Q210" s="724">
        <f t="shared" si="171"/>
        <v>-0.05</v>
      </c>
      <c r="R210" s="724">
        <f t="shared" si="171"/>
        <v>0</v>
      </c>
      <c r="S210" s="725">
        <f t="shared" si="171"/>
        <v>0</v>
      </c>
      <c r="T210" s="726"/>
      <c r="U210" s="1521"/>
      <c r="V210" s="1521"/>
      <c r="W210" s="1521"/>
      <c r="X210" s="1521"/>
      <c r="Y210" s="1521"/>
      <c r="Z210" s="1521"/>
      <c r="AA210" s="1523"/>
      <c r="AC210" s="714">
        <v>-0.6</v>
      </c>
      <c r="AD210" s="714">
        <v>-0.3</v>
      </c>
      <c r="AE210" s="714">
        <v>-0.15</v>
      </c>
      <c r="AF210" s="714">
        <v>-0.05</v>
      </c>
      <c r="AG210" s="714">
        <v>0</v>
      </c>
      <c r="AH210" s="714">
        <f t="shared" si="173"/>
        <v>0</v>
      </c>
      <c r="AI210" s="22"/>
      <c r="AK210" s="1521"/>
      <c r="AL210" s="1521"/>
      <c r="AM210" s="1521"/>
      <c r="AN210" s="1521"/>
      <c r="AO210" s="1521"/>
      <c r="AP210" s="1521"/>
      <c r="AQ210" s="1523"/>
    </row>
    <row r="211" spans="1:43" s="1365" customFormat="1" outlineLevel="3">
      <c r="A211" s="22"/>
      <c r="B211" s="22"/>
      <c r="C211" s="22" t="s">
        <v>848</v>
      </c>
      <c r="D211" s="22"/>
      <c r="E211" s="22"/>
      <c r="F211" s="22"/>
      <c r="G211" s="22"/>
      <c r="H211" s="24">
        <f>H199/H$199</f>
        <v>1</v>
      </c>
      <c r="I211" s="24">
        <f t="shared" ref="I211:S212" si="174">I199/I$199</f>
        <v>1</v>
      </c>
      <c r="J211" s="24">
        <f t="shared" si="174"/>
        <v>1</v>
      </c>
      <c r="K211" s="24">
        <f t="shared" si="174"/>
        <v>1</v>
      </c>
      <c r="L211" s="24">
        <f t="shared" si="174"/>
        <v>1</v>
      </c>
      <c r="M211" s="24">
        <f t="shared" si="174"/>
        <v>1</v>
      </c>
      <c r="N211" s="24">
        <f t="shared" si="174"/>
        <v>1</v>
      </c>
      <c r="O211" s="24">
        <f t="shared" si="174"/>
        <v>1</v>
      </c>
      <c r="P211" s="24">
        <f t="shared" si="174"/>
        <v>1</v>
      </c>
      <c r="Q211" s="24">
        <f t="shared" si="174"/>
        <v>1</v>
      </c>
      <c r="R211" s="24">
        <f t="shared" si="174"/>
        <v>1</v>
      </c>
      <c r="S211" s="24">
        <f t="shared" si="174"/>
        <v>1</v>
      </c>
      <c r="T211" s="726"/>
      <c r="U211" s="1521"/>
      <c r="V211" s="1521"/>
      <c r="W211" s="1521"/>
      <c r="X211" s="1521"/>
      <c r="Y211" s="1521"/>
      <c r="Z211" s="1521"/>
      <c r="AA211" s="1522"/>
      <c r="AC211" s="219"/>
      <c r="AD211" s="219"/>
      <c r="AE211" s="219"/>
      <c r="AF211" s="219"/>
      <c r="AG211" s="219"/>
      <c r="AH211" s="219"/>
      <c r="AI211" s="706"/>
      <c r="AK211" s="1521"/>
      <c r="AL211" s="1521"/>
      <c r="AM211" s="1521"/>
      <c r="AN211" s="1521"/>
      <c r="AO211" s="1521"/>
      <c r="AP211" s="1521"/>
      <c r="AQ211" s="1522"/>
    </row>
    <row r="212" spans="1:43" s="1365" customFormat="1" outlineLevel="3">
      <c r="A212" s="22"/>
      <c r="B212" s="22"/>
      <c r="C212" s="22"/>
      <c r="D212" s="707" t="s">
        <v>841</v>
      </c>
      <c r="E212" s="708"/>
      <c r="F212" s="708"/>
      <c r="G212" s="708"/>
      <c r="H212" s="710">
        <f>H200/H$199</f>
        <v>5.5424121364432484E-2</v>
      </c>
      <c r="I212" s="710">
        <f t="shared" si="174"/>
        <v>8.3294221940406768E-2</v>
      </c>
      <c r="J212" s="710">
        <f t="shared" si="174"/>
        <v>4.9721901419794226E-2</v>
      </c>
      <c r="K212" s="710">
        <f t="shared" si="174"/>
        <v>2.241628420873704E-2</v>
      </c>
      <c r="L212" s="710">
        <f t="shared" si="174"/>
        <v>5.3720646870132734E-2</v>
      </c>
      <c r="M212" s="710">
        <f t="shared" si="174"/>
        <v>3.2778387538373983E-2</v>
      </c>
      <c r="N212" s="710">
        <f t="shared" si="174"/>
        <v>5.3720646870132734E-2</v>
      </c>
      <c r="O212" s="710">
        <f t="shared" si="174"/>
        <v>5.3720646870132734E-2</v>
      </c>
      <c r="P212" s="710">
        <f t="shared" si="174"/>
        <v>5.3720646870132727E-2</v>
      </c>
      <c r="Q212" s="710">
        <f t="shared" si="174"/>
        <v>5.3720646870132734E-2</v>
      </c>
      <c r="R212" s="710">
        <f t="shared" si="174"/>
        <v>5.3720646870132734E-2</v>
      </c>
      <c r="S212" s="710">
        <f t="shared" si="174"/>
        <v>5.3720646870132734E-2</v>
      </c>
      <c r="T212" s="726"/>
      <c r="U212" s="1521"/>
      <c r="V212" s="1521"/>
      <c r="W212" s="1521"/>
      <c r="X212" s="1521"/>
      <c r="Y212" s="1521"/>
      <c r="Z212" s="1521"/>
      <c r="AA212" s="1523"/>
      <c r="AC212" s="728"/>
      <c r="AD212" s="728"/>
      <c r="AE212" s="728"/>
      <c r="AF212" s="728"/>
      <c r="AG212" s="728"/>
      <c r="AH212" s="728"/>
      <c r="AI212" s="22"/>
      <c r="AK212" s="1521"/>
      <c r="AL212" s="1521"/>
      <c r="AM212" s="1521"/>
      <c r="AN212" s="1521"/>
      <c r="AO212" s="1521"/>
      <c r="AP212" s="1521"/>
      <c r="AQ212" s="1523"/>
    </row>
    <row r="213" spans="1:43" s="1365" customFormat="1" outlineLevel="3">
      <c r="A213" s="22"/>
      <c r="B213" s="22"/>
      <c r="C213" s="22"/>
      <c r="D213" s="715" t="s">
        <v>842</v>
      </c>
      <c r="E213" s="22"/>
      <c r="F213" s="22"/>
      <c r="G213" s="22"/>
      <c r="H213" s="175">
        <f t="shared" ref="H213:S216" si="175">H201/H$199</f>
        <v>8.2034142914110073E-3</v>
      </c>
      <c r="I213" s="175">
        <f t="shared" si="175"/>
        <v>2.2832990516227719E-3</v>
      </c>
      <c r="J213" s="175">
        <f t="shared" si="175"/>
        <v>1.7271926608018236E-2</v>
      </c>
      <c r="K213" s="175">
        <f t="shared" si="175"/>
        <v>1.6148223695393506E-2</v>
      </c>
      <c r="L213" s="175">
        <f t="shared" si="175"/>
        <v>1.2986890750463961E-2</v>
      </c>
      <c r="M213" s="175">
        <f t="shared" si="175"/>
        <v>0.16254484548710532</v>
      </c>
      <c r="N213" s="175">
        <f t="shared" si="175"/>
        <v>1.2986890750463963E-2</v>
      </c>
      <c r="O213" s="175">
        <f t="shared" si="175"/>
        <v>1.2986890750463961E-2</v>
      </c>
      <c r="P213" s="175">
        <f t="shared" si="175"/>
        <v>1.2986890750463961E-2</v>
      </c>
      <c r="Q213" s="175">
        <f t="shared" si="175"/>
        <v>1.2986890750463961E-2</v>
      </c>
      <c r="R213" s="175">
        <f t="shared" si="175"/>
        <v>1.2986890750463961E-2</v>
      </c>
      <c r="S213" s="175">
        <f t="shared" si="175"/>
        <v>1.2986890750463961E-2</v>
      </c>
      <c r="T213" s="726"/>
      <c r="U213" s="1521"/>
      <c r="V213" s="1521"/>
      <c r="W213" s="1521"/>
      <c r="X213" s="1521"/>
      <c r="Y213" s="1521"/>
      <c r="Z213" s="1521"/>
      <c r="AA213" s="1523"/>
      <c r="AC213" s="728"/>
      <c r="AD213" s="728"/>
      <c r="AE213" s="728"/>
      <c r="AF213" s="728"/>
      <c r="AG213" s="728"/>
      <c r="AH213" s="728"/>
      <c r="AI213" s="22"/>
      <c r="AK213" s="1521"/>
      <c r="AL213" s="1521"/>
      <c r="AM213" s="1521"/>
      <c r="AN213" s="1521"/>
      <c r="AO213" s="1521"/>
      <c r="AP213" s="1521"/>
      <c r="AQ213" s="1523"/>
    </row>
    <row r="214" spans="1:43" s="1365" customFormat="1" outlineLevel="3">
      <c r="A214" s="22"/>
      <c r="B214" s="22"/>
      <c r="C214" s="22"/>
      <c r="D214" s="715" t="s">
        <v>843</v>
      </c>
      <c r="E214" s="22"/>
      <c r="F214" s="22"/>
      <c r="G214" s="22"/>
      <c r="H214" s="175">
        <f t="shared" si="175"/>
        <v>3.2190936301090683E-2</v>
      </c>
      <c r="I214" s="175">
        <f t="shared" si="175"/>
        <v>4.5389912508728113E-2</v>
      </c>
      <c r="J214" s="175">
        <f t="shared" si="175"/>
        <v>0.15693892797538206</v>
      </c>
      <c r="K214" s="175">
        <f t="shared" si="175"/>
        <v>9.7817156779420933E-2</v>
      </c>
      <c r="L214" s="175">
        <f t="shared" si="175"/>
        <v>0.10343380792803875</v>
      </c>
      <c r="M214" s="175">
        <f t="shared" si="175"/>
        <v>0.22520427688941846</v>
      </c>
      <c r="N214" s="175">
        <f t="shared" si="175"/>
        <v>0.10343380792803875</v>
      </c>
      <c r="O214" s="175">
        <f t="shared" si="175"/>
        <v>0.10343380792803875</v>
      </c>
      <c r="P214" s="175">
        <f t="shared" si="175"/>
        <v>0.10343380792803873</v>
      </c>
      <c r="Q214" s="175">
        <f t="shared" si="175"/>
        <v>0.10343380792803875</v>
      </c>
      <c r="R214" s="175">
        <f t="shared" si="175"/>
        <v>0.10343380792803875</v>
      </c>
      <c r="S214" s="175">
        <f t="shared" si="175"/>
        <v>0.10343380792803875</v>
      </c>
      <c r="T214" s="726"/>
      <c r="U214" s="1521"/>
      <c r="V214" s="1521"/>
      <c r="W214" s="1521"/>
      <c r="X214" s="1521"/>
      <c r="Y214" s="1521"/>
      <c r="Z214" s="1521"/>
      <c r="AA214" s="1523"/>
      <c r="AC214" s="728"/>
      <c r="AD214" s="728"/>
      <c r="AE214" s="728"/>
      <c r="AF214" s="728"/>
      <c r="AG214" s="728"/>
      <c r="AH214" s="728"/>
      <c r="AI214" s="22"/>
      <c r="AK214" s="1521"/>
      <c r="AL214" s="1521"/>
      <c r="AM214" s="1521"/>
      <c r="AN214" s="1521"/>
      <c r="AO214" s="1521"/>
      <c r="AP214" s="1521"/>
      <c r="AQ214" s="1523"/>
    </row>
    <row r="215" spans="1:43" s="1365" customFormat="1" outlineLevel="3">
      <c r="A215" s="22"/>
      <c r="B215" s="22"/>
      <c r="C215" s="22"/>
      <c r="D215" s="715" t="s">
        <v>844</v>
      </c>
      <c r="E215" s="22"/>
      <c r="F215" s="22"/>
      <c r="G215" s="22"/>
      <c r="H215" s="175">
        <f t="shared" si="175"/>
        <v>0.69136945550885631</v>
      </c>
      <c r="I215" s="175">
        <f t="shared" si="175"/>
        <v>0.72745896458810944</v>
      </c>
      <c r="J215" s="175">
        <f t="shared" si="175"/>
        <v>0.77049841845354505</v>
      </c>
      <c r="K215" s="175">
        <f t="shared" si="175"/>
        <v>0.84673352597880902</v>
      </c>
      <c r="L215" s="175">
        <f t="shared" si="175"/>
        <v>0.81036162697885661</v>
      </c>
      <c r="M215" s="175">
        <f t="shared" si="175"/>
        <v>0.53849147263971253</v>
      </c>
      <c r="N215" s="175">
        <f t="shared" si="175"/>
        <v>0.81036162697885661</v>
      </c>
      <c r="O215" s="175">
        <f t="shared" si="175"/>
        <v>0.81036162697885661</v>
      </c>
      <c r="P215" s="175">
        <f t="shared" si="175"/>
        <v>0.81036162697885661</v>
      </c>
      <c r="Q215" s="175">
        <f t="shared" si="175"/>
        <v>0.81036162697885661</v>
      </c>
      <c r="R215" s="175">
        <f t="shared" si="175"/>
        <v>0.81036162697885661</v>
      </c>
      <c r="S215" s="175">
        <f t="shared" si="175"/>
        <v>0.81036162697885661</v>
      </c>
      <c r="T215" s="726"/>
      <c r="U215" s="1521"/>
      <c r="V215" s="1521"/>
      <c r="W215" s="1521"/>
      <c r="X215" s="1521"/>
      <c r="Y215" s="1521"/>
      <c r="Z215" s="1521"/>
      <c r="AA215" s="1523"/>
      <c r="AC215" s="728"/>
      <c r="AD215" s="728"/>
      <c r="AE215" s="728"/>
      <c r="AF215" s="728"/>
      <c r="AG215" s="728"/>
      <c r="AH215" s="728"/>
      <c r="AI215" s="22"/>
      <c r="AK215" s="1521"/>
      <c r="AL215" s="1521"/>
      <c r="AM215" s="1521"/>
      <c r="AN215" s="1521"/>
      <c r="AO215" s="1521"/>
      <c r="AP215" s="1521"/>
      <c r="AQ215" s="1523"/>
    </row>
    <row r="216" spans="1:43" s="1365" customFormat="1" outlineLevel="3">
      <c r="A216" s="22"/>
      <c r="B216" s="22"/>
      <c r="C216" s="22"/>
      <c r="D216" s="719" t="s">
        <v>665</v>
      </c>
      <c r="E216" s="720"/>
      <c r="F216" s="720"/>
      <c r="G216" s="720"/>
      <c r="H216" s="722">
        <f t="shared" si="175"/>
        <v>0.21281207253420953</v>
      </c>
      <c r="I216" s="722">
        <f t="shared" si="175"/>
        <v>0.14157360191113291</v>
      </c>
      <c r="J216" s="722">
        <f t="shared" si="175"/>
        <v>5.5688255432604404E-3</v>
      </c>
      <c r="K216" s="722">
        <f t="shared" si="175"/>
        <v>1.6884809337639525E-2</v>
      </c>
      <c r="L216" s="722">
        <f t="shared" si="175"/>
        <v>1.9497027472507894E-2</v>
      </c>
      <c r="M216" s="722">
        <f t="shared" si="175"/>
        <v>4.0981017445389727E-2</v>
      </c>
      <c r="N216" s="722">
        <f t="shared" si="175"/>
        <v>1.9497027472507894E-2</v>
      </c>
      <c r="O216" s="722">
        <f t="shared" si="175"/>
        <v>1.9497027472507894E-2</v>
      </c>
      <c r="P216" s="722">
        <f t="shared" si="175"/>
        <v>1.9497027472507891E-2</v>
      </c>
      <c r="Q216" s="722">
        <f t="shared" si="175"/>
        <v>1.9497027472507891E-2</v>
      </c>
      <c r="R216" s="722">
        <f t="shared" si="175"/>
        <v>1.9497027472507891E-2</v>
      </c>
      <c r="S216" s="722">
        <f t="shared" si="175"/>
        <v>1.9497027472507891E-2</v>
      </c>
      <c r="T216" s="726"/>
      <c r="U216" s="1521"/>
      <c r="V216" s="1521"/>
      <c r="W216" s="1521"/>
      <c r="X216" s="1521"/>
      <c r="Y216" s="1521"/>
      <c r="Z216" s="1521"/>
      <c r="AA216" s="1523"/>
      <c r="AC216" s="728"/>
      <c r="AD216" s="728"/>
      <c r="AE216" s="728"/>
      <c r="AF216" s="728"/>
      <c r="AG216" s="728"/>
      <c r="AH216" s="728"/>
      <c r="AI216" s="22"/>
      <c r="AK216" s="1521"/>
      <c r="AL216" s="1521"/>
      <c r="AM216" s="1521"/>
      <c r="AN216" s="1521"/>
      <c r="AO216" s="1521"/>
      <c r="AP216" s="1521"/>
      <c r="AQ216" s="1523"/>
    </row>
    <row r="217" spans="1:43" outlineLevel="3">
      <c r="C217" s="1" t="s">
        <v>31</v>
      </c>
      <c r="H217" s="759">
        <f t="shared" ref="H217:M217" si="176">IFERROR(H223/H199,"NA")</f>
        <v>6.2193509690151451E-2</v>
      </c>
      <c r="I217" s="759">
        <f t="shared" si="176"/>
        <v>6.3558457337989469E-2</v>
      </c>
      <c r="J217" s="759">
        <f t="shared" si="176"/>
        <v>9.4670034235427497E-2</v>
      </c>
      <c r="K217" s="759">
        <f t="shared" si="176"/>
        <v>7.9225451866961297E-2</v>
      </c>
      <c r="L217" s="759">
        <f t="shared" si="176"/>
        <v>9.1482277394074371E-2</v>
      </c>
      <c r="M217" s="759">
        <f t="shared" si="176"/>
        <v>0.19228760954032276</v>
      </c>
      <c r="N217" s="759">
        <f t="shared" ref="N217:S217" si="177">IFERROR(N223/N199,"NA")</f>
        <v>0.23400477758539895</v>
      </c>
      <c r="O217" s="759">
        <f t="shared" si="177"/>
        <v>0.23400477758539898</v>
      </c>
      <c r="P217" s="759">
        <f t="shared" si="177"/>
        <v>0.23400477758539895</v>
      </c>
      <c r="Q217" s="759">
        <f t="shared" si="177"/>
        <v>0.23400477758539895</v>
      </c>
      <c r="R217" s="759">
        <f t="shared" si="177"/>
        <v>0.23400477758539895</v>
      </c>
      <c r="S217" s="759">
        <f t="shared" si="177"/>
        <v>0.23400477758539895</v>
      </c>
      <c r="U217" s="1529">
        <f>$L217*(1+$AA217)</f>
        <v>9.3311922941955866E-2</v>
      </c>
      <c r="V217" s="1529">
        <f>U217*(1+$AA217)</f>
        <v>9.5178161400794992E-2</v>
      </c>
      <c r="W217" s="1529">
        <f t="shared" ref="W217:Z217" si="178">V217*(1+$AA217)</f>
        <v>9.7081724628810886E-2</v>
      </c>
      <c r="X217" s="1529">
        <f t="shared" si="178"/>
        <v>9.90233591213871E-2</v>
      </c>
      <c r="Y217" s="1529">
        <f t="shared" si="178"/>
        <v>0.10100382630381484</v>
      </c>
      <c r="Z217" s="1529">
        <f t="shared" si="178"/>
        <v>0.10302390282989114</v>
      </c>
      <c r="AA217" s="1520">
        <v>0.02</v>
      </c>
      <c r="AC217" s="448"/>
      <c r="AD217" s="448"/>
      <c r="AE217" s="448"/>
      <c r="AF217" s="448"/>
      <c r="AG217" s="448"/>
      <c r="AH217" s="448"/>
      <c r="AI217" s="702"/>
      <c r="AK217" s="1529">
        <f>$L217*(1+$AQ217)</f>
        <v>9.1482277394074371E-2</v>
      </c>
      <c r="AL217" s="1529">
        <f>AK217*(1+$AQ217)</f>
        <v>9.1482277394074371E-2</v>
      </c>
      <c r="AM217" s="1529">
        <f t="shared" ref="AM217:AN217" si="179">AL217*(1+$AQ217)</f>
        <v>9.1482277394074371E-2</v>
      </c>
      <c r="AN217" s="1529">
        <f t="shared" si="179"/>
        <v>9.1482277394074371E-2</v>
      </c>
      <c r="AO217" s="1529">
        <f>AN217*(1+$AQ217)</f>
        <v>9.1482277394074371E-2</v>
      </c>
      <c r="AP217" s="1529">
        <f t="shared" ref="AP217" si="180">AO217*(1+$AQ217)</f>
        <v>9.1482277394074371E-2</v>
      </c>
      <c r="AQ217" s="1520">
        <v>0</v>
      </c>
    </row>
    <row r="218" spans="1:43" outlineLevel="3">
      <c r="D218" s="27" t="s">
        <v>841</v>
      </c>
      <c r="E218" s="28"/>
      <c r="F218" s="28"/>
      <c r="G218" s="28"/>
      <c r="H218" s="759">
        <f t="shared" ref="H218:J222" si="181">IFERROR(H224/H200,"NA")</f>
        <v>0.10195883840173912</v>
      </c>
      <c r="I218" s="759">
        <f t="shared" si="181"/>
        <v>9.1200023309910214E-2</v>
      </c>
      <c r="J218" s="759">
        <f t="shared" si="181"/>
        <v>8.9771865738507275E-2</v>
      </c>
      <c r="K218" s="759">
        <f t="shared" ref="K218:M218" si="182">IFERROR(K224/K200,"NA")</f>
        <v>0.14660347551342812</v>
      </c>
      <c r="L218" s="759">
        <f t="shared" si="182"/>
        <v>7.0638082169358934E-2</v>
      </c>
      <c r="M218" s="759">
        <f t="shared" si="182"/>
        <v>0.2433362889284453</v>
      </c>
      <c r="N218" s="760">
        <f>CHOOSE(case,U218,AC218,AK218)</f>
        <v>0.2433362889284453</v>
      </c>
      <c r="O218" s="761">
        <f t="shared" ref="O218:S222" si="183">CHOOSE(case,V218,AD218,AL218)</f>
        <v>0.2433362889284453</v>
      </c>
      <c r="P218" s="761">
        <f t="shared" si="183"/>
        <v>0.2433362889284453</v>
      </c>
      <c r="Q218" s="761">
        <f t="shared" si="183"/>
        <v>0.2433362889284453</v>
      </c>
      <c r="R218" s="761">
        <f t="shared" si="183"/>
        <v>0.2433362889284453</v>
      </c>
      <c r="S218" s="762">
        <f t="shared" si="183"/>
        <v>0.2433362889284453</v>
      </c>
      <c r="AC218" s="737">
        <f>M218</f>
        <v>0.2433362889284453</v>
      </c>
      <c r="AD218" s="737">
        <f>AC218</f>
        <v>0.2433362889284453</v>
      </c>
      <c r="AE218" s="737">
        <f t="shared" ref="AE218:AH218" si="184">AD218</f>
        <v>0.2433362889284453</v>
      </c>
      <c r="AF218" s="737">
        <f t="shared" si="184"/>
        <v>0.2433362889284453</v>
      </c>
      <c r="AG218" s="737">
        <f t="shared" si="184"/>
        <v>0.2433362889284453</v>
      </c>
      <c r="AH218" s="737">
        <f t="shared" si="184"/>
        <v>0.2433362889284453</v>
      </c>
      <c r="AI218" s="772"/>
    </row>
    <row r="219" spans="1:43" outlineLevel="3">
      <c r="D219" s="31" t="s">
        <v>842</v>
      </c>
      <c r="H219" s="764">
        <f t="shared" si="181"/>
        <v>0.28975095785440608</v>
      </c>
      <c r="I219" s="764">
        <f t="shared" si="181"/>
        <v>0.3153344671201786</v>
      </c>
      <c r="J219" s="764">
        <f t="shared" si="181"/>
        <v>0.24603174603177222</v>
      </c>
      <c r="K219" s="764">
        <f t="shared" ref="K219:M219" si="185">IFERROR(K225/K201,"NA")</f>
        <v>0.21535087719298246</v>
      </c>
      <c r="L219" s="764">
        <f>IFERROR(L225/L201,"NA")</f>
        <v>0.30919926832573447</v>
      </c>
      <c r="M219" s="764">
        <f t="shared" si="185"/>
        <v>5.1925988830656862E-2</v>
      </c>
      <c r="N219" s="765">
        <f>CHOOSE(case,U219,AC219,AK219)</f>
        <v>5.1925988830656862E-2</v>
      </c>
      <c r="O219" s="766">
        <f t="shared" si="183"/>
        <v>5.1925988830656862E-2</v>
      </c>
      <c r="P219" s="766">
        <f t="shared" si="183"/>
        <v>5.1925988830656862E-2</v>
      </c>
      <c r="Q219" s="766">
        <f t="shared" si="183"/>
        <v>5.1925988830656862E-2</v>
      </c>
      <c r="R219" s="766">
        <f t="shared" si="183"/>
        <v>5.1925988830656862E-2</v>
      </c>
      <c r="S219" s="767">
        <f t="shared" si="183"/>
        <v>5.1925988830656862E-2</v>
      </c>
      <c r="AC219" s="737">
        <f t="shared" ref="AC219:AC222" si="186">M219</f>
        <v>5.1925988830656862E-2</v>
      </c>
      <c r="AD219" s="737">
        <f t="shared" ref="AD219:AH222" si="187">AC219</f>
        <v>5.1925988830656862E-2</v>
      </c>
      <c r="AE219" s="737">
        <f t="shared" si="187"/>
        <v>5.1925988830656862E-2</v>
      </c>
      <c r="AF219" s="737">
        <f t="shared" si="187"/>
        <v>5.1925988830656862E-2</v>
      </c>
      <c r="AG219" s="737">
        <f t="shared" si="187"/>
        <v>5.1925988830656862E-2</v>
      </c>
      <c r="AH219" s="737">
        <f t="shared" si="187"/>
        <v>5.1925988830656862E-2</v>
      </c>
      <c r="AI219" s="772"/>
    </row>
    <row r="220" spans="1:43" outlineLevel="3">
      <c r="D220" s="31" t="s">
        <v>843</v>
      </c>
      <c r="H220" s="764">
        <f t="shared" si="181"/>
        <v>0.12123431175118259</v>
      </c>
      <c r="I220" s="764">
        <f t="shared" si="181"/>
        <v>9.4730134965935908E-2</v>
      </c>
      <c r="J220" s="764">
        <f t="shared" si="181"/>
        <v>0.1544374143606608</v>
      </c>
      <c r="K220" s="764">
        <f t="shared" ref="K220:M220" si="188">IFERROR(K226/K202,"NA")</f>
        <v>0.15444211136050973</v>
      </c>
      <c r="L220" s="764">
        <f t="shared" si="188"/>
        <v>0.16865161115756866</v>
      </c>
      <c r="M220" s="764">
        <f t="shared" si="188"/>
        <v>0.16281361039711759</v>
      </c>
      <c r="N220" s="765">
        <f>CHOOSE(case,U220,AC220,AK220)</f>
        <v>0.16281361039711759</v>
      </c>
      <c r="O220" s="766">
        <f t="shared" si="183"/>
        <v>0.16281361039711759</v>
      </c>
      <c r="P220" s="766">
        <f t="shared" si="183"/>
        <v>0.16281361039711759</v>
      </c>
      <c r="Q220" s="766">
        <f t="shared" si="183"/>
        <v>0.16281361039711759</v>
      </c>
      <c r="R220" s="766">
        <f t="shared" si="183"/>
        <v>0.16281361039711759</v>
      </c>
      <c r="S220" s="767">
        <f t="shared" si="183"/>
        <v>0.16281361039711759</v>
      </c>
      <c r="AC220" s="737">
        <f t="shared" si="186"/>
        <v>0.16281361039711759</v>
      </c>
      <c r="AD220" s="737">
        <f t="shared" si="187"/>
        <v>0.16281361039711759</v>
      </c>
      <c r="AE220" s="737">
        <f t="shared" si="187"/>
        <v>0.16281361039711759</v>
      </c>
      <c r="AF220" s="737">
        <f t="shared" si="187"/>
        <v>0.16281361039711759</v>
      </c>
      <c r="AG220" s="737">
        <f t="shared" si="187"/>
        <v>0.16281361039711759</v>
      </c>
      <c r="AH220" s="737">
        <f t="shared" si="187"/>
        <v>0.16281361039711759</v>
      </c>
      <c r="AI220" s="772"/>
    </row>
    <row r="221" spans="1:43" outlineLevel="3">
      <c r="D221" s="31" t="s">
        <v>844</v>
      </c>
      <c r="H221" s="764">
        <f t="shared" si="181"/>
        <v>7.1308287824456792E-2</v>
      </c>
      <c r="I221" s="764">
        <f t="shared" si="181"/>
        <v>6.9104603841234583E-2</v>
      </c>
      <c r="J221" s="764">
        <f t="shared" si="181"/>
        <v>7.6400896217762207E-2</v>
      </c>
      <c r="K221" s="764">
        <f t="shared" ref="K221:L221" si="189">IFERROR(K227/K203,"NA")</f>
        <v>6.4867170770877947E-2</v>
      </c>
      <c r="L221" s="764">
        <f t="shared" si="189"/>
        <v>7.8264549008137979E-2</v>
      </c>
      <c r="M221" s="764">
        <f>IFERROR(M227/M203,"NA")</f>
        <v>0.24755942041701132</v>
      </c>
      <c r="N221" s="765">
        <f>CHOOSE(case,U221,AC221,AK221)</f>
        <v>0.24755942041701132</v>
      </c>
      <c r="O221" s="766">
        <f t="shared" si="183"/>
        <v>0.24755942041701132</v>
      </c>
      <c r="P221" s="766">
        <f t="shared" si="183"/>
        <v>0.24755942041701132</v>
      </c>
      <c r="Q221" s="766">
        <f t="shared" si="183"/>
        <v>0.24755942041701132</v>
      </c>
      <c r="R221" s="766">
        <f t="shared" si="183"/>
        <v>0.24755942041701132</v>
      </c>
      <c r="S221" s="767">
        <f t="shared" si="183"/>
        <v>0.24755942041701132</v>
      </c>
      <c r="AC221" s="737">
        <f t="shared" si="186"/>
        <v>0.24755942041701132</v>
      </c>
      <c r="AD221" s="737">
        <f t="shared" si="187"/>
        <v>0.24755942041701132</v>
      </c>
      <c r="AE221" s="737">
        <f t="shared" si="187"/>
        <v>0.24755942041701132</v>
      </c>
      <c r="AF221" s="737">
        <f t="shared" si="187"/>
        <v>0.24755942041701132</v>
      </c>
      <c r="AG221" s="737">
        <f t="shared" si="187"/>
        <v>0.24755942041701132</v>
      </c>
      <c r="AH221" s="737">
        <f t="shared" si="187"/>
        <v>0.24755942041701132</v>
      </c>
      <c r="AI221" s="772"/>
    </row>
    <row r="222" spans="1:43" ht="15" outlineLevel="3" thickBot="1">
      <c r="C222" s="37"/>
      <c r="D222" s="38" t="s">
        <v>665</v>
      </c>
      <c r="E222" s="37"/>
      <c r="F222" s="37"/>
      <c r="G222" s="37"/>
      <c r="H222" s="774">
        <f t="shared" si="181"/>
        <v>4.5230769230769231E-3</v>
      </c>
      <c r="I222" s="774">
        <f t="shared" si="181"/>
        <v>4.7428571428571433E-3</v>
      </c>
      <c r="J222" s="774">
        <f t="shared" si="181"/>
        <v>0.51230769230769235</v>
      </c>
      <c r="K222" s="774">
        <f t="shared" ref="K222" si="190">IFERROR(K228/K204,"NA")</f>
        <v>0.1438758389261745</v>
      </c>
      <c r="L222" s="1194">
        <f>K222</f>
        <v>0.1438758389261745</v>
      </c>
      <c r="M222" s="1195">
        <f>L222</f>
        <v>0.1438758389261745</v>
      </c>
      <c r="N222" s="741">
        <f>CHOOSE(case,U222,AC222,AK222)</f>
        <v>0.1438758389261745</v>
      </c>
      <c r="O222" s="742">
        <f t="shared" si="183"/>
        <v>0.1438758389261745</v>
      </c>
      <c r="P222" s="742">
        <f t="shared" si="183"/>
        <v>0.1438758389261745</v>
      </c>
      <c r="Q222" s="742">
        <f t="shared" si="183"/>
        <v>0.1438758389261745</v>
      </c>
      <c r="R222" s="742">
        <f t="shared" si="183"/>
        <v>0.1438758389261745</v>
      </c>
      <c r="S222" s="743">
        <f t="shared" si="183"/>
        <v>0.1438758389261745</v>
      </c>
      <c r="AC222" s="737">
        <f t="shared" si="186"/>
        <v>0.1438758389261745</v>
      </c>
      <c r="AD222" s="737">
        <f t="shared" si="187"/>
        <v>0.1438758389261745</v>
      </c>
      <c r="AE222" s="737">
        <f t="shared" si="187"/>
        <v>0.1438758389261745</v>
      </c>
      <c r="AF222" s="737">
        <f t="shared" si="187"/>
        <v>0.1438758389261745</v>
      </c>
      <c r="AG222" s="737">
        <f t="shared" si="187"/>
        <v>0.1438758389261745</v>
      </c>
      <c r="AH222" s="737">
        <f t="shared" si="187"/>
        <v>0.1438758389261745</v>
      </c>
      <c r="AI222" s="772"/>
    </row>
    <row r="223" spans="1:43" outlineLevel="3">
      <c r="C223" s="18" t="s">
        <v>845</v>
      </c>
      <c r="H223" s="23">
        <f>SUM(H224:H228)</f>
        <v>9498</v>
      </c>
      <c r="I223" s="23">
        <f t="shared" ref="I223:K223" si="191">SUM(I224:I228)</f>
        <v>15713</v>
      </c>
      <c r="J223" s="23">
        <f t="shared" si="191"/>
        <v>11050</v>
      </c>
      <c r="K223" s="23">
        <f t="shared" si="191"/>
        <v>11186</v>
      </c>
      <c r="L223" s="405">
        <v>16057.398570000003</v>
      </c>
      <c r="M223" s="405">
        <v>2994.7423300000005</v>
      </c>
      <c r="N223" s="23">
        <f t="shared" ref="N223:S223" si="192">SUM(N224:N228)</f>
        <v>16429.446611989748</v>
      </c>
      <c r="O223" s="23">
        <f t="shared" si="192"/>
        <v>11500.612628392824</v>
      </c>
      <c r="P223" s="23">
        <f t="shared" si="192"/>
        <v>9775.520734133901</v>
      </c>
      <c r="Q223" s="23">
        <f t="shared" si="192"/>
        <v>9286.7446974272043</v>
      </c>
      <c r="R223" s="23">
        <f t="shared" si="192"/>
        <v>9286.7446974272043</v>
      </c>
      <c r="S223" s="23">
        <f t="shared" si="192"/>
        <v>9286.7446974272043</v>
      </c>
    </row>
    <row r="224" spans="1:43" outlineLevel="3">
      <c r="D224" s="27" t="s">
        <v>841</v>
      </c>
      <c r="E224" s="28"/>
      <c r="F224" s="28"/>
      <c r="G224" s="28"/>
      <c r="H224" s="398">
        <v>863</v>
      </c>
      <c r="I224" s="398">
        <v>1878</v>
      </c>
      <c r="J224" s="398">
        <v>521</v>
      </c>
      <c r="K224" s="398">
        <v>464</v>
      </c>
      <c r="L224" s="776">
        <f>K224*$L$198</f>
        <v>666.06766819953532</v>
      </c>
      <c r="M224" s="776">
        <f>K224*$M$198</f>
        <v>124.22317549794388</v>
      </c>
      <c r="N224" s="29">
        <f>N218*N200</f>
        <v>917.79634767719472</v>
      </c>
      <c r="O224" s="29">
        <f t="shared" ref="O224:S224" si="193">O218*O200</f>
        <v>642.4574433740363</v>
      </c>
      <c r="P224" s="29">
        <f t="shared" si="193"/>
        <v>546.08882686793083</v>
      </c>
      <c r="Q224" s="29">
        <f t="shared" si="193"/>
        <v>518.78438552453429</v>
      </c>
      <c r="R224" s="29">
        <f t="shared" si="193"/>
        <v>518.78438552453429</v>
      </c>
      <c r="S224" s="30">
        <f t="shared" si="193"/>
        <v>518.78438552453429</v>
      </c>
    </row>
    <row r="225" spans="1:43" outlineLevel="3">
      <c r="D225" s="31" t="s">
        <v>842</v>
      </c>
      <c r="H225" s="400">
        <v>363</v>
      </c>
      <c r="I225" s="400">
        <v>178</v>
      </c>
      <c r="J225" s="400">
        <v>496</v>
      </c>
      <c r="K225" s="400">
        <v>491</v>
      </c>
      <c r="L225" s="429">
        <f t="shared" ref="L225:L228" si="194">K225*$L$198</f>
        <v>704.82591613355999</v>
      </c>
      <c r="M225" s="429">
        <f t="shared" ref="M225:M228" si="195">K225*$M$198</f>
        <v>131.45167924459147</v>
      </c>
      <c r="N225" s="20">
        <f>N219*N201</f>
        <v>47.346532023682201</v>
      </c>
      <c r="O225" s="20">
        <f t="shared" ref="O225:S228" si="196">O219*O201</f>
        <v>33.142572416577536</v>
      </c>
      <c r="P225" s="20">
        <f t="shared" si="196"/>
        <v>28.171186554090909</v>
      </c>
      <c r="Q225" s="20">
        <f t="shared" si="196"/>
        <v>26.762627226386364</v>
      </c>
      <c r="R225" s="20">
        <f t="shared" si="196"/>
        <v>26.762627226386364</v>
      </c>
      <c r="S225" s="32">
        <f t="shared" si="196"/>
        <v>26.762627226386364</v>
      </c>
    </row>
    <row r="226" spans="1:43" outlineLevel="3">
      <c r="D226" s="31" t="s">
        <v>843</v>
      </c>
      <c r="H226" s="400">
        <v>596</v>
      </c>
      <c r="I226" s="400">
        <v>1063</v>
      </c>
      <c r="J226" s="400">
        <v>2829</v>
      </c>
      <c r="K226" s="400">
        <v>2133</v>
      </c>
      <c r="L226" s="429">
        <f t="shared" si="194"/>
        <v>3061.9015867879498</v>
      </c>
      <c r="M226" s="429">
        <f t="shared" si="195"/>
        <v>571.05179598516008</v>
      </c>
      <c r="N226" s="20">
        <f>N220*N202</f>
        <v>1182.3646358405681</v>
      </c>
      <c r="O226" s="20">
        <f t="shared" si="196"/>
        <v>827.65524508839758</v>
      </c>
      <c r="P226" s="20">
        <f t="shared" si="196"/>
        <v>703.50695832513793</v>
      </c>
      <c r="Q226" s="20">
        <f t="shared" si="196"/>
        <v>668.33161040888103</v>
      </c>
      <c r="R226" s="20">
        <f t="shared" si="196"/>
        <v>668.33161040888103</v>
      </c>
      <c r="S226" s="32">
        <f t="shared" si="196"/>
        <v>668.33161040888103</v>
      </c>
    </row>
    <row r="227" spans="1:43" outlineLevel="3">
      <c r="D227" s="31" t="s">
        <v>844</v>
      </c>
      <c r="H227" s="400">
        <v>7529</v>
      </c>
      <c r="I227" s="400">
        <v>12428</v>
      </c>
      <c r="J227" s="400">
        <v>6871</v>
      </c>
      <c r="K227" s="400">
        <v>7755</v>
      </c>
      <c r="L227" s="429">
        <f t="shared" si="194"/>
        <v>11132.230101050423</v>
      </c>
      <c r="M227" s="429">
        <f t="shared" si="195"/>
        <v>2076.1869094537819</v>
      </c>
      <c r="N227" s="20">
        <f>N221*N203</f>
        <v>14084.989777316889</v>
      </c>
      <c r="O227" s="20">
        <f t="shared" si="196"/>
        <v>9859.4928441218217</v>
      </c>
      <c r="P227" s="20">
        <f t="shared" si="196"/>
        <v>8380.5689175035495</v>
      </c>
      <c r="Q227" s="20">
        <f t="shared" si="196"/>
        <v>7961.5404716283711</v>
      </c>
      <c r="R227" s="20">
        <f t="shared" si="196"/>
        <v>7961.5404716283711</v>
      </c>
      <c r="S227" s="32">
        <f t="shared" si="196"/>
        <v>7961.5404716283711</v>
      </c>
    </row>
    <row r="228" spans="1:43" outlineLevel="3">
      <c r="D228" s="33" t="s">
        <v>665</v>
      </c>
      <c r="E228" s="34"/>
      <c r="F228" s="34"/>
      <c r="G228" s="34"/>
      <c r="H228" s="402">
        <v>147</v>
      </c>
      <c r="I228" s="402">
        <v>166</v>
      </c>
      <c r="J228" s="402">
        <v>333</v>
      </c>
      <c r="K228" s="402">
        <v>343</v>
      </c>
      <c r="L228" s="777">
        <f t="shared" si="194"/>
        <v>492.37329782853578</v>
      </c>
      <c r="M228" s="777">
        <f t="shared" si="195"/>
        <v>91.82876981852317</v>
      </c>
      <c r="N228" s="35">
        <f>N222*N204</f>
        <v>196.94931913141431</v>
      </c>
      <c r="O228" s="35">
        <f t="shared" si="196"/>
        <v>137.86452339199002</v>
      </c>
      <c r="P228" s="35">
        <f t="shared" si="196"/>
        <v>117.1848448831915</v>
      </c>
      <c r="Q228" s="35">
        <f t="shared" si="196"/>
        <v>111.32560263903193</v>
      </c>
      <c r="R228" s="35">
        <f t="shared" si="196"/>
        <v>111.32560263903193</v>
      </c>
      <c r="S228" s="36">
        <f t="shared" si="196"/>
        <v>111.32560263903193</v>
      </c>
    </row>
    <row r="229" spans="1:43" outlineLevel="3">
      <c r="H229" s="43"/>
      <c r="I229" s="43"/>
      <c r="J229" s="43"/>
      <c r="K229" s="43"/>
    </row>
    <row r="230" spans="1:43" outlineLevel="3">
      <c r="C230" s="1" t="s">
        <v>659</v>
      </c>
      <c r="H230" s="394">
        <v>-8314</v>
      </c>
      <c r="I230" s="394">
        <v>-13011</v>
      </c>
      <c r="J230" s="394">
        <v>-8729</v>
      </c>
      <c r="K230" s="394">
        <v>-7913.4</v>
      </c>
      <c r="L230" s="394">
        <v>-11861.176963707654</v>
      </c>
      <c r="M230" s="394">
        <v>-2193.100625923742</v>
      </c>
      <c r="N230" s="20">
        <f>N231*N199</f>
        <v>-12031.562544593078</v>
      </c>
      <c r="O230" s="20">
        <f t="shared" ref="O230:S230" si="197">O231*O199</f>
        <v>-8394.2608544834748</v>
      </c>
      <c r="P230" s="20">
        <f t="shared" si="197"/>
        <v>-7111.5632180380881</v>
      </c>
      <c r="Q230" s="20">
        <f t="shared" si="197"/>
        <v>-6733.6985337558681</v>
      </c>
      <c r="R230" s="20">
        <f t="shared" si="197"/>
        <v>-6711.5056261696418</v>
      </c>
      <c r="S230" s="20">
        <f t="shared" si="197"/>
        <v>-6689.4058929927805</v>
      </c>
    </row>
    <row r="231" spans="1:43" outlineLevel="3">
      <c r="D231" s="1" t="s">
        <v>849</v>
      </c>
      <c r="H231" s="744">
        <f>H230/H199</f>
        <v>-5.4440602186135938E-2</v>
      </c>
      <c r="I231" s="744">
        <f t="shared" ref="I231:M231" si="198">I230/I199</f>
        <v>-5.2628975270450011E-2</v>
      </c>
      <c r="J231" s="744">
        <f t="shared" si="198"/>
        <v>-7.4785043334031368E-2</v>
      </c>
      <c r="K231" s="744">
        <f t="shared" si="198"/>
        <v>-5.6047084820669724E-2</v>
      </c>
      <c r="L231" s="744">
        <f t="shared" si="198"/>
        <v>-6.7575546342940926E-2</v>
      </c>
      <c r="M231" s="744">
        <f t="shared" si="198"/>
        <v>-0.14081547938725728</v>
      </c>
      <c r="N231" s="746">
        <f>N217/M217*M231</f>
        <v>-0.17136566944364937</v>
      </c>
      <c r="O231" s="744">
        <f>N231*(1+O232)</f>
        <v>-0.17079934849711839</v>
      </c>
      <c r="P231" s="744">
        <f t="shared" ref="P231:S231" si="199">O231*(1+P232)</f>
        <v>-0.1702354088729727</v>
      </c>
      <c r="Q231" s="744">
        <f t="shared" si="199"/>
        <v>-0.16967383933308783</v>
      </c>
      <c r="R231" s="744">
        <f t="shared" si="199"/>
        <v>-0.16911462869761867</v>
      </c>
      <c r="S231" s="744">
        <f t="shared" si="199"/>
        <v>-0.16855776584467722</v>
      </c>
    </row>
    <row r="232" spans="1:43" ht="15" outlineLevel="3" thickBot="1">
      <c r="C232" s="37"/>
      <c r="D232" s="74"/>
      <c r="E232" s="74" t="s">
        <v>151</v>
      </c>
      <c r="F232" s="37"/>
      <c r="G232" s="37"/>
      <c r="H232" s="747"/>
      <c r="I232" s="75">
        <f>I231/H231-1</f>
        <v>-3.3277128520582067E-2</v>
      </c>
      <c r="J232" s="75">
        <f t="shared" ref="J232" si="200">J231/I231-1</f>
        <v>0.42098611933304153</v>
      </c>
      <c r="K232" s="75"/>
      <c r="L232" s="75">
        <f>L231/J231-1</f>
        <v>-9.6402925901758696E-2</v>
      </c>
      <c r="M232" s="75"/>
      <c r="N232" s="748">
        <f>N231/L231-1</f>
        <v>1.5359124523238212</v>
      </c>
      <c r="O232" s="749">
        <f>CHOOSE(case,V232,AD232,AL232)</f>
        <v>-3.3047514614191753E-3</v>
      </c>
      <c r="P232" s="750">
        <f>CHOOSE(case,W232,AE232,AM232)</f>
        <v>-3.3017668340532547E-3</v>
      </c>
      <c r="Q232" s="750">
        <f>CHOOSE(case,X232,AF232,AN232)</f>
        <v>-3.298782219296692E-3</v>
      </c>
      <c r="R232" s="750">
        <f>CHOOSE(case,Y232,AG232,AO232)</f>
        <v>-3.2957976177540038E-3</v>
      </c>
      <c r="S232" s="751">
        <f>CHOOSE(case,Z232,AH232,AP232)</f>
        <v>-3.2928130300137193E-3</v>
      </c>
      <c r="AC232" s="752"/>
      <c r="AD232" s="753">
        <f>(SUMPRODUCT(O212:O215,各区域分剂型成本优化!K$87:K$90)+O216*O222)/(SUMPRODUCT(N212:N215,各区域分剂型成本优化!J$87:J$90)+N216*N222)-1</f>
        <v>-3.3047514614191753E-3</v>
      </c>
      <c r="AE232" s="753">
        <f>(SUMPRODUCT(P212:P215,各区域分剂型成本优化!L$87:L$90)+P216*P222)/(SUMPRODUCT(O212:O215,各区域分剂型成本优化!K$87:K$90)+O216*O222)-1</f>
        <v>-3.3017668340532547E-3</v>
      </c>
      <c r="AF232" s="753">
        <f>(SUMPRODUCT(Q212:Q215,各区域分剂型成本优化!M$87:M$90)+Q216*Q222)/(SUMPRODUCT(P212:P215,各区域分剂型成本优化!L$87:L$90)+P216*P222)-1</f>
        <v>-3.298782219296692E-3</v>
      </c>
      <c r="AG232" s="753">
        <f>(SUMPRODUCT(R212:R215,各区域分剂型成本优化!N$87:N$90)+R216*R222)/(SUMPRODUCT(Q212:Q215,各区域分剂型成本优化!M$87:M$90)+Q216*Q222)-1</f>
        <v>-3.2957976177540038E-3</v>
      </c>
      <c r="AH232" s="753">
        <f>(SUMPRODUCT(S212:S215,各区域分剂型成本优化!O$87:O$90)+S216*S222)/(SUMPRODUCT(R212:R215,各区域分剂型成本优化!N$87:N$90)+R216*R222)-1</f>
        <v>-3.2928130300137193E-3</v>
      </c>
    </row>
    <row r="233" spans="1:43" outlineLevel="3">
      <c r="C233" s="18" t="s">
        <v>846</v>
      </c>
      <c r="D233" s="18"/>
      <c r="E233" s="18"/>
      <c r="F233" s="18"/>
      <c r="G233" s="18"/>
      <c r="H233" s="23">
        <f>H230+H223</f>
        <v>1184</v>
      </c>
      <c r="I233" s="23">
        <f t="shared" ref="I233:S233" si="201">I230+I223</f>
        <v>2702</v>
      </c>
      <c r="J233" s="23">
        <f t="shared" si="201"/>
        <v>2321</v>
      </c>
      <c r="K233" s="23">
        <f t="shared" si="201"/>
        <v>3272.6000000000004</v>
      </c>
      <c r="L233" s="23">
        <f t="shared" si="201"/>
        <v>4196.221606292349</v>
      </c>
      <c r="M233" s="23">
        <f t="shared" si="201"/>
        <v>801.64170407625852</v>
      </c>
      <c r="N233" s="23">
        <f t="shared" si="201"/>
        <v>4397.8840673966697</v>
      </c>
      <c r="O233" s="23">
        <f t="shared" si="201"/>
        <v>3106.3517739093495</v>
      </c>
      <c r="P233" s="23">
        <f t="shared" si="201"/>
        <v>2663.9575160958129</v>
      </c>
      <c r="Q233" s="23">
        <f t="shared" si="201"/>
        <v>2553.0461636713362</v>
      </c>
      <c r="R233" s="23">
        <f t="shared" si="201"/>
        <v>2575.2390712575625</v>
      </c>
      <c r="S233" s="23">
        <f t="shared" si="201"/>
        <v>2597.3388044344238</v>
      </c>
      <c r="AC233" s="745"/>
      <c r="AD233" s="745"/>
      <c r="AE233" s="745"/>
      <c r="AF233" s="745"/>
      <c r="AG233" s="745"/>
      <c r="AH233" s="745"/>
    </row>
    <row r="234" spans="1:43" outlineLevel="3">
      <c r="C234" s="22" t="s">
        <v>660</v>
      </c>
      <c r="D234" s="22"/>
      <c r="E234" s="22"/>
      <c r="F234" s="22"/>
      <c r="G234" s="22"/>
      <c r="H234" s="56">
        <f>IFERROR(H233/H223,"NA")</f>
        <v>0.12465782269951568</v>
      </c>
      <c r="I234" s="56">
        <f t="shared" ref="I234:S234" si="202">IFERROR(I233/I223,"NA")</f>
        <v>0.17195952396105135</v>
      </c>
      <c r="J234" s="56">
        <f t="shared" si="202"/>
        <v>0.21004524886877829</v>
      </c>
      <c r="K234" s="56">
        <f t="shared" si="202"/>
        <v>0.29256213123547292</v>
      </c>
      <c r="L234" s="56">
        <f t="shared" si="202"/>
        <v>0.2613263654133951</v>
      </c>
      <c r="M234" s="56">
        <f t="shared" si="202"/>
        <v>0.26768303103935437</v>
      </c>
      <c r="N234" s="56">
        <f t="shared" si="202"/>
        <v>0.26768303103935454</v>
      </c>
      <c r="O234" s="56">
        <f t="shared" si="202"/>
        <v>0.27010315661274931</v>
      </c>
      <c r="P234" s="56">
        <f t="shared" si="202"/>
        <v>0.27251310580252547</v>
      </c>
      <c r="Q234" s="56">
        <f t="shared" si="202"/>
        <v>0.2749129266338754</v>
      </c>
      <c r="R234" s="56">
        <f t="shared" si="202"/>
        <v>0.2773026668829397</v>
      </c>
      <c r="S234" s="56">
        <f t="shared" si="202"/>
        <v>0.27968237407818364</v>
      </c>
      <c r="U234" s="1526">
        <f>AC234+1%</f>
        <v>0.01</v>
      </c>
      <c r="V234" s="1526">
        <f t="shared" ref="V234:Z234" si="203">U234</f>
        <v>0.01</v>
      </c>
      <c r="W234" s="1526">
        <f t="shared" si="203"/>
        <v>0.01</v>
      </c>
      <c r="X234" s="1526">
        <f t="shared" si="203"/>
        <v>0.01</v>
      </c>
      <c r="Y234" s="1526">
        <f t="shared" si="203"/>
        <v>0.01</v>
      </c>
      <c r="Z234" s="1526">
        <f t="shared" si="203"/>
        <v>0.01</v>
      </c>
      <c r="AC234" s="416"/>
      <c r="AD234" s="65"/>
      <c r="AE234" s="65"/>
      <c r="AF234" s="65"/>
      <c r="AG234" s="65"/>
      <c r="AH234" s="65"/>
      <c r="AK234" s="1526">
        <f>AC234-1%</f>
        <v>-0.01</v>
      </c>
      <c r="AL234" s="1526">
        <f t="shared" ref="AL234:AP234" si="204">AK234</f>
        <v>-0.01</v>
      </c>
      <c r="AM234" s="1526">
        <f t="shared" si="204"/>
        <v>-0.01</v>
      </c>
      <c r="AN234" s="1526">
        <f t="shared" si="204"/>
        <v>-0.01</v>
      </c>
      <c r="AO234" s="1526">
        <f t="shared" si="204"/>
        <v>-0.01</v>
      </c>
      <c r="AP234" s="1526">
        <f t="shared" si="204"/>
        <v>-0.01</v>
      </c>
    </row>
    <row r="235" spans="1:43" outlineLevel="3"/>
    <row r="236" spans="1:43" s="1126" customFormat="1" outlineLevel="3">
      <c r="A236" s="26" t="s">
        <v>8</v>
      </c>
      <c r="B236" s="26"/>
      <c r="C236" s="26" t="s">
        <v>43</v>
      </c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408"/>
      <c r="U236" s="1518"/>
      <c r="V236" s="1518"/>
      <c r="W236" s="1518"/>
      <c r="X236" s="1518"/>
      <c r="Y236" s="1518"/>
      <c r="Z236" s="1518"/>
      <c r="AA236" s="1518"/>
      <c r="AC236" s="26"/>
      <c r="AD236" s="26"/>
      <c r="AE236" s="26"/>
      <c r="AF236" s="26"/>
      <c r="AG236" s="26"/>
      <c r="AH236" s="26"/>
      <c r="AI236" s="18"/>
      <c r="AK236" s="1518"/>
      <c r="AL236" s="1518"/>
      <c r="AM236" s="1518"/>
      <c r="AN236" s="1518"/>
      <c r="AO236" s="1518"/>
      <c r="AP236" s="1518"/>
      <c r="AQ236" s="1518"/>
    </row>
    <row r="237" spans="1:43" outlineLevel="3">
      <c r="L237" s="778">
        <f>L262/K262</f>
        <v>0.9993070896391153</v>
      </c>
      <c r="M237" s="778">
        <f>M262/K262</f>
        <v>1.3076647031431896</v>
      </c>
    </row>
    <row r="238" spans="1:43" s="1126" customFormat="1" outlineLevel="3">
      <c r="A238" s="18"/>
      <c r="B238" s="18"/>
      <c r="C238" s="18" t="s">
        <v>840</v>
      </c>
      <c r="D238" s="18"/>
      <c r="E238" s="18"/>
      <c r="F238" s="18"/>
      <c r="G238" s="18"/>
      <c r="H238" s="23">
        <f>SUM(H239:H243)</f>
        <v>12074</v>
      </c>
      <c r="I238" s="23">
        <f t="shared" ref="I238:R238" si="205">SUM(I239:I243)</f>
        <v>4246</v>
      </c>
      <c r="J238" s="23">
        <f t="shared" si="205"/>
        <v>6379</v>
      </c>
      <c r="K238" s="23">
        <f t="shared" si="205"/>
        <v>4636</v>
      </c>
      <c r="L238" s="23">
        <f t="shared" si="205"/>
        <v>4632.7876675669377</v>
      </c>
      <c r="M238" s="23">
        <f t="shared" si="205"/>
        <v>6062.3335637718264</v>
      </c>
      <c r="N238" s="23">
        <f t="shared" si="205"/>
        <v>9265.5753351338753</v>
      </c>
      <c r="O238" s="23">
        <f t="shared" si="205"/>
        <v>13898.363002700815</v>
      </c>
      <c r="P238" s="23">
        <f t="shared" si="205"/>
        <v>18067.871903511059</v>
      </c>
      <c r="Q238" s="23">
        <f t="shared" si="205"/>
        <v>20778.052689037715</v>
      </c>
      <c r="R238" s="23">
        <f t="shared" si="205"/>
        <v>22855.857957941491</v>
      </c>
      <c r="S238" s="23">
        <f>SUM(S239:S243)</f>
        <v>25141.443753735639</v>
      </c>
      <c r="T238" s="408"/>
      <c r="U238" s="1519">
        <f>$L238*(1+$AA238)</f>
        <v>4632.7876675669377</v>
      </c>
      <c r="V238" s="1519">
        <f>U238*(1+$AA238)</f>
        <v>4632.7876675669377</v>
      </c>
      <c r="W238" s="1519">
        <f t="shared" ref="W238:Z238" si="206">V238*(1+$AA238)</f>
        <v>4632.7876675669377</v>
      </c>
      <c r="X238" s="1519">
        <f t="shared" si="206"/>
        <v>4632.7876675669377</v>
      </c>
      <c r="Y238" s="1519">
        <f t="shared" si="206"/>
        <v>4632.7876675669377</v>
      </c>
      <c r="Z238" s="1519">
        <f t="shared" si="206"/>
        <v>4632.7876675669377</v>
      </c>
      <c r="AA238" s="1520">
        <f>'回报测算-EVEBITDA（核心假设）'!H200</f>
        <v>0</v>
      </c>
      <c r="AB238" s="1321"/>
      <c r="AC238" s="20"/>
      <c r="AD238" s="20"/>
      <c r="AE238" s="20"/>
      <c r="AF238" s="20"/>
      <c r="AG238" s="20"/>
      <c r="AH238" s="20"/>
      <c r="AI238" s="702"/>
      <c r="AJ238" s="1321"/>
      <c r="AK238" s="1519">
        <f>$L238*(1+$AQ238)</f>
        <v>4632.7876675669377</v>
      </c>
      <c r="AL238" s="1519">
        <f>AK238*(1+$AQ238)</f>
        <v>4632.7876675669377</v>
      </c>
      <c r="AM238" s="1519">
        <f t="shared" ref="AM238:AN238" si="207">AL238*(1+$AQ238)</f>
        <v>4632.7876675669377</v>
      </c>
      <c r="AN238" s="1519">
        <f t="shared" si="207"/>
        <v>4632.7876675669377</v>
      </c>
      <c r="AO238" s="1519">
        <f>AN238*(1+$AQ238)</f>
        <v>4632.7876675669377</v>
      </c>
      <c r="AP238" s="1519">
        <f t="shared" ref="AP238" si="208">AO238*(1+$AQ238)</f>
        <v>4632.7876675669377</v>
      </c>
      <c r="AQ238" s="1520">
        <f>'回报测算-EVEBITDA（核心假设）'!H202</f>
        <v>0</v>
      </c>
    </row>
    <row r="239" spans="1:43" outlineLevel="3">
      <c r="D239" s="27" t="s">
        <v>841</v>
      </c>
      <c r="E239" s="28"/>
      <c r="F239" s="28"/>
      <c r="G239" s="28"/>
      <c r="H239" s="398"/>
      <c r="I239" s="398"/>
      <c r="J239" s="398"/>
      <c r="K239" s="399"/>
      <c r="L239" s="83"/>
      <c r="M239" s="83"/>
      <c r="N239" s="703">
        <f>L239*(1+N245)</f>
        <v>0</v>
      </c>
      <c r="O239" s="29">
        <f>N239*(1+O245)</f>
        <v>0</v>
      </c>
      <c r="P239" s="29">
        <f t="shared" ref="P239:S239" si="209">O239*(1+P245)</f>
        <v>0</v>
      </c>
      <c r="Q239" s="29">
        <f t="shared" si="209"/>
        <v>0</v>
      </c>
      <c r="R239" s="29">
        <f t="shared" si="209"/>
        <v>0</v>
      </c>
      <c r="S239" s="30">
        <f t="shared" si="209"/>
        <v>0</v>
      </c>
    </row>
    <row r="240" spans="1:43" outlineLevel="3">
      <c r="D240" s="31" t="s">
        <v>842</v>
      </c>
      <c r="H240" s="400"/>
      <c r="I240" s="400"/>
      <c r="J240" s="400"/>
      <c r="K240" s="401"/>
      <c r="L240" s="84"/>
      <c r="M240" s="84"/>
      <c r="N240" s="704">
        <f t="shared" ref="N240:N243" si="210">L240*(1+N246)</f>
        <v>0</v>
      </c>
      <c r="O240" s="20">
        <f t="shared" ref="O240:S243" si="211">N240*(1+O246)</f>
        <v>0</v>
      </c>
      <c r="P240" s="20">
        <f t="shared" si="211"/>
        <v>0</v>
      </c>
      <c r="Q240" s="20">
        <f t="shared" si="211"/>
        <v>0</v>
      </c>
      <c r="R240" s="20">
        <f t="shared" si="211"/>
        <v>0</v>
      </c>
      <c r="S240" s="32">
        <f t="shared" si="211"/>
        <v>0</v>
      </c>
    </row>
    <row r="241" spans="1:43" outlineLevel="3">
      <c r="D241" s="31" t="s">
        <v>843</v>
      </c>
      <c r="H241" s="400">
        <v>4140</v>
      </c>
      <c r="I241" s="400">
        <v>2142</v>
      </c>
      <c r="J241" s="400">
        <v>1566</v>
      </c>
      <c r="K241" s="401">
        <v>1497</v>
      </c>
      <c r="L241" s="84">
        <f>L265/L259</f>
        <v>1495.9627131897555</v>
      </c>
      <c r="M241" s="84">
        <f t="shared" ref="M241" si="212">M265/M259</f>
        <v>1957.5740606053548</v>
      </c>
      <c r="N241" s="704">
        <f t="shared" si="210"/>
        <v>2991.925426379511</v>
      </c>
      <c r="O241" s="20">
        <f t="shared" si="211"/>
        <v>4487.8881395692661</v>
      </c>
      <c r="P241" s="20">
        <f t="shared" si="211"/>
        <v>5834.2545814400464</v>
      </c>
      <c r="Q241" s="20">
        <f t="shared" si="211"/>
        <v>6709.3927686560528</v>
      </c>
      <c r="R241" s="20">
        <f t="shared" si="211"/>
        <v>7380.332045521659</v>
      </c>
      <c r="S241" s="32">
        <f t="shared" si="211"/>
        <v>8118.3652500738253</v>
      </c>
    </row>
    <row r="242" spans="1:43" outlineLevel="3">
      <c r="D242" s="31" t="s">
        <v>844</v>
      </c>
      <c r="H242" s="400">
        <v>7934</v>
      </c>
      <c r="I242" s="400">
        <v>2104</v>
      </c>
      <c r="J242" s="400">
        <v>4813</v>
      </c>
      <c r="K242" s="401">
        <v>3139</v>
      </c>
      <c r="L242" s="84">
        <f t="shared" ref="L242:M242" si="213">L266/L260</f>
        <v>3136.8249543771826</v>
      </c>
      <c r="M242" s="84">
        <f t="shared" si="213"/>
        <v>4104.7595031664714</v>
      </c>
      <c r="N242" s="704">
        <f t="shared" si="210"/>
        <v>6273.6499087543652</v>
      </c>
      <c r="O242" s="20">
        <f t="shared" si="211"/>
        <v>9410.4748631315488</v>
      </c>
      <c r="P242" s="20">
        <f t="shared" si="211"/>
        <v>12233.617322071013</v>
      </c>
      <c r="Q242" s="20">
        <f t="shared" si="211"/>
        <v>14068.659920381664</v>
      </c>
      <c r="R242" s="20">
        <f t="shared" si="211"/>
        <v>15475.525912419831</v>
      </c>
      <c r="S242" s="32">
        <f t="shared" si="211"/>
        <v>17023.078503661814</v>
      </c>
    </row>
    <row r="243" spans="1:43" outlineLevel="3">
      <c r="D243" s="33" t="s">
        <v>665</v>
      </c>
      <c r="E243" s="34"/>
      <c r="F243" s="34"/>
      <c r="G243" s="34"/>
      <c r="H243" s="402"/>
      <c r="I243" s="402"/>
      <c r="J243" s="402"/>
      <c r="K243" s="403"/>
      <c r="L243" s="85"/>
      <c r="M243" s="85"/>
      <c r="N243" s="705">
        <f t="shared" si="210"/>
        <v>0</v>
      </c>
      <c r="O243" s="35">
        <f t="shared" si="211"/>
        <v>0</v>
      </c>
      <c r="P243" s="35">
        <f t="shared" si="211"/>
        <v>0</v>
      </c>
      <c r="Q243" s="35">
        <f t="shared" si="211"/>
        <v>0</v>
      </c>
      <c r="R243" s="35">
        <f t="shared" si="211"/>
        <v>0</v>
      </c>
      <c r="S243" s="36">
        <f t="shared" si="211"/>
        <v>0</v>
      </c>
      <c r="AC243" s="448"/>
      <c r="AD243" s="448"/>
      <c r="AE243" s="448"/>
      <c r="AF243" s="448"/>
      <c r="AG243" s="448"/>
      <c r="AH243" s="448"/>
    </row>
    <row r="244" spans="1:43" s="1365" customFormat="1" outlineLevel="3">
      <c r="A244" s="22"/>
      <c r="B244" s="22"/>
      <c r="C244" s="22" t="s">
        <v>847</v>
      </c>
      <c r="D244" s="22"/>
      <c r="E244" s="22"/>
      <c r="F244" s="22"/>
      <c r="G244" s="22"/>
      <c r="H244" s="219"/>
      <c r="I244" s="24">
        <f>I238/H238-1</f>
        <v>-0.64833526586052681</v>
      </c>
      <c r="J244" s="24">
        <f t="shared" ref="J244" si="214">J238/I238-1</f>
        <v>0.50235515779557227</v>
      </c>
      <c r="K244" s="24"/>
      <c r="L244" s="754">
        <f>L238/J238-1</f>
        <v>-0.273743899111626</v>
      </c>
      <c r="M244" s="24"/>
      <c r="N244" s="24">
        <f>N238/L238-1</f>
        <v>1</v>
      </c>
      <c r="O244" s="24">
        <f>O238/N238-1</f>
        <v>0.50000000000000022</v>
      </c>
      <c r="P244" s="24">
        <f t="shared" ref="P244:S244" si="215">P238/O238-1</f>
        <v>0.30000000000000004</v>
      </c>
      <c r="Q244" s="24">
        <f t="shared" si="215"/>
        <v>0.14999999999999991</v>
      </c>
      <c r="R244" s="24">
        <f t="shared" si="215"/>
        <v>0.10000000000000031</v>
      </c>
      <c r="S244" s="24">
        <f t="shared" si="215"/>
        <v>9.9999999999999867E-2</v>
      </c>
      <c r="T244" s="726"/>
      <c r="U244" s="1521"/>
      <c r="V244" s="1521"/>
      <c r="W244" s="1521"/>
      <c r="X244" s="1521"/>
      <c r="Y244" s="1521"/>
      <c r="Z244" s="1521"/>
      <c r="AA244" s="1522"/>
      <c r="AC244" s="219"/>
      <c r="AD244" s="219"/>
      <c r="AE244" s="219"/>
      <c r="AF244" s="219"/>
      <c r="AG244" s="219"/>
      <c r="AH244" s="219"/>
      <c r="AI244" s="706"/>
      <c r="AK244" s="1521"/>
      <c r="AL244" s="1521"/>
      <c r="AM244" s="1521"/>
      <c r="AN244" s="1521"/>
      <c r="AO244" s="1521"/>
      <c r="AP244" s="1521"/>
      <c r="AQ244" s="1522"/>
    </row>
    <row r="245" spans="1:43" s="1365" customFormat="1" outlineLevel="3">
      <c r="A245" s="22"/>
      <c r="B245" s="22"/>
      <c r="C245" s="22"/>
      <c r="D245" s="707" t="s">
        <v>841</v>
      </c>
      <c r="E245" s="708"/>
      <c r="F245" s="708"/>
      <c r="G245" s="708"/>
      <c r="H245" s="709"/>
      <c r="I245" s="710"/>
      <c r="J245" s="710"/>
      <c r="K245" s="710"/>
      <c r="L245" s="175"/>
      <c r="M245" s="710"/>
      <c r="N245" s="711">
        <f t="shared" ref="N245:S249" si="216">CHOOSE(case,U245,AC245,AK245)</f>
        <v>0</v>
      </c>
      <c r="O245" s="712">
        <f t="shared" si="216"/>
        <v>0</v>
      </c>
      <c r="P245" s="712">
        <f t="shared" si="216"/>
        <v>0</v>
      </c>
      <c r="Q245" s="712">
        <f t="shared" si="216"/>
        <v>0</v>
      </c>
      <c r="R245" s="712">
        <f t="shared" si="216"/>
        <v>0</v>
      </c>
      <c r="S245" s="713">
        <f t="shared" si="216"/>
        <v>0</v>
      </c>
      <c r="T245" s="726"/>
      <c r="U245" s="1521"/>
      <c r="V245" s="1521"/>
      <c r="W245" s="1521"/>
      <c r="X245" s="1521"/>
      <c r="Y245" s="1521"/>
      <c r="Z245" s="1521"/>
      <c r="AA245" s="1523"/>
      <c r="AC245" s="714"/>
      <c r="AD245" s="714"/>
      <c r="AE245" s="714"/>
      <c r="AF245" s="714"/>
      <c r="AG245" s="714"/>
      <c r="AH245" s="714"/>
      <c r="AI245" s="22"/>
      <c r="AK245" s="1521"/>
      <c r="AL245" s="1521"/>
      <c r="AM245" s="1521"/>
      <c r="AN245" s="1521"/>
      <c r="AO245" s="1521"/>
      <c r="AP245" s="1521"/>
      <c r="AQ245" s="1523"/>
    </row>
    <row r="246" spans="1:43" s="1365" customFormat="1" outlineLevel="3">
      <c r="A246" s="22"/>
      <c r="B246" s="22"/>
      <c r="C246" s="22"/>
      <c r="D246" s="715" t="s">
        <v>842</v>
      </c>
      <c r="E246" s="22"/>
      <c r="F246" s="22"/>
      <c r="G246" s="22"/>
      <c r="H246" s="219"/>
      <c r="I246" s="175"/>
      <c r="J246" s="175"/>
      <c r="K246" s="175"/>
      <c r="L246" s="175"/>
      <c r="M246" s="175"/>
      <c r="N246" s="716">
        <f t="shared" si="216"/>
        <v>0</v>
      </c>
      <c r="O246" s="717">
        <f t="shared" si="216"/>
        <v>0</v>
      </c>
      <c r="P246" s="717">
        <f t="shared" si="216"/>
        <v>0</v>
      </c>
      <c r="Q246" s="717">
        <f t="shared" si="216"/>
        <v>0</v>
      </c>
      <c r="R246" s="717">
        <f t="shared" si="216"/>
        <v>0</v>
      </c>
      <c r="S246" s="718">
        <f t="shared" si="216"/>
        <v>0</v>
      </c>
      <c r="T246" s="726"/>
      <c r="U246" s="1521"/>
      <c r="V246" s="1521"/>
      <c r="W246" s="1521"/>
      <c r="X246" s="1521"/>
      <c r="Y246" s="1521"/>
      <c r="Z246" s="1521"/>
      <c r="AA246" s="1523"/>
      <c r="AC246" s="714"/>
      <c r="AD246" s="714"/>
      <c r="AE246" s="714"/>
      <c r="AF246" s="714"/>
      <c r="AG246" s="714"/>
      <c r="AH246" s="714"/>
      <c r="AI246" s="22"/>
      <c r="AK246" s="1521"/>
      <c r="AL246" s="1521"/>
      <c r="AM246" s="1521"/>
      <c r="AN246" s="1521"/>
      <c r="AO246" s="1521"/>
      <c r="AP246" s="1521"/>
      <c r="AQ246" s="1523"/>
    </row>
    <row r="247" spans="1:43" s="1365" customFormat="1" outlineLevel="3">
      <c r="A247" s="22"/>
      <c r="B247" s="22"/>
      <c r="C247" s="22"/>
      <c r="D247" s="715" t="s">
        <v>843</v>
      </c>
      <c r="E247" s="22"/>
      <c r="F247" s="22"/>
      <c r="G247" s="22"/>
      <c r="H247" s="219"/>
      <c r="I247" s="175">
        <f t="shared" ref="I247:J248" si="217">I241/H241-1</f>
        <v>-0.4826086956521739</v>
      </c>
      <c r="J247" s="175">
        <f t="shared" si="217"/>
        <v>-0.26890756302521013</v>
      </c>
      <c r="K247" s="175"/>
      <c r="L247" s="175">
        <f t="shared" ref="L247:L248" si="218">L241/J241-1</f>
        <v>-4.4723682509734686E-2</v>
      </c>
      <c r="M247" s="175"/>
      <c r="N247" s="716">
        <f t="shared" si="216"/>
        <v>1</v>
      </c>
      <c r="O247" s="717">
        <f t="shared" si="216"/>
        <v>0.5</v>
      </c>
      <c r="P247" s="717">
        <f t="shared" si="216"/>
        <v>0.3</v>
      </c>
      <c r="Q247" s="717">
        <f t="shared" si="216"/>
        <v>0.15</v>
      </c>
      <c r="R247" s="717">
        <f t="shared" si="216"/>
        <v>0.1</v>
      </c>
      <c r="S247" s="718">
        <f t="shared" si="216"/>
        <v>0.1</v>
      </c>
      <c r="T247" s="726"/>
      <c r="U247" s="1521"/>
      <c r="V247" s="1521"/>
      <c r="W247" s="1521"/>
      <c r="X247" s="1521"/>
      <c r="Y247" s="1521"/>
      <c r="Z247" s="1521"/>
      <c r="AA247" s="1523"/>
      <c r="AC247" s="714">
        <v>1</v>
      </c>
      <c r="AD247" s="714">
        <v>0.5</v>
      </c>
      <c r="AE247" s="714">
        <v>0.3</v>
      </c>
      <c r="AF247" s="714">
        <v>0.15</v>
      </c>
      <c r="AG247" s="714">
        <v>0.1</v>
      </c>
      <c r="AH247" s="714">
        <v>0.1</v>
      </c>
      <c r="AI247" s="22"/>
      <c r="AK247" s="1521"/>
      <c r="AL247" s="1521"/>
      <c r="AM247" s="1521"/>
      <c r="AN247" s="1521"/>
      <c r="AO247" s="1521"/>
      <c r="AP247" s="1521"/>
      <c r="AQ247" s="1523"/>
    </row>
    <row r="248" spans="1:43" s="1365" customFormat="1" outlineLevel="3">
      <c r="A248" s="22"/>
      <c r="B248" s="22"/>
      <c r="C248" s="22"/>
      <c r="D248" s="715" t="s">
        <v>844</v>
      </c>
      <c r="E248" s="22"/>
      <c r="F248" s="22"/>
      <c r="G248" s="22"/>
      <c r="H248" s="219"/>
      <c r="I248" s="175">
        <f t="shared" si="217"/>
        <v>-0.73481220065540709</v>
      </c>
      <c r="J248" s="175">
        <f t="shared" si="217"/>
        <v>1.2875475285171101</v>
      </c>
      <c r="K248" s="175"/>
      <c r="L248" s="175">
        <f t="shared" si="218"/>
        <v>-0.34825993052624504</v>
      </c>
      <c r="M248" s="175"/>
      <c r="N248" s="716">
        <f t="shared" si="216"/>
        <v>1</v>
      </c>
      <c r="O248" s="717">
        <f t="shared" si="216"/>
        <v>0.5</v>
      </c>
      <c r="P248" s="717">
        <f t="shared" si="216"/>
        <v>0.3</v>
      </c>
      <c r="Q248" s="717">
        <f t="shared" si="216"/>
        <v>0.15</v>
      </c>
      <c r="R248" s="717">
        <f t="shared" si="216"/>
        <v>0.1</v>
      </c>
      <c r="S248" s="718">
        <f t="shared" si="216"/>
        <v>0.1</v>
      </c>
      <c r="T248" s="726"/>
      <c r="U248" s="1521"/>
      <c r="V248" s="1521"/>
      <c r="W248" s="1521"/>
      <c r="X248" s="1521"/>
      <c r="Y248" s="1521"/>
      <c r="Z248" s="1521"/>
      <c r="AA248" s="1523"/>
      <c r="AC248" s="714">
        <v>1</v>
      </c>
      <c r="AD248" s="714">
        <v>0.5</v>
      </c>
      <c r="AE248" s="714">
        <v>0.3</v>
      </c>
      <c r="AF248" s="714">
        <v>0.15</v>
      </c>
      <c r="AG248" s="714">
        <v>0.1</v>
      </c>
      <c r="AH248" s="714">
        <v>0.1</v>
      </c>
      <c r="AI248" s="22"/>
      <c r="AK248" s="1521"/>
      <c r="AL248" s="1521"/>
      <c r="AM248" s="1521"/>
      <c r="AN248" s="1521"/>
      <c r="AO248" s="1521"/>
      <c r="AP248" s="1521"/>
      <c r="AQ248" s="1523"/>
    </row>
    <row r="249" spans="1:43" s="1365" customFormat="1" outlineLevel="3">
      <c r="A249" s="22"/>
      <c r="B249" s="22"/>
      <c r="C249" s="22"/>
      <c r="D249" s="719" t="s">
        <v>665</v>
      </c>
      <c r="E249" s="720"/>
      <c r="F249" s="720"/>
      <c r="G249" s="720"/>
      <c r="H249" s="721"/>
      <c r="I249" s="722"/>
      <c r="J249" s="722"/>
      <c r="K249" s="722"/>
      <c r="L249" s="722"/>
      <c r="M249" s="722"/>
      <c r="N249" s="723">
        <f t="shared" si="216"/>
        <v>0</v>
      </c>
      <c r="O249" s="724">
        <f t="shared" si="216"/>
        <v>0</v>
      </c>
      <c r="P249" s="724">
        <f t="shared" si="216"/>
        <v>0</v>
      </c>
      <c r="Q249" s="724">
        <f t="shared" si="216"/>
        <v>0</v>
      </c>
      <c r="R249" s="724">
        <f t="shared" si="216"/>
        <v>0</v>
      </c>
      <c r="S249" s="725">
        <f t="shared" si="216"/>
        <v>0</v>
      </c>
      <c r="T249" s="726"/>
      <c r="U249" s="1521"/>
      <c r="V249" s="1521"/>
      <c r="W249" s="1521"/>
      <c r="X249" s="1521"/>
      <c r="Y249" s="1521"/>
      <c r="Z249" s="1521"/>
      <c r="AA249" s="1523"/>
      <c r="AC249" s="714"/>
      <c r="AD249" s="714"/>
      <c r="AE249" s="714"/>
      <c r="AF249" s="714"/>
      <c r="AG249" s="714"/>
      <c r="AH249" s="714"/>
      <c r="AI249" s="22"/>
      <c r="AK249" s="1521"/>
      <c r="AL249" s="1521"/>
      <c r="AM249" s="1521"/>
      <c r="AN249" s="1521"/>
      <c r="AO249" s="1521"/>
      <c r="AP249" s="1521"/>
      <c r="AQ249" s="1523"/>
    </row>
    <row r="250" spans="1:43" s="1365" customFormat="1" outlineLevel="3">
      <c r="A250" s="22"/>
      <c r="B250" s="22"/>
      <c r="C250" s="22" t="s">
        <v>848</v>
      </c>
      <c r="D250" s="22"/>
      <c r="E250" s="22"/>
      <c r="F250" s="22"/>
      <c r="G250" s="22"/>
      <c r="H250" s="24">
        <f>H238/H$238</f>
        <v>1</v>
      </c>
      <c r="I250" s="24">
        <f t="shared" ref="I250:S251" si="219">I238/I$238</f>
        <v>1</v>
      </c>
      <c r="J250" s="24">
        <f t="shared" si="219"/>
        <v>1</v>
      </c>
      <c r="K250" s="24">
        <f t="shared" si="219"/>
        <v>1</v>
      </c>
      <c r="L250" s="24">
        <f t="shared" si="219"/>
        <v>1</v>
      </c>
      <c r="M250" s="24">
        <f t="shared" si="219"/>
        <v>1</v>
      </c>
      <c r="N250" s="24">
        <f t="shared" si="219"/>
        <v>1</v>
      </c>
      <c r="O250" s="24">
        <f t="shared" si="219"/>
        <v>1</v>
      </c>
      <c r="P250" s="24">
        <f t="shared" si="219"/>
        <v>1</v>
      </c>
      <c r="Q250" s="24">
        <f t="shared" si="219"/>
        <v>1</v>
      </c>
      <c r="R250" s="24">
        <f t="shared" si="219"/>
        <v>1</v>
      </c>
      <c r="S250" s="24">
        <f t="shared" si="219"/>
        <v>1</v>
      </c>
      <c r="T250" s="726"/>
      <c r="U250" s="1521"/>
      <c r="V250" s="1521"/>
      <c r="W250" s="1521"/>
      <c r="X250" s="1521"/>
      <c r="Y250" s="1521"/>
      <c r="Z250" s="1521"/>
      <c r="AA250" s="1522"/>
      <c r="AC250" s="219"/>
      <c r="AD250" s="219"/>
      <c r="AE250" s="219"/>
      <c r="AF250" s="219"/>
      <c r="AG250" s="219"/>
      <c r="AH250" s="219"/>
      <c r="AI250" s="706"/>
      <c r="AK250" s="1521"/>
      <c r="AL250" s="1521"/>
      <c r="AM250" s="1521"/>
      <c r="AN250" s="1521"/>
      <c r="AO250" s="1521"/>
      <c r="AP250" s="1521"/>
      <c r="AQ250" s="1522"/>
    </row>
    <row r="251" spans="1:43" s="1365" customFormat="1" outlineLevel="3">
      <c r="A251" s="22"/>
      <c r="B251" s="22"/>
      <c r="C251" s="22"/>
      <c r="D251" s="707" t="s">
        <v>841</v>
      </c>
      <c r="E251" s="708"/>
      <c r="F251" s="708"/>
      <c r="G251" s="708"/>
      <c r="H251" s="710">
        <f>H239/H$238</f>
        <v>0</v>
      </c>
      <c r="I251" s="710">
        <f t="shared" si="219"/>
        <v>0</v>
      </c>
      <c r="J251" s="710">
        <f t="shared" si="219"/>
        <v>0</v>
      </c>
      <c r="K251" s="710">
        <f t="shared" si="219"/>
        <v>0</v>
      </c>
      <c r="L251" s="710">
        <f t="shared" si="219"/>
        <v>0</v>
      </c>
      <c r="M251" s="710">
        <f t="shared" si="219"/>
        <v>0</v>
      </c>
      <c r="N251" s="710">
        <f t="shared" si="219"/>
        <v>0</v>
      </c>
      <c r="O251" s="710">
        <f t="shared" si="219"/>
        <v>0</v>
      </c>
      <c r="P251" s="710">
        <f t="shared" si="219"/>
        <v>0</v>
      </c>
      <c r="Q251" s="710">
        <f t="shared" si="219"/>
        <v>0</v>
      </c>
      <c r="R251" s="710">
        <f t="shared" si="219"/>
        <v>0</v>
      </c>
      <c r="S251" s="710">
        <f t="shared" si="219"/>
        <v>0</v>
      </c>
      <c r="T251" s="726"/>
      <c r="U251" s="1521"/>
      <c r="V251" s="1521"/>
      <c r="W251" s="1521"/>
      <c r="X251" s="1521"/>
      <c r="Y251" s="1521"/>
      <c r="Z251" s="1521"/>
      <c r="AA251" s="1523"/>
      <c r="AC251" s="728"/>
      <c r="AD251" s="728"/>
      <c r="AE251" s="728"/>
      <c r="AF251" s="728"/>
      <c r="AG251" s="728"/>
      <c r="AH251" s="728"/>
      <c r="AI251" s="22"/>
      <c r="AK251" s="1521"/>
      <c r="AL251" s="1521"/>
      <c r="AM251" s="1521"/>
      <c r="AN251" s="1521"/>
      <c r="AO251" s="1521"/>
      <c r="AP251" s="1521"/>
      <c r="AQ251" s="1523"/>
    </row>
    <row r="252" spans="1:43" s="1365" customFormat="1" outlineLevel="3">
      <c r="A252" s="22"/>
      <c r="B252" s="22"/>
      <c r="C252" s="22"/>
      <c r="D252" s="715" t="s">
        <v>842</v>
      </c>
      <c r="E252" s="22"/>
      <c r="F252" s="22"/>
      <c r="G252" s="22"/>
      <c r="H252" s="175">
        <f t="shared" ref="H252:S255" si="220">H240/H$238</f>
        <v>0</v>
      </c>
      <c r="I252" s="175">
        <f t="shared" si="220"/>
        <v>0</v>
      </c>
      <c r="J252" s="175">
        <f t="shared" si="220"/>
        <v>0</v>
      </c>
      <c r="K252" s="175">
        <f t="shared" si="220"/>
        <v>0</v>
      </c>
      <c r="L252" s="175">
        <f t="shared" si="220"/>
        <v>0</v>
      </c>
      <c r="M252" s="175">
        <f t="shared" si="220"/>
        <v>0</v>
      </c>
      <c r="N252" s="175">
        <f t="shared" si="220"/>
        <v>0</v>
      </c>
      <c r="O252" s="175">
        <f t="shared" si="220"/>
        <v>0</v>
      </c>
      <c r="P252" s="175">
        <f t="shared" si="220"/>
        <v>0</v>
      </c>
      <c r="Q252" s="175">
        <f t="shared" si="220"/>
        <v>0</v>
      </c>
      <c r="R252" s="175">
        <f t="shared" si="220"/>
        <v>0</v>
      </c>
      <c r="S252" s="175">
        <f t="shared" si="220"/>
        <v>0</v>
      </c>
      <c r="T252" s="726"/>
      <c r="U252" s="1521"/>
      <c r="V252" s="1521"/>
      <c r="W252" s="1521"/>
      <c r="X252" s="1521"/>
      <c r="Y252" s="1521"/>
      <c r="Z252" s="1521"/>
      <c r="AA252" s="1523"/>
      <c r="AC252" s="728"/>
      <c r="AD252" s="728"/>
      <c r="AE252" s="728"/>
      <c r="AF252" s="728"/>
      <c r="AG252" s="728"/>
      <c r="AH252" s="728"/>
      <c r="AI252" s="22"/>
      <c r="AK252" s="1521"/>
      <c r="AL252" s="1521"/>
      <c r="AM252" s="1521"/>
      <c r="AN252" s="1521"/>
      <c r="AO252" s="1521"/>
      <c r="AP252" s="1521"/>
      <c r="AQ252" s="1523"/>
    </row>
    <row r="253" spans="1:43" s="1365" customFormat="1" outlineLevel="3">
      <c r="A253" s="22"/>
      <c r="B253" s="22"/>
      <c r="C253" s="22"/>
      <c r="D253" s="715" t="s">
        <v>843</v>
      </c>
      <c r="E253" s="22"/>
      <c r="F253" s="22"/>
      <c r="G253" s="22"/>
      <c r="H253" s="175">
        <f t="shared" si="220"/>
        <v>0.34288553917508696</v>
      </c>
      <c r="I253" s="175">
        <f t="shared" si="220"/>
        <v>0.50447479981158738</v>
      </c>
      <c r="J253" s="175">
        <f t="shared" si="220"/>
        <v>0.24549302398495063</v>
      </c>
      <c r="K253" s="175">
        <f t="shared" si="220"/>
        <v>0.3229076790336497</v>
      </c>
      <c r="L253" s="175">
        <f t="shared" si="220"/>
        <v>0.32290767903364975</v>
      </c>
      <c r="M253" s="175">
        <f t="shared" si="220"/>
        <v>0.3229076790336497</v>
      </c>
      <c r="N253" s="175">
        <f t="shared" si="220"/>
        <v>0.32290767903364975</v>
      </c>
      <c r="O253" s="175">
        <f t="shared" si="220"/>
        <v>0.32290767903364964</v>
      </c>
      <c r="P253" s="175">
        <f t="shared" si="220"/>
        <v>0.3229076790336497</v>
      </c>
      <c r="Q253" s="175">
        <f t="shared" si="220"/>
        <v>0.3229076790336497</v>
      </c>
      <c r="R253" s="175">
        <f t="shared" si="220"/>
        <v>0.3229076790336497</v>
      </c>
      <c r="S253" s="175">
        <f t="shared" si="220"/>
        <v>0.3229076790336497</v>
      </c>
      <c r="T253" s="726"/>
      <c r="U253" s="1521"/>
      <c r="V253" s="1521"/>
      <c r="W253" s="1521"/>
      <c r="X253" s="1521"/>
      <c r="Y253" s="1521"/>
      <c r="Z253" s="1521"/>
      <c r="AA253" s="1523"/>
      <c r="AC253" s="728"/>
      <c r="AD253" s="728"/>
      <c r="AE253" s="728"/>
      <c r="AF253" s="728"/>
      <c r="AG253" s="728"/>
      <c r="AH253" s="728"/>
      <c r="AI253" s="22"/>
      <c r="AK253" s="1521"/>
      <c r="AL253" s="1521"/>
      <c r="AM253" s="1521"/>
      <c r="AN253" s="1521"/>
      <c r="AO253" s="1521"/>
      <c r="AP253" s="1521"/>
      <c r="AQ253" s="1523"/>
    </row>
    <row r="254" spans="1:43" s="1365" customFormat="1" outlineLevel="3">
      <c r="A254" s="22"/>
      <c r="B254" s="22"/>
      <c r="C254" s="22"/>
      <c r="D254" s="715" t="s">
        <v>844</v>
      </c>
      <c r="E254" s="22"/>
      <c r="F254" s="22"/>
      <c r="G254" s="22"/>
      <c r="H254" s="175">
        <f t="shared" si="220"/>
        <v>0.65711446082491298</v>
      </c>
      <c r="I254" s="175">
        <f t="shared" si="220"/>
        <v>0.49552520018841262</v>
      </c>
      <c r="J254" s="175">
        <f t="shared" si="220"/>
        <v>0.75450697601504935</v>
      </c>
      <c r="K254" s="175">
        <f t="shared" si="220"/>
        <v>0.6770923209663503</v>
      </c>
      <c r="L254" s="175">
        <f t="shared" si="220"/>
        <v>0.67709232096635041</v>
      </c>
      <c r="M254" s="175">
        <f t="shared" si="220"/>
        <v>0.67709232096635019</v>
      </c>
      <c r="N254" s="175">
        <f t="shared" si="220"/>
        <v>0.67709232096635041</v>
      </c>
      <c r="O254" s="175">
        <f t="shared" si="220"/>
        <v>0.6770923209663503</v>
      </c>
      <c r="P254" s="175">
        <f t="shared" si="220"/>
        <v>0.6770923209663503</v>
      </c>
      <c r="Q254" s="175">
        <f t="shared" si="220"/>
        <v>0.67709232096635041</v>
      </c>
      <c r="R254" s="175">
        <f t="shared" si="220"/>
        <v>0.6770923209663503</v>
      </c>
      <c r="S254" s="175">
        <f t="shared" si="220"/>
        <v>0.6770923209663503</v>
      </c>
      <c r="T254" s="726"/>
      <c r="U254" s="1521"/>
      <c r="V254" s="1521"/>
      <c r="W254" s="1521"/>
      <c r="X254" s="1521"/>
      <c r="Y254" s="1521"/>
      <c r="Z254" s="1521"/>
      <c r="AA254" s="1523"/>
      <c r="AC254" s="728"/>
      <c r="AD254" s="728"/>
      <c r="AE254" s="728"/>
      <c r="AF254" s="728"/>
      <c r="AG254" s="728"/>
      <c r="AH254" s="728"/>
      <c r="AI254" s="22"/>
      <c r="AK254" s="1521"/>
      <c r="AL254" s="1521"/>
      <c r="AM254" s="1521"/>
      <c r="AN254" s="1521"/>
      <c r="AO254" s="1521"/>
      <c r="AP254" s="1521"/>
      <c r="AQ254" s="1523"/>
    </row>
    <row r="255" spans="1:43" s="1365" customFormat="1" outlineLevel="3">
      <c r="A255" s="22"/>
      <c r="B255" s="22"/>
      <c r="C255" s="22"/>
      <c r="D255" s="719" t="s">
        <v>665</v>
      </c>
      <c r="E255" s="720"/>
      <c r="F255" s="720"/>
      <c r="G255" s="720"/>
      <c r="H255" s="722">
        <f t="shared" si="220"/>
        <v>0</v>
      </c>
      <c r="I255" s="722">
        <f t="shared" si="220"/>
        <v>0</v>
      </c>
      <c r="J255" s="722">
        <f t="shared" si="220"/>
        <v>0</v>
      </c>
      <c r="K255" s="722">
        <f t="shared" si="220"/>
        <v>0</v>
      </c>
      <c r="L255" s="722">
        <f t="shared" si="220"/>
        <v>0</v>
      </c>
      <c r="M255" s="722">
        <f t="shared" si="220"/>
        <v>0</v>
      </c>
      <c r="N255" s="722">
        <f t="shared" si="220"/>
        <v>0</v>
      </c>
      <c r="O255" s="722">
        <f t="shared" si="220"/>
        <v>0</v>
      </c>
      <c r="P255" s="722">
        <f t="shared" si="220"/>
        <v>0</v>
      </c>
      <c r="Q255" s="722">
        <f t="shared" si="220"/>
        <v>0</v>
      </c>
      <c r="R255" s="722">
        <f t="shared" si="220"/>
        <v>0</v>
      </c>
      <c r="S255" s="722">
        <f t="shared" si="220"/>
        <v>0</v>
      </c>
      <c r="T255" s="726"/>
      <c r="U255" s="1521"/>
      <c r="V255" s="1521"/>
      <c r="W255" s="1521"/>
      <c r="X255" s="1521"/>
      <c r="Y255" s="1521"/>
      <c r="Z255" s="1521"/>
      <c r="AA255" s="1523"/>
      <c r="AC255" s="728"/>
      <c r="AD255" s="728"/>
      <c r="AE255" s="728"/>
      <c r="AF255" s="728"/>
      <c r="AG255" s="728"/>
      <c r="AH255" s="728"/>
      <c r="AI255" s="22"/>
      <c r="AK255" s="1521"/>
      <c r="AL255" s="1521"/>
      <c r="AM255" s="1521"/>
      <c r="AN255" s="1521"/>
      <c r="AO255" s="1521"/>
      <c r="AP255" s="1521"/>
      <c r="AQ255" s="1523"/>
    </row>
    <row r="256" spans="1:43" outlineLevel="3">
      <c r="C256" s="1" t="s">
        <v>31</v>
      </c>
      <c r="H256" s="759">
        <f t="shared" ref="H256:M256" si="221">IFERROR(H262/H238,"NA")</f>
        <v>9.8972999834354813E-2</v>
      </c>
      <c r="I256" s="759">
        <f t="shared" si="221"/>
        <v>0.15614696184644372</v>
      </c>
      <c r="J256" s="759">
        <f t="shared" si="221"/>
        <v>0.1757328734911428</v>
      </c>
      <c r="K256" s="759">
        <f t="shared" si="221"/>
        <v>0.18528904227782572</v>
      </c>
      <c r="L256" s="759">
        <f t="shared" si="221"/>
        <v>0.18528904227782575</v>
      </c>
      <c r="M256" s="759">
        <f t="shared" si="221"/>
        <v>0.18528904227782575</v>
      </c>
      <c r="N256" s="759">
        <f t="shared" ref="N256:S256" si="222">IFERROR(N262/N238,"NA")</f>
        <v>0.18528904227782575</v>
      </c>
      <c r="O256" s="759">
        <f t="shared" si="222"/>
        <v>0.18528904227782569</v>
      </c>
      <c r="P256" s="759">
        <f t="shared" si="222"/>
        <v>0.18528904227782572</v>
      </c>
      <c r="Q256" s="759">
        <f t="shared" si="222"/>
        <v>0.18528904227782572</v>
      </c>
      <c r="R256" s="759">
        <f t="shared" si="222"/>
        <v>0.18528904227782572</v>
      </c>
      <c r="S256" s="759">
        <f t="shared" si="222"/>
        <v>0.18528904227782572</v>
      </c>
      <c r="U256" s="1529">
        <f>$L256*(1+$AA256)</f>
        <v>0.18899482312338226</v>
      </c>
      <c r="V256" s="1529">
        <f>U256*(1+$AA256)</f>
        <v>0.19277471958584991</v>
      </c>
      <c r="W256" s="1529">
        <f t="shared" ref="W256:Z256" si="223">V256*(1+$AA256)</f>
        <v>0.19663021397756691</v>
      </c>
      <c r="X256" s="1529">
        <f t="shared" si="223"/>
        <v>0.20056281825711825</v>
      </c>
      <c r="Y256" s="1529">
        <f t="shared" si="223"/>
        <v>0.20457407462226063</v>
      </c>
      <c r="Z256" s="1529">
        <f t="shared" si="223"/>
        <v>0.20866555611470583</v>
      </c>
      <c r="AA256" s="1520">
        <v>0.02</v>
      </c>
      <c r="AC256" s="448"/>
      <c r="AD256" s="448"/>
      <c r="AE256" s="448"/>
      <c r="AF256" s="448"/>
      <c r="AG256" s="448"/>
      <c r="AH256" s="448"/>
      <c r="AI256" s="702"/>
      <c r="AK256" s="1529">
        <f>$L256*(1+$AQ256)</f>
        <v>0.18528904227782575</v>
      </c>
      <c r="AL256" s="1529">
        <f>AK256*(1+$AQ256)</f>
        <v>0.18528904227782575</v>
      </c>
      <c r="AM256" s="1529">
        <f t="shared" ref="AM256:AN256" si="224">AL256*(1+$AQ256)</f>
        <v>0.18528904227782575</v>
      </c>
      <c r="AN256" s="1529">
        <f t="shared" si="224"/>
        <v>0.18528904227782575</v>
      </c>
      <c r="AO256" s="1529">
        <f>AN256*(1+$AQ256)</f>
        <v>0.18528904227782575</v>
      </c>
      <c r="AP256" s="1529">
        <f t="shared" ref="AP256" si="225">AO256*(1+$AQ256)</f>
        <v>0.18528904227782575</v>
      </c>
      <c r="AQ256" s="1520">
        <v>0</v>
      </c>
    </row>
    <row r="257" spans="3:34" outlineLevel="3">
      <c r="D257" s="27" t="s">
        <v>841</v>
      </c>
      <c r="E257" s="28"/>
      <c r="F257" s="28"/>
      <c r="G257" s="28"/>
      <c r="H257" s="759" t="str">
        <f t="shared" ref="H257:K261" si="226">IFERROR(H263/H239,"NA")</f>
        <v>NA</v>
      </c>
      <c r="I257" s="759" t="str">
        <f t="shared" si="226"/>
        <v>NA</v>
      </c>
      <c r="J257" s="759" t="str">
        <f t="shared" si="226"/>
        <v>NA</v>
      </c>
      <c r="K257" s="771" t="str">
        <f t="shared" si="226"/>
        <v>NA</v>
      </c>
      <c r="L257" s="779"/>
      <c r="M257" s="779"/>
      <c r="N257" s="780"/>
      <c r="O257" s="781"/>
      <c r="P257" s="781"/>
      <c r="Q257" s="781"/>
      <c r="R257" s="781"/>
      <c r="S257" s="782"/>
      <c r="T257" s="993"/>
      <c r="U257" s="1530"/>
      <c r="V257" s="1530"/>
      <c r="W257" s="1530"/>
      <c r="X257" s="1530"/>
      <c r="Y257" s="1530"/>
      <c r="Z257" s="1530"/>
      <c r="AA257" s="1530"/>
      <c r="AB257" s="1371"/>
      <c r="AC257" s="783"/>
      <c r="AD257" s="783"/>
      <c r="AE257" s="783"/>
      <c r="AF257" s="783"/>
      <c r="AG257" s="783"/>
      <c r="AH257" s="783"/>
    </row>
    <row r="258" spans="3:34" outlineLevel="3">
      <c r="D258" s="31" t="s">
        <v>842</v>
      </c>
      <c r="H258" s="764" t="str">
        <f t="shared" si="226"/>
        <v>NA</v>
      </c>
      <c r="I258" s="764" t="str">
        <f t="shared" si="226"/>
        <v>NA</v>
      </c>
      <c r="J258" s="764" t="str">
        <f t="shared" si="226"/>
        <v>NA</v>
      </c>
      <c r="K258" s="773" t="str">
        <f t="shared" si="226"/>
        <v>NA</v>
      </c>
      <c r="L258" s="784" t="str">
        <f t="shared" ref="L258:M260" si="227">K258</f>
        <v>NA</v>
      </c>
      <c r="M258" s="784" t="str">
        <f t="shared" si="227"/>
        <v>NA</v>
      </c>
      <c r="N258" s="785"/>
      <c r="O258" s="786"/>
      <c r="P258" s="786"/>
      <c r="Q258" s="786"/>
      <c r="R258" s="786"/>
      <c r="S258" s="787"/>
      <c r="T258" s="993"/>
      <c r="U258" s="1530"/>
      <c r="V258" s="1530"/>
      <c r="W258" s="1530"/>
      <c r="X258" s="1530"/>
      <c r="Y258" s="1530"/>
      <c r="Z258" s="1530"/>
      <c r="AA258" s="1530"/>
      <c r="AB258" s="1371"/>
      <c r="AC258" s="783"/>
      <c r="AD258" s="783"/>
      <c r="AE258" s="783"/>
      <c r="AF258" s="783"/>
      <c r="AG258" s="783"/>
      <c r="AH258" s="783"/>
    </row>
    <row r="259" spans="3:34" outlineLevel="3">
      <c r="D259" s="31" t="s">
        <v>843</v>
      </c>
      <c r="H259" s="764">
        <f t="shared" si="226"/>
        <v>8.1159420289855067E-2</v>
      </c>
      <c r="I259" s="764">
        <f t="shared" si="226"/>
        <v>0.17180205415499533</v>
      </c>
      <c r="J259" s="764">
        <f t="shared" si="226"/>
        <v>0.23435504469987228</v>
      </c>
      <c r="K259" s="773">
        <f t="shared" si="226"/>
        <v>0.24716098864395458</v>
      </c>
      <c r="L259" s="784">
        <f>K259</f>
        <v>0.24716098864395458</v>
      </c>
      <c r="M259" s="784">
        <f t="shared" si="227"/>
        <v>0.24716098864395458</v>
      </c>
      <c r="N259" s="785">
        <f>CHOOSE(case,U259,AC259,AK259)</f>
        <v>0.24716098864395458</v>
      </c>
      <c r="O259" s="786">
        <f t="shared" ref="O259:S260" si="228">CHOOSE(case,V259,AD259,AL259)</f>
        <v>0.24716098864395458</v>
      </c>
      <c r="P259" s="786">
        <f t="shared" si="228"/>
        <v>0.24716098864395458</v>
      </c>
      <c r="Q259" s="786">
        <f t="shared" si="228"/>
        <v>0.24716098864395458</v>
      </c>
      <c r="R259" s="786">
        <f t="shared" si="228"/>
        <v>0.24716098864395458</v>
      </c>
      <c r="S259" s="787">
        <f t="shared" si="228"/>
        <v>0.24716098864395458</v>
      </c>
      <c r="T259" s="993"/>
      <c r="U259" s="1530"/>
      <c r="V259" s="1530"/>
      <c r="W259" s="1530"/>
      <c r="X259" s="1530"/>
      <c r="Y259" s="1530"/>
      <c r="Z259" s="1530"/>
      <c r="AA259" s="1530"/>
      <c r="AB259" s="1371"/>
      <c r="AC259" s="783">
        <f t="shared" ref="AC259:AC260" si="229">M259</f>
        <v>0.24716098864395458</v>
      </c>
      <c r="AD259" s="783">
        <f t="shared" ref="AD259:AH260" si="230">AC259</f>
        <v>0.24716098864395458</v>
      </c>
      <c r="AE259" s="783">
        <f t="shared" si="230"/>
        <v>0.24716098864395458</v>
      </c>
      <c r="AF259" s="783">
        <f t="shared" si="230"/>
        <v>0.24716098864395458</v>
      </c>
      <c r="AG259" s="783">
        <f t="shared" si="230"/>
        <v>0.24716098864395458</v>
      </c>
      <c r="AH259" s="783">
        <f t="shared" si="230"/>
        <v>0.24716098864395458</v>
      </c>
    </row>
    <row r="260" spans="3:34" outlineLevel="3">
      <c r="D260" s="31" t="s">
        <v>844</v>
      </c>
      <c r="H260" s="764">
        <f t="shared" si="226"/>
        <v>0.10826821275523066</v>
      </c>
      <c r="I260" s="764">
        <f t="shared" si="226"/>
        <v>0.14020912547528516</v>
      </c>
      <c r="J260" s="764">
        <f t="shared" si="226"/>
        <v>0.15665904841055475</v>
      </c>
      <c r="K260" s="773">
        <f t="shared" si="226"/>
        <v>0.15578209620898376</v>
      </c>
      <c r="L260" s="784">
        <f t="shared" si="227"/>
        <v>0.15578209620898376</v>
      </c>
      <c r="M260" s="784">
        <f t="shared" si="227"/>
        <v>0.15578209620898376</v>
      </c>
      <c r="N260" s="785">
        <f>CHOOSE(case,U260,AC260,AK260)</f>
        <v>0.15578209620898376</v>
      </c>
      <c r="O260" s="786">
        <f t="shared" si="228"/>
        <v>0.15578209620898376</v>
      </c>
      <c r="P260" s="786">
        <f t="shared" si="228"/>
        <v>0.15578209620898376</v>
      </c>
      <c r="Q260" s="786">
        <f t="shared" si="228"/>
        <v>0.15578209620898376</v>
      </c>
      <c r="R260" s="786">
        <f t="shared" si="228"/>
        <v>0.15578209620898376</v>
      </c>
      <c r="S260" s="787">
        <f t="shared" si="228"/>
        <v>0.15578209620898376</v>
      </c>
      <c r="T260" s="993"/>
      <c r="U260" s="1530"/>
      <c r="V260" s="1530"/>
      <c r="W260" s="1530"/>
      <c r="X260" s="1530"/>
      <c r="Y260" s="1530"/>
      <c r="Z260" s="1530"/>
      <c r="AA260" s="1530"/>
      <c r="AB260" s="1371"/>
      <c r="AC260" s="783">
        <f t="shared" si="229"/>
        <v>0.15578209620898376</v>
      </c>
      <c r="AD260" s="783">
        <f t="shared" si="230"/>
        <v>0.15578209620898376</v>
      </c>
      <c r="AE260" s="783">
        <f t="shared" si="230"/>
        <v>0.15578209620898376</v>
      </c>
      <c r="AF260" s="783">
        <f t="shared" si="230"/>
        <v>0.15578209620898376</v>
      </c>
      <c r="AG260" s="783">
        <f t="shared" si="230"/>
        <v>0.15578209620898376</v>
      </c>
      <c r="AH260" s="783">
        <f t="shared" si="230"/>
        <v>0.15578209620898376</v>
      </c>
    </row>
    <row r="261" spans="3:34" ht="15" outlineLevel="3" thickBot="1">
      <c r="C261" s="37"/>
      <c r="D261" s="38" t="s">
        <v>665</v>
      </c>
      <c r="E261" s="37"/>
      <c r="F261" s="37"/>
      <c r="G261" s="37"/>
      <c r="H261" s="774" t="str">
        <f t="shared" si="226"/>
        <v>NA</v>
      </c>
      <c r="I261" s="774" t="str">
        <f t="shared" si="226"/>
        <v>NA</v>
      </c>
      <c r="J261" s="774" t="str">
        <f t="shared" si="226"/>
        <v>NA</v>
      </c>
      <c r="K261" s="775" t="str">
        <f t="shared" si="226"/>
        <v>NA</v>
      </c>
      <c r="L261" s="788"/>
      <c r="M261" s="788"/>
      <c r="N261" s="789"/>
      <c r="O261" s="790"/>
      <c r="P261" s="790"/>
      <c r="Q261" s="790"/>
      <c r="R261" s="790"/>
      <c r="S261" s="791"/>
      <c r="T261" s="993"/>
      <c r="U261" s="1530"/>
      <c r="V261" s="1530"/>
      <c r="W261" s="1530"/>
      <c r="X261" s="1530"/>
      <c r="Y261" s="1530"/>
      <c r="Z261" s="1530"/>
      <c r="AA261" s="1530"/>
      <c r="AB261" s="1371"/>
      <c r="AC261" s="783"/>
      <c r="AD261" s="783"/>
      <c r="AE261" s="783"/>
      <c r="AF261" s="783"/>
      <c r="AG261" s="783"/>
      <c r="AH261" s="783"/>
    </row>
    <row r="262" spans="3:34" outlineLevel="3">
      <c r="C262" s="18" t="s">
        <v>845</v>
      </c>
      <c r="H262" s="23">
        <f>SUM(H263:H267)</f>
        <v>1195</v>
      </c>
      <c r="I262" s="23">
        <f t="shared" ref="I262:K262" si="231">SUM(I263:I267)</f>
        <v>663</v>
      </c>
      <c r="J262" s="23">
        <f t="shared" si="231"/>
        <v>1121</v>
      </c>
      <c r="K262" s="23">
        <f t="shared" si="231"/>
        <v>859</v>
      </c>
      <c r="L262" s="405">
        <v>858.40479000000005</v>
      </c>
      <c r="M262" s="405">
        <v>1123.2839799999999</v>
      </c>
      <c r="N262" s="23">
        <f t="shared" ref="N262:S262" si="232">SUM(N263:N267)</f>
        <v>1716.8095800000001</v>
      </c>
      <c r="O262" s="23">
        <f t="shared" si="232"/>
        <v>2575.2143699999997</v>
      </c>
      <c r="P262" s="23">
        <f t="shared" si="232"/>
        <v>3347.7786810000002</v>
      </c>
      <c r="Q262" s="23">
        <f t="shared" si="232"/>
        <v>3849.9454831499997</v>
      </c>
      <c r="R262" s="23">
        <f t="shared" si="232"/>
        <v>4234.9400314650002</v>
      </c>
      <c r="S262" s="23">
        <f t="shared" si="232"/>
        <v>4658.4340346115005</v>
      </c>
    </row>
    <row r="263" spans="3:34" outlineLevel="3">
      <c r="D263" s="27" t="s">
        <v>841</v>
      </c>
      <c r="E263" s="28"/>
      <c r="F263" s="28"/>
      <c r="G263" s="28"/>
      <c r="H263" s="398"/>
      <c r="I263" s="398"/>
      <c r="J263" s="398"/>
      <c r="K263" s="399"/>
      <c r="L263" s="776"/>
      <c r="M263" s="776"/>
      <c r="N263" s="703">
        <f>N257*N239</f>
        <v>0</v>
      </c>
      <c r="O263" s="29">
        <f t="shared" ref="O263:S263" si="233">O257*O239</f>
        <v>0</v>
      </c>
      <c r="P263" s="29">
        <f t="shared" si="233"/>
        <v>0</v>
      </c>
      <c r="Q263" s="29">
        <f t="shared" si="233"/>
        <v>0</v>
      </c>
      <c r="R263" s="29">
        <f t="shared" si="233"/>
        <v>0</v>
      </c>
      <c r="S263" s="30">
        <f t="shared" si="233"/>
        <v>0</v>
      </c>
    </row>
    <row r="264" spans="3:34" outlineLevel="3">
      <c r="D264" s="31" t="s">
        <v>842</v>
      </c>
      <c r="H264" s="400"/>
      <c r="I264" s="400"/>
      <c r="J264" s="400"/>
      <c r="K264" s="401"/>
      <c r="L264" s="429"/>
      <c r="M264" s="429"/>
      <c r="N264" s="704">
        <f>N258*N240</f>
        <v>0</v>
      </c>
      <c r="O264" s="20">
        <f t="shared" ref="O264:S267" si="234">O258*O240</f>
        <v>0</v>
      </c>
      <c r="P264" s="20">
        <f t="shared" si="234"/>
        <v>0</v>
      </c>
      <c r="Q264" s="20">
        <f t="shared" si="234"/>
        <v>0</v>
      </c>
      <c r="R264" s="20">
        <f t="shared" si="234"/>
        <v>0</v>
      </c>
      <c r="S264" s="32">
        <f t="shared" si="234"/>
        <v>0</v>
      </c>
    </row>
    <row r="265" spans="3:34" outlineLevel="3">
      <c r="D265" s="31" t="s">
        <v>843</v>
      </c>
      <c r="H265" s="400">
        <v>336</v>
      </c>
      <c r="I265" s="400">
        <v>368</v>
      </c>
      <c r="J265" s="400">
        <v>367</v>
      </c>
      <c r="K265" s="401">
        <v>370</v>
      </c>
      <c r="L265" s="429">
        <f>K265*$L$237</f>
        <v>369.74362316647267</v>
      </c>
      <c r="M265" s="429">
        <f>K265*$M$237</f>
        <v>483.83594016298014</v>
      </c>
      <c r="N265" s="704">
        <f>N259*N241</f>
        <v>739.48724633294535</v>
      </c>
      <c r="O265" s="20">
        <f t="shared" si="234"/>
        <v>1109.2308694994178</v>
      </c>
      <c r="P265" s="20">
        <f t="shared" si="234"/>
        <v>1442.0001303492434</v>
      </c>
      <c r="Q265" s="20">
        <f t="shared" si="234"/>
        <v>1658.3001499016298</v>
      </c>
      <c r="R265" s="20">
        <f t="shared" si="234"/>
        <v>1824.1301648917929</v>
      </c>
      <c r="S265" s="32">
        <f t="shared" si="234"/>
        <v>2006.5431813809723</v>
      </c>
    </row>
    <row r="266" spans="3:34" outlineLevel="3">
      <c r="D266" s="31" t="s">
        <v>844</v>
      </c>
      <c r="H266" s="400">
        <v>859</v>
      </c>
      <c r="I266" s="400">
        <v>295</v>
      </c>
      <c r="J266" s="400">
        <v>754</v>
      </c>
      <c r="K266" s="401">
        <v>489</v>
      </c>
      <c r="L266" s="429">
        <f>K266*$L$237</f>
        <v>488.66116683352737</v>
      </c>
      <c r="M266" s="429">
        <f>K266*$M$237</f>
        <v>639.44803983701968</v>
      </c>
      <c r="N266" s="704">
        <f>N260*N242</f>
        <v>977.32233366705464</v>
      </c>
      <c r="O266" s="20">
        <f t="shared" si="234"/>
        <v>1465.9835005005821</v>
      </c>
      <c r="P266" s="20">
        <f t="shared" si="234"/>
        <v>1905.7785506507569</v>
      </c>
      <c r="Q266" s="20">
        <f t="shared" si="234"/>
        <v>2191.6453332483702</v>
      </c>
      <c r="R266" s="20">
        <f t="shared" si="234"/>
        <v>2410.8098665732073</v>
      </c>
      <c r="S266" s="32">
        <f t="shared" si="234"/>
        <v>2651.8908532305281</v>
      </c>
    </row>
    <row r="267" spans="3:34" outlineLevel="3">
      <c r="D267" s="33" t="s">
        <v>665</v>
      </c>
      <c r="E267" s="34"/>
      <c r="F267" s="34"/>
      <c r="G267" s="34"/>
      <c r="H267" s="402"/>
      <c r="I267" s="402"/>
      <c r="J267" s="402"/>
      <c r="K267" s="403"/>
      <c r="L267" s="777"/>
      <c r="M267" s="777"/>
      <c r="N267" s="705">
        <f>N261*N243</f>
        <v>0</v>
      </c>
      <c r="O267" s="35">
        <f t="shared" si="234"/>
        <v>0</v>
      </c>
      <c r="P267" s="35">
        <f t="shared" si="234"/>
        <v>0</v>
      </c>
      <c r="Q267" s="35">
        <f t="shared" si="234"/>
        <v>0</v>
      </c>
      <c r="R267" s="35">
        <f t="shared" si="234"/>
        <v>0</v>
      </c>
      <c r="S267" s="36">
        <f t="shared" si="234"/>
        <v>0</v>
      </c>
    </row>
    <row r="268" spans="3:34" outlineLevel="3">
      <c r="H268" s="43"/>
      <c r="I268" s="43"/>
      <c r="J268" s="43"/>
      <c r="K268" s="43"/>
    </row>
    <row r="269" spans="3:34" outlineLevel="3">
      <c r="C269" s="1" t="s">
        <v>659</v>
      </c>
      <c r="H269" s="394">
        <v>-878</v>
      </c>
      <c r="I269" s="394">
        <v>-412</v>
      </c>
      <c r="J269" s="394">
        <v>-555</v>
      </c>
      <c r="K269" s="394">
        <v>-514</v>
      </c>
      <c r="L269" s="394">
        <v>-513.85549609618954</v>
      </c>
      <c r="M269" s="394">
        <v>-585.58034055704445</v>
      </c>
      <c r="N269" s="20">
        <f>N270*N238</f>
        <v>-894.99178874428219</v>
      </c>
      <c r="O269" s="20">
        <f t="shared" ref="O269:S269" si="235">O270*O238</f>
        <v>-1337.9013449738093</v>
      </c>
      <c r="P269" s="20">
        <f t="shared" si="235"/>
        <v>-1733.3342748005243</v>
      </c>
      <c r="Q269" s="20">
        <f t="shared" si="235"/>
        <v>-1986.5346692044131</v>
      </c>
      <c r="R269" s="20">
        <f t="shared" si="235"/>
        <v>-2177.739451868079</v>
      </c>
      <c r="S269" s="20">
        <f t="shared" si="235"/>
        <v>-2387.3538261673689</v>
      </c>
      <c r="T269" s="97"/>
    </row>
    <row r="270" spans="3:34" outlineLevel="3">
      <c r="D270" s="1" t="s">
        <v>849</v>
      </c>
      <c r="H270" s="744">
        <f>H269/H238</f>
        <v>-7.2718237535199598E-2</v>
      </c>
      <c r="I270" s="744">
        <f t="shared" ref="I270:J270" si="236">I269/I238</f>
        <v>-9.7032501177578903E-2</v>
      </c>
      <c r="J270" s="744">
        <f t="shared" si="236"/>
        <v>-8.7004232638344572E-2</v>
      </c>
      <c r="K270" s="744">
        <f>K269/K238</f>
        <v>-0.11087144089732529</v>
      </c>
      <c r="L270" s="744">
        <f t="shared" ref="L270:M270" si="237">L269/L238</f>
        <v>-0.11091712657015809</v>
      </c>
      <c r="M270" s="744">
        <f t="shared" si="237"/>
        <v>-9.6593223450527455E-2</v>
      </c>
      <c r="N270" s="746">
        <f>N256/M256*M270</f>
        <v>-9.6593223450527455E-2</v>
      </c>
      <c r="O270" s="744">
        <f>N270*(1+O271)</f>
        <v>-9.6263232203232865E-2</v>
      </c>
      <c r="P270" s="744">
        <f t="shared" ref="P270:S270" si="238">O270*(1+P271)</f>
        <v>-9.5934611671875544E-2</v>
      </c>
      <c r="Q270" s="744">
        <f t="shared" si="238"/>
        <v>-9.5607355459854437E-2</v>
      </c>
      <c r="R270" s="744">
        <f t="shared" si="238"/>
        <v>-9.5281457203465078E-2</v>
      </c>
      <c r="S270" s="744">
        <f t="shared" si="238"/>
        <v>-9.4956910571718622E-2</v>
      </c>
    </row>
    <row r="271" spans="3:34" ht="15" outlineLevel="3" thickBot="1">
      <c r="C271" s="37"/>
      <c r="D271" s="74"/>
      <c r="E271" s="74" t="s">
        <v>151</v>
      </c>
      <c r="F271" s="37"/>
      <c r="G271" s="37"/>
      <c r="H271" s="747"/>
      <c r="I271" s="75">
        <f>I270/H270-1</f>
        <v>0.33436266425750305</v>
      </c>
      <c r="J271" s="75">
        <f t="shared" ref="J271" si="239">J270/I270-1</f>
        <v>-0.10334958305240038</v>
      </c>
      <c r="K271" s="75"/>
      <c r="L271" s="75">
        <f>L270/J270-1</f>
        <v>0.27484747818205113</v>
      </c>
      <c r="M271" s="75"/>
      <c r="N271" s="748">
        <f>N270/L270-1</f>
        <v>-0.12914058957856589</v>
      </c>
      <c r="O271" s="749">
        <f>CHOOSE(case,V271,AD271,AL271)</f>
        <v>-3.4162981160226202E-3</v>
      </c>
      <c r="P271" s="750">
        <f>CHOOSE(case,W271,AE271,AM271)</f>
        <v>-3.4137699704860358E-3</v>
      </c>
      <c r="Q271" s="750">
        <f>CHOOSE(case,X271,AF271,AN271)</f>
        <v>-3.4112423693382077E-3</v>
      </c>
      <c r="R271" s="750">
        <f>CHOOSE(case,Y271,AG271,AO271)</f>
        <v>-3.4087153108863788E-3</v>
      </c>
      <c r="S271" s="751">
        <f>CHOOSE(case,Z271,AH271,AP271)</f>
        <v>-3.406188793412479E-3</v>
      </c>
      <c r="AC271" s="752"/>
      <c r="AD271" s="753">
        <f>(SUMPRODUCT(O251:O254,各区域分剂型成本优化!K$87:K$90)+O255*O261)/(SUMPRODUCT(N251:N254,各区域分剂型成本优化!J$87:J$90)+N255*N261)-1</f>
        <v>-3.4162981160226202E-3</v>
      </c>
      <c r="AE271" s="753">
        <f>(SUMPRODUCT(P251:P254,各区域分剂型成本优化!L$87:L$90)+P255*P261)/(SUMPRODUCT(O251:O254,各区域分剂型成本优化!K$87:K$90)+O255*O261)-1</f>
        <v>-3.4137699704860358E-3</v>
      </c>
      <c r="AF271" s="753">
        <f>(SUMPRODUCT(Q251:Q254,各区域分剂型成本优化!M$87:M$90)+Q255*Q261)/(SUMPRODUCT(P251:P254,各区域分剂型成本优化!L$87:L$90)+P255*P261)-1</f>
        <v>-3.4112423693382077E-3</v>
      </c>
      <c r="AG271" s="753">
        <f>(SUMPRODUCT(R251:R254,各区域分剂型成本优化!N$87:N$90)+R255*R261)/(SUMPRODUCT(Q251:Q254,各区域分剂型成本优化!M$87:M$90)+Q255*Q261)-1</f>
        <v>-3.4087153108863788E-3</v>
      </c>
      <c r="AH271" s="753">
        <f>(SUMPRODUCT(S251:S254,各区域分剂型成本优化!O$87:O$90)+S255*S261)/(SUMPRODUCT(R251:R254,各区域分剂型成本优化!N$87:N$90)+R255*R261)-1</f>
        <v>-3.406188793412479E-3</v>
      </c>
    </row>
    <row r="272" spans="3:34" outlineLevel="3">
      <c r="C272" s="18" t="s">
        <v>846</v>
      </c>
      <c r="D272" s="18"/>
      <c r="E272" s="18"/>
      <c r="F272" s="18"/>
      <c r="G272" s="18"/>
      <c r="H272" s="23">
        <f>H269+H262</f>
        <v>317</v>
      </c>
      <c r="I272" s="23">
        <f t="shared" ref="I272:S272" si="240">I269+I262</f>
        <v>251</v>
      </c>
      <c r="J272" s="23">
        <f t="shared" si="240"/>
        <v>566</v>
      </c>
      <c r="K272" s="23">
        <f t="shared" si="240"/>
        <v>345</v>
      </c>
      <c r="L272" s="23">
        <f t="shared" si="240"/>
        <v>344.54929390381051</v>
      </c>
      <c r="M272" s="23">
        <f t="shared" si="240"/>
        <v>537.70363944295548</v>
      </c>
      <c r="N272" s="23">
        <f t="shared" si="240"/>
        <v>821.81779125571791</v>
      </c>
      <c r="O272" s="23">
        <f t="shared" si="240"/>
        <v>1237.3130250261904</v>
      </c>
      <c r="P272" s="23">
        <f t="shared" si="240"/>
        <v>1614.4444061994759</v>
      </c>
      <c r="Q272" s="23">
        <f t="shared" si="240"/>
        <v>1863.4108139455866</v>
      </c>
      <c r="R272" s="23">
        <f t="shared" si="240"/>
        <v>2057.2005795969212</v>
      </c>
      <c r="S272" s="23">
        <f t="shared" si="240"/>
        <v>2271.0802084441316</v>
      </c>
      <c r="AC272" s="745"/>
      <c r="AD272" s="745"/>
      <c r="AE272" s="745"/>
      <c r="AF272" s="745"/>
      <c r="AG272" s="745"/>
      <c r="AH272" s="745"/>
    </row>
    <row r="273" spans="1:43" outlineLevel="3">
      <c r="C273" s="22" t="s">
        <v>660</v>
      </c>
      <c r="D273" s="22"/>
      <c r="E273" s="22"/>
      <c r="F273" s="22"/>
      <c r="G273" s="22"/>
      <c r="H273" s="56">
        <f>IFERROR(H272/H262,"NA")</f>
        <v>0.26527196652719665</v>
      </c>
      <c r="I273" s="56">
        <f t="shared" ref="I273:S273" si="241">IFERROR(I272/I262,"NA")</f>
        <v>0.37858220211161386</v>
      </c>
      <c r="J273" s="56">
        <f t="shared" si="241"/>
        <v>0.50490633363068693</v>
      </c>
      <c r="K273" s="56">
        <f t="shared" si="241"/>
        <v>0.40162980209545984</v>
      </c>
      <c r="L273" s="56">
        <f t="shared" si="241"/>
        <v>0.40138323774242973</v>
      </c>
      <c r="M273" s="56">
        <f t="shared" si="241"/>
        <v>0.47868895935198463</v>
      </c>
      <c r="N273" s="56">
        <f t="shared" si="241"/>
        <v>0.47868895935198469</v>
      </c>
      <c r="O273" s="56">
        <f t="shared" si="241"/>
        <v>0.48046991327801208</v>
      </c>
      <c r="P273" s="56">
        <f t="shared" si="241"/>
        <v>0.48224346948682772</v>
      </c>
      <c r="Q273" s="56">
        <f t="shared" si="241"/>
        <v>0.48400966250071581</v>
      </c>
      <c r="R273" s="56">
        <f t="shared" si="241"/>
        <v>0.48576852666441894</v>
      </c>
      <c r="S273" s="56">
        <f t="shared" si="241"/>
        <v>0.48752009614611469</v>
      </c>
      <c r="U273" s="1526">
        <f>AC273+1%</f>
        <v>0.01</v>
      </c>
      <c r="V273" s="1526">
        <f t="shared" ref="V273:Z273" si="242">U273</f>
        <v>0.01</v>
      </c>
      <c r="W273" s="1526">
        <f t="shared" si="242"/>
        <v>0.01</v>
      </c>
      <c r="X273" s="1526">
        <f t="shared" si="242"/>
        <v>0.01</v>
      </c>
      <c r="Y273" s="1526">
        <f t="shared" si="242"/>
        <v>0.01</v>
      </c>
      <c r="Z273" s="1526">
        <f t="shared" si="242"/>
        <v>0.01</v>
      </c>
      <c r="AC273" s="416"/>
      <c r="AD273" s="65"/>
      <c r="AE273" s="65"/>
      <c r="AF273" s="65"/>
      <c r="AG273" s="65"/>
      <c r="AH273" s="65"/>
      <c r="AK273" s="1526">
        <f>AC273-1%</f>
        <v>-0.01</v>
      </c>
      <c r="AL273" s="1526">
        <f t="shared" ref="AL273:AP273" si="243">AK273</f>
        <v>-0.01</v>
      </c>
      <c r="AM273" s="1526">
        <f t="shared" si="243"/>
        <v>-0.01</v>
      </c>
      <c r="AN273" s="1526">
        <f t="shared" si="243"/>
        <v>-0.01</v>
      </c>
      <c r="AO273" s="1526">
        <f t="shared" si="243"/>
        <v>-0.01</v>
      </c>
      <c r="AP273" s="1526">
        <f t="shared" si="243"/>
        <v>-0.01</v>
      </c>
    </row>
    <row r="274" spans="1:43" outlineLevel="2"/>
    <row r="275" spans="1:43" s="1125" customFormat="1" outlineLevel="2">
      <c r="A275" s="15" t="s">
        <v>8</v>
      </c>
      <c r="B275" s="15" t="s">
        <v>44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103"/>
      <c r="U275" s="1515"/>
      <c r="V275" s="1515"/>
      <c r="W275" s="1515"/>
      <c r="X275" s="1515"/>
      <c r="Y275" s="1515"/>
      <c r="Z275" s="1515"/>
      <c r="AA275" s="1515"/>
      <c r="AC275" s="16"/>
      <c r="AD275" s="16"/>
      <c r="AE275" s="16"/>
      <c r="AF275" s="16"/>
      <c r="AG275" s="16"/>
      <c r="AH275" s="16"/>
      <c r="AI275" s="96"/>
      <c r="AK275" s="1515"/>
      <c r="AL275" s="1515"/>
      <c r="AM275" s="1515"/>
      <c r="AN275" s="1515"/>
      <c r="AO275" s="1515"/>
      <c r="AP275" s="1515"/>
      <c r="AQ275" s="1515"/>
    </row>
    <row r="276" spans="1:43" outlineLevel="2">
      <c r="L276" s="792">
        <f>L301/K301</f>
        <v>1.1462237617313558</v>
      </c>
      <c r="M276" s="792">
        <f>M301/K301</f>
        <v>0.66542321698196993</v>
      </c>
      <c r="N276" s="20"/>
      <c r="S276" s="20"/>
    </row>
    <row r="277" spans="1:43" s="1126" customFormat="1" outlineLevel="2">
      <c r="A277" s="18"/>
      <c r="B277" s="18"/>
      <c r="C277" s="18" t="s">
        <v>840</v>
      </c>
      <c r="D277" s="18"/>
      <c r="E277" s="18"/>
      <c r="F277" s="18"/>
      <c r="G277" s="18"/>
      <c r="H277" s="23">
        <f>SUM(H278:H282)</f>
        <v>547752</v>
      </c>
      <c r="I277" s="23">
        <f t="shared" ref="I277:K277" si="244">SUM(I278:I282)</f>
        <v>676054</v>
      </c>
      <c r="J277" s="23">
        <f t="shared" si="244"/>
        <v>713359</v>
      </c>
      <c r="K277" s="23">
        <f t="shared" si="244"/>
        <v>319632</v>
      </c>
      <c r="L277" s="23">
        <f>SUM(L278:L282)</f>
        <v>366369.79340971663</v>
      </c>
      <c r="M277" s="23">
        <f>SUM(M278:M282)</f>
        <v>212690.55369038103</v>
      </c>
      <c r="N277" s="23">
        <f t="shared" ref="N277:S277" si="245">SUM(N278:N282)</f>
        <v>366369.79340971663</v>
      </c>
      <c r="O277" s="23">
        <f t="shared" si="245"/>
        <v>366369.79340971663</v>
      </c>
      <c r="P277" s="23">
        <f t="shared" si="245"/>
        <v>366369.79340971663</v>
      </c>
      <c r="Q277" s="23">
        <f t="shared" si="245"/>
        <v>366369.79340971663</v>
      </c>
      <c r="R277" s="23">
        <f t="shared" si="245"/>
        <v>366369.79340971663</v>
      </c>
      <c r="S277" s="23">
        <f t="shared" si="245"/>
        <v>366369.79340971663</v>
      </c>
      <c r="T277" s="675"/>
      <c r="U277" s="1519">
        <f>$L277*(1+$AA277)</f>
        <v>421325.26242117409</v>
      </c>
      <c r="V277" s="1519">
        <f>U277*(1+$AA277)</f>
        <v>484524.05178435019</v>
      </c>
      <c r="W277" s="1519">
        <f t="shared" ref="W277:Z277" si="246">V277*(1+$AA277)</f>
        <v>557202.65955200267</v>
      </c>
      <c r="X277" s="1519">
        <f>W277*(1+$AA277)</f>
        <v>640783.05848480307</v>
      </c>
      <c r="Y277" s="1519">
        <f t="shared" si="246"/>
        <v>736900.51725752349</v>
      </c>
      <c r="Z277" s="1519">
        <f t="shared" si="246"/>
        <v>847435.594846152</v>
      </c>
      <c r="AA277" s="1520">
        <v>0.15</v>
      </c>
      <c r="AB277" s="1321"/>
      <c r="AC277" s="20"/>
      <c r="AD277" s="20"/>
      <c r="AE277" s="20"/>
      <c r="AF277" s="20"/>
      <c r="AG277" s="20"/>
      <c r="AH277" s="20"/>
      <c r="AI277" s="702"/>
      <c r="AJ277" s="1321"/>
      <c r="AK277" s="1519">
        <f>$L277*(1+$AQ277)</f>
        <v>384688.28308020247</v>
      </c>
      <c r="AL277" s="1519">
        <f>AK277*(1+$AQ277)</f>
        <v>403922.6972342126</v>
      </c>
      <c r="AM277" s="1519">
        <f t="shared" ref="AM277:AN277" si="247">AL277*(1+$AQ277)</f>
        <v>424118.83209592325</v>
      </c>
      <c r="AN277" s="1519">
        <f t="shared" si="247"/>
        <v>445324.77370071941</v>
      </c>
      <c r="AO277" s="1519">
        <f>AN277*(1+$AQ277)</f>
        <v>467591.01238575537</v>
      </c>
      <c r="AP277" s="1519">
        <f t="shared" ref="AP277" si="248">AO277*(1+$AQ277)</f>
        <v>490970.56300504314</v>
      </c>
      <c r="AQ277" s="1520">
        <v>0.05</v>
      </c>
    </row>
    <row r="278" spans="1:43" outlineLevel="2">
      <c r="D278" s="27" t="s">
        <v>841</v>
      </c>
      <c r="E278" s="28"/>
      <c r="F278" s="28"/>
      <c r="G278" s="28"/>
      <c r="H278" s="398">
        <v>31302</v>
      </c>
      <c r="I278" s="398">
        <v>4461</v>
      </c>
      <c r="J278" s="398">
        <v>4611</v>
      </c>
      <c r="K278" s="398">
        <v>0</v>
      </c>
      <c r="L278" s="29"/>
      <c r="M278" s="29"/>
      <c r="N278" s="703">
        <f>L278*(1+N284)</f>
        <v>0</v>
      </c>
      <c r="O278" s="29">
        <f>N278*(1+O284)</f>
        <v>0</v>
      </c>
      <c r="P278" s="29">
        <f t="shared" ref="P278:S278" si="249">O278*(1+P284)</f>
        <v>0</v>
      </c>
      <c r="Q278" s="29">
        <f t="shared" si="249"/>
        <v>0</v>
      </c>
      <c r="R278" s="29">
        <f t="shared" si="249"/>
        <v>0</v>
      </c>
      <c r="S278" s="30">
        <f t="shared" si="249"/>
        <v>0</v>
      </c>
    </row>
    <row r="279" spans="1:43" outlineLevel="2">
      <c r="D279" s="31" t="s">
        <v>842</v>
      </c>
      <c r="H279" s="400">
        <v>8975</v>
      </c>
      <c r="I279" s="400">
        <v>4761</v>
      </c>
      <c r="J279" s="400">
        <v>42488</v>
      </c>
      <c r="K279" s="400">
        <v>29761</v>
      </c>
      <c r="L279" s="20">
        <f t="shared" ref="L279:M282" si="250">L303/L297</f>
        <v>34112.765372886875</v>
      </c>
      <c r="M279" s="20">
        <f t="shared" si="250"/>
        <v>19803.660360600406</v>
      </c>
      <c r="N279" s="704">
        <f t="shared" ref="N279:N282" si="251">L279*(1+N285)</f>
        <v>34112.765372886875</v>
      </c>
      <c r="O279" s="20">
        <f t="shared" ref="O279:S282" si="252">N279*(1+O285)</f>
        <v>34112.765372886875</v>
      </c>
      <c r="P279" s="20">
        <f t="shared" si="252"/>
        <v>34112.765372886875</v>
      </c>
      <c r="Q279" s="20">
        <f t="shared" si="252"/>
        <v>34112.765372886875</v>
      </c>
      <c r="R279" s="20">
        <f t="shared" si="252"/>
        <v>34112.765372886875</v>
      </c>
      <c r="S279" s="32">
        <f t="shared" si="252"/>
        <v>34112.765372886875</v>
      </c>
    </row>
    <row r="280" spans="1:43" outlineLevel="2">
      <c r="D280" s="31" t="s">
        <v>843</v>
      </c>
      <c r="H280" s="400">
        <v>40476</v>
      </c>
      <c r="I280" s="400">
        <v>2329</v>
      </c>
      <c r="J280" s="400">
        <v>55896</v>
      </c>
      <c r="K280" s="400">
        <v>45659</v>
      </c>
      <c r="L280" s="20">
        <f t="shared" si="250"/>
        <v>52335.430736891969</v>
      </c>
      <c r="M280" s="20">
        <f t="shared" si="250"/>
        <v>30382.558664179764</v>
      </c>
      <c r="N280" s="704">
        <f t="shared" si="251"/>
        <v>52335.430736891969</v>
      </c>
      <c r="O280" s="20">
        <f t="shared" si="252"/>
        <v>52335.430736891969</v>
      </c>
      <c r="P280" s="20">
        <f t="shared" si="252"/>
        <v>52335.430736891969</v>
      </c>
      <c r="Q280" s="20">
        <f t="shared" si="252"/>
        <v>52335.430736891969</v>
      </c>
      <c r="R280" s="20">
        <f t="shared" si="252"/>
        <v>52335.430736891969</v>
      </c>
      <c r="S280" s="32">
        <f t="shared" si="252"/>
        <v>52335.430736891969</v>
      </c>
    </row>
    <row r="281" spans="1:43" outlineLevel="2">
      <c r="D281" s="31" t="s">
        <v>844</v>
      </c>
      <c r="H281" s="400">
        <v>346151</v>
      </c>
      <c r="I281" s="400">
        <v>45988</v>
      </c>
      <c r="J281" s="400">
        <v>598702</v>
      </c>
      <c r="K281" s="400">
        <v>241853</v>
      </c>
      <c r="L281" s="20">
        <f t="shared" si="250"/>
        <v>277217.65544601355</v>
      </c>
      <c r="M281" s="20">
        <f t="shared" si="250"/>
        <v>160934.60129674038</v>
      </c>
      <c r="N281" s="704">
        <f t="shared" si="251"/>
        <v>277217.65544601355</v>
      </c>
      <c r="O281" s="20">
        <f t="shared" si="252"/>
        <v>277217.65544601355</v>
      </c>
      <c r="P281" s="20">
        <f t="shared" si="252"/>
        <v>277217.65544601355</v>
      </c>
      <c r="Q281" s="20">
        <f t="shared" si="252"/>
        <v>277217.65544601355</v>
      </c>
      <c r="R281" s="20">
        <f t="shared" si="252"/>
        <v>277217.65544601355</v>
      </c>
      <c r="S281" s="32">
        <f t="shared" si="252"/>
        <v>277217.65544601355</v>
      </c>
    </row>
    <row r="282" spans="1:43" outlineLevel="2">
      <c r="D282" s="33" t="s">
        <v>665</v>
      </c>
      <c r="E282" s="34"/>
      <c r="F282" s="34"/>
      <c r="G282" s="34"/>
      <c r="H282" s="402">
        <v>120848</v>
      </c>
      <c r="I282" s="402">
        <v>618515</v>
      </c>
      <c r="J282" s="402">
        <v>11662</v>
      </c>
      <c r="K282" s="402">
        <v>2359</v>
      </c>
      <c r="L282" s="35">
        <f t="shared" si="250"/>
        <v>2703.9418539242683</v>
      </c>
      <c r="M282" s="35">
        <f t="shared" si="250"/>
        <v>1569.7333688604672</v>
      </c>
      <c r="N282" s="705">
        <f t="shared" si="251"/>
        <v>2703.9418539242683</v>
      </c>
      <c r="O282" s="35">
        <f t="shared" si="252"/>
        <v>2703.9418539242683</v>
      </c>
      <c r="P282" s="35">
        <f t="shared" si="252"/>
        <v>2703.9418539242683</v>
      </c>
      <c r="Q282" s="35">
        <f t="shared" si="252"/>
        <v>2703.9418539242683</v>
      </c>
      <c r="R282" s="35">
        <f t="shared" si="252"/>
        <v>2703.9418539242683</v>
      </c>
      <c r="S282" s="36">
        <f t="shared" si="252"/>
        <v>2703.9418539242683</v>
      </c>
      <c r="AC282" s="448"/>
      <c r="AD282" s="448"/>
      <c r="AE282" s="448"/>
      <c r="AF282" s="448"/>
      <c r="AG282" s="448"/>
      <c r="AH282" s="448"/>
    </row>
    <row r="283" spans="1:43" s="1365" customFormat="1" hidden="1" outlineLevel="3">
      <c r="A283" s="22"/>
      <c r="B283" s="22"/>
      <c r="C283" s="22" t="s">
        <v>847</v>
      </c>
      <c r="D283" s="22"/>
      <c r="E283" s="22"/>
      <c r="F283" s="22"/>
      <c r="G283" s="22"/>
      <c r="H283" s="219"/>
      <c r="I283" s="24">
        <f>I277/H277-1</f>
        <v>0.23423374081701209</v>
      </c>
      <c r="J283" s="24">
        <f t="shared" ref="J283" si="253">J277/I277-1</f>
        <v>5.5180503332574071E-2</v>
      </c>
      <c r="K283" s="24"/>
      <c r="L283" s="793">
        <f>L277/J277-1</f>
        <v>-0.4864159652997766</v>
      </c>
      <c r="M283" s="24"/>
      <c r="N283" s="24">
        <f>N277/L277-1</f>
        <v>0</v>
      </c>
      <c r="O283" s="24">
        <f>O277/N277-1</f>
        <v>0</v>
      </c>
      <c r="P283" s="24">
        <f t="shared" ref="P283:S283" si="254">P277/O277-1</f>
        <v>0</v>
      </c>
      <c r="Q283" s="24">
        <f t="shared" si="254"/>
        <v>0</v>
      </c>
      <c r="R283" s="24">
        <f t="shared" si="254"/>
        <v>0</v>
      </c>
      <c r="S283" s="24">
        <f t="shared" si="254"/>
        <v>0</v>
      </c>
      <c r="T283" s="726"/>
      <c r="U283" s="1521"/>
      <c r="V283" s="1521"/>
      <c r="W283" s="1521"/>
      <c r="X283" s="1521"/>
      <c r="Y283" s="1521"/>
      <c r="Z283" s="1521"/>
      <c r="AA283" s="1522"/>
      <c r="AC283" s="219"/>
      <c r="AD283" s="219"/>
      <c r="AE283" s="219"/>
      <c r="AF283" s="219"/>
      <c r="AG283" s="219"/>
      <c r="AH283" s="219"/>
      <c r="AI283" s="706"/>
      <c r="AK283" s="1521"/>
      <c r="AL283" s="1521"/>
      <c r="AM283" s="1521"/>
      <c r="AN283" s="1521"/>
      <c r="AO283" s="1521"/>
      <c r="AP283" s="1521"/>
      <c r="AQ283" s="1522"/>
    </row>
    <row r="284" spans="1:43" s="1365" customFormat="1" hidden="1" outlineLevel="3">
      <c r="A284" s="22"/>
      <c r="B284" s="22"/>
      <c r="C284" s="22"/>
      <c r="D284" s="707" t="s">
        <v>841</v>
      </c>
      <c r="E284" s="708"/>
      <c r="F284" s="708"/>
      <c r="G284" s="708"/>
      <c r="H284" s="709"/>
      <c r="I284" s="710">
        <f t="shared" ref="I284:J288" si="255">I278/H278-1</f>
        <v>-0.85748514471918724</v>
      </c>
      <c r="J284" s="710">
        <f t="shared" si="255"/>
        <v>3.3624747814391398E-2</v>
      </c>
      <c r="K284" s="710"/>
      <c r="L284" s="710"/>
      <c r="M284" s="727"/>
      <c r="N284" s="711">
        <f t="shared" ref="N284:S288" si="256">CHOOSE(case,U284,AC284,AK284)</f>
        <v>0</v>
      </c>
      <c r="O284" s="712">
        <f t="shared" si="256"/>
        <v>0</v>
      </c>
      <c r="P284" s="712">
        <f t="shared" si="256"/>
        <v>0</v>
      </c>
      <c r="Q284" s="712">
        <f t="shared" si="256"/>
        <v>0</v>
      </c>
      <c r="R284" s="712">
        <f t="shared" si="256"/>
        <v>0</v>
      </c>
      <c r="S284" s="713">
        <f t="shared" si="256"/>
        <v>0</v>
      </c>
      <c r="T284" s="726"/>
      <c r="U284" s="1521"/>
      <c r="V284" s="1521"/>
      <c r="W284" s="1521"/>
      <c r="X284" s="1521"/>
      <c r="Y284" s="1521"/>
      <c r="Z284" s="1521"/>
      <c r="AA284" s="1523"/>
      <c r="AC284" s="714"/>
      <c r="AD284" s="714"/>
      <c r="AE284" s="714"/>
      <c r="AF284" s="714"/>
      <c r="AG284" s="714"/>
      <c r="AH284" s="714"/>
      <c r="AI284" s="22"/>
      <c r="AK284" s="1521"/>
      <c r="AL284" s="1521"/>
      <c r="AM284" s="1521"/>
      <c r="AN284" s="1521"/>
      <c r="AO284" s="1521"/>
      <c r="AP284" s="1521"/>
      <c r="AQ284" s="1523"/>
    </row>
    <row r="285" spans="1:43" s="1365" customFormat="1" hidden="1" outlineLevel="3">
      <c r="A285" s="22"/>
      <c r="B285" s="22"/>
      <c r="C285" s="22"/>
      <c r="D285" s="715" t="s">
        <v>842</v>
      </c>
      <c r="E285" s="22"/>
      <c r="F285" s="22"/>
      <c r="G285" s="22"/>
      <c r="H285" s="219"/>
      <c r="I285" s="175">
        <f t="shared" si="255"/>
        <v>-0.46952646239554319</v>
      </c>
      <c r="J285" s="175">
        <f t="shared" si="255"/>
        <v>7.9241755933627385</v>
      </c>
      <c r="K285" s="175"/>
      <c r="L285" s="175">
        <f t="shared" ref="L285:L288" si="257">L279/J279-1</f>
        <v>-0.19712000157957832</v>
      </c>
      <c r="M285" s="729"/>
      <c r="N285" s="716">
        <f t="shared" si="256"/>
        <v>0</v>
      </c>
      <c r="O285" s="717">
        <f t="shared" si="256"/>
        <v>0</v>
      </c>
      <c r="P285" s="717">
        <f t="shared" si="256"/>
        <v>0</v>
      </c>
      <c r="Q285" s="717">
        <f t="shared" si="256"/>
        <v>0</v>
      </c>
      <c r="R285" s="717">
        <f t="shared" si="256"/>
        <v>0</v>
      </c>
      <c r="S285" s="718">
        <f t="shared" si="256"/>
        <v>0</v>
      </c>
      <c r="T285" s="726"/>
      <c r="U285" s="1521"/>
      <c r="V285" s="1521"/>
      <c r="W285" s="1521"/>
      <c r="X285" s="1521"/>
      <c r="Y285" s="1521"/>
      <c r="Z285" s="1521"/>
      <c r="AA285" s="1523"/>
      <c r="AC285" s="714">
        <v>0</v>
      </c>
      <c r="AD285" s="714">
        <v>0</v>
      </c>
      <c r="AE285" s="714">
        <v>0</v>
      </c>
      <c r="AF285" s="714">
        <v>0</v>
      </c>
      <c r="AG285" s="714">
        <v>0</v>
      </c>
      <c r="AH285" s="714">
        <v>0</v>
      </c>
      <c r="AI285" s="22"/>
      <c r="AK285" s="1521"/>
      <c r="AL285" s="1521"/>
      <c r="AM285" s="1521"/>
      <c r="AN285" s="1521"/>
      <c r="AO285" s="1521"/>
      <c r="AP285" s="1521"/>
      <c r="AQ285" s="1523"/>
    </row>
    <row r="286" spans="1:43" s="1365" customFormat="1" hidden="1" outlineLevel="3">
      <c r="A286" s="22"/>
      <c r="B286" s="22"/>
      <c r="C286" s="22"/>
      <c r="D286" s="715" t="s">
        <v>843</v>
      </c>
      <c r="E286" s="22"/>
      <c r="F286" s="22"/>
      <c r="G286" s="22"/>
      <c r="H286" s="219"/>
      <c r="I286" s="175">
        <f t="shared" si="255"/>
        <v>-0.94245972922225518</v>
      </c>
      <c r="J286" s="175">
        <f>J280/I280-1</f>
        <v>23</v>
      </c>
      <c r="K286" s="175"/>
      <c r="L286" s="175">
        <f t="shared" si="257"/>
        <v>-6.3699893786818951E-2</v>
      </c>
      <c r="M286" s="729"/>
      <c r="N286" s="716">
        <f t="shared" si="256"/>
        <v>0</v>
      </c>
      <c r="O286" s="717">
        <f t="shared" si="256"/>
        <v>0</v>
      </c>
      <c r="P286" s="717">
        <f t="shared" si="256"/>
        <v>0</v>
      </c>
      <c r="Q286" s="717">
        <f t="shared" si="256"/>
        <v>0</v>
      </c>
      <c r="R286" s="717">
        <f t="shared" si="256"/>
        <v>0</v>
      </c>
      <c r="S286" s="718">
        <f t="shared" si="256"/>
        <v>0</v>
      </c>
      <c r="T286" s="726"/>
      <c r="U286" s="1521"/>
      <c r="V286" s="1521"/>
      <c r="W286" s="1521"/>
      <c r="X286" s="1521"/>
      <c r="Y286" s="1521"/>
      <c r="Z286" s="1521"/>
      <c r="AA286" s="1523"/>
      <c r="AC286" s="714">
        <v>0</v>
      </c>
      <c r="AD286" s="714">
        <v>0</v>
      </c>
      <c r="AE286" s="714">
        <v>0</v>
      </c>
      <c r="AF286" s="714">
        <v>0</v>
      </c>
      <c r="AG286" s="714">
        <v>0</v>
      </c>
      <c r="AH286" s="714">
        <v>0</v>
      </c>
      <c r="AI286" s="22"/>
      <c r="AK286" s="1521"/>
      <c r="AL286" s="1521"/>
      <c r="AM286" s="1521"/>
      <c r="AN286" s="1521"/>
      <c r="AO286" s="1521"/>
      <c r="AP286" s="1521"/>
      <c r="AQ286" s="1523"/>
    </row>
    <row r="287" spans="1:43" s="1365" customFormat="1" hidden="1" outlineLevel="3">
      <c r="A287" s="22"/>
      <c r="B287" s="22"/>
      <c r="C287" s="22"/>
      <c r="D287" s="715" t="s">
        <v>844</v>
      </c>
      <c r="E287" s="22"/>
      <c r="F287" s="22"/>
      <c r="G287" s="22"/>
      <c r="H287" s="219"/>
      <c r="I287" s="175">
        <f t="shared" si="255"/>
        <v>-0.86714468541185785</v>
      </c>
      <c r="J287" s="175">
        <f t="shared" si="255"/>
        <v>12.018657040967209</v>
      </c>
      <c r="K287" s="175"/>
      <c r="L287" s="175">
        <f t="shared" si="257"/>
        <v>-0.53696888360818318</v>
      </c>
      <c r="M287" s="729"/>
      <c r="N287" s="716">
        <f t="shared" si="256"/>
        <v>0</v>
      </c>
      <c r="O287" s="717">
        <f t="shared" si="256"/>
        <v>0</v>
      </c>
      <c r="P287" s="717">
        <f t="shared" si="256"/>
        <v>0</v>
      </c>
      <c r="Q287" s="717">
        <f t="shared" si="256"/>
        <v>0</v>
      </c>
      <c r="R287" s="717">
        <f t="shared" si="256"/>
        <v>0</v>
      </c>
      <c r="S287" s="718">
        <f t="shared" si="256"/>
        <v>0</v>
      </c>
      <c r="T287" s="726"/>
      <c r="U287" s="1521"/>
      <c r="V287" s="1521"/>
      <c r="W287" s="1521"/>
      <c r="X287" s="1521"/>
      <c r="Y287" s="1521"/>
      <c r="Z287" s="1521"/>
      <c r="AA287" s="1523"/>
      <c r="AC287" s="714">
        <v>0</v>
      </c>
      <c r="AD287" s="714">
        <v>0</v>
      </c>
      <c r="AE287" s="714">
        <v>0</v>
      </c>
      <c r="AF287" s="714">
        <v>0</v>
      </c>
      <c r="AG287" s="714">
        <v>0</v>
      </c>
      <c r="AH287" s="714">
        <v>0</v>
      </c>
      <c r="AI287" s="22"/>
      <c r="AK287" s="1521"/>
      <c r="AL287" s="1521"/>
      <c r="AM287" s="1521"/>
      <c r="AN287" s="1521"/>
      <c r="AO287" s="1521"/>
      <c r="AP287" s="1521"/>
      <c r="AQ287" s="1523"/>
    </row>
    <row r="288" spans="1:43" s="1365" customFormat="1" hidden="1" outlineLevel="3">
      <c r="A288" s="22"/>
      <c r="B288" s="22"/>
      <c r="C288" s="22"/>
      <c r="D288" s="719" t="s">
        <v>665</v>
      </c>
      <c r="E288" s="720"/>
      <c r="F288" s="720"/>
      <c r="G288" s="720"/>
      <c r="H288" s="721"/>
      <c r="I288" s="722">
        <f t="shared" si="255"/>
        <v>4.1181235932741957</v>
      </c>
      <c r="J288" s="722">
        <f t="shared" si="255"/>
        <v>-0.98114516220301851</v>
      </c>
      <c r="K288" s="722"/>
      <c r="L288" s="722">
        <f t="shared" si="257"/>
        <v>-0.76814081170260096</v>
      </c>
      <c r="M288" s="730"/>
      <c r="N288" s="723">
        <f t="shared" si="256"/>
        <v>0</v>
      </c>
      <c r="O288" s="724">
        <f t="shared" si="256"/>
        <v>0</v>
      </c>
      <c r="P288" s="724">
        <f t="shared" si="256"/>
        <v>0</v>
      </c>
      <c r="Q288" s="724">
        <f t="shared" si="256"/>
        <v>0</v>
      </c>
      <c r="R288" s="724">
        <f t="shared" si="256"/>
        <v>0</v>
      </c>
      <c r="S288" s="725">
        <f t="shared" si="256"/>
        <v>0</v>
      </c>
      <c r="T288" s="726"/>
      <c r="U288" s="1521"/>
      <c r="V288" s="1521"/>
      <c r="W288" s="1521"/>
      <c r="X288" s="1521"/>
      <c r="Y288" s="1521"/>
      <c r="Z288" s="1521"/>
      <c r="AA288" s="1523"/>
      <c r="AC288" s="714">
        <v>0</v>
      </c>
      <c r="AD288" s="714">
        <v>0</v>
      </c>
      <c r="AE288" s="714">
        <v>0</v>
      </c>
      <c r="AF288" s="714">
        <v>0</v>
      </c>
      <c r="AG288" s="714">
        <v>0</v>
      </c>
      <c r="AH288" s="714">
        <v>0</v>
      </c>
      <c r="AI288" s="22"/>
      <c r="AK288" s="1521"/>
      <c r="AL288" s="1521"/>
      <c r="AM288" s="1521"/>
      <c r="AN288" s="1521"/>
      <c r="AO288" s="1521"/>
      <c r="AP288" s="1521"/>
      <c r="AQ288" s="1523"/>
    </row>
    <row r="289" spans="1:43" s="1365" customFormat="1" hidden="1" outlineLevel="3">
      <c r="A289" s="22"/>
      <c r="B289" s="22"/>
      <c r="C289" s="22" t="s">
        <v>848</v>
      </c>
      <c r="D289" s="22"/>
      <c r="E289" s="22"/>
      <c r="F289" s="22"/>
      <c r="G289" s="22"/>
      <c r="H289" s="24">
        <f>H277/H$277</f>
        <v>1</v>
      </c>
      <c r="I289" s="24">
        <f t="shared" ref="I289:S289" si="258">I277/I$277</f>
        <v>1</v>
      </c>
      <c r="J289" s="24">
        <f t="shared" si="258"/>
        <v>1</v>
      </c>
      <c r="K289" s="24">
        <f t="shared" si="258"/>
        <v>1</v>
      </c>
      <c r="L289" s="24">
        <f t="shared" si="258"/>
        <v>1</v>
      </c>
      <c r="M289" s="24">
        <f t="shared" si="258"/>
        <v>1</v>
      </c>
      <c r="N289" s="24">
        <f t="shared" si="258"/>
        <v>1</v>
      </c>
      <c r="O289" s="24">
        <f t="shared" si="258"/>
        <v>1</v>
      </c>
      <c r="P289" s="24">
        <f t="shared" si="258"/>
        <v>1</v>
      </c>
      <c r="Q289" s="24">
        <f t="shared" si="258"/>
        <v>1</v>
      </c>
      <c r="R289" s="24">
        <f t="shared" si="258"/>
        <v>1</v>
      </c>
      <c r="S289" s="24">
        <f t="shared" si="258"/>
        <v>1</v>
      </c>
      <c r="T289" s="726"/>
      <c r="U289" s="1521"/>
      <c r="V289" s="1521"/>
      <c r="W289" s="1521"/>
      <c r="X289" s="1521"/>
      <c r="Y289" s="1521"/>
      <c r="Z289" s="1521"/>
      <c r="AA289" s="1522"/>
      <c r="AC289" s="219"/>
      <c r="AD289" s="219"/>
      <c r="AE289" s="219"/>
      <c r="AF289" s="219"/>
      <c r="AG289" s="219"/>
      <c r="AH289" s="219"/>
      <c r="AI289" s="706"/>
      <c r="AK289" s="1521"/>
      <c r="AL289" s="1521"/>
      <c r="AM289" s="1521"/>
      <c r="AN289" s="1521"/>
      <c r="AO289" s="1521"/>
      <c r="AP289" s="1521"/>
      <c r="AQ289" s="1522"/>
    </row>
    <row r="290" spans="1:43" s="1365" customFormat="1" hidden="1" outlineLevel="3">
      <c r="A290" s="22"/>
      <c r="B290" s="22"/>
      <c r="C290" s="22"/>
      <c r="D290" s="707" t="s">
        <v>841</v>
      </c>
      <c r="E290" s="708"/>
      <c r="F290" s="708"/>
      <c r="G290" s="708"/>
      <c r="H290" s="793">
        <f t="shared" ref="H290:S294" si="259">H278/H$277</f>
        <v>5.7146299785304298E-2</v>
      </c>
      <c r="I290" s="793">
        <f t="shared" si="259"/>
        <v>6.5985853201075651E-3</v>
      </c>
      <c r="J290" s="793">
        <f t="shared" si="259"/>
        <v>6.4637861161070372E-3</v>
      </c>
      <c r="K290" s="793">
        <f t="shared" si="259"/>
        <v>0</v>
      </c>
      <c r="L290" s="793">
        <f t="shared" si="259"/>
        <v>0</v>
      </c>
      <c r="M290" s="793">
        <f t="shared" si="259"/>
        <v>0</v>
      </c>
      <c r="N290" s="793">
        <f t="shared" si="259"/>
        <v>0</v>
      </c>
      <c r="O290" s="793">
        <f t="shared" si="259"/>
        <v>0</v>
      </c>
      <c r="P290" s="793">
        <f t="shared" si="259"/>
        <v>0</v>
      </c>
      <c r="Q290" s="793">
        <f t="shared" si="259"/>
        <v>0</v>
      </c>
      <c r="R290" s="793">
        <f t="shared" si="259"/>
        <v>0</v>
      </c>
      <c r="S290" s="793">
        <f t="shared" si="259"/>
        <v>0</v>
      </c>
      <c r="T290" s="726"/>
      <c r="U290" s="1521"/>
      <c r="V290" s="1521"/>
      <c r="W290" s="1521"/>
      <c r="X290" s="1521"/>
      <c r="Y290" s="1521"/>
      <c r="Z290" s="1521"/>
      <c r="AA290" s="1523"/>
      <c r="AC290" s="728"/>
      <c r="AD290" s="728"/>
      <c r="AE290" s="728"/>
      <c r="AF290" s="728"/>
      <c r="AG290" s="728"/>
      <c r="AH290" s="728"/>
      <c r="AI290" s="22"/>
      <c r="AK290" s="1521"/>
      <c r="AL290" s="1521"/>
      <c r="AM290" s="1521"/>
      <c r="AN290" s="1521"/>
      <c r="AO290" s="1521"/>
      <c r="AP290" s="1521"/>
      <c r="AQ290" s="1523"/>
    </row>
    <row r="291" spans="1:43" s="1365" customFormat="1" hidden="1" outlineLevel="3">
      <c r="A291" s="22"/>
      <c r="B291" s="22"/>
      <c r="C291" s="22"/>
      <c r="D291" s="715" t="s">
        <v>842</v>
      </c>
      <c r="E291" s="22"/>
      <c r="F291" s="22"/>
      <c r="G291" s="22"/>
      <c r="H291" s="91">
        <f t="shared" si="259"/>
        <v>1.638515240473791E-2</v>
      </c>
      <c r="I291" s="91">
        <f t="shared" si="259"/>
        <v>7.0423368547482892E-3</v>
      </c>
      <c r="J291" s="91">
        <f t="shared" si="259"/>
        <v>5.9560473758654475E-2</v>
      </c>
      <c r="K291" s="91">
        <f t="shared" si="259"/>
        <v>9.311020173199179E-2</v>
      </c>
      <c r="L291" s="91">
        <f t="shared" si="259"/>
        <v>9.3110201731991804E-2</v>
      </c>
      <c r="M291" s="91">
        <f t="shared" si="259"/>
        <v>9.3110201731991776E-2</v>
      </c>
      <c r="N291" s="91">
        <f t="shared" si="259"/>
        <v>9.3110201731991804E-2</v>
      </c>
      <c r="O291" s="91">
        <f t="shared" si="259"/>
        <v>9.3110201731991804E-2</v>
      </c>
      <c r="P291" s="91">
        <f t="shared" si="259"/>
        <v>9.3110201731991804E-2</v>
      </c>
      <c r="Q291" s="91">
        <f t="shared" si="259"/>
        <v>9.3110201731991804E-2</v>
      </c>
      <c r="R291" s="91">
        <f t="shared" si="259"/>
        <v>9.3110201731991804E-2</v>
      </c>
      <c r="S291" s="91">
        <f t="shared" si="259"/>
        <v>9.3110201731991804E-2</v>
      </c>
      <c r="T291" s="726"/>
      <c r="U291" s="1521"/>
      <c r="V291" s="1521"/>
      <c r="W291" s="1521"/>
      <c r="X291" s="1521"/>
      <c r="Y291" s="1521"/>
      <c r="Z291" s="1521"/>
      <c r="AA291" s="1523"/>
      <c r="AC291" s="728"/>
      <c r="AD291" s="728"/>
      <c r="AE291" s="728"/>
      <c r="AF291" s="728"/>
      <c r="AG291" s="728"/>
      <c r="AH291" s="728"/>
      <c r="AI291" s="22"/>
      <c r="AK291" s="1521"/>
      <c r="AL291" s="1521"/>
      <c r="AM291" s="1521"/>
      <c r="AN291" s="1521"/>
      <c r="AO291" s="1521"/>
      <c r="AP291" s="1521"/>
      <c r="AQ291" s="1523"/>
    </row>
    <row r="292" spans="1:43" s="1365" customFormat="1" hidden="1" outlineLevel="3">
      <c r="A292" s="22"/>
      <c r="B292" s="22"/>
      <c r="C292" s="22"/>
      <c r="D292" s="715" t="s">
        <v>843</v>
      </c>
      <c r="E292" s="22"/>
      <c r="F292" s="22"/>
      <c r="G292" s="22"/>
      <c r="H292" s="91">
        <f t="shared" si="259"/>
        <v>7.38947552907155E-2</v>
      </c>
      <c r="I292" s="91">
        <f t="shared" si="259"/>
        <v>3.4449910805941539E-3</v>
      </c>
      <c r="J292" s="91">
        <f t="shared" si="259"/>
        <v>7.8356059151142687E-2</v>
      </c>
      <c r="K292" s="91">
        <f t="shared" si="259"/>
        <v>0.14284865094859087</v>
      </c>
      <c r="L292" s="91">
        <f t="shared" si="259"/>
        <v>0.14284865094859089</v>
      </c>
      <c r="M292" s="91">
        <f t="shared" si="259"/>
        <v>0.14284865094859087</v>
      </c>
      <c r="N292" s="91">
        <f t="shared" si="259"/>
        <v>0.14284865094859089</v>
      </c>
      <c r="O292" s="91">
        <f t="shared" si="259"/>
        <v>0.14284865094859089</v>
      </c>
      <c r="P292" s="91">
        <f t="shared" si="259"/>
        <v>0.14284865094859089</v>
      </c>
      <c r="Q292" s="91">
        <f t="shared" si="259"/>
        <v>0.14284865094859089</v>
      </c>
      <c r="R292" s="91">
        <f t="shared" si="259"/>
        <v>0.14284865094859089</v>
      </c>
      <c r="S292" s="91">
        <f t="shared" si="259"/>
        <v>0.14284865094859089</v>
      </c>
      <c r="T292" s="726"/>
      <c r="U292" s="1521"/>
      <c r="V292" s="1521"/>
      <c r="W292" s="1521"/>
      <c r="X292" s="1521"/>
      <c r="Y292" s="1521"/>
      <c r="Z292" s="1521"/>
      <c r="AA292" s="1523"/>
      <c r="AC292" s="728"/>
      <c r="AD292" s="728"/>
      <c r="AE292" s="728"/>
      <c r="AF292" s="728"/>
      <c r="AG292" s="728"/>
      <c r="AH292" s="728"/>
      <c r="AI292" s="22"/>
      <c r="AK292" s="1521"/>
      <c r="AL292" s="1521"/>
      <c r="AM292" s="1521"/>
      <c r="AN292" s="1521"/>
      <c r="AO292" s="1521"/>
      <c r="AP292" s="1521"/>
      <c r="AQ292" s="1523"/>
    </row>
    <row r="293" spans="1:43" s="1365" customFormat="1" hidden="1" outlineLevel="3">
      <c r="A293" s="22"/>
      <c r="B293" s="22"/>
      <c r="C293" s="22"/>
      <c r="D293" s="715" t="s">
        <v>844</v>
      </c>
      <c r="E293" s="22"/>
      <c r="F293" s="22"/>
      <c r="G293" s="22"/>
      <c r="H293" s="91">
        <f t="shared" si="259"/>
        <v>0.63194840000584207</v>
      </c>
      <c r="I293" s="91">
        <f t="shared" si="259"/>
        <v>6.8024151916858719E-2</v>
      </c>
      <c r="J293" s="91">
        <f t="shared" si="259"/>
        <v>0.83927167106604106</v>
      </c>
      <c r="K293" s="91">
        <f t="shared" si="259"/>
        <v>0.756660784902638</v>
      </c>
      <c r="L293" s="91">
        <f t="shared" si="259"/>
        <v>0.75666078490263811</v>
      </c>
      <c r="M293" s="91">
        <f t="shared" si="259"/>
        <v>0.756660784902638</v>
      </c>
      <c r="N293" s="91">
        <f t="shared" si="259"/>
        <v>0.75666078490263811</v>
      </c>
      <c r="O293" s="91">
        <f t="shared" si="259"/>
        <v>0.75666078490263811</v>
      </c>
      <c r="P293" s="91">
        <f t="shared" si="259"/>
        <v>0.75666078490263811</v>
      </c>
      <c r="Q293" s="91">
        <f t="shared" si="259"/>
        <v>0.75666078490263811</v>
      </c>
      <c r="R293" s="91">
        <f t="shared" si="259"/>
        <v>0.75666078490263811</v>
      </c>
      <c r="S293" s="91">
        <f t="shared" si="259"/>
        <v>0.75666078490263811</v>
      </c>
      <c r="T293" s="726"/>
      <c r="U293" s="1521"/>
      <c r="V293" s="1521"/>
      <c r="W293" s="1521"/>
      <c r="X293" s="1521"/>
      <c r="Y293" s="1521"/>
      <c r="Z293" s="1521"/>
      <c r="AA293" s="1523"/>
      <c r="AC293" s="728"/>
      <c r="AD293" s="728"/>
      <c r="AE293" s="728"/>
      <c r="AF293" s="728"/>
      <c r="AG293" s="728"/>
      <c r="AH293" s="728"/>
      <c r="AI293" s="22"/>
      <c r="AK293" s="1521"/>
      <c r="AL293" s="1521"/>
      <c r="AM293" s="1521"/>
      <c r="AN293" s="1521"/>
      <c r="AO293" s="1521"/>
      <c r="AP293" s="1521"/>
      <c r="AQ293" s="1523"/>
    </row>
    <row r="294" spans="1:43" s="1365" customFormat="1" hidden="1" outlineLevel="3">
      <c r="A294" s="22"/>
      <c r="B294" s="22"/>
      <c r="C294" s="22"/>
      <c r="D294" s="719" t="s">
        <v>665</v>
      </c>
      <c r="E294" s="720"/>
      <c r="F294" s="720"/>
      <c r="G294" s="720"/>
      <c r="H294" s="794">
        <f t="shared" si="259"/>
        <v>0.22062539251340021</v>
      </c>
      <c r="I294" s="794">
        <f t="shared" si="259"/>
        <v>0.91488993482769132</v>
      </c>
      <c r="J294" s="794">
        <f t="shared" si="259"/>
        <v>1.6348009908054711E-2</v>
      </c>
      <c r="K294" s="794">
        <f t="shared" si="259"/>
        <v>7.3803624167792965E-3</v>
      </c>
      <c r="L294" s="794">
        <f t="shared" si="259"/>
        <v>7.3803624167792983E-3</v>
      </c>
      <c r="M294" s="794">
        <f t="shared" si="259"/>
        <v>7.3803624167792965E-3</v>
      </c>
      <c r="N294" s="794">
        <f t="shared" si="259"/>
        <v>7.3803624167792983E-3</v>
      </c>
      <c r="O294" s="794">
        <f t="shared" si="259"/>
        <v>7.3803624167792983E-3</v>
      </c>
      <c r="P294" s="794">
        <f t="shared" si="259"/>
        <v>7.3803624167792983E-3</v>
      </c>
      <c r="Q294" s="794">
        <f t="shared" si="259"/>
        <v>7.3803624167792983E-3</v>
      </c>
      <c r="R294" s="794">
        <f t="shared" si="259"/>
        <v>7.3803624167792983E-3</v>
      </c>
      <c r="S294" s="794">
        <f t="shared" si="259"/>
        <v>7.3803624167792983E-3</v>
      </c>
      <c r="T294" s="726"/>
      <c r="U294" s="1521"/>
      <c r="V294" s="1521"/>
      <c r="W294" s="1521"/>
      <c r="X294" s="1521"/>
      <c r="Y294" s="1521"/>
      <c r="Z294" s="1521"/>
      <c r="AA294" s="1523"/>
      <c r="AC294" s="728"/>
      <c r="AD294" s="728"/>
      <c r="AE294" s="728"/>
      <c r="AF294" s="728"/>
      <c r="AG294" s="728"/>
      <c r="AH294" s="728"/>
      <c r="AI294" s="22"/>
      <c r="AK294" s="1521"/>
      <c r="AL294" s="1521"/>
      <c r="AM294" s="1521"/>
      <c r="AN294" s="1521"/>
      <c r="AO294" s="1521"/>
      <c r="AP294" s="1521"/>
      <c r="AQ294" s="1523"/>
    </row>
    <row r="295" spans="1:43" outlineLevel="2" collapsed="1">
      <c r="C295" s="1" t="s">
        <v>31</v>
      </c>
      <c r="H295" s="764">
        <f>IFERROR(H301/H277,"NA")</f>
        <v>0.1173669835984168</v>
      </c>
      <c r="I295" s="764">
        <f>IFERROR(I301/I277,"NA")</f>
        <v>0.10308348149704018</v>
      </c>
      <c r="J295" s="764">
        <f>IFERROR(J301/J277,"NA")</f>
        <v>9.4216236144774229E-2</v>
      </c>
      <c r="K295" s="764">
        <f>IFERROR(K301/K277,"NA")</f>
        <v>0.10567465084847574</v>
      </c>
      <c r="L295" s="795">
        <f>IFERROR(L301/L277,"NA")</f>
        <v>0.10567465084847576</v>
      </c>
      <c r="M295" s="795">
        <f t="shared" ref="M295:S295" si="260">IFERROR(M301/M277,"NA")</f>
        <v>0.10567465084847574</v>
      </c>
      <c r="N295" s="795">
        <f t="shared" si="260"/>
        <v>0.10567465084847576</v>
      </c>
      <c r="O295" s="795">
        <f t="shared" si="260"/>
        <v>0.10567465084847576</v>
      </c>
      <c r="P295" s="795">
        <f t="shared" si="260"/>
        <v>0.10567465084847576</v>
      </c>
      <c r="Q295" s="795">
        <f t="shared" si="260"/>
        <v>0.10567465084847576</v>
      </c>
      <c r="R295" s="795">
        <f t="shared" si="260"/>
        <v>0.10567465084847576</v>
      </c>
      <c r="S295" s="795">
        <f t="shared" si="260"/>
        <v>0.10567465084847576</v>
      </c>
      <c r="U295" s="1529">
        <f>$L295*(1+$AA295)</f>
        <v>0.10778814386544527</v>
      </c>
      <c r="V295" s="1529">
        <f>U295*(1+$AA295)</f>
        <v>0.10994390674275419</v>
      </c>
      <c r="W295" s="1529">
        <f t="shared" ref="W295:Z295" si="261">V295*(1+$AA295)</f>
        <v>0.11214278487760927</v>
      </c>
      <c r="X295" s="1529">
        <f t="shared" si="261"/>
        <v>0.11438564057516146</v>
      </c>
      <c r="Y295" s="1529">
        <f t="shared" si="261"/>
        <v>0.11667335338666469</v>
      </c>
      <c r="Z295" s="1529">
        <f t="shared" si="261"/>
        <v>0.11900682045439799</v>
      </c>
      <c r="AA295" s="1520">
        <v>0.02</v>
      </c>
      <c r="AC295" s="448"/>
      <c r="AD295" s="448"/>
      <c r="AE295" s="448"/>
      <c r="AF295" s="448"/>
      <c r="AG295" s="448"/>
      <c r="AH295" s="448"/>
      <c r="AI295" s="702"/>
      <c r="AK295" s="1529">
        <f>$L295*(1+$AQ295)</f>
        <v>0.10567465084847576</v>
      </c>
      <c r="AL295" s="1529">
        <f>AK295*(1+$AQ295)</f>
        <v>0.10567465084847576</v>
      </c>
      <c r="AM295" s="1529">
        <f t="shared" ref="AM295:AN295" si="262">AL295*(1+$AQ295)</f>
        <v>0.10567465084847576</v>
      </c>
      <c r="AN295" s="1529">
        <f t="shared" si="262"/>
        <v>0.10567465084847576</v>
      </c>
      <c r="AO295" s="1529">
        <f>AN295*(1+$AQ295)</f>
        <v>0.10567465084847576</v>
      </c>
      <c r="AP295" s="1529">
        <f t="shared" ref="AP295" si="263">AO295*(1+$AQ295)</f>
        <v>0.10567465084847576</v>
      </c>
      <c r="AQ295" s="1520">
        <v>0</v>
      </c>
    </row>
    <row r="296" spans="1:43" outlineLevel="2">
      <c r="D296" s="27" t="s">
        <v>841</v>
      </c>
      <c r="E296" s="28"/>
      <c r="F296" s="28"/>
      <c r="G296" s="28"/>
      <c r="H296" s="759">
        <f t="shared" ref="H296:K300" si="264">IFERROR(H302/H278,"NA")</f>
        <v>0.10152705897386749</v>
      </c>
      <c r="I296" s="759">
        <f t="shared" si="264"/>
        <v>0.101546738399462</v>
      </c>
      <c r="J296" s="759">
        <f t="shared" si="264"/>
        <v>0.104532639340707</v>
      </c>
      <c r="K296" s="771" t="str">
        <f t="shared" si="264"/>
        <v>NA</v>
      </c>
      <c r="L296" s="796"/>
      <c r="M296" s="796"/>
      <c r="N296" s="780"/>
      <c r="O296" s="781"/>
      <c r="P296" s="781"/>
      <c r="Q296" s="781"/>
      <c r="R296" s="781"/>
      <c r="S296" s="782"/>
      <c r="T296" s="993"/>
      <c r="U296" s="1530"/>
      <c r="V296" s="1530"/>
      <c r="W296" s="1530"/>
      <c r="X296" s="1530"/>
      <c r="Y296" s="1530"/>
      <c r="Z296" s="1530"/>
      <c r="AA296" s="1530"/>
      <c r="AB296" s="1371"/>
      <c r="AC296" s="783"/>
      <c r="AD296" s="783"/>
      <c r="AE296" s="783"/>
      <c r="AF296" s="783"/>
      <c r="AG296" s="783"/>
      <c r="AH296" s="783"/>
    </row>
    <row r="297" spans="1:43" outlineLevel="2">
      <c r="D297" s="31" t="s">
        <v>842</v>
      </c>
      <c r="H297" s="764">
        <f t="shared" si="264"/>
        <v>0.34339832869080777</v>
      </c>
      <c r="I297" s="764">
        <f t="shared" si="264"/>
        <v>0.34341524889729047</v>
      </c>
      <c r="J297" s="764">
        <f t="shared" si="264"/>
        <v>0.18292223686688006</v>
      </c>
      <c r="K297" s="773">
        <f t="shared" si="264"/>
        <v>0.15832801317160042</v>
      </c>
      <c r="L297" s="797">
        <f>K297</f>
        <v>0.15832801317160042</v>
      </c>
      <c r="M297" s="797">
        <f>L297</f>
        <v>0.15832801317160042</v>
      </c>
      <c r="N297" s="785">
        <f>CHOOSE(case,U297,AC297,AK297)</f>
        <v>0.15832801317160042</v>
      </c>
      <c r="O297" s="786">
        <f t="shared" ref="O297" si="265">CHOOSE(case,V297,AD297,AL297)</f>
        <v>0.15832801317160042</v>
      </c>
      <c r="P297" s="786">
        <f t="shared" ref="P297" si="266">CHOOSE(case,W297,AE297,AM297)</f>
        <v>0.15832801317160042</v>
      </c>
      <c r="Q297" s="786">
        <f t="shared" ref="Q297" si="267">CHOOSE(case,X297,AF297,AN297)</f>
        <v>0.15832801317160042</v>
      </c>
      <c r="R297" s="786">
        <f t="shared" ref="R297" si="268">CHOOSE(case,Y297,AG297,AO297)</f>
        <v>0.15832801317160042</v>
      </c>
      <c r="S297" s="787">
        <f t="shared" ref="S297" si="269">CHOOSE(case,Z297,AH297,AP297)</f>
        <v>0.15832801317160042</v>
      </c>
      <c r="T297" s="993"/>
      <c r="U297" s="1530"/>
      <c r="V297" s="1530"/>
      <c r="W297" s="1530"/>
      <c r="X297" s="1530"/>
      <c r="Y297" s="1530"/>
      <c r="Z297" s="1530"/>
      <c r="AA297" s="1530"/>
      <c r="AB297" s="1371"/>
      <c r="AC297" s="783">
        <f t="shared" ref="AC297:AC300" si="270">M297</f>
        <v>0.15832801317160042</v>
      </c>
      <c r="AD297" s="783">
        <f t="shared" ref="AD297:AH300" si="271">AC297</f>
        <v>0.15832801317160042</v>
      </c>
      <c r="AE297" s="783">
        <f t="shared" si="271"/>
        <v>0.15832801317160042</v>
      </c>
      <c r="AF297" s="783">
        <f t="shared" si="271"/>
        <v>0.15832801317160042</v>
      </c>
      <c r="AG297" s="783">
        <f t="shared" si="271"/>
        <v>0.15832801317160042</v>
      </c>
      <c r="AH297" s="783">
        <f t="shared" si="271"/>
        <v>0.15832801317160042</v>
      </c>
    </row>
    <row r="298" spans="1:43" outlineLevel="2">
      <c r="D298" s="31" t="s">
        <v>843</v>
      </c>
      <c r="H298" s="764">
        <f t="shared" si="264"/>
        <v>0.29167901966597493</v>
      </c>
      <c r="I298" s="764">
        <f t="shared" si="264"/>
        <v>0.29154143409188493</v>
      </c>
      <c r="J298" s="764">
        <f t="shared" si="264"/>
        <v>0.24840775726348935</v>
      </c>
      <c r="K298" s="773">
        <f t="shared" si="264"/>
        <v>0.25769289734772993</v>
      </c>
      <c r="L298" s="797">
        <f t="shared" ref="L298:M299" si="272">K298</f>
        <v>0.25769289734772993</v>
      </c>
      <c r="M298" s="797">
        <f t="shared" si="272"/>
        <v>0.25769289734772993</v>
      </c>
      <c r="N298" s="785">
        <f>CHOOSE(case,U298,AC298,AK298)</f>
        <v>0.25769289734772993</v>
      </c>
      <c r="O298" s="786">
        <f t="shared" ref="O298:O299" si="273">CHOOSE(case,V298,AD298,AL298)</f>
        <v>0.25769289734772993</v>
      </c>
      <c r="P298" s="786">
        <f t="shared" ref="P298:P299" si="274">CHOOSE(case,W298,AE298,AM298)</f>
        <v>0.25769289734772993</v>
      </c>
      <c r="Q298" s="786">
        <f t="shared" ref="Q298:Q299" si="275">CHOOSE(case,X298,AF298,AN298)</f>
        <v>0.25769289734772993</v>
      </c>
      <c r="R298" s="786">
        <f t="shared" ref="R298:R299" si="276">CHOOSE(case,Y298,AG298,AO298)</f>
        <v>0.25769289734772993</v>
      </c>
      <c r="S298" s="787">
        <f t="shared" ref="S298:S299" si="277">CHOOSE(case,Z298,AH298,AP298)</f>
        <v>0.25769289734772993</v>
      </c>
      <c r="T298" s="993"/>
      <c r="U298" s="1530"/>
      <c r="V298" s="1530"/>
      <c r="W298" s="1530"/>
      <c r="X298" s="1530"/>
      <c r="Y298" s="1530"/>
      <c r="Z298" s="1530"/>
      <c r="AA298" s="1530"/>
      <c r="AB298" s="1371"/>
      <c r="AC298" s="783">
        <f t="shared" si="270"/>
        <v>0.25769289734772993</v>
      </c>
      <c r="AD298" s="783">
        <f t="shared" si="271"/>
        <v>0.25769289734772993</v>
      </c>
      <c r="AE298" s="783">
        <f t="shared" si="271"/>
        <v>0.25769289734772993</v>
      </c>
      <c r="AF298" s="783">
        <f t="shared" si="271"/>
        <v>0.25769289734772993</v>
      </c>
      <c r="AG298" s="783">
        <f t="shared" si="271"/>
        <v>0.25769289734772993</v>
      </c>
      <c r="AH298" s="783">
        <f t="shared" si="271"/>
        <v>0.25769289734772993</v>
      </c>
    </row>
    <row r="299" spans="1:43" outlineLevel="2">
      <c r="D299" s="31" t="s">
        <v>844</v>
      </c>
      <c r="H299" s="764">
        <f t="shared" si="264"/>
        <v>9.8309697213065969E-2</v>
      </c>
      <c r="I299" s="764">
        <f t="shared" si="264"/>
        <v>9.8308254327215794E-2</v>
      </c>
      <c r="J299" s="764">
        <f t="shared" si="264"/>
        <v>7.3383753520115183E-2</v>
      </c>
      <c r="K299" s="773">
        <f t="shared" si="264"/>
        <v>7.0766126531405446E-2</v>
      </c>
      <c r="L299" s="797">
        <f t="shared" si="272"/>
        <v>7.0766126531405446E-2</v>
      </c>
      <c r="M299" s="797">
        <f t="shared" si="272"/>
        <v>7.0766126531405446E-2</v>
      </c>
      <c r="N299" s="785">
        <f>CHOOSE(case,U299,AC299,AK299)</f>
        <v>7.0766126531405446E-2</v>
      </c>
      <c r="O299" s="786">
        <f t="shared" si="273"/>
        <v>7.0766126531405446E-2</v>
      </c>
      <c r="P299" s="786">
        <f t="shared" si="274"/>
        <v>7.0766126531405446E-2</v>
      </c>
      <c r="Q299" s="786">
        <f t="shared" si="275"/>
        <v>7.0766126531405446E-2</v>
      </c>
      <c r="R299" s="786">
        <f t="shared" si="276"/>
        <v>7.0766126531405446E-2</v>
      </c>
      <c r="S299" s="787">
        <f t="shared" si="277"/>
        <v>7.0766126531405446E-2</v>
      </c>
      <c r="T299" s="993"/>
      <c r="U299" s="1530"/>
      <c r="V299" s="1530"/>
      <c r="W299" s="1530"/>
      <c r="X299" s="1530"/>
      <c r="Y299" s="1530"/>
      <c r="Z299" s="1530"/>
      <c r="AA299" s="1530"/>
      <c r="AB299" s="1371"/>
      <c r="AC299" s="783">
        <f t="shared" si="270"/>
        <v>7.0766126531405446E-2</v>
      </c>
      <c r="AD299" s="783">
        <f t="shared" si="271"/>
        <v>7.0766126531405446E-2</v>
      </c>
      <c r="AE299" s="783">
        <f t="shared" si="271"/>
        <v>7.0766126531405446E-2</v>
      </c>
      <c r="AF299" s="783">
        <f t="shared" si="271"/>
        <v>7.0766126531405446E-2</v>
      </c>
      <c r="AG299" s="783">
        <f t="shared" si="271"/>
        <v>7.0766126531405446E-2</v>
      </c>
      <c r="AH299" s="783">
        <f t="shared" si="271"/>
        <v>7.0766126531405446E-2</v>
      </c>
    </row>
    <row r="300" spans="1:43" ht="15" outlineLevel="2" thickBot="1">
      <c r="C300" s="37"/>
      <c r="D300" s="38" t="s">
        <v>665</v>
      </c>
      <c r="E300" s="37"/>
      <c r="F300" s="37"/>
      <c r="G300" s="37"/>
      <c r="H300" s="774">
        <f t="shared" si="264"/>
        <v>0.10088706474248643</v>
      </c>
      <c r="I300" s="774">
        <f t="shared" si="264"/>
        <v>0.10089003500319313</v>
      </c>
      <c r="J300" s="774">
        <f t="shared" si="264"/>
        <v>9.7410392728519979E-2</v>
      </c>
      <c r="K300" s="775">
        <f t="shared" si="264"/>
        <v>7.7999152183128445E-2</v>
      </c>
      <c r="L300" s="798">
        <f>K300</f>
        <v>7.7999152183128445E-2</v>
      </c>
      <c r="M300" s="798">
        <f>L300</f>
        <v>7.7999152183128445E-2</v>
      </c>
      <c r="N300" s="785">
        <f>CHOOSE(case,U300,AC300,AK300)</f>
        <v>7.7999152183128445E-2</v>
      </c>
      <c r="O300" s="786">
        <f t="shared" ref="O300" si="278">CHOOSE(case,V300,AD300,AL300)</f>
        <v>7.7999152183128445E-2</v>
      </c>
      <c r="P300" s="786">
        <f t="shared" ref="P300" si="279">CHOOSE(case,W300,AE300,AM300)</f>
        <v>7.7999152183128445E-2</v>
      </c>
      <c r="Q300" s="786">
        <f t="shared" ref="Q300" si="280">CHOOSE(case,X300,AF300,AN300)</f>
        <v>7.7999152183128445E-2</v>
      </c>
      <c r="R300" s="786">
        <f t="shared" ref="R300" si="281">CHOOSE(case,Y300,AG300,AO300)</f>
        <v>7.7999152183128445E-2</v>
      </c>
      <c r="S300" s="787">
        <f t="shared" ref="S300" si="282">CHOOSE(case,Z300,AH300,AP300)</f>
        <v>7.7999152183128445E-2</v>
      </c>
      <c r="T300" s="993"/>
      <c r="U300" s="1530"/>
      <c r="V300" s="1530"/>
      <c r="W300" s="1530"/>
      <c r="X300" s="1530"/>
      <c r="Y300" s="1530"/>
      <c r="Z300" s="1530"/>
      <c r="AA300" s="1530"/>
      <c r="AB300" s="1371"/>
      <c r="AC300" s="783">
        <f t="shared" si="270"/>
        <v>7.7999152183128445E-2</v>
      </c>
      <c r="AD300" s="783">
        <f t="shared" si="271"/>
        <v>7.7999152183128445E-2</v>
      </c>
      <c r="AE300" s="783">
        <f t="shared" si="271"/>
        <v>7.7999152183128445E-2</v>
      </c>
      <c r="AF300" s="783">
        <f t="shared" si="271"/>
        <v>7.7999152183128445E-2</v>
      </c>
      <c r="AG300" s="783">
        <f t="shared" si="271"/>
        <v>7.7999152183128445E-2</v>
      </c>
      <c r="AH300" s="783">
        <f t="shared" si="271"/>
        <v>7.7999152183128445E-2</v>
      </c>
    </row>
    <row r="301" spans="1:43" outlineLevel="2">
      <c r="C301" s="18" t="s">
        <v>845</v>
      </c>
      <c r="H301" s="23">
        <f>SUM(H302:H306)</f>
        <v>64288</v>
      </c>
      <c r="I301" s="23">
        <f t="shared" ref="I301:K301" si="283">SUM(I302:I306)</f>
        <v>69690</v>
      </c>
      <c r="J301" s="23">
        <f t="shared" si="283"/>
        <v>67210</v>
      </c>
      <c r="K301" s="23">
        <f t="shared" si="283"/>
        <v>33777</v>
      </c>
      <c r="L301" s="405">
        <v>38716</v>
      </c>
      <c r="M301" s="405">
        <v>22476</v>
      </c>
      <c r="N301" s="23">
        <f t="shared" ref="N301:S301" si="284">SUM(N302:N306)</f>
        <v>38716</v>
      </c>
      <c r="O301" s="23">
        <f t="shared" si="284"/>
        <v>38716</v>
      </c>
      <c r="P301" s="23">
        <f t="shared" si="284"/>
        <v>38716</v>
      </c>
      <c r="Q301" s="23">
        <f t="shared" si="284"/>
        <v>38716</v>
      </c>
      <c r="R301" s="23">
        <f t="shared" si="284"/>
        <v>38716</v>
      </c>
      <c r="S301" s="23">
        <f t="shared" si="284"/>
        <v>38716</v>
      </c>
    </row>
    <row r="302" spans="1:43" outlineLevel="2">
      <c r="D302" s="27" t="s">
        <v>841</v>
      </c>
      <c r="E302" s="28"/>
      <c r="F302" s="28"/>
      <c r="G302" s="28"/>
      <c r="H302" s="398">
        <v>3178</v>
      </c>
      <c r="I302" s="398">
        <v>453</v>
      </c>
      <c r="J302" s="398">
        <v>482</v>
      </c>
      <c r="K302" s="399">
        <v>0</v>
      </c>
      <c r="L302" s="799">
        <f>K302*$L$276</f>
        <v>0</v>
      </c>
      <c r="M302" s="776">
        <f>K302*$M$276</f>
        <v>0</v>
      </c>
      <c r="N302" s="703">
        <f>N296*N278</f>
        <v>0</v>
      </c>
      <c r="O302" s="29">
        <f t="shared" ref="O302:S302" si="285">O296*O278</f>
        <v>0</v>
      </c>
      <c r="P302" s="29">
        <f t="shared" si="285"/>
        <v>0</v>
      </c>
      <c r="Q302" s="29">
        <f t="shared" si="285"/>
        <v>0</v>
      </c>
      <c r="R302" s="29">
        <f t="shared" si="285"/>
        <v>0</v>
      </c>
      <c r="S302" s="30">
        <f t="shared" si="285"/>
        <v>0</v>
      </c>
    </row>
    <row r="303" spans="1:43" outlineLevel="2">
      <c r="D303" s="31" t="s">
        <v>842</v>
      </c>
      <c r="H303" s="400">
        <v>3082</v>
      </c>
      <c r="I303" s="400">
        <v>1635</v>
      </c>
      <c r="J303" s="400">
        <v>7772</v>
      </c>
      <c r="K303" s="401">
        <v>4712</v>
      </c>
      <c r="L303" s="800">
        <f t="shared" ref="L303:L306" si="286">K303*$L$276</f>
        <v>5401.0063652781482</v>
      </c>
      <c r="M303" s="429">
        <f t="shared" ref="M303:M306" si="287">K303*$M$276</f>
        <v>3135.4741984190423</v>
      </c>
      <c r="N303" s="704">
        <f>N297*N279</f>
        <v>5401.0063652781482</v>
      </c>
      <c r="O303" s="20">
        <f t="shared" ref="O303:S306" si="288">O297*O279</f>
        <v>5401.0063652781482</v>
      </c>
      <c r="P303" s="20">
        <f t="shared" si="288"/>
        <v>5401.0063652781482</v>
      </c>
      <c r="Q303" s="20">
        <f t="shared" si="288"/>
        <v>5401.0063652781482</v>
      </c>
      <c r="R303" s="20">
        <f t="shared" si="288"/>
        <v>5401.0063652781482</v>
      </c>
      <c r="S303" s="32">
        <f t="shared" si="288"/>
        <v>5401.0063652781482</v>
      </c>
    </row>
    <row r="304" spans="1:43" outlineLevel="2">
      <c r="D304" s="31" t="s">
        <v>843</v>
      </c>
      <c r="H304" s="400">
        <v>11806</v>
      </c>
      <c r="I304" s="400">
        <v>679</v>
      </c>
      <c r="J304" s="400">
        <v>13885</v>
      </c>
      <c r="K304" s="401">
        <v>11766</v>
      </c>
      <c r="L304" s="800">
        <f t="shared" si="286"/>
        <v>13486.468780531131</v>
      </c>
      <c r="M304" s="429">
        <f t="shared" si="287"/>
        <v>7829.3695710098582</v>
      </c>
      <c r="N304" s="704">
        <f>N298*N280</f>
        <v>13486.468780531131</v>
      </c>
      <c r="O304" s="20">
        <f t="shared" si="288"/>
        <v>13486.468780531131</v>
      </c>
      <c r="P304" s="20">
        <f t="shared" si="288"/>
        <v>13486.468780531131</v>
      </c>
      <c r="Q304" s="20">
        <f t="shared" si="288"/>
        <v>13486.468780531131</v>
      </c>
      <c r="R304" s="20">
        <f t="shared" si="288"/>
        <v>13486.468780531131</v>
      </c>
      <c r="S304" s="32">
        <f t="shared" si="288"/>
        <v>13486.468780531131</v>
      </c>
    </row>
    <row r="305" spans="1:43" outlineLevel="2">
      <c r="D305" s="31" t="s">
        <v>844</v>
      </c>
      <c r="H305" s="400">
        <v>34030</v>
      </c>
      <c r="I305" s="400">
        <v>4521</v>
      </c>
      <c r="J305" s="400">
        <v>43935</v>
      </c>
      <c r="K305" s="401">
        <v>17115</v>
      </c>
      <c r="L305" s="800">
        <f t="shared" si="286"/>
        <v>19617.619682032153</v>
      </c>
      <c r="M305" s="429">
        <f t="shared" si="287"/>
        <v>11388.718358646416</v>
      </c>
      <c r="N305" s="704">
        <f>N299*N281</f>
        <v>19617.619682032153</v>
      </c>
      <c r="O305" s="20">
        <f t="shared" si="288"/>
        <v>19617.619682032153</v>
      </c>
      <c r="P305" s="20">
        <f t="shared" si="288"/>
        <v>19617.619682032153</v>
      </c>
      <c r="Q305" s="20">
        <f t="shared" si="288"/>
        <v>19617.619682032153</v>
      </c>
      <c r="R305" s="20">
        <f t="shared" si="288"/>
        <v>19617.619682032153</v>
      </c>
      <c r="S305" s="32">
        <f t="shared" si="288"/>
        <v>19617.619682032153</v>
      </c>
    </row>
    <row r="306" spans="1:43" outlineLevel="2">
      <c r="D306" s="33" t="s">
        <v>665</v>
      </c>
      <c r="E306" s="34"/>
      <c r="F306" s="34"/>
      <c r="G306" s="34"/>
      <c r="H306" s="402">
        <v>12192</v>
      </c>
      <c r="I306" s="402">
        <v>62402</v>
      </c>
      <c r="J306" s="402">
        <v>1136</v>
      </c>
      <c r="K306" s="403">
        <v>184</v>
      </c>
      <c r="L306" s="801">
        <f t="shared" si="286"/>
        <v>210.90517215856946</v>
      </c>
      <c r="M306" s="777">
        <f t="shared" si="287"/>
        <v>122.43787192468247</v>
      </c>
      <c r="N306" s="705">
        <f>N300*N282</f>
        <v>210.90517215856946</v>
      </c>
      <c r="O306" s="35">
        <f t="shared" si="288"/>
        <v>210.90517215856946</v>
      </c>
      <c r="P306" s="35">
        <f t="shared" si="288"/>
        <v>210.90517215856946</v>
      </c>
      <c r="Q306" s="35">
        <f t="shared" si="288"/>
        <v>210.90517215856946</v>
      </c>
      <c r="R306" s="35">
        <f t="shared" si="288"/>
        <v>210.90517215856946</v>
      </c>
      <c r="S306" s="36">
        <f t="shared" si="288"/>
        <v>210.90517215856946</v>
      </c>
    </row>
    <row r="307" spans="1:43" outlineLevel="2">
      <c r="H307" s="43"/>
      <c r="I307" s="43"/>
      <c r="J307" s="43"/>
      <c r="K307" s="43"/>
      <c r="AC307" s="745"/>
      <c r="AD307" s="745"/>
      <c r="AE307" s="745"/>
      <c r="AF307" s="745"/>
      <c r="AG307" s="745"/>
      <c r="AH307" s="745"/>
    </row>
    <row r="308" spans="1:43" outlineLevel="2">
      <c r="C308" s="1" t="s">
        <v>659</v>
      </c>
      <c r="H308" s="21">
        <v>-52157</v>
      </c>
      <c r="I308" s="21">
        <v>-57659</v>
      </c>
      <c r="J308" s="21">
        <v>-54503</v>
      </c>
      <c r="K308" s="21">
        <v>-25820.400000000001</v>
      </c>
      <c r="L308" s="20">
        <v>-29860</v>
      </c>
      <c r="M308" s="20">
        <v>-17893</v>
      </c>
      <c r="N308" s="20">
        <f>N309*N277</f>
        <v>-30821.560242035954</v>
      </c>
      <c r="O308" s="20">
        <f t="shared" ref="O308:S308" si="289">O309*O277</f>
        <v>-30719.812426651217</v>
      </c>
      <c r="P308" s="20">
        <f t="shared" si="289"/>
        <v>-30618.500199727849</v>
      </c>
      <c r="Q308" s="20">
        <f t="shared" si="289"/>
        <v>-30517.621472430357</v>
      </c>
      <c r="R308" s="20">
        <f t="shared" si="289"/>
        <v>-30417.174166882185</v>
      </c>
      <c r="S308" s="20">
        <f t="shared" si="289"/>
        <v>-30317.156216104693</v>
      </c>
      <c r="AC308" s="745"/>
      <c r="AD308" s="745"/>
      <c r="AE308" s="745"/>
      <c r="AF308" s="745"/>
      <c r="AG308" s="745"/>
      <c r="AH308" s="745"/>
    </row>
    <row r="309" spans="1:43" outlineLevel="3">
      <c r="D309" s="1" t="s">
        <v>849</v>
      </c>
      <c r="H309" s="744">
        <f>H308/H277</f>
        <v>-9.5220099607121467E-2</v>
      </c>
      <c r="I309" s="744">
        <f t="shared" ref="I309:J309" si="290">I308/I277</f>
        <v>-8.5287565786165004E-2</v>
      </c>
      <c r="J309" s="744">
        <f t="shared" si="290"/>
        <v>-7.6403325674730391E-2</v>
      </c>
      <c r="K309" s="744">
        <f>K308/K277</f>
        <v>-8.0781648896230671E-2</v>
      </c>
      <c r="L309" s="744">
        <f t="shared" ref="L309:M309" si="291">L308/L277</f>
        <v>-8.1502352369446376E-2</v>
      </c>
      <c r="M309" s="744">
        <f t="shared" si="291"/>
        <v>-8.4126914381196682E-2</v>
      </c>
      <c r="N309" s="746">
        <f>N295/M295*M309</f>
        <v>-8.4126914381196696E-2</v>
      </c>
      <c r="O309" s="744">
        <f>N309*(1+O310)</f>
        <v>-8.3849195482927838E-2</v>
      </c>
      <c r="P309" s="744">
        <f t="shared" ref="P309:S309" si="292">O309*(1+P310)</f>
        <v>-8.3572665515813244E-2</v>
      </c>
      <c r="Q309" s="744">
        <f t="shared" si="292"/>
        <v>-8.3297318778412663E-2</v>
      </c>
      <c r="R309" s="744">
        <f t="shared" si="292"/>
        <v>-8.3023149599198043E-2</v>
      </c>
      <c r="S309" s="744">
        <f t="shared" si="292"/>
        <v>-8.2750152336387023E-2</v>
      </c>
    </row>
    <row r="310" spans="1:43" ht="15" outlineLevel="3" thickBot="1">
      <c r="C310" s="37"/>
      <c r="D310" s="74"/>
      <c r="E310" s="74" t="s">
        <v>151</v>
      </c>
      <c r="F310" s="37"/>
      <c r="G310" s="37"/>
      <c r="H310" s="747"/>
      <c r="I310" s="75">
        <f>I309/H309-1</f>
        <v>-0.10431131517335246</v>
      </c>
      <c r="J310" s="75">
        <f t="shared" ref="J310" si="293">J309/I309-1</f>
        <v>-0.10416805814002694</v>
      </c>
      <c r="K310" s="75"/>
      <c r="L310" s="75">
        <f>L309/J309-1</f>
        <v>6.6738282001282512E-2</v>
      </c>
      <c r="M310" s="75"/>
      <c r="N310" s="748">
        <f>N309/L309-1</f>
        <v>3.2202285399730579E-2</v>
      </c>
      <c r="O310" s="749">
        <f>CHOOSE(case,V310,AD310,AL310)</f>
        <v>-3.3011896408140506E-3</v>
      </c>
      <c r="P310" s="750">
        <f>CHOOSE(case,W310,AE310,AM310)</f>
        <v>-3.2979441904233964E-3</v>
      </c>
      <c r="Q310" s="750">
        <f>CHOOSE(case,X310,AF310,AN310)</f>
        <v>-3.294698520157735E-3</v>
      </c>
      <c r="R310" s="750">
        <f>CHOOSE(case,Y310,AG310,AO310)</f>
        <v>-3.2914526329947957E-3</v>
      </c>
      <c r="S310" s="751">
        <f>CHOOSE(case,Z310,AH310,AP310)</f>
        <v>-3.2882065319003173E-3</v>
      </c>
      <c r="AC310" s="752"/>
      <c r="AD310" s="753">
        <f>(SUMPRODUCT(O290:O293,各区域分剂型成本优化!K$87:K$90)+O294*O300)/(SUMPRODUCT(N290:N293,各区域分剂型成本优化!J$87:J$90)+N294*N300)-1</f>
        <v>-3.3011896408140506E-3</v>
      </c>
      <c r="AE310" s="753">
        <f>(SUMPRODUCT(P290:P293,各区域分剂型成本优化!L$87:L$90)+P294*P300)/(SUMPRODUCT(O290:O293,各区域分剂型成本优化!K$87:K$90)+O294*O300)-1</f>
        <v>-3.2979441904233964E-3</v>
      </c>
      <c r="AF310" s="753">
        <f>(SUMPRODUCT(Q290:Q293,各区域分剂型成本优化!M$87:M$90)+Q294*Q300)/(SUMPRODUCT(P290:P293,各区域分剂型成本优化!L$87:L$90)+P294*P300)-1</f>
        <v>-3.294698520157735E-3</v>
      </c>
      <c r="AG310" s="753">
        <f>(SUMPRODUCT(R290:R293,各区域分剂型成本优化!N$87:N$90)+R294*R300)/(SUMPRODUCT(Q290:Q293,各区域分剂型成本优化!M$87:M$90)+Q294*Q300)-1</f>
        <v>-3.2914526329947957E-3</v>
      </c>
      <c r="AH310" s="753">
        <f>(SUMPRODUCT(S290:S293,各区域分剂型成本优化!O$87:O$90)+S294*S300)/(SUMPRODUCT(R290:R293,各区域分剂型成本优化!N$87:N$90)+R294*R300)-1</f>
        <v>-3.2882065319003173E-3</v>
      </c>
    </row>
    <row r="311" spans="1:43" outlineLevel="2">
      <c r="C311" s="18" t="s">
        <v>846</v>
      </c>
      <c r="D311" s="18"/>
      <c r="E311" s="18"/>
      <c r="F311" s="18"/>
      <c r="G311" s="18"/>
      <c r="H311" s="23">
        <f>H308+H301</f>
        <v>12131</v>
      </c>
      <c r="I311" s="23">
        <f t="shared" ref="I311:S311" si="294">I308+I301</f>
        <v>12031</v>
      </c>
      <c r="J311" s="23">
        <f t="shared" si="294"/>
        <v>12707</v>
      </c>
      <c r="K311" s="23">
        <f t="shared" si="294"/>
        <v>7956.5999999999985</v>
      </c>
      <c r="L311" s="23">
        <f t="shared" si="294"/>
        <v>8856</v>
      </c>
      <c r="M311" s="23">
        <f t="shared" si="294"/>
        <v>4583</v>
      </c>
      <c r="N311" s="23">
        <f t="shared" si="294"/>
        <v>7894.4397579640463</v>
      </c>
      <c r="O311" s="23">
        <f t="shared" si="294"/>
        <v>7996.1875733487832</v>
      </c>
      <c r="P311" s="23">
        <f t="shared" si="294"/>
        <v>8097.4998002721513</v>
      </c>
      <c r="Q311" s="23">
        <f t="shared" si="294"/>
        <v>8198.3785275696428</v>
      </c>
      <c r="R311" s="23">
        <f t="shared" si="294"/>
        <v>8298.8258331178149</v>
      </c>
      <c r="S311" s="23">
        <f t="shared" si="294"/>
        <v>8398.8437838953068</v>
      </c>
      <c r="AC311" s="745"/>
      <c r="AD311" s="745"/>
      <c r="AE311" s="745"/>
      <c r="AF311" s="745"/>
      <c r="AG311" s="745"/>
      <c r="AH311" s="745"/>
    </row>
    <row r="312" spans="1:43" outlineLevel="2">
      <c r="C312" s="22" t="s">
        <v>660</v>
      </c>
      <c r="D312" s="22"/>
      <c r="E312" s="22"/>
      <c r="F312" s="22"/>
      <c r="G312" s="22"/>
      <c r="H312" s="56">
        <f>IFERROR(H311/H301,"NA")</f>
        <v>0.18869773519163763</v>
      </c>
      <c r="I312" s="56">
        <f t="shared" ref="I312:S312" si="295">IFERROR(I311/I301,"NA")</f>
        <v>0.17263595924809871</v>
      </c>
      <c r="J312" s="56">
        <f t="shared" si="295"/>
        <v>0.18906412736199971</v>
      </c>
      <c r="K312" s="56">
        <f t="shared" si="295"/>
        <v>0.2355626609823252</v>
      </c>
      <c r="L312" s="56">
        <f t="shared" si="295"/>
        <v>0.22874263870234529</v>
      </c>
      <c r="M312" s="56">
        <f t="shared" si="295"/>
        <v>0.20390638903719524</v>
      </c>
      <c r="N312" s="56">
        <f t="shared" si="295"/>
        <v>0.20390638903719513</v>
      </c>
      <c r="O312" s="56">
        <f t="shared" si="295"/>
        <v>0.20653444501882381</v>
      </c>
      <c r="P312" s="56">
        <f t="shared" si="295"/>
        <v>0.209151250136175</v>
      </c>
      <c r="Q312" s="56">
        <f t="shared" si="295"/>
        <v>0.2117568583420199</v>
      </c>
      <c r="R312" s="56">
        <f t="shared" si="295"/>
        <v>0.21435132330607023</v>
      </c>
      <c r="S312" s="56">
        <f t="shared" si="295"/>
        <v>0.21693469841655405</v>
      </c>
      <c r="U312" s="1526">
        <f>AC312+1%</f>
        <v>0.01</v>
      </c>
      <c r="V312" s="1526">
        <f t="shared" ref="V312:Z312" si="296">U312</f>
        <v>0.01</v>
      </c>
      <c r="W312" s="1526">
        <f t="shared" si="296"/>
        <v>0.01</v>
      </c>
      <c r="X312" s="1526">
        <f t="shared" si="296"/>
        <v>0.01</v>
      </c>
      <c r="Y312" s="1526">
        <f t="shared" si="296"/>
        <v>0.01</v>
      </c>
      <c r="Z312" s="1526">
        <f t="shared" si="296"/>
        <v>0.01</v>
      </c>
      <c r="AC312" s="752"/>
      <c r="AD312" s="752"/>
      <c r="AE312" s="752"/>
      <c r="AF312" s="752"/>
      <c r="AG312" s="752"/>
      <c r="AH312" s="752"/>
      <c r="AK312" s="1526">
        <f>AC312-1%</f>
        <v>-0.01</v>
      </c>
      <c r="AL312" s="1526">
        <f t="shared" ref="AL312:AP312" si="297">AK312</f>
        <v>-0.01</v>
      </c>
      <c r="AM312" s="1526">
        <f t="shared" si="297"/>
        <v>-0.01</v>
      </c>
      <c r="AN312" s="1526">
        <f t="shared" si="297"/>
        <v>-0.01</v>
      </c>
      <c r="AO312" s="1526">
        <f t="shared" si="297"/>
        <v>-0.01</v>
      </c>
      <c r="AP312" s="1526">
        <f t="shared" si="297"/>
        <v>-0.01</v>
      </c>
    </row>
    <row r="313" spans="1:43" outlineLevel="2" collapsed="1">
      <c r="AC313" s="745"/>
      <c r="AD313" s="745"/>
      <c r="AE313" s="745"/>
      <c r="AF313" s="745"/>
      <c r="AG313" s="745"/>
      <c r="AH313" s="745"/>
    </row>
    <row r="314" spans="1:43" s="1125" customFormat="1" outlineLevel="2">
      <c r="A314" s="15" t="s">
        <v>8</v>
      </c>
      <c r="B314" s="15" t="s">
        <v>45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103"/>
      <c r="U314" s="1515"/>
      <c r="V314" s="1515"/>
      <c r="W314" s="1515"/>
      <c r="X314" s="1515"/>
      <c r="Y314" s="1515"/>
      <c r="Z314" s="1515"/>
      <c r="AA314" s="1515"/>
      <c r="AC314" s="802"/>
      <c r="AD314" s="802"/>
      <c r="AE314" s="802"/>
      <c r="AF314" s="802"/>
      <c r="AG314" s="802"/>
      <c r="AH314" s="802"/>
      <c r="AI314" s="96"/>
      <c r="AK314" s="1515"/>
      <c r="AL314" s="1515"/>
      <c r="AM314" s="1515"/>
      <c r="AN314" s="1515"/>
      <c r="AO314" s="1515"/>
      <c r="AP314" s="1515"/>
      <c r="AQ314" s="1515"/>
    </row>
    <row r="315" spans="1:43" outlineLevel="2"/>
    <row r="316" spans="1:43" s="1126" customFormat="1" outlineLevel="2">
      <c r="A316" s="26" t="s">
        <v>8</v>
      </c>
      <c r="B316" s="26"/>
      <c r="C316" s="26" t="s">
        <v>46</v>
      </c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408"/>
      <c r="U316" s="1518"/>
      <c r="V316" s="1518"/>
      <c r="W316" s="1518"/>
      <c r="X316" s="1518"/>
      <c r="Y316" s="1518"/>
      <c r="Z316" s="1518"/>
      <c r="AA316" s="1518"/>
      <c r="AC316" s="26"/>
      <c r="AD316" s="26"/>
      <c r="AE316" s="26"/>
      <c r="AF316" s="26"/>
      <c r="AG316" s="26"/>
      <c r="AH316" s="26"/>
      <c r="AI316" s="18"/>
      <c r="AK316" s="1518"/>
      <c r="AL316" s="1518"/>
      <c r="AM316" s="1518"/>
      <c r="AN316" s="1518"/>
      <c r="AO316" s="1518"/>
      <c r="AP316" s="1518"/>
      <c r="AQ316" s="1518"/>
    </row>
    <row r="317" spans="1:43" outlineLevel="2">
      <c r="L317" s="20"/>
      <c r="M317" s="20"/>
      <c r="N317" s="20"/>
      <c r="S317" s="20"/>
    </row>
    <row r="318" spans="1:43" s="1126" customFormat="1" outlineLevel="2">
      <c r="A318" s="18"/>
      <c r="B318" s="18"/>
      <c r="C318" s="18" t="s">
        <v>840</v>
      </c>
      <c r="D318" s="18"/>
      <c r="E318" s="18"/>
      <c r="F318" s="18"/>
      <c r="G318" s="18"/>
      <c r="H318" s="23">
        <f>SUM(H319:H323)</f>
        <v>1237672.2359996997</v>
      </c>
      <c r="I318" s="23">
        <f t="shared" ref="I318:S318" si="298">SUM(I319:I323)</f>
        <v>1258291.118</v>
      </c>
      <c r="J318" s="23">
        <f t="shared" si="298"/>
        <v>2270007.8369944002</v>
      </c>
      <c r="K318" s="23">
        <f t="shared" si="298"/>
        <v>2109127</v>
      </c>
      <c r="L318" s="23">
        <f t="shared" si="298"/>
        <v>4058371.3388438476</v>
      </c>
      <c r="M318" s="23">
        <f t="shared" si="298"/>
        <v>1848765.9367063106</v>
      </c>
      <c r="N318" s="23">
        <f t="shared" si="298"/>
        <v>3746202.1847876972</v>
      </c>
      <c r="O318" s="23">
        <f t="shared" si="298"/>
        <v>4717491.2056665448</v>
      </c>
      <c r="P318" s="23">
        <f t="shared" si="298"/>
        <v>5711798.5636775084</v>
      </c>
      <c r="Q318" s="23">
        <f t="shared" si="298"/>
        <v>6776719.9142920151</v>
      </c>
      <c r="R318" s="23">
        <f t="shared" si="298"/>
        <v>7946244.0350497384</v>
      </c>
      <c r="S318" s="23">
        <f t="shared" si="298"/>
        <v>9166178.721145574</v>
      </c>
      <c r="T318" s="675"/>
      <c r="U318" s="1518"/>
      <c r="V318" s="1518"/>
      <c r="W318" s="1518"/>
      <c r="X318" s="1518"/>
      <c r="Y318" s="1518"/>
      <c r="Z318" s="1518"/>
      <c r="AA318" s="1518"/>
      <c r="AC318" s="18"/>
      <c r="AD318" s="18"/>
      <c r="AE318" s="18"/>
      <c r="AF318" s="18"/>
      <c r="AG318" s="18"/>
      <c r="AH318" s="18"/>
      <c r="AI318" s="18"/>
      <c r="AK318" s="1518"/>
      <c r="AL318" s="1518"/>
      <c r="AM318" s="1518"/>
      <c r="AN318" s="1518"/>
      <c r="AO318" s="1518"/>
      <c r="AP318" s="1518"/>
      <c r="AQ318" s="1518"/>
    </row>
    <row r="319" spans="1:43" outlineLevel="2">
      <c r="D319" s="27" t="s">
        <v>841</v>
      </c>
      <c r="E319" s="28"/>
      <c r="F319" s="28"/>
      <c r="G319" s="28"/>
      <c r="H319" s="29">
        <f>H344+H383+H422+H461+H500</f>
        <v>8541.2639999999992</v>
      </c>
      <c r="I319" s="29">
        <f>I344+I383+I422+I461+I500</f>
        <v>47357.004000000001</v>
      </c>
      <c r="J319" s="29">
        <f t="shared" ref="J319:S323" si="299">J344+J383+J422+J461+J500</f>
        <v>45215.183999999994</v>
      </c>
      <c r="K319" s="29">
        <f t="shared" si="299"/>
        <v>31986</v>
      </c>
      <c r="L319" s="29">
        <f t="shared" si="299"/>
        <v>51795.995999999999</v>
      </c>
      <c r="M319" s="29">
        <f t="shared" si="299"/>
        <v>31970.156999999996</v>
      </c>
      <c r="N319" s="29">
        <f t="shared" si="299"/>
        <v>58401.068599999999</v>
      </c>
      <c r="O319" s="29">
        <f t="shared" si="299"/>
        <v>72049.031129999988</v>
      </c>
      <c r="P319" s="29">
        <f t="shared" si="299"/>
        <v>89663.590699499997</v>
      </c>
      <c r="Q319" s="29">
        <f t="shared" si="299"/>
        <v>112484.435547375</v>
      </c>
      <c r="R319" s="29">
        <f t="shared" si="299"/>
        <v>139322.53727071875</v>
      </c>
      <c r="S319" s="29">
        <f t="shared" si="299"/>
        <v>164200.34924474248</v>
      </c>
    </row>
    <row r="320" spans="1:43" outlineLevel="2">
      <c r="D320" s="31" t="s">
        <v>842</v>
      </c>
      <c r="H320" s="20">
        <f>H345+H384+H423+H462+H501</f>
        <v>65503.034999999967</v>
      </c>
      <c r="I320" s="20">
        <f t="shared" ref="I320:J323" si="300">I345+I384+I423+I462+I501</f>
        <v>208802.17700000005</v>
      </c>
      <c r="J320" s="20">
        <f t="shared" si="300"/>
        <v>309664.59700000018</v>
      </c>
      <c r="K320" s="20">
        <f t="shared" si="299"/>
        <v>352222</v>
      </c>
      <c r="L320" s="20">
        <f t="shared" si="299"/>
        <v>425122.47399999987</v>
      </c>
      <c r="M320" s="20">
        <f t="shared" si="299"/>
        <v>248986.67199999996</v>
      </c>
      <c r="N320" s="20">
        <f t="shared" si="299"/>
        <v>540338.39599999972</v>
      </c>
      <c r="O320" s="20">
        <f t="shared" si="299"/>
        <v>765183.60654999944</v>
      </c>
      <c r="P320" s="20">
        <f t="shared" si="299"/>
        <v>995926.60748499935</v>
      </c>
      <c r="Q320" s="20">
        <f t="shared" si="299"/>
        <v>1252262.8951024991</v>
      </c>
      <c r="R320" s="20">
        <f t="shared" si="299"/>
        <v>1505047.0359389489</v>
      </c>
      <c r="S320" s="20">
        <f t="shared" si="299"/>
        <v>1750767.1115584411</v>
      </c>
    </row>
    <row r="321" spans="3:19" outlineLevel="2">
      <c r="D321" s="31" t="s">
        <v>843</v>
      </c>
      <c r="H321" s="20">
        <f>H346+H385+H424+H463+H502</f>
        <v>198735.83500000002</v>
      </c>
      <c r="I321" s="20">
        <f t="shared" si="300"/>
        <v>236316.4850000001</v>
      </c>
      <c r="J321" s="20">
        <f t="shared" si="300"/>
        <v>558432.84600000037</v>
      </c>
      <c r="K321" s="20">
        <f t="shared" si="299"/>
        <v>612713</v>
      </c>
      <c r="L321" s="20">
        <f t="shared" si="299"/>
        <v>771402.08199999994</v>
      </c>
      <c r="M321" s="20">
        <f t="shared" si="299"/>
        <v>641098.13900000008</v>
      </c>
      <c r="N321" s="20">
        <f t="shared" si="299"/>
        <v>1184992.0563999999</v>
      </c>
      <c r="O321" s="20">
        <f t="shared" si="299"/>
        <v>1629927.0007799999</v>
      </c>
      <c r="P321" s="20">
        <f t="shared" si="299"/>
        <v>2020379.0357340002</v>
      </c>
      <c r="Q321" s="20">
        <f t="shared" si="299"/>
        <v>2400722.0000786996</v>
      </c>
      <c r="R321" s="20">
        <f t="shared" si="299"/>
        <v>2822598.9466817249</v>
      </c>
      <c r="S321" s="20">
        <f t="shared" si="299"/>
        <v>3191827.6813635034</v>
      </c>
    </row>
    <row r="322" spans="3:19" outlineLevel="2">
      <c r="D322" s="31" t="s">
        <v>844</v>
      </c>
      <c r="H322" s="20">
        <f>H347+H386+H425+H464+H503</f>
        <v>762557.10199969984</v>
      </c>
      <c r="I322" s="20">
        <f t="shared" si="300"/>
        <v>597022.45199999993</v>
      </c>
      <c r="J322" s="20">
        <f t="shared" si="300"/>
        <v>976039.44999440003</v>
      </c>
      <c r="K322" s="20">
        <f t="shared" si="299"/>
        <v>848456</v>
      </c>
      <c r="L322" s="20">
        <f t="shared" si="299"/>
        <v>1175107.0609999993</v>
      </c>
      <c r="M322" s="20">
        <f t="shared" si="299"/>
        <v>632480.10499999963</v>
      </c>
      <c r="N322" s="20">
        <f t="shared" si="299"/>
        <v>1238849.0460999997</v>
      </c>
      <c r="O322" s="20">
        <f t="shared" si="299"/>
        <v>1369544.6893749996</v>
      </c>
      <c r="P322" s="20">
        <f t="shared" si="299"/>
        <v>1558192.6430379995</v>
      </c>
      <c r="Q322" s="20">
        <f t="shared" si="299"/>
        <v>1807531.5174112297</v>
      </c>
      <c r="R322" s="20">
        <f t="shared" si="299"/>
        <v>2124228.8410794525</v>
      </c>
      <c r="S322" s="20">
        <f t="shared" si="299"/>
        <v>2533385.9076359235</v>
      </c>
    </row>
    <row r="323" spans="3:19" outlineLevel="2">
      <c r="D323" s="33" t="s">
        <v>665</v>
      </c>
      <c r="E323" s="34"/>
      <c r="F323" s="34"/>
      <c r="G323" s="34"/>
      <c r="H323" s="35">
        <f>H348+H387+H426+H465+H504</f>
        <v>202335</v>
      </c>
      <c r="I323" s="35">
        <f t="shared" si="300"/>
        <v>168793</v>
      </c>
      <c r="J323" s="35">
        <f t="shared" si="300"/>
        <v>380655.76</v>
      </c>
      <c r="K323" s="35">
        <f t="shared" si="299"/>
        <v>263750</v>
      </c>
      <c r="L323" s="35">
        <f t="shared" si="299"/>
        <v>1634943.7258438489</v>
      </c>
      <c r="M323" s="35">
        <f t="shared" si="299"/>
        <v>294230.8637063108</v>
      </c>
      <c r="N323" s="35">
        <f t="shared" si="299"/>
        <v>723621.61768769741</v>
      </c>
      <c r="O323" s="35">
        <f t="shared" si="299"/>
        <v>880786.87783154601</v>
      </c>
      <c r="P323" s="35">
        <f t="shared" si="299"/>
        <v>1047636.6867210099</v>
      </c>
      <c r="Q323" s="35">
        <f t="shared" si="299"/>
        <v>1203719.0661522117</v>
      </c>
      <c r="R323" s="35">
        <f t="shared" si="299"/>
        <v>1355046.6740788934</v>
      </c>
      <c r="S323" s="35">
        <f t="shared" si="299"/>
        <v>1525997.6713429624</v>
      </c>
    </row>
    <row r="324" spans="3:19" outlineLevel="2">
      <c r="C324" s="1" t="s">
        <v>31</v>
      </c>
      <c r="H324" s="692">
        <f>H330/H318</f>
        <v>0.14207878559864751</v>
      </c>
      <c r="I324" s="692">
        <f t="shared" ref="I324:S324" si="301">I330/I318</f>
        <v>0.21749020516067172</v>
      </c>
      <c r="J324" s="692">
        <f t="shared" si="301"/>
        <v>0.19867217019275449</v>
      </c>
      <c r="K324" s="692">
        <f t="shared" si="301"/>
        <v>0.24856682409357048</v>
      </c>
      <c r="L324" s="692">
        <f t="shared" si="301"/>
        <v>0.15519282262192355</v>
      </c>
      <c r="M324" s="692">
        <f t="shared" si="301"/>
        <v>0.22195128399676947</v>
      </c>
      <c r="N324" s="692">
        <f t="shared" si="301"/>
        <v>0.21197642739682368</v>
      </c>
      <c r="O324" s="692">
        <f t="shared" si="301"/>
        <v>0.21783833986890855</v>
      </c>
      <c r="P324" s="692">
        <f t="shared" si="301"/>
        <v>0.22105959556094579</v>
      </c>
      <c r="Q324" s="692">
        <f t="shared" si="301"/>
        <v>0.22355793031449964</v>
      </c>
      <c r="R324" s="692">
        <f t="shared" si="301"/>
        <v>0.22564572098989397</v>
      </c>
      <c r="S324" s="692">
        <f t="shared" si="301"/>
        <v>0.22597093961415518</v>
      </c>
    </row>
    <row r="325" spans="3:19" outlineLevel="2">
      <c r="D325" s="27" t="s">
        <v>841</v>
      </c>
      <c r="E325" s="28"/>
      <c r="F325" s="28"/>
      <c r="G325" s="28"/>
      <c r="H325" s="693">
        <f>IFERROR(H331/H319,"NA")</f>
        <v>0.43096248869019854</v>
      </c>
      <c r="I325" s="693">
        <f t="shared" ref="I325:S329" si="302">IFERROR(I331/I319,"NA")</f>
        <v>0.4713439662625406</v>
      </c>
      <c r="J325" s="693">
        <f t="shared" si="302"/>
        <v>0.39824124166023522</v>
      </c>
      <c r="K325" s="693">
        <f t="shared" si="302"/>
        <v>0.56903020071281185</v>
      </c>
      <c r="L325" s="693">
        <f t="shared" si="302"/>
        <v>0.4327730309075159</v>
      </c>
      <c r="M325" s="693">
        <f t="shared" si="302"/>
        <v>0.41813034799105092</v>
      </c>
      <c r="N325" s="693">
        <f t="shared" si="302"/>
        <v>0.42859961548072467</v>
      </c>
      <c r="O325" s="693">
        <f t="shared" si="302"/>
        <v>0.43393276027965011</v>
      </c>
      <c r="P325" s="693">
        <f t="shared" si="302"/>
        <v>0.43856852192589113</v>
      </c>
      <c r="Q325" s="693">
        <f t="shared" si="302"/>
        <v>0.44248097238872702</v>
      </c>
      <c r="R325" s="693">
        <f t="shared" si="302"/>
        <v>0.44801994931429023</v>
      </c>
      <c r="S325" s="693">
        <f t="shared" si="302"/>
        <v>0.45014775366101256</v>
      </c>
    </row>
    <row r="326" spans="3:19" outlineLevel="2">
      <c r="D326" s="31" t="s">
        <v>842</v>
      </c>
      <c r="H326" s="695">
        <f t="shared" ref="H326:J329" si="303">IFERROR(H332/H320,"NA")</f>
        <v>0.42758812244348698</v>
      </c>
      <c r="I326" s="695">
        <f t="shared" si="303"/>
        <v>0.35880134396299895</v>
      </c>
      <c r="J326" s="695">
        <f t="shared" si="303"/>
        <v>0.37297986443700543</v>
      </c>
      <c r="K326" s="695">
        <f t="shared" si="302"/>
        <v>0.35682325351624827</v>
      </c>
      <c r="L326" s="695">
        <f t="shared" si="302"/>
        <v>0.34231850458862662</v>
      </c>
      <c r="M326" s="695">
        <f t="shared" si="302"/>
        <v>0.33596488985741529</v>
      </c>
      <c r="N326" s="695">
        <f t="shared" si="302"/>
        <v>0.32501824924032907</v>
      </c>
      <c r="O326" s="695">
        <f t="shared" si="302"/>
        <v>0.31987389833115054</v>
      </c>
      <c r="P326" s="695">
        <f t="shared" si="302"/>
        <v>0.31984438135523408</v>
      </c>
      <c r="Q326" s="695">
        <f t="shared" si="302"/>
        <v>0.31972300364412276</v>
      </c>
      <c r="R326" s="695">
        <f t="shared" si="302"/>
        <v>0.32144022532679722</v>
      </c>
      <c r="S326" s="695">
        <f t="shared" si="302"/>
        <v>0.32300897132296003</v>
      </c>
    </row>
    <row r="327" spans="3:19" outlineLevel="2">
      <c r="D327" s="31" t="s">
        <v>843</v>
      </c>
      <c r="H327" s="695">
        <f t="shared" si="303"/>
        <v>0.15125197395829493</v>
      </c>
      <c r="I327" s="695">
        <f t="shared" si="303"/>
        <v>0.23327904589474568</v>
      </c>
      <c r="J327" s="695">
        <f t="shared" si="303"/>
        <v>0.29327147769199252</v>
      </c>
      <c r="K327" s="695">
        <f t="shared" si="302"/>
        <v>0.29415403296486281</v>
      </c>
      <c r="L327" s="695">
        <f t="shared" si="302"/>
        <v>0.27788978222537192</v>
      </c>
      <c r="M327" s="695">
        <f t="shared" si="302"/>
        <v>0.2798830249477991</v>
      </c>
      <c r="N327" s="695">
        <f t="shared" si="302"/>
        <v>0.27945645394750185</v>
      </c>
      <c r="O327" s="695">
        <f t="shared" si="302"/>
        <v>0.276596453311442</v>
      </c>
      <c r="P327" s="695">
        <f t="shared" si="302"/>
        <v>0.27665753292819889</v>
      </c>
      <c r="Q327" s="695">
        <f t="shared" si="302"/>
        <v>0.27752017635880805</v>
      </c>
      <c r="R327" s="695">
        <f t="shared" si="302"/>
        <v>0.27865817641225576</v>
      </c>
      <c r="S327" s="695">
        <f t="shared" si="302"/>
        <v>0.2802702984971091</v>
      </c>
    </row>
    <row r="328" spans="3:19" outlineLevel="2">
      <c r="D328" s="31" t="s">
        <v>844</v>
      </c>
      <c r="H328" s="695">
        <f t="shared" si="303"/>
        <v>0.11572575555139833</v>
      </c>
      <c r="I328" s="695">
        <f t="shared" si="303"/>
        <v>0.16705128776296002</v>
      </c>
      <c r="J328" s="695">
        <f t="shared" si="303"/>
        <v>0.1406721084348842</v>
      </c>
      <c r="K328" s="695">
        <f t="shared" si="302"/>
        <v>0.2042250865100842</v>
      </c>
      <c r="L328" s="695">
        <f t="shared" si="302"/>
        <v>0.17766273939196076</v>
      </c>
      <c r="M328" s="695">
        <f t="shared" si="302"/>
        <v>0.1769171657269594</v>
      </c>
      <c r="N328" s="695">
        <f t="shared" si="302"/>
        <v>0.17477836849178305</v>
      </c>
      <c r="O328" s="695">
        <f t="shared" si="302"/>
        <v>0.17184247729543897</v>
      </c>
      <c r="P328" s="695">
        <f t="shared" si="302"/>
        <v>0.1690790174777945</v>
      </c>
      <c r="Q328" s="695">
        <f t="shared" si="302"/>
        <v>0.16645772925118807</v>
      </c>
      <c r="R328" s="695">
        <f t="shared" si="302"/>
        <v>0.16384634060167322</v>
      </c>
      <c r="S328" s="695">
        <f t="shared" si="302"/>
        <v>0.16136655580168482</v>
      </c>
    </row>
    <row r="329" spans="3:19" ht="15" outlineLevel="2" thickBot="1">
      <c r="C329" s="37"/>
      <c r="D329" s="38" t="s">
        <v>665</v>
      </c>
      <c r="E329" s="37"/>
      <c r="F329" s="37"/>
      <c r="G329" s="37"/>
      <c r="H329" s="697">
        <f t="shared" si="303"/>
        <v>0.12776336274001038</v>
      </c>
      <c r="I329" s="697">
        <f t="shared" si="303"/>
        <v>0.12776003744231099</v>
      </c>
      <c r="J329" s="697">
        <f t="shared" si="303"/>
        <v>4.3105139451140799E-2</v>
      </c>
      <c r="K329" s="697">
        <f t="shared" si="302"/>
        <v>0.10187298578199053</v>
      </c>
      <c r="L329" s="697">
        <f t="shared" si="302"/>
        <v>2.3700759148347253E-2</v>
      </c>
      <c r="M329" s="697">
        <f t="shared" si="302"/>
        <v>7.4731883974642352E-2</v>
      </c>
      <c r="N329" s="697">
        <f t="shared" si="302"/>
        <v>6.3262824361745101E-2</v>
      </c>
      <c r="O329" s="697">
        <f t="shared" si="302"/>
        <v>7.4303757645017399E-2</v>
      </c>
      <c r="P329" s="697">
        <f t="shared" si="302"/>
        <v>7.862645765874951E-2</v>
      </c>
      <c r="Q329" s="697">
        <f t="shared" si="302"/>
        <v>8.1176430385980186E-2</v>
      </c>
      <c r="R329" s="697">
        <f t="shared" si="302"/>
        <v>8.2835989870126428E-2</v>
      </c>
      <c r="S329" s="697">
        <f t="shared" si="302"/>
        <v>8.4196629633918191E-2</v>
      </c>
    </row>
    <row r="330" spans="3:19" outlineLevel="2">
      <c r="C330" s="18" t="s">
        <v>845</v>
      </c>
      <c r="H330" s="23">
        <f>SUM(H331:H335)</f>
        <v>175846.96825999999</v>
      </c>
      <c r="I330" s="23">
        <f t="shared" ref="I330:S330" si="304">SUM(I331:I335)</f>
        <v>273665.99340567098</v>
      </c>
      <c r="J330" s="23">
        <f t="shared" si="304"/>
        <v>450987.38333023799</v>
      </c>
      <c r="K330" s="23">
        <f t="shared" si="304"/>
        <v>524259</v>
      </c>
      <c r="L330" s="23">
        <f t="shared" si="304"/>
        <v>629830.10332309164</v>
      </c>
      <c r="M330" s="23">
        <f t="shared" si="304"/>
        <v>410335.9734614559</v>
      </c>
      <c r="N330" s="23">
        <f t="shared" si="304"/>
        <v>794106.55543747148</v>
      </c>
      <c r="O330" s="23">
        <f t="shared" si="304"/>
        <v>1027650.452588576</v>
      </c>
      <c r="P330" s="23">
        <f t="shared" si="304"/>
        <v>1262647.8804121411</v>
      </c>
      <c r="Q330" s="23">
        <f t="shared" si="304"/>
        <v>1514989.4783601763</v>
      </c>
      <c r="R330" s="23">
        <f t="shared" si="304"/>
        <v>1793035.9644504425</v>
      </c>
      <c r="S330" s="23">
        <f t="shared" si="304"/>
        <v>2071290.0182885407</v>
      </c>
    </row>
    <row r="331" spans="3:19" outlineLevel="2">
      <c r="D331" s="27" t="s">
        <v>841</v>
      </c>
      <c r="E331" s="28"/>
      <c r="F331" s="28"/>
      <c r="G331" s="28"/>
      <c r="H331" s="29">
        <f>H368+H407+H446+H485+H524</f>
        <v>3680.9643899999996</v>
      </c>
      <c r="I331" s="29">
        <f t="shared" ref="I331:S335" si="305">I368+I407+I446+I485+I524</f>
        <v>22321.438095671001</v>
      </c>
      <c r="J331" s="29">
        <f t="shared" si="305"/>
        <v>18006.551018055998</v>
      </c>
      <c r="K331" s="29">
        <f t="shared" si="305"/>
        <v>18201</v>
      </c>
      <c r="L331" s="29">
        <f t="shared" si="305"/>
        <v>22415.910177793568</v>
      </c>
      <c r="M331" s="29">
        <f t="shared" si="305"/>
        <v>13367.692871738531</v>
      </c>
      <c r="N331" s="29">
        <f t="shared" si="305"/>
        <v>25030.675545623424</v>
      </c>
      <c r="O331" s="29">
        <f t="shared" si="305"/>
        <v>31264.434953715332</v>
      </c>
      <c r="P331" s="29">
        <f t="shared" si="305"/>
        <v>39323.628443647794</v>
      </c>
      <c r="Q331" s="29">
        <f t="shared" si="305"/>
        <v>49772.22241959958</v>
      </c>
      <c r="R331" s="29">
        <f t="shared" si="305"/>
        <v>62419.276086365724</v>
      </c>
      <c r="S331" s="29">
        <f t="shared" si="305"/>
        <v>73914.418362874567</v>
      </c>
    </row>
    <row r="332" spans="3:19" outlineLevel="2">
      <c r="D332" s="31" t="s">
        <v>842</v>
      </c>
      <c r="H332" s="20">
        <f>H369+H408+H447+H486+H525</f>
        <v>28008.319749999999</v>
      </c>
      <c r="I332" s="20">
        <f t="shared" ref="I332:J335" si="306">I369+I408+I447+I486+I525</f>
        <v>74918.501730000004</v>
      </c>
      <c r="J332" s="20">
        <f t="shared" si="306"/>
        <v>115498.65940999999</v>
      </c>
      <c r="K332" s="20">
        <f t="shared" si="305"/>
        <v>125681</v>
      </c>
      <c r="L332" s="20">
        <f t="shared" si="305"/>
        <v>145527.28956669726</v>
      </c>
      <c r="M332" s="20">
        <f t="shared" si="305"/>
        <v>83650.779834444373</v>
      </c>
      <c r="N332" s="20">
        <f t="shared" si="305"/>
        <v>175619.83946524753</v>
      </c>
      <c r="O332" s="20">
        <f t="shared" si="305"/>
        <v>244762.26316623762</v>
      </c>
      <c r="P332" s="20">
        <f t="shared" si="305"/>
        <v>318541.52964625665</v>
      </c>
      <c r="Q332" s="20">
        <f t="shared" si="305"/>
        <v>400377.254174256</v>
      </c>
      <c r="R332" s="20">
        <f t="shared" si="305"/>
        <v>483782.658359644</v>
      </c>
      <c r="S332" s="20">
        <f t="shared" si="305"/>
        <v>565513.48373056203</v>
      </c>
    </row>
    <row r="333" spans="3:19" outlineLevel="2">
      <c r="D333" s="31" t="s">
        <v>843</v>
      </c>
      <c r="H333" s="20">
        <f>H370+H409+H448+H487+H526</f>
        <v>30059.18734</v>
      </c>
      <c r="I333" s="20">
        <f t="shared" si="306"/>
        <v>55127.684150000001</v>
      </c>
      <c r="J333" s="20">
        <f t="shared" si="306"/>
        <v>163772.42593816499</v>
      </c>
      <c r="K333" s="20">
        <f t="shared" si="305"/>
        <v>180232</v>
      </c>
      <c r="L333" s="20">
        <f t="shared" si="305"/>
        <v>214364.75657517847</v>
      </c>
      <c r="M333" s="20">
        <f t="shared" si="305"/>
        <v>179432.4864317246</v>
      </c>
      <c r="N333" s="20">
        <f t="shared" si="305"/>
        <v>331153.6780375021</v>
      </c>
      <c r="O333" s="20">
        <f t="shared" si="305"/>
        <v>450832.02757230389</v>
      </c>
      <c r="P333" s="20">
        <f t="shared" si="305"/>
        <v>558953.07960602187</v>
      </c>
      <c r="Q333" s="20">
        <f t="shared" si="305"/>
        <v>666248.79285031115</v>
      </c>
      <c r="R333" s="20">
        <f t="shared" si="305"/>
        <v>786540.27522548335</v>
      </c>
      <c r="S333" s="20">
        <f t="shared" si="305"/>
        <v>894574.49700708478</v>
      </c>
    </row>
    <row r="334" spans="3:19" outlineLevel="2">
      <c r="D334" s="31" t="s">
        <v>844</v>
      </c>
      <c r="H334" s="20">
        <f>H371+H410+H449+H488+H527</f>
        <v>88247.496779999987</v>
      </c>
      <c r="I334" s="20">
        <f t="shared" si="306"/>
        <v>99733.369429999977</v>
      </c>
      <c r="J334" s="20">
        <f t="shared" si="306"/>
        <v>137301.52734633698</v>
      </c>
      <c r="K334" s="20">
        <f t="shared" si="305"/>
        <v>173276</v>
      </c>
      <c r="L334" s="20">
        <f t="shared" si="305"/>
        <v>208772.73953609582</v>
      </c>
      <c r="M334" s="20">
        <f t="shared" si="305"/>
        <v>111896.58755528962</v>
      </c>
      <c r="N334" s="20">
        <f t="shared" si="305"/>
        <v>216524.01508495965</v>
      </c>
      <c r="O334" s="20">
        <f t="shared" si="305"/>
        <v>235345.9521890124</v>
      </c>
      <c r="P334" s="20">
        <f t="shared" si="305"/>
        <v>263457.68112599273</v>
      </c>
      <c r="Q334" s="20">
        <f t="shared" si="305"/>
        <v>300877.59193822759</v>
      </c>
      <c r="R334" s="20">
        <f t="shared" si="305"/>
        <v>348047.12221140153</v>
      </c>
      <c r="S334" s="20">
        <f t="shared" si="305"/>
        <v>408803.75843173423</v>
      </c>
    </row>
    <row r="335" spans="3:19" outlineLevel="2">
      <c r="D335" s="33" t="s">
        <v>665</v>
      </c>
      <c r="E335" s="34"/>
      <c r="F335" s="34"/>
      <c r="G335" s="34"/>
      <c r="H335" s="35">
        <f>H372+H411+H450+H489+H528</f>
        <v>25851</v>
      </c>
      <c r="I335" s="35">
        <f t="shared" si="306"/>
        <v>21565</v>
      </c>
      <c r="J335" s="35">
        <f t="shared" si="306"/>
        <v>16408.219617679984</v>
      </c>
      <c r="K335" s="35">
        <f t="shared" si="305"/>
        <v>26869</v>
      </c>
      <c r="L335" s="35">
        <f t="shared" si="305"/>
        <v>38749.407467326542</v>
      </c>
      <c r="M335" s="35">
        <f t="shared" si="305"/>
        <v>21988.426768258825</v>
      </c>
      <c r="N335" s="35">
        <f t="shared" si="305"/>
        <v>45778.347304138661</v>
      </c>
      <c r="O335" s="35">
        <f t="shared" si="305"/>
        <v>65445.774707306744</v>
      </c>
      <c r="P335" s="35">
        <f t="shared" si="305"/>
        <v>82371.961590222112</v>
      </c>
      <c r="Q335" s="35">
        <f t="shared" si="305"/>
        <v>97713.616977782091</v>
      </c>
      <c r="R335" s="35">
        <f t="shared" si="305"/>
        <v>112246.63256754773</v>
      </c>
      <c r="S335" s="35">
        <f t="shared" si="305"/>
        <v>128483.86075628502</v>
      </c>
    </row>
    <row r="336" spans="3:19" outlineLevel="2"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 spans="1:43" ht="15" outlineLevel="2" thickBot="1">
      <c r="C337" s="37" t="s">
        <v>659</v>
      </c>
      <c r="D337" s="37"/>
      <c r="E337" s="37"/>
      <c r="F337" s="37"/>
      <c r="G337" s="37"/>
      <c r="H337" s="39">
        <f t="shared" ref="H337:S337" si="307">H374+H413+H452+H491+H530</f>
        <v>-114903</v>
      </c>
      <c r="I337" s="39">
        <f t="shared" si="307"/>
        <v>-185484</v>
      </c>
      <c r="J337" s="39">
        <f t="shared" si="307"/>
        <v>-273281</v>
      </c>
      <c r="K337" s="39">
        <f t="shared" si="307"/>
        <v>-314516</v>
      </c>
      <c r="L337" s="39">
        <f t="shared" si="307"/>
        <v>-380822.72885364812</v>
      </c>
      <c r="M337" s="39">
        <f t="shared" si="307"/>
        <v>-256873.89057926938</v>
      </c>
      <c r="N337" s="39">
        <f t="shared" si="307"/>
        <v>-497909.90210951568</v>
      </c>
      <c r="O337" s="39">
        <f t="shared" si="307"/>
        <v>-638199.80627681117</v>
      </c>
      <c r="P337" s="39">
        <f t="shared" si="307"/>
        <v>-783439.39506319957</v>
      </c>
      <c r="Q337" s="39">
        <f t="shared" si="307"/>
        <v>-941787.96893838467</v>
      </c>
      <c r="R337" s="39">
        <f t="shared" si="307"/>
        <v>-1118519.3068089462</v>
      </c>
      <c r="S337" s="39">
        <f t="shared" si="307"/>
        <v>-1297615.372819595</v>
      </c>
    </row>
    <row r="338" spans="1:43" outlineLevel="2">
      <c r="C338" s="18" t="s">
        <v>846</v>
      </c>
      <c r="D338" s="18"/>
      <c r="E338" s="18"/>
      <c r="F338" s="18"/>
      <c r="G338" s="18"/>
      <c r="H338" s="23">
        <f>H337+H330</f>
        <v>60943.968259999994</v>
      </c>
      <c r="I338" s="23">
        <f t="shared" ref="I338:S338" si="308">I337+I330</f>
        <v>88181.993405670975</v>
      </c>
      <c r="J338" s="23">
        <f t="shared" si="308"/>
        <v>177706.38333023799</v>
      </c>
      <c r="K338" s="23">
        <f t="shared" si="308"/>
        <v>209743</v>
      </c>
      <c r="L338" s="23">
        <f t="shared" si="308"/>
        <v>249007.37446944352</v>
      </c>
      <c r="M338" s="23">
        <f t="shared" si="308"/>
        <v>153462.08288218651</v>
      </c>
      <c r="N338" s="23">
        <f t="shared" si="308"/>
        <v>296196.65332795581</v>
      </c>
      <c r="O338" s="23">
        <f t="shared" si="308"/>
        <v>389450.64631176484</v>
      </c>
      <c r="P338" s="23">
        <f t="shared" si="308"/>
        <v>479208.48534894153</v>
      </c>
      <c r="Q338" s="23">
        <f t="shared" si="308"/>
        <v>573201.50942179165</v>
      </c>
      <c r="R338" s="23">
        <f t="shared" si="308"/>
        <v>674516.65764149628</v>
      </c>
      <c r="S338" s="23">
        <f t="shared" si="308"/>
        <v>773674.64546894561</v>
      </c>
    </row>
    <row r="339" spans="1:43" outlineLevel="2">
      <c r="C339" s="22" t="s">
        <v>660</v>
      </c>
      <c r="D339" s="22"/>
      <c r="E339" s="22"/>
      <c r="F339" s="22"/>
      <c r="G339" s="22"/>
      <c r="H339" s="56">
        <f>IFERROR(H338/H330,"NA")</f>
        <v>0.3465738924192926</v>
      </c>
      <c r="I339" s="56">
        <f t="shared" ref="I339:S339" si="309">IFERROR(I338/I330,"NA")</f>
        <v>0.32222488555585238</v>
      </c>
      <c r="J339" s="56">
        <f t="shared" si="309"/>
        <v>0.39403848067321989</v>
      </c>
      <c r="K339" s="56">
        <f t="shared" si="309"/>
        <v>0.40007515369311736</v>
      </c>
      <c r="L339" s="56">
        <f t="shared" si="309"/>
        <v>0.3953564193830017</v>
      </c>
      <c r="M339" s="56">
        <f t="shared" si="309"/>
        <v>0.37399129690636707</v>
      </c>
      <c r="N339" s="56">
        <f t="shared" si="309"/>
        <v>0.37299358795090382</v>
      </c>
      <c r="O339" s="56">
        <f t="shared" si="309"/>
        <v>0.37897190171109957</v>
      </c>
      <c r="P339" s="56">
        <f t="shared" si="309"/>
        <v>0.37952662241235696</v>
      </c>
      <c r="Q339" s="56">
        <f t="shared" si="309"/>
        <v>0.37835345895750022</v>
      </c>
      <c r="R339" s="56">
        <f t="shared" si="309"/>
        <v>0.3761869092504414</v>
      </c>
      <c r="S339" s="56">
        <f t="shared" si="309"/>
        <v>0.37352308881796048</v>
      </c>
    </row>
    <row r="340" spans="1:43" outlineLevel="2"/>
    <row r="341" spans="1:43" s="1126" customFormat="1" outlineLevel="3">
      <c r="A341" s="26" t="s">
        <v>8</v>
      </c>
      <c r="B341" s="26"/>
      <c r="C341" s="26" t="s">
        <v>47</v>
      </c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408"/>
      <c r="U341" s="1518"/>
      <c r="V341" s="1518"/>
      <c r="W341" s="1518"/>
      <c r="X341" s="1518"/>
      <c r="Y341" s="1518"/>
      <c r="Z341" s="1518"/>
      <c r="AA341" s="1518"/>
      <c r="AC341" s="26"/>
      <c r="AD341" s="26"/>
      <c r="AE341" s="26"/>
      <c r="AF341" s="26"/>
      <c r="AG341" s="26"/>
      <c r="AH341" s="26"/>
      <c r="AI341" s="18"/>
      <c r="AK341" s="1518"/>
      <c r="AL341" s="1518"/>
      <c r="AM341" s="1518"/>
      <c r="AN341" s="1518"/>
      <c r="AO341" s="1518"/>
      <c r="AP341" s="1518"/>
      <c r="AQ341" s="1518"/>
    </row>
    <row r="342" spans="1:43" outlineLevel="3">
      <c r="L342" s="20"/>
      <c r="M342" s="20"/>
      <c r="N342" s="20"/>
      <c r="S342" s="20"/>
    </row>
    <row r="343" spans="1:43" s="1126" customFormat="1" outlineLevel="3">
      <c r="A343" s="18"/>
      <c r="B343" s="18"/>
      <c r="C343" s="18" t="s">
        <v>840</v>
      </c>
      <c r="D343" s="18"/>
      <c r="E343" s="18"/>
      <c r="F343" s="18"/>
      <c r="G343" s="18"/>
      <c r="H343" s="23">
        <f>SUM(H344:H348)</f>
        <v>96910.169999699981</v>
      </c>
      <c r="I343" s="23">
        <f t="shared" ref="I343:S343" si="310">SUM(I344:I348)</f>
        <v>205133.79499999998</v>
      </c>
      <c r="J343" s="23">
        <f t="shared" si="310"/>
        <v>675642.67999440012</v>
      </c>
      <c r="K343" s="23">
        <f t="shared" si="310"/>
        <v>776693</v>
      </c>
      <c r="L343" s="23">
        <f t="shared" si="310"/>
        <v>908033.92000000016</v>
      </c>
      <c r="M343" s="23">
        <f t="shared" si="310"/>
        <v>583596.24000000011</v>
      </c>
      <c r="N343" s="23">
        <f t="shared" si="310"/>
        <v>1133843.6760000002</v>
      </c>
      <c r="O343" s="23">
        <f t="shared" si="310"/>
        <v>1442531.2014000001</v>
      </c>
      <c r="P343" s="23">
        <f t="shared" si="310"/>
        <v>1726957.6494840002</v>
      </c>
      <c r="Q343" s="23">
        <f t="shared" si="310"/>
        <v>1997865.7381558805</v>
      </c>
      <c r="R343" s="23">
        <f t="shared" si="310"/>
        <v>2254631.6777427508</v>
      </c>
      <c r="S343" s="23">
        <f t="shared" si="310"/>
        <v>2480094.8455170263</v>
      </c>
      <c r="T343" s="408"/>
      <c r="U343" s="1519"/>
      <c r="V343" s="1519"/>
      <c r="W343" s="1519"/>
      <c r="X343" s="1519"/>
      <c r="Y343" s="1519"/>
      <c r="Z343" s="1519"/>
      <c r="AA343" s="1520"/>
      <c r="AB343" s="1321"/>
      <c r="AC343" s="20"/>
      <c r="AD343" s="20"/>
      <c r="AE343" s="20"/>
      <c r="AF343" s="20"/>
      <c r="AG343" s="20"/>
      <c r="AH343" s="20"/>
      <c r="AI343" s="702"/>
      <c r="AJ343" s="1321"/>
      <c r="AK343" s="1519">
        <f>$L343*(1+$AQ343)</f>
        <v>862632.22400000016</v>
      </c>
      <c r="AL343" s="1519">
        <f>AK343*(1+$AQ343)</f>
        <v>819500.61280000012</v>
      </c>
      <c r="AM343" s="1519">
        <f t="shared" ref="AM343:AN343" si="311">AL343*(1+$AQ343)</f>
        <v>778525.58216000011</v>
      </c>
      <c r="AN343" s="1519">
        <f t="shared" si="311"/>
        <v>739599.30305200012</v>
      </c>
      <c r="AO343" s="1519">
        <f>AN343*(1+$AQ343)</f>
        <v>702619.33789940004</v>
      </c>
      <c r="AP343" s="1519">
        <f t="shared" ref="AP343" si="312">AO343*(1+$AQ343)</f>
        <v>667488.37100443</v>
      </c>
      <c r="AQ343" s="1520">
        <f>AI343-5%</f>
        <v>-0.05</v>
      </c>
    </row>
    <row r="344" spans="1:43" outlineLevel="3">
      <c r="D344" s="27" t="s">
        <v>841</v>
      </c>
      <c r="E344" s="28"/>
      <c r="F344" s="28"/>
      <c r="G344" s="28"/>
      <c r="H344" s="398"/>
      <c r="I344" s="398"/>
      <c r="J344" s="398"/>
      <c r="K344" s="398"/>
      <c r="L344" s="398"/>
      <c r="M344" s="398"/>
      <c r="N344" s="703">
        <f>L344*(1+N350)</f>
        <v>0</v>
      </c>
      <c r="O344" s="29">
        <f>N344*(1+O350)</f>
        <v>0</v>
      </c>
      <c r="P344" s="29">
        <f t="shared" ref="P344:S344" si="313">O344*(1+P350)</f>
        <v>0</v>
      </c>
      <c r="Q344" s="29">
        <f t="shared" si="313"/>
        <v>0</v>
      </c>
      <c r="R344" s="29">
        <f t="shared" si="313"/>
        <v>0</v>
      </c>
      <c r="S344" s="30">
        <f t="shared" si="313"/>
        <v>0</v>
      </c>
    </row>
    <row r="345" spans="1:43" outlineLevel="3">
      <c r="D345" s="31" t="s">
        <v>842</v>
      </c>
      <c r="H345" s="400">
        <v>10422.630000000001</v>
      </c>
      <c r="I345" s="400">
        <v>31926.22</v>
      </c>
      <c r="J345" s="400">
        <v>122163.12000000002</v>
      </c>
      <c r="K345" s="400">
        <v>188165</v>
      </c>
      <c r="L345" s="400">
        <v>221529.60000000003</v>
      </c>
      <c r="M345" s="400">
        <v>121290.12000000001</v>
      </c>
      <c r="N345" s="704">
        <f t="shared" ref="N345:N348" si="314">L345*(1+N351)</f>
        <v>265835.52000000002</v>
      </c>
      <c r="O345" s="20">
        <f t="shared" ref="O345:S348" si="315">N345*(1+O351)</f>
        <v>372169.728</v>
      </c>
      <c r="P345" s="20">
        <f t="shared" si="315"/>
        <v>465212.16000000003</v>
      </c>
      <c r="Q345" s="20">
        <f t="shared" si="315"/>
        <v>558254.59200000006</v>
      </c>
      <c r="R345" s="20">
        <f t="shared" si="315"/>
        <v>641992.78080000007</v>
      </c>
      <c r="S345" s="32">
        <f t="shared" si="315"/>
        <v>706192.05888000014</v>
      </c>
    </row>
    <row r="346" spans="1:43" outlineLevel="3">
      <c r="D346" s="31" t="s">
        <v>843</v>
      </c>
      <c r="H346" s="400">
        <v>21803.420000000002</v>
      </c>
      <c r="I346" s="400">
        <v>40772.964999999997</v>
      </c>
      <c r="J346" s="400">
        <v>85774.92</v>
      </c>
      <c r="K346" s="400">
        <v>165947</v>
      </c>
      <c r="L346" s="400">
        <v>196238.16000000003</v>
      </c>
      <c r="M346" s="400">
        <v>183368.55000000005</v>
      </c>
      <c r="N346" s="704">
        <f t="shared" si="314"/>
        <v>353228.68800000008</v>
      </c>
      <c r="O346" s="20">
        <f t="shared" si="315"/>
        <v>529843.03200000012</v>
      </c>
      <c r="P346" s="20">
        <f t="shared" si="315"/>
        <v>688795.94160000014</v>
      </c>
      <c r="Q346" s="20">
        <f t="shared" si="315"/>
        <v>826555.12992000009</v>
      </c>
      <c r="R346" s="20">
        <f t="shared" si="315"/>
        <v>950538.39940800006</v>
      </c>
      <c r="S346" s="32">
        <f t="shared" si="315"/>
        <v>1045592.2393488002</v>
      </c>
    </row>
    <row r="347" spans="1:43" outlineLevel="3">
      <c r="D347" s="31" t="s">
        <v>844</v>
      </c>
      <c r="H347" s="400">
        <v>64684.119999699979</v>
      </c>
      <c r="I347" s="400">
        <v>132434.60999999999</v>
      </c>
      <c r="J347" s="400">
        <v>467704.63999440015</v>
      </c>
      <c r="K347" s="400">
        <v>422581</v>
      </c>
      <c r="L347" s="400">
        <v>490266.16000000009</v>
      </c>
      <c r="M347" s="400">
        <v>278937.57000000007</v>
      </c>
      <c r="N347" s="704">
        <f t="shared" si="314"/>
        <v>514779.46800000011</v>
      </c>
      <c r="O347" s="20">
        <f t="shared" si="315"/>
        <v>540518.44140000013</v>
      </c>
      <c r="P347" s="20">
        <f t="shared" si="315"/>
        <v>572949.54788400012</v>
      </c>
      <c r="Q347" s="20">
        <f t="shared" si="315"/>
        <v>613056.0162358802</v>
      </c>
      <c r="R347" s="20">
        <f t="shared" si="315"/>
        <v>662100.49753475061</v>
      </c>
      <c r="S347" s="32">
        <f t="shared" si="315"/>
        <v>728310.54728822573</v>
      </c>
    </row>
    <row r="348" spans="1:43" outlineLevel="3">
      <c r="D348" s="33" t="s">
        <v>665</v>
      </c>
      <c r="E348" s="34"/>
      <c r="F348" s="34"/>
      <c r="G348" s="34"/>
      <c r="H348" s="402"/>
      <c r="I348" s="402"/>
      <c r="J348" s="402"/>
      <c r="K348" s="402"/>
      <c r="L348" s="402"/>
      <c r="M348" s="402"/>
      <c r="N348" s="705">
        <f t="shared" si="314"/>
        <v>0</v>
      </c>
      <c r="O348" s="35">
        <f t="shared" si="315"/>
        <v>0</v>
      </c>
      <c r="P348" s="35">
        <f t="shared" si="315"/>
        <v>0</v>
      </c>
      <c r="Q348" s="35">
        <f t="shared" si="315"/>
        <v>0</v>
      </c>
      <c r="R348" s="35">
        <f t="shared" si="315"/>
        <v>0</v>
      </c>
      <c r="S348" s="36">
        <f t="shared" si="315"/>
        <v>0</v>
      </c>
      <c r="AC348" s="448"/>
      <c r="AD348" s="448"/>
      <c r="AE348" s="448"/>
      <c r="AF348" s="448"/>
      <c r="AG348" s="448"/>
      <c r="AH348" s="448"/>
    </row>
    <row r="349" spans="1:43" s="1365" customFormat="1" outlineLevel="3">
      <c r="A349" s="22"/>
      <c r="B349" s="22"/>
      <c r="C349" s="22" t="s">
        <v>847</v>
      </c>
      <c r="D349" s="22"/>
      <c r="E349" s="22"/>
      <c r="F349" s="22"/>
      <c r="G349" s="22"/>
      <c r="H349" s="219"/>
      <c r="I349" s="24">
        <f>I343/H343-1</f>
        <v>1.116741669121363</v>
      </c>
      <c r="J349" s="24">
        <f t="shared" ref="J349" si="316">J343/I343-1</f>
        <v>2.2936683104526985</v>
      </c>
      <c r="K349" s="24"/>
      <c r="L349" s="793">
        <f>L343/J343-1</f>
        <v>0.34395583181264699</v>
      </c>
      <c r="M349" s="24"/>
      <c r="N349" s="24">
        <f>N343/L343-1</f>
        <v>0.24867986869917802</v>
      </c>
      <c r="O349" s="24">
        <f>O343/N343-1</f>
        <v>0.27224875168770613</v>
      </c>
      <c r="P349" s="24">
        <f t="shared" ref="P349:S349" si="317">P343/O343-1</f>
        <v>0.19717178235587518</v>
      </c>
      <c r="Q349" s="24">
        <f t="shared" si="317"/>
        <v>0.15687014024508672</v>
      </c>
      <c r="R349" s="24">
        <f t="shared" si="317"/>
        <v>0.12852011758501702</v>
      </c>
      <c r="S349" s="24">
        <f t="shared" si="317"/>
        <v>0.10000000000000009</v>
      </c>
      <c r="T349" s="726"/>
      <c r="U349" s="1521"/>
      <c r="V349" s="1521"/>
      <c r="W349" s="1521"/>
      <c r="X349" s="1521"/>
      <c r="Y349" s="1521"/>
      <c r="Z349" s="1521"/>
      <c r="AA349" s="1522"/>
      <c r="AC349" s="219"/>
      <c r="AD349" s="219"/>
      <c r="AE349" s="219"/>
      <c r="AF349" s="219"/>
      <c r="AG349" s="219"/>
      <c r="AH349" s="219"/>
      <c r="AI349" s="706"/>
      <c r="AK349" s="1521"/>
      <c r="AL349" s="1521"/>
      <c r="AM349" s="1521"/>
      <c r="AN349" s="1521"/>
      <c r="AO349" s="1521"/>
      <c r="AP349" s="1521"/>
      <c r="AQ349" s="1522"/>
    </row>
    <row r="350" spans="1:43" s="1365" customFormat="1" outlineLevel="3">
      <c r="A350" s="22"/>
      <c r="B350" s="22"/>
      <c r="C350" s="22"/>
      <c r="D350" s="707" t="s">
        <v>841</v>
      </c>
      <c r="E350" s="708"/>
      <c r="F350" s="708"/>
      <c r="G350" s="708"/>
      <c r="H350" s="709"/>
      <c r="I350" s="710"/>
      <c r="J350" s="710"/>
      <c r="K350" s="710"/>
      <c r="L350" s="710"/>
      <c r="M350" s="727"/>
      <c r="N350" s="711">
        <f t="shared" ref="N350:S354" si="318">CHOOSE(case,U350,AC350,AK350)</f>
        <v>0</v>
      </c>
      <c r="O350" s="712">
        <f t="shared" si="318"/>
        <v>0</v>
      </c>
      <c r="P350" s="712">
        <f t="shared" si="318"/>
        <v>0</v>
      </c>
      <c r="Q350" s="712">
        <f t="shared" si="318"/>
        <v>0</v>
      </c>
      <c r="R350" s="712">
        <f t="shared" si="318"/>
        <v>0</v>
      </c>
      <c r="S350" s="713">
        <f t="shared" si="318"/>
        <v>0</v>
      </c>
      <c r="T350" s="726"/>
      <c r="U350" s="1521"/>
      <c r="V350" s="1521"/>
      <c r="W350" s="1521"/>
      <c r="X350" s="1521"/>
      <c r="Y350" s="1521"/>
      <c r="Z350" s="1521"/>
      <c r="AA350" s="1523"/>
      <c r="AC350" s="714"/>
      <c r="AD350" s="714"/>
      <c r="AE350" s="714"/>
      <c r="AF350" s="714"/>
      <c r="AG350" s="714"/>
      <c r="AH350" s="714"/>
      <c r="AI350" s="22"/>
      <c r="AK350" s="1521"/>
      <c r="AL350" s="1521"/>
      <c r="AM350" s="1521"/>
      <c r="AN350" s="1521"/>
      <c r="AO350" s="1521"/>
      <c r="AP350" s="1521"/>
      <c r="AQ350" s="1523"/>
    </row>
    <row r="351" spans="1:43" s="1365" customFormat="1" outlineLevel="3">
      <c r="A351" s="22"/>
      <c r="B351" s="22"/>
      <c r="C351" s="22"/>
      <c r="D351" s="715" t="s">
        <v>842</v>
      </c>
      <c r="E351" s="22"/>
      <c r="F351" s="22"/>
      <c r="G351" s="22"/>
      <c r="H351" s="219"/>
      <c r="I351" s="175">
        <f t="shared" ref="I351:J353" si="319">I345/H345-1</f>
        <v>2.0631635201479854</v>
      </c>
      <c r="J351" s="175">
        <f t="shared" si="319"/>
        <v>2.8264197891263048</v>
      </c>
      <c r="K351" s="175"/>
      <c r="L351" s="175">
        <f t="shared" ref="L351:L353" si="320">L345/J345-1</f>
        <v>0.81339179942359019</v>
      </c>
      <c r="M351" s="729"/>
      <c r="N351" s="716">
        <f t="shared" si="318"/>
        <v>0.2</v>
      </c>
      <c r="O351" s="717">
        <f t="shared" si="318"/>
        <v>0.4</v>
      </c>
      <c r="P351" s="717">
        <f t="shared" si="318"/>
        <v>0.25</v>
      </c>
      <c r="Q351" s="717">
        <f t="shared" si="318"/>
        <v>0.2</v>
      </c>
      <c r="R351" s="717">
        <f t="shared" si="318"/>
        <v>0.15</v>
      </c>
      <c r="S351" s="718">
        <f t="shared" si="318"/>
        <v>0.1</v>
      </c>
      <c r="T351" s="726"/>
      <c r="U351" s="1521"/>
      <c r="V351" s="1521"/>
      <c r="W351" s="1521"/>
      <c r="X351" s="1521"/>
      <c r="Y351" s="1521"/>
      <c r="Z351" s="1521"/>
      <c r="AA351" s="1523"/>
      <c r="AC351" s="714">
        <v>0.2</v>
      </c>
      <c r="AD351" s="714">
        <v>0.4</v>
      </c>
      <c r="AE351" s="714">
        <v>0.25</v>
      </c>
      <c r="AF351" s="714">
        <v>0.2</v>
      </c>
      <c r="AG351" s="714">
        <v>0.15</v>
      </c>
      <c r="AH351" s="714">
        <v>0.1</v>
      </c>
      <c r="AI351" s="22"/>
      <c r="AK351" s="1521"/>
      <c r="AL351" s="1521"/>
      <c r="AM351" s="1521"/>
      <c r="AN351" s="1521"/>
      <c r="AO351" s="1521"/>
      <c r="AP351" s="1521"/>
      <c r="AQ351" s="1523"/>
    </row>
    <row r="352" spans="1:43" s="1365" customFormat="1" outlineLevel="3">
      <c r="A352" s="22"/>
      <c r="B352" s="22"/>
      <c r="C352" s="22"/>
      <c r="D352" s="715" t="s">
        <v>843</v>
      </c>
      <c r="E352" s="22"/>
      <c r="F352" s="22"/>
      <c r="G352" s="22"/>
      <c r="H352" s="219"/>
      <c r="I352" s="175">
        <f t="shared" si="319"/>
        <v>0.87002612434196069</v>
      </c>
      <c r="J352" s="175">
        <f>J346/I346-1</f>
        <v>1.1037204431907273</v>
      </c>
      <c r="K352" s="175"/>
      <c r="L352" s="175">
        <f t="shared" si="320"/>
        <v>1.2878267913278152</v>
      </c>
      <c r="M352" s="729"/>
      <c r="N352" s="716">
        <f t="shared" si="318"/>
        <v>0.8</v>
      </c>
      <c r="O352" s="717">
        <f t="shared" si="318"/>
        <v>0.5</v>
      </c>
      <c r="P352" s="717">
        <f t="shared" si="318"/>
        <v>0.3</v>
      </c>
      <c r="Q352" s="717">
        <f t="shared" si="318"/>
        <v>0.2</v>
      </c>
      <c r="R352" s="717">
        <f t="shared" si="318"/>
        <v>0.15</v>
      </c>
      <c r="S352" s="718">
        <f t="shared" si="318"/>
        <v>0.1</v>
      </c>
      <c r="T352" s="726"/>
      <c r="U352" s="1521"/>
      <c r="V352" s="1521"/>
      <c r="W352" s="1521"/>
      <c r="X352" s="1521"/>
      <c r="Y352" s="1521"/>
      <c r="Z352" s="1521"/>
      <c r="AA352" s="1523"/>
      <c r="AC352" s="714">
        <v>0.8</v>
      </c>
      <c r="AD352" s="714">
        <v>0.5</v>
      </c>
      <c r="AE352" s="714">
        <v>0.3</v>
      </c>
      <c r="AF352" s="714">
        <v>0.2</v>
      </c>
      <c r="AG352" s="714">
        <v>0.15</v>
      </c>
      <c r="AH352" s="714">
        <v>0.1</v>
      </c>
      <c r="AI352" s="22"/>
      <c r="AK352" s="1521"/>
      <c r="AL352" s="1521"/>
      <c r="AM352" s="1521"/>
      <c r="AN352" s="1521"/>
      <c r="AO352" s="1521"/>
      <c r="AP352" s="1521"/>
      <c r="AQ352" s="1523"/>
    </row>
    <row r="353" spans="1:43" s="1365" customFormat="1" outlineLevel="3">
      <c r="A353" s="22"/>
      <c r="B353" s="22"/>
      <c r="C353" s="22"/>
      <c r="D353" s="715" t="s">
        <v>844</v>
      </c>
      <c r="E353" s="22"/>
      <c r="F353" s="22"/>
      <c r="G353" s="22"/>
      <c r="H353" s="219"/>
      <c r="I353" s="175">
        <f t="shared" si="319"/>
        <v>1.0474052982496205</v>
      </c>
      <c r="J353" s="175">
        <f t="shared" si="319"/>
        <v>2.5315892121734658</v>
      </c>
      <c r="K353" s="175"/>
      <c r="L353" s="175">
        <f t="shared" si="320"/>
        <v>4.823882013629377E-2</v>
      </c>
      <c r="M353" s="729"/>
      <c r="N353" s="716">
        <f t="shared" si="318"/>
        <v>0.05</v>
      </c>
      <c r="O353" s="717">
        <f t="shared" si="318"/>
        <v>0.05</v>
      </c>
      <c r="P353" s="717">
        <f t="shared" si="318"/>
        <v>0.06</v>
      </c>
      <c r="Q353" s="717">
        <f t="shared" si="318"/>
        <v>7.0000000000000007E-2</v>
      </c>
      <c r="R353" s="717">
        <f t="shared" si="318"/>
        <v>0.08</v>
      </c>
      <c r="S353" s="718">
        <f t="shared" si="318"/>
        <v>0.1</v>
      </c>
      <c r="T353" s="726"/>
      <c r="U353" s="1521"/>
      <c r="V353" s="1521"/>
      <c r="W353" s="1521"/>
      <c r="X353" s="1521"/>
      <c r="Y353" s="1521"/>
      <c r="Z353" s="1521"/>
      <c r="AA353" s="1523"/>
      <c r="AC353" s="714">
        <v>0.05</v>
      </c>
      <c r="AD353" s="714">
        <v>0.05</v>
      </c>
      <c r="AE353" s="714">
        <v>0.06</v>
      </c>
      <c r="AF353" s="714">
        <v>7.0000000000000007E-2</v>
      </c>
      <c r="AG353" s="714">
        <v>0.08</v>
      </c>
      <c r="AH353" s="714">
        <v>0.1</v>
      </c>
      <c r="AI353" s="22"/>
      <c r="AK353" s="1521"/>
      <c r="AL353" s="1521"/>
      <c r="AM353" s="1521"/>
      <c r="AN353" s="1521"/>
      <c r="AO353" s="1521"/>
      <c r="AP353" s="1521"/>
      <c r="AQ353" s="1523"/>
    </row>
    <row r="354" spans="1:43" s="1365" customFormat="1" outlineLevel="3">
      <c r="A354" s="22"/>
      <c r="B354" s="22"/>
      <c r="C354" s="22"/>
      <c r="D354" s="719" t="s">
        <v>665</v>
      </c>
      <c r="E354" s="720"/>
      <c r="F354" s="720"/>
      <c r="G354" s="720"/>
      <c r="H354" s="721"/>
      <c r="I354" s="722"/>
      <c r="J354" s="722"/>
      <c r="K354" s="722"/>
      <c r="L354" s="722"/>
      <c r="M354" s="730"/>
      <c r="N354" s="723">
        <f t="shared" si="318"/>
        <v>0</v>
      </c>
      <c r="O354" s="724">
        <f t="shared" si="318"/>
        <v>0</v>
      </c>
      <c r="P354" s="724">
        <f t="shared" si="318"/>
        <v>0</v>
      </c>
      <c r="Q354" s="724">
        <f t="shared" si="318"/>
        <v>0</v>
      </c>
      <c r="R354" s="724">
        <f t="shared" si="318"/>
        <v>0</v>
      </c>
      <c r="S354" s="725">
        <f t="shared" si="318"/>
        <v>0</v>
      </c>
      <c r="T354" s="726"/>
      <c r="U354" s="1521"/>
      <c r="V354" s="1521"/>
      <c r="W354" s="1521"/>
      <c r="X354" s="1521"/>
      <c r="Y354" s="1521"/>
      <c r="Z354" s="1521"/>
      <c r="AA354" s="1523"/>
      <c r="AC354" s="714"/>
      <c r="AD354" s="714"/>
      <c r="AE354" s="714"/>
      <c r="AF354" s="714"/>
      <c r="AG354" s="714"/>
      <c r="AH354" s="714"/>
      <c r="AI354" s="22"/>
      <c r="AK354" s="1521"/>
      <c r="AL354" s="1521"/>
      <c r="AM354" s="1521"/>
      <c r="AN354" s="1521"/>
      <c r="AO354" s="1521"/>
      <c r="AP354" s="1521"/>
      <c r="AQ354" s="1523"/>
    </row>
    <row r="355" spans="1:43" s="1365" customFormat="1" outlineLevel="3">
      <c r="A355" s="22"/>
      <c r="B355" s="22"/>
      <c r="C355" s="22" t="s">
        <v>848</v>
      </c>
      <c r="D355" s="22"/>
      <c r="E355" s="22"/>
      <c r="F355" s="22"/>
      <c r="G355" s="22"/>
      <c r="H355" s="24">
        <f>H343/H$343</f>
        <v>1</v>
      </c>
      <c r="I355" s="24">
        <f t="shared" ref="I355:S357" si="321">I343/I$343</f>
        <v>1</v>
      </c>
      <c r="J355" s="24">
        <f t="shared" si="321"/>
        <v>1</v>
      </c>
      <c r="K355" s="24">
        <f t="shared" si="321"/>
        <v>1</v>
      </c>
      <c r="L355" s="24">
        <f t="shared" si="321"/>
        <v>1</v>
      </c>
      <c r="M355" s="24">
        <f t="shared" si="321"/>
        <v>1</v>
      </c>
      <c r="N355" s="24">
        <f t="shared" si="321"/>
        <v>1</v>
      </c>
      <c r="O355" s="24">
        <f t="shared" si="321"/>
        <v>1</v>
      </c>
      <c r="P355" s="24">
        <f t="shared" si="321"/>
        <v>1</v>
      </c>
      <c r="Q355" s="24">
        <f t="shared" si="321"/>
        <v>1</v>
      </c>
      <c r="R355" s="24">
        <f t="shared" si="321"/>
        <v>1</v>
      </c>
      <c r="S355" s="24">
        <f t="shared" si="321"/>
        <v>1</v>
      </c>
      <c r="T355" s="726"/>
      <c r="U355" s="1521"/>
      <c r="V355" s="1521"/>
      <c r="W355" s="1521"/>
      <c r="X355" s="1521"/>
      <c r="Y355" s="1521"/>
      <c r="Z355" s="1521"/>
      <c r="AA355" s="1522"/>
      <c r="AC355" s="219"/>
      <c r="AD355" s="219"/>
      <c r="AE355" s="219"/>
      <c r="AF355" s="219"/>
      <c r="AG355" s="219"/>
      <c r="AH355" s="219"/>
      <c r="AI355" s="706"/>
      <c r="AK355" s="1521"/>
      <c r="AL355" s="1521"/>
      <c r="AM355" s="1521"/>
      <c r="AN355" s="1521"/>
      <c r="AO355" s="1521"/>
      <c r="AP355" s="1521"/>
      <c r="AQ355" s="1522"/>
    </row>
    <row r="356" spans="1:43" s="1365" customFormat="1" outlineLevel="3">
      <c r="A356" s="22"/>
      <c r="B356" s="22"/>
      <c r="C356" s="22"/>
      <c r="D356" s="707" t="s">
        <v>841</v>
      </c>
      <c r="E356" s="708"/>
      <c r="F356" s="708"/>
      <c r="G356" s="708"/>
      <c r="H356" s="793">
        <f>H344/H$343</f>
        <v>0</v>
      </c>
      <c r="I356" s="793">
        <f t="shared" si="321"/>
        <v>0</v>
      </c>
      <c r="J356" s="793">
        <f t="shared" si="321"/>
        <v>0</v>
      </c>
      <c r="K356" s="793">
        <f t="shared" si="321"/>
        <v>0</v>
      </c>
      <c r="L356" s="793">
        <f t="shared" si="321"/>
        <v>0</v>
      </c>
      <c r="M356" s="793">
        <f t="shared" si="321"/>
        <v>0</v>
      </c>
      <c r="N356" s="793">
        <f t="shared" si="321"/>
        <v>0</v>
      </c>
      <c r="O356" s="793">
        <f t="shared" si="321"/>
        <v>0</v>
      </c>
      <c r="P356" s="793">
        <f t="shared" si="321"/>
        <v>0</v>
      </c>
      <c r="Q356" s="793">
        <f t="shared" si="321"/>
        <v>0</v>
      </c>
      <c r="R356" s="793">
        <f t="shared" si="321"/>
        <v>0</v>
      </c>
      <c r="S356" s="803">
        <f t="shared" si="321"/>
        <v>0</v>
      </c>
      <c r="T356" s="726"/>
      <c r="U356" s="1521"/>
      <c r="V356" s="1521"/>
      <c r="W356" s="1521"/>
      <c r="X356" s="1521"/>
      <c r="Y356" s="1521"/>
      <c r="Z356" s="1521"/>
      <c r="AA356" s="1523"/>
      <c r="AC356" s="728"/>
      <c r="AD356" s="728"/>
      <c r="AE356" s="728"/>
      <c r="AF356" s="728"/>
      <c r="AG356" s="728"/>
      <c r="AH356" s="728"/>
      <c r="AI356" s="22"/>
      <c r="AK356" s="1521"/>
      <c r="AL356" s="1521"/>
      <c r="AM356" s="1521"/>
      <c r="AN356" s="1521"/>
      <c r="AO356" s="1521"/>
      <c r="AP356" s="1521"/>
      <c r="AQ356" s="1523"/>
    </row>
    <row r="357" spans="1:43" s="1365" customFormat="1" outlineLevel="3">
      <c r="A357" s="22"/>
      <c r="B357" s="22"/>
      <c r="C357" s="22"/>
      <c r="D357" s="715" t="s">
        <v>842</v>
      </c>
      <c r="E357" s="22"/>
      <c r="F357" s="22"/>
      <c r="G357" s="22"/>
      <c r="H357" s="91">
        <f>H345/H$343</f>
        <v>0.10754939342312853</v>
      </c>
      <c r="I357" s="91">
        <f t="shared" si="321"/>
        <v>0.15563608131951151</v>
      </c>
      <c r="J357" s="91">
        <f t="shared" si="321"/>
        <v>0.18081024721678704</v>
      </c>
      <c r="K357" s="91">
        <f t="shared" si="321"/>
        <v>0.24226431807676907</v>
      </c>
      <c r="L357" s="91">
        <f t="shared" si="321"/>
        <v>0.24396621659243742</v>
      </c>
      <c r="M357" s="91">
        <f t="shared" si="321"/>
        <v>0.20783225059846169</v>
      </c>
      <c r="N357" s="91">
        <f t="shared" si="321"/>
        <v>0.2344551772232136</v>
      </c>
      <c r="O357" s="91">
        <f t="shared" si="321"/>
        <v>0.25799769713043519</v>
      </c>
      <c r="P357" s="91">
        <f t="shared" si="321"/>
        <v>0.26938249478150283</v>
      </c>
      <c r="Q357" s="91">
        <f t="shared" si="321"/>
        <v>0.27942547956966018</v>
      </c>
      <c r="R357" s="91">
        <f t="shared" si="321"/>
        <v>0.28474397265753765</v>
      </c>
      <c r="S357" s="804">
        <f t="shared" si="321"/>
        <v>0.28474397265753765</v>
      </c>
      <c r="T357" s="726"/>
      <c r="U357" s="1521"/>
      <c r="V357" s="1521"/>
      <c r="W357" s="1521"/>
      <c r="X357" s="1521"/>
      <c r="Y357" s="1521"/>
      <c r="Z357" s="1521"/>
      <c r="AA357" s="1523"/>
      <c r="AC357" s="728"/>
      <c r="AD357" s="728"/>
      <c r="AE357" s="728"/>
      <c r="AF357" s="728"/>
      <c r="AG357" s="728"/>
      <c r="AH357" s="728"/>
      <c r="AI357" s="22"/>
      <c r="AK357" s="1521"/>
      <c r="AL357" s="1521"/>
      <c r="AM357" s="1521"/>
      <c r="AN357" s="1521"/>
      <c r="AO357" s="1521"/>
      <c r="AP357" s="1521"/>
      <c r="AQ357" s="1523"/>
    </row>
    <row r="358" spans="1:43" s="1365" customFormat="1" outlineLevel="3">
      <c r="A358" s="22"/>
      <c r="B358" s="22"/>
      <c r="C358" s="22"/>
      <c r="D358" s="715" t="s">
        <v>843</v>
      </c>
      <c r="E358" s="22"/>
      <c r="F358" s="22"/>
      <c r="G358" s="22"/>
      <c r="H358" s="91">
        <f t="shared" ref="H358:S360" si="322">H346/H$343</f>
        <v>0.22498588125547095</v>
      </c>
      <c r="I358" s="91">
        <f t="shared" si="322"/>
        <v>0.19876278796480121</v>
      </c>
      <c r="J358" s="91">
        <f t="shared" si="322"/>
        <v>0.12695308117703713</v>
      </c>
      <c r="K358" s="91">
        <f t="shared" si="322"/>
        <v>0.21365842102349319</v>
      </c>
      <c r="L358" s="91">
        <f t="shared" si="322"/>
        <v>0.21611324828041667</v>
      </c>
      <c r="M358" s="91">
        <f t="shared" si="322"/>
        <v>0.31420447465528567</v>
      </c>
      <c r="N358" s="91">
        <f t="shared" si="322"/>
        <v>0.31153208813240318</v>
      </c>
      <c r="O358" s="91">
        <f t="shared" si="322"/>
        <v>0.36730091625455225</v>
      </c>
      <c r="P358" s="91">
        <f t="shared" si="322"/>
        <v>0.39884935325762411</v>
      </c>
      <c r="Q358" s="91">
        <f t="shared" si="322"/>
        <v>0.41371905735915343</v>
      </c>
      <c r="R358" s="91">
        <f t="shared" si="322"/>
        <v>0.42159365043590713</v>
      </c>
      <c r="S358" s="804">
        <f t="shared" si="322"/>
        <v>0.42159365043590707</v>
      </c>
      <c r="T358" s="726"/>
      <c r="U358" s="1521"/>
      <c r="V358" s="1521"/>
      <c r="W358" s="1521"/>
      <c r="X358" s="1521"/>
      <c r="Y358" s="1521"/>
      <c r="Z358" s="1521"/>
      <c r="AA358" s="1523"/>
      <c r="AC358" s="728"/>
      <c r="AD358" s="728"/>
      <c r="AE358" s="728"/>
      <c r="AF358" s="728"/>
      <c r="AG358" s="728"/>
      <c r="AH358" s="728"/>
      <c r="AI358" s="22"/>
      <c r="AK358" s="1521"/>
      <c r="AL358" s="1521"/>
      <c r="AM358" s="1521"/>
      <c r="AN358" s="1521"/>
      <c r="AO358" s="1521"/>
      <c r="AP358" s="1521"/>
      <c r="AQ358" s="1523"/>
    </row>
    <row r="359" spans="1:43" s="1365" customFormat="1" outlineLevel="3">
      <c r="A359" s="22"/>
      <c r="B359" s="22"/>
      <c r="C359" s="22"/>
      <c r="D359" s="715" t="s">
        <v>844</v>
      </c>
      <c r="E359" s="22"/>
      <c r="F359" s="22"/>
      <c r="G359" s="22"/>
      <c r="H359" s="91">
        <f t="shared" si="322"/>
        <v>0.66746472532140055</v>
      </c>
      <c r="I359" s="91">
        <f t="shared" si="322"/>
        <v>0.64560113071568725</v>
      </c>
      <c r="J359" s="91">
        <f t="shared" si="322"/>
        <v>0.69223667160617586</v>
      </c>
      <c r="K359" s="91">
        <f t="shared" si="322"/>
        <v>0.54407726089973774</v>
      </c>
      <c r="L359" s="91">
        <f t="shared" si="322"/>
        <v>0.53992053512714588</v>
      </c>
      <c r="M359" s="91">
        <f t="shared" si="322"/>
        <v>0.47796327474625266</v>
      </c>
      <c r="N359" s="91">
        <f t="shared" si="322"/>
        <v>0.45401273464438319</v>
      </c>
      <c r="O359" s="91">
        <f t="shared" si="322"/>
        <v>0.37470138661501262</v>
      </c>
      <c r="P359" s="91">
        <f t="shared" si="322"/>
        <v>0.33176815196087317</v>
      </c>
      <c r="Q359" s="91">
        <f t="shared" si="322"/>
        <v>0.30685546307118633</v>
      </c>
      <c r="R359" s="91">
        <f t="shared" si="322"/>
        <v>0.29366237690655522</v>
      </c>
      <c r="S359" s="804">
        <f t="shared" si="322"/>
        <v>0.29366237690655517</v>
      </c>
      <c r="T359" s="726"/>
      <c r="U359" s="1521"/>
      <c r="V359" s="1521"/>
      <c r="W359" s="1521"/>
      <c r="X359" s="1521"/>
      <c r="Y359" s="1521"/>
      <c r="Z359" s="1521"/>
      <c r="AA359" s="1523"/>
      <c r="AC359" s="728"/>
      <c r="AD359" s="728"/>
      <c r="AE359" s="728"/>
      <c r="AF359" s="728"/>
      <c r="AG359" s="728"/>
      <c r="AH359" s="728"/>
      <c r="AI359" s="22"/>
      <c r="AK359" s="1521"/>
      <c r="AL359" s="1521"/>
      <c r="AM359" s="1521"/>
      <c r="AN359" s="1521"/>
      <c r="AO359" s="1521"/>
      <c r="AP359" s="1521"/>
      <c r="AQ359" s="1523"/>
    </row>
    <row r="360" spans="1:43" s="1365" customFormat="1" outlineLevel="3">
      <c r="A360" s="22"/>
      <c r="B360" s="22"/>
      <c r="C360" s="22"/>
      <c r="D360" s="719" t="s">
        <v>665</v>
      </c>
      <c r="E360" s="720"/>
      <c r="F360" s="720"/>
      <c r="G360" s="720"/>
      <c r="H360" s="794">
        <f t="shared" si="322"/>
        <v>0</v>
      </c>
      <c r="I360" s="794">
        <f t="shared" si="322"/>
        <v>0</v>
      </c>
      <c r="J360" s="794">
        <f t="shared" si="322"/>
        <v>0</v>
      </c>
      <c r="K360" s="794">
        <f t="shared" si="322"/>
        <v>0</v>
      </c>
      <c r="L360" s="794">
        <f t="shared" si="322"/>
        <v>0</v>
      </c>
      <c r="M360" s="794">
        <f t="shared" si="322"/>
        <v>0</v>
      </c>
      <c r="N360" s="794">
        <f t="shared" si="322"/>
        <v>0</v>
      </c>
      <c r="O360" s="794">
        <f t="shared" si="322"/>
        <v>0</v>
      </c>
      <c r="P360" s="794">
        <f t="shared" si="322"/>
        <v>0</v>
      </c>
      <c r="Q360" s="794">
        <f t="shared" si="322"/>
        <v>0</v>
      </c>
      <c r="R360" s="794">
        <f t="shared" si="322"/>
        <v>0</v>
      </c>
      <c r="S360" s="805">
        <f t="shared" si="322"/>
        <v>0</v>
      </c>
      <c r="T360" s="726"/>
      <c r="U360" s="1521"/>
      <c r="V360" s="1521"/>
      <c r="W360" s="1521"/>
      <c r="X360" s="1521"/>
      <c r="Y360" s="1521"/>
      <c r="Z360" s="1521"/>
      <c r="AA360" s="1523"/>
      <c r="AC360" s="728"/>
      <c r="AD360" s="728"/>
      <c r="AE360" s="728"/>
      <c r="AF360" s="728"/>
      <c r="AG360" s="728"/>
      <c r="AH360" s="728"/>
      <c r="AI360" s="22"/>
      <c r="AK360" s="1521"/>
      <c r="AL360" s="1521"/>
      <c r="AM360" s="1521"/>
      <c r="AN360" s="1521"/>
      <c r="AO360" s="1521"/>
      <c r="AP360" s="1521"/>
      <c r="AQ360" s="1523"/>
    </row>
    <row r="361" spans="1:43" outlineLevel="3">
      <c r="C361" s="1" t="s">
        <v>850</v>
      </c>
      <c r="H361" s="806">
        <f t="shared" ref="H361:M361" si="323">IFERROR(H367/H343,"NA")</f>
        <v>0.31386288456716316</v>
      </c>
      <c r="I361" s="806">
        <f t="shared" si="323"/>
        <v>0.35927143282266083</v>
      </c>
      <c r="J361" s="806">
        <f t="shared" si="323"/>
        <v>0.20126112102271129</v>
      </c>
      <c r="K361" s="806">
        <f t="shared" si="323"/>
        <v>0.24125748526122934</v>
      </c>
      <c r="L361" s="806">
        <f t="shared" si="323"/>
        <v>0.24128914208403129</v>
      </c>
      <c r="M361" s="806">
        <f t="shared" si="323"/>
        <v>0.2338135061836587</v>
      </c>
      <c r="N361" s="806">
        <f t="shared" ref="N361:S361" si="324">IFERROR(N367/N343,"NA")</f>
        <v>0.23603308680955781</v>
      </c>
      <c r="O361" s="806">
        <f t="shared" si="324"/>
        <v>0.24281888088299086</v>
      </c>
      <c r="P361" s="806">
        <f t="shared" si="324"/>
        <v>0.24648033213379655</v>
      </c>
      <c r="Q361" s="806">
        <f t="shared" si="324"/>
        <v>0.24863495813935077</v>
      </c>
      <c r="R361" s="806">
        <f t="shared" si="324"/>
        <v>0.24977598979071938</v>
      </c>
      <c r="S361" s="806">
        <f t="shared" si="324"/>
        <v>0.24977598979071938</v>
      </c>
      <c r="U361" s="1529">
        <f>$L361*(1+$AA361)</f>
        <v>0.24611492492571194</v>
      </c>
      <c r="V361" s="1529">
        <f>U361*(1+$AA361)</f>
        <v>0.25103722342422619</v>
      </c>
      <c r="W361" s="1529">
        <f t="shared" ref="W361:Z361" si="325">V361*(1+$AA361)</f>
        <v>0.25605796789271074</v>
      </c>
      <c r="X361" s="1529">
        <f t="shared" si="325"/>
        <v>0.26117912725056497</v>
      </c>
      <c r="Y361" s="1529">
        <f t="shared" si="325"/>
        <v>0.26640270979557629</v>
      </c>
      <c r="Z361" s="1529">
        <f t="shared" si="325"/>
        <v>0.27173076399148782</v>
      </c>
      <c r="AA361" s="1520">
        <v>0.02</v>
      </c>
      <c r="AC361" s="448"/>
      <c r="AD361" s="448"/>
      <c r="AE361" s="448"/>
      <c r="AF361" s="448"/>
      <c r="AG361" s="448"/>
      <c r="AH361" s="448"/>
      <c r="AI361" s="702"/>
      <c r="AK361" s="1529">
        <f>$L361*(1+$AQ361)</f>
        <v>0.24128914208403129</v>
      </c>
      <c r="AL361" s="1529">
        <f>AK361*(1+$AQ361)</f>
        <v>0.24128914208403129</v>
      </c>
      <c r="AM361" s="1529">
        <f t="shared" ref="AM361:AN361" si="326">AL361*(1+$AQ361)</f>
        <v>0.24128914208403129</v>
      </c>
      <c r="AN361" s="1529">
        <f t="shared" si="326"/>
        <v>0.24128914208403129</v>
      </c>
      <c r="AO361" s="1529">
        <f>AN361*(1+$AQ361)</f>
        <v>0.24128914208403129</v>
      </c>
      <c r="AP361" s="1529">
        <f t="shared" ref="AP361" si="327">AO361*(1+$AQ361)</f>
        <v>0.24128914208403129</v>
      </c>
      <c r="AQ361" s="1520">
        <v>0</v>
      </c>
    </row>
    <row r="362" spans="1:43" outlineLevel="3">
      <c r="D362" s="27" t="s">
        <v>841</v>
      </c>
      <c r="E362" s="28"/>
      <c r="F362" s="28"/>
      <c r="G362" s="28"/>
      <c r="H362" s="693"/>
      <c r="I362" s="693"/>
      <c r="J362" s="693"/>
      <c r="K362" s="693"/>
      <c r="L362" s="693"/>
      <c r="M362" s="693"/>
      <c r="N362" s="780"/>
      <c r="O362" s="781"/>
      <c r="P362" s="781"/>
      <c r="Q362" s="781"/>
      <c r="R362" s="781"/>
      <c r="S362" s="782"/>
      <c r="T362" s="993"/>
      <c r="U362" s="1530"/>
      <c r="V362" s="1530"/>
      <c r="W362" s="1530"/>
      <c r="X362" s="1530"/>
      <c r="Y362" s="1530"/>
      <c r="Z362" s="1530"/>
      <c r="AA362" s="1530"/>
      <c r="AB362" s="1371"/>
      <c r="AC362" s="783"/>
      <c r="AD362" s="783"/>
      <c r="AE362" s="783"/>
      <c r="AF362" s="783"/>
      <c r="AG362" s="783"/>
      <c r="AH362" s="783"/>
    </row>
    <row r="363" spans="1:43" outlineLevel="3">
      <c r="D363" s="31" t="s">
        <v>842</v>
      </c>
      <c r="H363" s="695">
        <f t="shared" ref="H363:K365" si="328">IFERROR(H369/H345,"NA")</f>
        <v>0.4762238120320878</v>
      </c>
      <c r="I363" s="695">
        <f t="shared" si="328"/>
        <v>0.39480980147352235</v>
      </c>
      <c r="J363" s="695">
        <f t="shared" si="328"/>
        <v>0.38853369985966302</v>
      </c>
      <c r="K363" s="695">
        <f t="shared" si="328"/>
        <v>0.3278346132383812</v>
      </c>
      <c r="L363" s="695">
        <f t="shared" ref="L363:M365" si="329">IFERROR(L369/L345,"NA")</f>
        <v>0.32259178439359787</v>
      </c>
      <c r="M363" s="695">
        <f t="shared" si="329"/>
        <v>0.28038606837885888</v>
      </c>
      <c r="N363" s="785">
        <f>CHOOSE(case,U363,AC363,AK363)</f>
        <v>0.28038606837885888</v>
      </c>
      <c r="O363" s="786">
        <f t="shared" ref="O363:O366" si="330">CHOOSE(case,V363,AD363,AL363)</f>
        <v>0.28038606837885888</v>
      </c>
      <c r="P363" s="786">
        <f t="shared" ref="P363:P366" si="331">CHOOSE(case,W363,AE363,AM363)</f>
        <v>0.28038606837885888</v>
      </c>
      <c r="Q363" s="786">
        <f t="shared" ref="Q363:Q366" si="332">CHOOSE(case,X363,AF363,AN363)</f>
        <v>0.28038606837885888</v>
      </c>
      <c r="R363" s="786">
        <f t="shared" ref="R363:R366" si="333">CHOOSE(case,Y363,AG363,AO363)</f>
        <v>0.28038606837885888</v>
      </c>
      <c r="S363" s="787">
        <f t="shared" ref="S363:S366" si="334">CHOOSE(case,Z363,AH363,AP363)</f>
        <v>0.28038606837885888</v>
      </c>
      <c r="T363" s="993"/>
      <c r="U363" s="1530"/>
      <c r="V363" s="1530"/>
      <c r="W363" s="1530"/>
      <c r="X363" s="1530"/>
      <c r="Y363" s="1530"/>
      <c r="Z363" s="1530"/>
      <c r="AA363" s="1530"/>
      <c r="AB363" s="1371"/>
      <c r="AC363" s="783">
        <f t="shared" ref="AC363:AC365" si="335">M363</f>
        <v>0.28038606837885888</v>
      </c>
      <c r="AD363" s="783">
        <f t="shared" ref="AD363:AH365" si="336">AC363</f>
        <v>0.28038606837885888</v>
      </c>
      <c r="AE363" s="783">
        <f t="shared" si="336"/>
        <v>0.28038606837885888</v>
      </c>
      <c r="AF363" s="783">
        <f t="shared" si="336"/>
        <v>0.28038606837885888</v>
      </c>
      <c r="AG363" s="783">
        <f t="shared" si="336"/>
        <v>0.28038606837885888</v>
      </c>
      <c r="AH363" s="783">
        <f t="shared" si="336"/>
        <v>0.28038606837885888</v>
      </c>
    </row>
    <row r="364" spans="1:43" outlineLevel="3">
      <c r="D364" s="31" t="s">
        <v>843</v>
      </c>
      <c r="H364" s="695">
        <f t="shared" si="328"/>
        <v>0.42043219045452501</v>
      </c>
      <c r="I364" s="695">
        <f t="shared" si="328"/>
        <v>0.38488819883469355</v>
      </c>
      <c r="J364" s="695">
        <f t="shared" si="328"/>
        <v>0.25440079245640779</v>
      </c>
      <c r="K364" s="695">
        <f t="shared" si="328"/>
        <v>0.26497014106913652</v>
      </c>
      <c r="L364" s="695">
        <f t="shared" si="329"/>
        <v>0.26443399265463946</v>
      </c>
      <c r="M364" s="695">
        <f t="shared" si="329"/>
        <v>0.27165376478136516</v>
      </c>
      <c r="N364" s="785">
        <f>CHOOSE(case,U364,AC364,AK364)</f>
        <v>0.27165376478136516</v>
      </c>
      <c r="O364" s="786">
        <f t="shared" si="330"/>
        <v>0.27165376478136516</v>
      </c>
      <c r="P364" s="786">
        <f t="shared" si="331"/>
        <v>0.27165376478136516</v>
      </c>
      <c r="Q364" s="786">
        <f t="shared" si="332"/>
        <v>0.27165376478136516</v>
      </c>
      <c r="R364" s="786">
        <f t="shared" si="333"/>
        <v>0.27165376478136516</v>
      </c>
      <c r="S364" s="787">
        <f t="shared" si="334"/>
        <v>0.27165376478136516</v>
      </c>
      <c r="T364" s="993"/>
      <c r="U364" s="1530"/>
      <c r="V364" s="1530"/>
      <c r="W364" s="1530"/>
      <c r="X364" s="1530"/>
      <c r="Y364" s="1530"/>
      <c r="Z364" s="1530"/>
      <c r="AA364" s="1530"/>
      <c r="AB364" s="1371"/>
      <c r="AC364" s="783">
        <f t="shared" si="335"/>
        <v>0.27165376478136516</v>
      </c>
      <c r="AD364" s="783">
        <f t="shared" si="336"/>
        <v>0.27165376478136516</v>
      </c>
      <c r="AE364" s="783">
        <f t="shared" si="336"/>
        <v>0.27165376478136516</v>
      </c>
      <c r="AF364" s="783">
        <f t="shared" si="336"/>
        <v>0.27165376478136516</v>
      </c>
      <c r="AG364" s="783">
        <f t="shared" si="336"/>
        <v>0.27165376478136516</v>
      </c>
      <c r="AH364" s="783">
        <f t="shared" si="336"/>
        <v>0.27165376478136516</v>
      </c>
    </row>
    <row r="365" spans="1:43" outlineLevel="3">
      <c r="D365" s="31" t="s">
        <v>844</v>
      </c>
      <c r="H365" s="695">
        <f t="shared" si="328"/>
        <v>0.25177959103525765</v>
      </c>
      <c r="I365" s="695">
        <f t="shared" si="328"/>
        <v>0.34281744636088696</v>
      </c>
      <c r="J365" s="695">
        <f t="shared" si="328"/>
        <v>0.14260048086411012</v>
      </c>
      <c r="K365" s="695">
        <f t="shared" si="328"/>
        <v>0.19339487577529516</v>
      </c>
      <c r="L365" s="695">
        <f t="shared" si="329"/>
        <v>0.19528791548655935</v>
      </c>
      <c r="M365" s="695">
        <f t="shared" si="329"/>
        <v>0.18868690309448091</v>
      </c>
      <c r="N365" s="785">
        <f>CHOOSE(case,U365,AC365,AK365)</f>
        <v>0.18868690309448091</v>
      </c>
      <c r="O365" s="786">
        <f t="shared" si="330"/>
        <v>0.18868690309448091</v>
      </c>
      <c r="P365" s="786">
        <f t="shared" si="331"/>
        <v>0.18868690309448091</v>
      </c>
      <c r="Q365" s="786">
        <f t="shared" si="332"/>
        <v>0.18868690309448091</v>
      </c>
      <c r="R365" s="786">
        <f t="shared" si="333"/>
        <v>0.18868690309448091</v>
      </c>
      <c r="S365" s="787">
        <f t="shared" si="334"/>
        <v>0.18868690309448091</v>
      </c>
      <c r="T365" s="993"/>
      <c r="U365" s="1530"/>
      <c r="V365" s="1530"/>
      <c r="W365" s="1530"/>
      <c r="X365" s="1530"/>
      <c r="Y365" s="1530"/>
      <c r="Z365" s="1530"/>
      <c r="AA365" s="1530"/>
      <c r="AB365" s="1371"/>
      <c r="AC365" s="783">
        <f t="shared" si="335"/>
        <v>0.18868690309448091</v>
      </c>
      <c r="AD365" s="783">
        <f t="shared" si="336"/>
        <v>0.18868690309448091</v>
      </c>
      <c r="AE365" s="783">
        <f t="shared" si="336"/>
        <v>0.18868690309448091</v>
      </c>
      <c r="AF365" s="783">
        <f t="shared" si="336"/>
        <v>0.18868690309448091</v>
      </c>
      <c r="AG365" s="783">
        <f t="shared" si="336"/>
        <v>0.18868690309448091</v>
      </c>
      <c r="AH365" s="783">
        <f t="shared" si="336"/>
        <v>0.18868690309448091</v>
      </c>
    </row>
    <row r="366" spans="1:43" ht="15" outlineLevel="3" thickBot="1">
      <c r="C366" s="37"/>
      <c r="D366" s="38" t="s">
        <v>665</v>
      </c>
      <c r="E366" s="37"/>
      <c r="F366" s="37"/>
      <c r="G366" s="37"/>
      <c r="H366" s="697"/>
      <c r="I366" s="697"/>
      <c r="J366" s="697"/>
      <c r="K366" s="697"/>
      <c r="L366" s="697"/>
      <c r="M366" s="697"/>
      <c r="N366" s="785">
        <f>CHOOSE(case,U366,AC366,AK366)</f>
        <v>0</v>
      </c>
      <c r="O366" s="786">
        <f t="shared" si="330"/>
        <v>0</v>
      </c>
      <c r="P366" s="786">
        <f t="shared" si="331"/>
        <v>0</v>
      </c>
      <c r="Q366" s="786">
        <f t="shared" si="332"/>
        <v>0</v>
      </c>
      <c r="R366" s="786">
        <f t="shared" si="333"/>
        <v>0</v>
      </c>
      <c r="S366" s="787">
        <f t="shared" si="334"/>
        <v>0</v>
      </c>
      <c r="T366" s="993"/>
      <c r="U366" s="1530"/>
      <c r="V366" s="1530"/>
      <c r="W366" s="1530"/>
      <c r="X366" s="1530"/>
      <c r="Y366" s="1530"/>
      <c r="Z366" s="1530"/>
      <c r="AA366" s="1530"/>
      <c r="AB366" s="1371"/>
      <c r="AC366" s="783"/>
      <c r="AD366" s="783"/>
      <c r="AE366" s="783"/>
      <c r="AF366" s="783"/>
      <c r="AG366" s="783"/>
      <c r="AH366" s="783"/>
    </row>
    <row r="367" spans="1:43" outlineLevel="3">
      <c r="C367" s="18" t="s">
        <v>845</v>
      </c>
      <c r="H367" s="23">
        <v>30416.505499999992</v>
      </c>
      <c r="I367" s="23">
        <v>73698.712449999977</v>
      </c>
      <c r="J367" s="23">
        <v>135980.60318646196</v>
      </c>
      <c r="K367" s="23">
        <f t="shared" ref="K367:R367" si="337">SUM(K368:K372)</f>
        <v>187383</v>
      </c>
      <c r="L367" s="23">
        <f t="shared" si="337"/>
        <v>219098.72553999996</v>
      </c>
      <c r="M367" s="23">
        <f t="shared" si="337"/>
        <v>136452.68307</v>
      </c>
      <c r="N367" s="23">
        <f t="shared" si="337"/>
        <v>267624.62280577619</v>
      </c>
      <c r="O367" s="23">
        <f t="shared" si="337"/>
        <v>350273.81196274434</v>
      </c>
      <c r="P367" s="23">
        <f t="shared" si="337"/>
        <v>425661.09502581699</v>
      </c>
      <c r="Q367" s="23">
        <f t="shared" si="337"/>
        <v>496739.26417443046</v>
      </c>
      <c r="R367" s="23">
        <f t="shared" si="337"/>
        <v>563152.85892170586</v>
      </c>
      <c r="S367" s="23">
        <f>SUM(S368:S372)</f>
        <v>619468.14481387648</v>
      </c>
      <c r="T367" s="1205"/>
    </row>
    <row r="368" spans="1:43" outlineLevel="3">
      <c r="D368" s="27" t="s">
        <v>841</v>
      </c>
      <c r="E368" s="28"/>
      <c r="F368" s="28"/>
      <c r="G368" s="28"/>
      <c r="H368" s="398"/>
      <c r="I368" s="398"/>
      <c r="J368" s="398"/>
      <c r="K368" s="398"/>
      <c r="L368" s="398"/>
      <c r="M368" s="398"/>
      <c r="N368" s="703">
        <f>N362*N344</f>
        <v>0</v>
      </c>
      <c r="O368" s="29">
        <f t="shared" ref="O368:S368" si="338">O362*O344</f>
        <v>0</v>
      </c>
      <c r="P368" s="29">
        <f t="shared" si="338"/>
        <v>0</v>
      </c>
      <c r="Q368" s="29">
        <f t="shared" si="338"/>
        <v>0</v>
      </c>
      <c r="R368" s="29">
        <f t="shared" si="338"/>
        <v>0</v>
      </c>
      <c r="S368" s="30">
        <f t="shared" si="338"/>
        <v>0</v>
      </c>
    </row>
    <row r="369" spans="1:43" outlineLevel="3">
      <c r="D369" s="31" t="s">
        <v>842</v>
      </c>
      <c r="H369" s="400">
        <v>4963.5045899999996</v>
      </c>
      <c r="I369" s="400">
        <v>12604.78458</v>
      </c>
      <c r="J369" s="400">
        <v>47464.489000000009</v>
      </c>
      <c r="K369" s="400">
        <v>61687</v>
      </c>
      <c r="L369" s="400">
        <v>71463.628959999987</v>
      </c>
      <c r="M369" s="400">
        <v>34008.059880000001</v>
      </c>
      <c r="N369" s="704">
        <f>N363*N345</f>
        <v>74536.576288249518</v>
      </c>
      <c r="O369" s="20">
        <f t="shared" ref="O369:S372" si="339">O363*O345</f>
        <v>104351.20680354931</v>
      </c>
      <c r="P369" s="20">
        <f t="shared" si="339"/>
        <v>130439.00850443664</v>
      </c>
      <c r="Q369" s="20">
        <f t="shared" si="339"/>
        <v>156526.81020532397</v>
      </c>
      <c r="R369" s="20">
        <f t="shared" si="339"/>
        <v>180005.83173612258</v>
      </c>
      <c r="S369" s="32">
        <f>S363*S345</f>
        <v>198006.41490973486</v>
      </c>
      <c r="T369" s="1545"/>
    </row>
    <row r="370" spans="1:43" outlineLevel="3">
      <c r="D370" s="31" t="s">
        <v>843</v>
      </c>
      <c r="H370" s="400">
        <v>9166.8596300000008</v>
      </c>
      <c r="I370" s="400">
        <v>15693.03306</v>
      </c>
      <c r="J370" s="400">
        <v>21821.207620884979</v>
      </c>
      <c r="K370" s="400">
        <v>43971</v>
      </c>
      <c r="L370" s="400">
        <v>51892.040159999975</v>
      </c>
      <c r="M370" s="400">
        <v>49812.75695000001</v>
      </c>
      <c r="N370" s="704">
        <f>N364*N346</f>
        <v>95955.902923982241</v>
      </c>
      <c r="O370" s="20">
        <f t="shared" si="339"/>
        <v>143933.85438597336</v>
      </c>
      <c r="P370" s="20">
        <f t="shared" si="339"/>
        <v>187114.01070176536</v>
      </c>
      <c r="Q370" s="20">
        <f t="shared" si="339"/>
        <v>224536.81284211844</v>
      </c>
      <c r="R370" s="20">
        <f t="shared" si="339"/>
        <v>258217.33476843618</v>
      </c>
      <c r="S370" s="32">
        <f>S364*S346</f>
        <v>284039.06824527984</v>
      </c>
      <c r="T370" s="1545"/>
    </row>
    <row r="371" spans="1:43" outlineLevel="3">
      <c r="D371" s="31" t="s">
        <v>844</v>
      </c>
      <c r="H371" s="400">
        <f>H367-SUM(H369:H370)</f>
        <v>16286.141279999993</v>
      </c>
      <c r="I371" s="400">
        <f t="shared" ref="I371:J371" si="340">I367-SUM(I369:I370)</f>
        <v>45400.894809999976</v>
      </c>
      <c r="J371" s="400">
        <f t="shared" si="340"/>
        <v>66694.906565576966</v>
      </c>
      <c r="K371" s="400">
        <v>81725</v>
      </c>
      <c r="L371" s="400">
        <v>95743.056420000008</v>
      </c>
      <c r="M371" s="400">
        <v>52631.866239999996</v>
      </c>
      <c r="N371" s="704">
        <f>N365*N347</f>
        <v>97132.143593544461</v>
      </c>
      <c r="O371" s="20">
        <f t="shared" si="339"/>
        <v>101988.75077322168</v>
      </c>
      <c r="P371" s="20">
        <f t="shared" si="339"/>
        <v>108108.07581961498</v>
      </c>
      <c r="Q371" s="20">
        <f t="shared" si="339"/>
        <v>115675.64112698805</v>
      </c>
      <c r="R371" s="20">
        <f t="shared" si="339"/>
        <v>124929.69241714709</v>
      </c>
      <c r="S371" s="32">
        <f t="shared" si="339"/>
        <v>137422.66165886182</v>
      </c>
      <c r="T371" s="1545"/>
    </row>
    <row r="372" spans="1:43" outlineLevel="3">
      <c r="D372" s="33" t="s">
        <v>665</v>
      </c>
      <c r="E372" s="34"/>
      <c r="F372" s="34"/>
      <c r="G372" s="34"/>
      <c r="H372" s="402"/>
      <c r="I372" s="402"/>
      <c r="J372" s="402"/>
      <c r="K372" s="402"/>
      <c r="L372" s="402"/>
      <c r="M372" s="402"/>
      <c r="N372" s="705">
        <f>N366*N348</f>
        <v>0</v>
      </c>
      <c r="O372" s="35">
        <f t="shared" si="339"/>
        <v>0</v>
      </c>
      <c r="P372" s="35">
        <f t="shared" si="339"/>
        <v>0</v>
      </c>
      <c r="Q372" s="35">
        <f t="shared" si="339"/>
        <v>0</v>
      </c>
      <c r="R372" s="35">
        <f t="shared" si="339"/>
        <v>0</v>
      </c>
      <c r="S372" s="36">
        <f t="shared" si="339"/>
        <v>0</v>
      </c>
    </row>
    <row r="373" spans="1:43" outlineLevel="3">
      <c r="H373" s="43"/>
      <c r="I373" s="43"/>
      <c r="J373" s="43"/>
      <c r="K373" s="43"/>
      <c r="L373" s="144"/>
      <c r="M373" s="144"/>
      <c r="N373" s="144"/>
      <c r="S373" s="144"/>
    </row>
    <row r="374" spans="1:43" outlineLevel="3">
      <c r="C374" s="1" t="s">
        <v>659</v>
      </c>
      <c r="H374" s="394">
        <v>-13568</v>
      </c>
      <c r="I374" s="394">
        <v>-40544</v>
      </c>
      <c r="J374" s="394">
        <v>-63164</v>
      </c>
      <c r="K374" s="394">
        <v>-94341</v>
      </c>
      <c r="L374" s="394">
        <v>-111528.70122951383</v>
      </c>
      <c r="M374" s="394">
        <v>-75981.454065421014</v>
      </c>
      <c r="N374" s="20">
        <f>N375*N343</f>
        <v>-149022.41221641016</v>
      </c>
      <c r="O374" s="20">
        <f t="shared" ref="O374:S374" si="341">O375*O343</f>
        <v>-198490.58780766511</v>
      </c>
      <c r="P374" s="20">
        <f t="shared" si="341"/>
        <v>-242785.20035513109</v>
      </c>
      <c r="Q374" s="20">
        <f t="shared" si="341"/>
        <v>-284505.61980385735</v>
      </c>
      <c r="R374" s="20">
        <f t="shared" si="341"/>
        <v>-322722.86249045987</v>
      </c>
      <c r="S374" s="20">
        <f t="shared" si="341"/>
        <v>-353813.06780544098</v>
      </c>
    </row>
    <row r="375" spans="1:43" outlineLevel="3">
      <c r="D375" s="1" t="s">
        <v>849</v>
      </c>
      <c r="H375" s="744">
        <f>H374/H343</f>
        <v>-0.14000594571283906</v>
      </c>
      <c r="I375" s="744">
        <f t="shared" ref="I375" si="342">I374/I343</f>
        <v>-0.1976466140062392</v>
      </c>
      <c r="J375" s="744">
        <f>J374/J343</f>
        <v>-9.3487285321471283E-2</v>
      </c>
      <c r="K375" s="744">
        <f>K374/K343</f>
        <v>-0.12146498037191014</v>
      </c>
      <c r="L375" s="744">
        <f t="shared" ref="L375:M375" si="343">L374/L343</f>
        <v>-0.12282437778262051</v>
      </c>
      <c r="M375" s="744">
        <f t="shared" si="343"/>
        <v>-0.13019524263113999</v>
      </c>
      <c r="N375" s="746">
        <f>N361/M361*M375</f>
        <v>-0.13143117995078021</v>
      </c>
      <c r="O375" s="744">
        <f>N375*(1+O376)</f>
        <v>-0.13759881769976742</v>
      </c>
      <c r="P375" s="744">
        <f t="shared" ref="P375:S375" si="344">O375*(1+P376)</f>
        <v>-0.14058549752373672</v>
      </c>
      <c r="Q375" s="744">
        <f t="shared" si="344"/>
        <v>-0.14240477444018274</v>
      </c>
      <c r="R375" s="744">
        <f t="shared" si="344"/>
        <v>-0.14313773095459981</v>
      </c>
      <c r="S375" s="744">
        <f t="shared" si="344"/>
        <v>-0.14266110364488155</v>
      </c>
    </row>
    <row r="376" spans="1:43" ht="15" outlineLevel="3" thickBot="1">
      <c r="C376" s="37"/>
      <c r="D376" s="74"/>
      <c r="E376" s="74" t="s">
        <v>151</v>
      </c>
      <c r="F376" s="37"/>
      <c r="G376" s="37"/>
      <c r="H376" s="747"/>
      <c r="I376" s="75">
        <f>I375/H375-1</f>
        <v>0.41170157452901868</v>
      </c>
      <c r="J376" s="75">
        <f>J375/I375-1</f>
        <v>-0.52699778950667919</v>
      </c>
      <c r="K376" s="75"/>
      <c r="L376" s="75">
        <f>L375/J375-1</f>
        <v>0.31380836827456093</v>
      </c>
      <c r="M376" s="75"/>
      <c r="N376" s="748">
        <f>N375/L375-1</f>
        <v>7.0074054707546463E-2</v>
      </c>
      <c r="O376" s="749">
        <f>CHOOSE(case,V376,AD376,AL376)</f>
        <v>4.6926747148560377E-2</v>
      </c>
      <c r="P376" s="750">
        <f>CHOOSE(case,W376,AE376,AM376)</f>
        <v>2.170570847844111E-2</v>
      </c>
      <c r="Q376" s="750">
        <f>CHOOSE(case,X376,AF376,AN376)</f>
        <v>1.294071542577746E-2</v>
      </c>
      <c r="R376" s="750">
        <f>CHOOSE(case,Y376,AG376,AO376)</f>
        <v>5.1469939634991579E-3</v>
      </c>
      <c r="S376" s="751">
        <f>CHOOSE(case,Z376,AH376,AP376)</f>
        <v>-3.3298509522233788E-3</v>
      </c>
      <c r="AC376" s="752"/>
      <c r="AD376" s="753">
        <f>(SUMPRODUCT(O356:O359,各区域分剂型成本优化!K$87:K$90)+O360*O366)/(SUMPRODUCT(N356:N359,各区域分剂型成本优化!J$87:J$90)+N360*N366)-1</f>
        <v>4.6926747148560377E-2</v>
      </c>
      <c r="AE376" s="753">
        <f>(SUMPRODUCT(P356:P359,各区域分剂型成本优化!L$87:L$90)+P360*P366)/(SUMPRODUCT(O356:O359,各区域分剂型成本优化!K$87:K$90)+O360*O366)-1</f>
        <v>2.170570847844111E-2</v>
      </c>
      <c r="AF376" s="753">
        <f>(SUMPRODUCT(Q356:Q359,各区域分剂型成本优化!M$87:M$90)+Q360*Q366)/(SUMPRODUCT(P356:P359,各区域分剂型成本优化!L$87:L$90)+P360*P366)-1</f>
        <v>1.294071542577746E-2</v>
      </c>
      <c r="AG376" s="753">
        <f>(SUMPRODUCT(R356:R359,各区域分剂型成本优化!N$87:N$90)+R360*R366)/(SUMPRODUCT(Q356:Q359,各区域分剂型成本优化!M$87:M$90)+Q360*Q366)-1</f>
        <v>5.1469939634991579E-3</v>
      </c>
      <c r="AH376" s="753">
        <f>(SUMPRODUCT(S356:S359,各区域分剂型成本优化!O$87:O$90)+S360*S366)/(SUMPRODUCT(R356:R359,各区域分剂型成本优化!N$87:N$90)+R360*R366)-1</f>
        <v>-3.3298509522233788E-3</v>
      </c>
    </row>
    <row r="377" spans="1:43" outlineLevel="3">
      <c r="C377" s="18" t="s">
        <v>846</v>
      </c>
      <c r="D377" s="18"/>
      <c r="E377" s="18"/>
      <c r="F377" s="18"/>
      <c r="G377" s="18"/>
      <c r="H377" s="23">
        <f>H374+H367</f>
        <v>16848.505499999992</v>
      </c>
      <c r="I377" s="23">
        <f>I374+I367</f>
        <v>33154.712449999977</v>
      </c>
      <c r="J377" s="23">
        <f>J374+J367</f>
        <v>72816.603186461958</v>
      </c>
      <c r="K377" s="23">
        <f>K374+K367</f>
        <v>93042</v>
      </c>
      <c r="L377" s="23">
        <f t="shared" ref="L377:S377" si="345">L374+L367</f>
        <v>107570.02431048613</v>
      </c>
      <c r="M377" s="23">
        <f t="shared" si="345"/>
        <v>60471.229004578985</v>
      </c>
      <c r="N377" s="23">
        <f t="shared" si="345"/>
        <v>118602.21058936603</v>
      </c>
      <c r="O377" s="23">
        <f t="shared" si="345"/>
        <v>151783.22415507922</v>
      </c>
      <c r="P377" s="23">
        <f t="shared" si="345"/>
        <v>182875.8946706859</v>
      </c>
      <c r="Q377" s="23">
        <f t="shared" si="345"/>
        <v>212233.64437057311</v>
      </c>
      <c r="R377" s="23">
        <f t="shared" si="345"/>
        <v>240429.99643124599</v>
      </c>
      <c r="S377" s="23">
        <f t="shared" si="345"/>
        <v>265655.0770084355</v>
      </c>
    </row>
    <row r="378" spans="1:43" outlineLevel="3">
      <c r="C378" s="22" t="s">
        <v>660</v>
      </c>
      <c r="D378" s="22"/>
      <c r="E378" s="22"/>
      <c r="F378" s="22"/>
      <c r="G378" s="22"/>
      <c r="H378" s="56">
        <f>IFERROR(H377/H367,"NA")</f>
        <v>0.55392640354428602</v>
      </c>
      <c r="I378" s="56">
        <f t="shared" ref="I378:S378" si="346">IFERROR(I377/I367,"NA")</f>
        <v>0.44986827242732907</v>
      </c>
      <c r="J378" s="56">
        <f t="shared" si="346"/>
        <v>0.53549257379460924</v>
      </c>
      <c r="K378" s="56">
        <f t="shared" si="346"/>
        <v>0.49653383711435933</v>
      </c>
      <c r="L378" s="56">
        <f t="shared" si="346"/>
        <v>0.49096599738480684</v>
      </c>
      <c r="M378" s="56">
        <f t="shared" si="346"/>
        <v>0.44316628771276961</v>
      </c>
      <c r="N378" s="56">
        <f t="shared" si="346"/>
        <v>0.44316628771276956</v>
      </c>
      <c r="O378" s="56">
        <f t="shared" si="346"/>
        <v>0.43332735411924861</v>
      </c>
      <c r="P378" s="56">
        <f t="shared" si="346"/>
        <v>0.42962792890337842</v>
      </c>
      <c r="Q378" s="56">
        <f t="shared" si="346"/>
        <v>0.42725361105347825</v>
      </c>
      <c r="R378" s="56">
        <f t="shared" si="346"/>
        <v>0.42693558706530965</v>
      </c>
      <c r="S378" s="56">
        <f t="shared" si="346"/>
        <v>0.42884380614640549</v>
      </c>
      <c r="U378" s="1526">
        <f>AC378+1%</f>
        <v>0.01</v>
      </c>
      <c r="V378" s="1526">
        <f t="shared" ref="V378:Z378" si="347">U378</f>
        <v>0.01</v>
      </c>
      <c r="W378" s="1526">
        <f t="shared" si="347"/>
        <v>0.01</v>
      </c>
      <c r="X378" s="1526">
        <f t="shared" si="347"/>
        <v>0.01</v>
      </c>
      <c r="Y378" s="1526">
        <f t="shared" si="347"/>
        <v>0.01</v>
      </c>
      <c r="Z378" s="1526">
        <f t="shared" si="347"/>
        <v>0.01</v>
      </c>
      <c r="AC378" s="416"/>
      <c r="AD378" s="65"/>
      <c r="AE378" s="65"/>
      <c r="AF378" s="65"/>
      <c r="AG378" s="65"/>
      <c r="AH378" s="65"/>
      <c r="AK378" s="1526">
        <f>AC378-1%</f>
        <v>-0.01</v>
      </c>
      <c r="AL378" s="1526">
        <f t="shared" ref="AL378:AP378" si="348">AK378</f>
        <v>-0.01</v>
      </c>
      <c r="AM378" s="1526">
        <f t="shared" si="348"/>
        <v>-0.01</v>
      </c>
      <c r="AN378" s="1526">
        <f t="shared" si="348"/>
        <v>-0.01</v>
      </c>
      <c r="AO378" s="1526">
        <f t="shared" si="348"/>
        <v>-0.01</v>
      </c>
      <c r="AP378" s="1526">
        <f t="shared" si="348"/>
        <v>-0.01</v>
      </c>
    </row>
    <row r="379" spans="1:43" outlineLevel="3"/>
    <row r="380" spans="1:43" s="1126" customFormat="1" outlineLevel="3">
      <c r="A380" s="26" t="s">
        <v>8</v>
      </c>
      <c r="B380" s="26"/>
      <c r="C380" s="26" t="s">
        <v>48</v>
      </c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408"/>
      <c r="U380" s="1518"/>
      <c r="V380" s="1518"/>
      <c r="W380" s="1518"/>
      <c r="X380" s="1518"/>
      <c r="Y380" s="1518"/>
      <c r="Z380" s="1518"/>
      <c r="AA380" s="1518"/>
      <c r="AC380" s="26"/>
      <c r="AD380" s="26"/>
      <c r="AE380" s="26"/>
      <c r="AF380" s="26"/>
      <c r="AG380" s="26"/>
      <c r="AH380" s="26"/>
      <c r="AI380" s="18"/>
      <c r="AK380" s="1518"/>
      <c r="AL380" s="1518"/>
      <c r="AM380" s="1518"/>
      <c r="AN380" s="1518"/>
      <c r="AO380" s="1518"/>
      <c r="AP380" s="1518"/>
      <c r="AQ380" s="1518"/>
    </row>
    <row r="381" spans="1:43" outlineLevel="3">
      <c r="L381" s="20"/>
      <c r="M381" s="20"/>
      <c r="N381" s="20"/>
      <c r="S381" s="20"/>
    </row>
    <row r="382" spans="1:43" s="1126" customFormat="1" outlineLevel="3">
      <c r="A382" s="18"/>
      <c r="B382" s="18"/>
      <c r="C382" s="18" t="s">
        <v>840</v>
      </c>
      <c r="D382" s="18"/>
      <c r="E382" s="18"/>
      <c r="F382" s="18"/>
      <c r="G382" s="18"/>
      <c r="H382" s="23">
        <f>SUM(H383:H387)</f>
        <v>64774.548999999999</v>
      </c>
      <c r="I382" s="23">
        <f t="shared" ref="I382:K382" si="349">SUM(I383:I387)</f>
        <v>177679.01699999999</v>
      </c>
      <c r="J382" s="23">
        <f t="shared" si="349"/>
        <v>248409.11999999997</v>
      </c>
      <c r="K382" s="23">
        <f t="shared" si="349"/>
        <v>408344</v>
      </c>
      <c r="L382" s="23">
        <f>SUM(L383:L387)</f>
        <v>394557.83600000001</v>
      </c>
      <c r="M382" s="23">
        <f>SUM(M383:M387)</f>
        <v>174521.14999999997</v>
      </c>
      <c r="N382" s="23">
        <f t="shared" ref="N382:S382" si="350">SUM(N383:N387)</f>
        <v>335534.49479999999</v>
      </c>
      <c r="O382" s="23">
        <f t="shared" si="350"/>
        <v>375995.26037999999</v>
      </c>
      <c r="P382" s="23">
        <f t="shared" si="350"/>
        <v>439909.02074050007</v>
      </c>
      <c r="Q382" s="23">
        <f t="shared" si="350"/>
        <v>523477.56694512494</v>
      </c>
      <c r="R382" s="23">
        <f t="shared" si="350"/>
        <v>623873.9653404511</v>
      </c>
      <c r="S382" s="23">
        <f t="shared" si="350"/>
        <v>733842.36528183625</v>
      </c>
      <c r="T382" s="408"/>
      <c r="U382" s="1519">
        <f>$L382*(1+$AA382)</f>
        <v>414285.72780000005</v>
      </c>
      <c r="V382" s="1519">
        <f>U382*(1+$AA382)</f>
        <v>435000.01419000007</v>
      </c>
      <c r="W382" s="1519">
        <f t="shared" ref="W382" si="351">V382*(1+$AA382)</f>
        <v>456750.01489950012</v>
      </c>
      <c r="X382" s="1519">
        <f>W382*(1+$AA382)</f>
        <v>479587.51564447512</v>
      </c>
      <c r="Y382" s="1519">
        <f>X382*(1+$AA382)</f>
        <v>503566.89142669889</v>
      </c>
      <c r="Z382" s="1519">
        <f t="shared" ref="Z382" si="352">Y382*(1+$AA382)</f>
        <v>528745.2359980339</v>
      </c>
      <c r="AA382" s="1520">
        <f>AI382+5%</f>
        <v>0.05</v>
      </c>
      <c r="AB382" s="1321"/>
      <c r="AC382" s="20"/>
      <c r="AD382" s="20"/>
      <c r="AE382" s="20"/>
      <c r="AF382" s="20"/>
      <c r="AG382" s="20"/>
      <c r="AH382" s="20"/>
      <c r="AI382" s="702"/>
      <c r="AJ382" s="1321"/>
      <c r="AK382" s="1519">
        <f>$L382*(1+$AQ382)</f>
        <v>374829.94419999997</v>
      </c>
      <c r="AL382" s="1519">
        <f>AK382*(1+$AQ382)</f>
        <v>356088.44698999997</v>
      </c>
      <c r="AM382" s="1519">
        <f t="shared" ref="AM382:AN382" si="353">AL382*(1+$AQ382)</f>
        <v>338284.02464049996</v>
      </c>
      <c r="AN382" s="1519">
        <f t="shared" si="353"/>
        <v>321369.82340847497</v>
      </c>
      <c r="AO382" s="1519">
        <f>AN382*(1+$AQ382)</f>
        <v>305301.33223805123</v>
      </c>
      <c r="AP382" s="1519">
        <f t="shared" ref="AP382" si="354">AO382*(1+$AQ382)</f>
        <v>290036.26562614867</v>
      </c>
      <c r="AQ382" s="1520">
        <f>AI382-5%</f>
        <v>-0.05</v>
      </c>
    </row>
    <row r="383" spans="1:43" outlineLevel="3">
      <c r="D383" s="27" t="s">
        <v>841</v>
      </c>
      <c r="E383" s="28"/>
      <c r="F383" s="28"/>
      <c r="G383" s="28"/>
      <c r="H383" s="398">
        <v>7967.0640000000003</v>
      </c>
      <c r="I383" s="398">
        <v>37251.771999999997</v>
      </c>
      <c r="J383" s="398">
        <v>29460.159999999996</v>
      </c>
      <c r="K383" s="398">
        <v>22475</v>
      </c>
      <c r="L383" s="398">
        <v>27956.198000000004</v>
      </c>
      <c r="M383" s="398">
        <v>11165.332</v>
      </c>
      <c r="N383" s="703">
        <f>L383*(1+N389)</f>
        <v>19569.338600000003</v>
      </c>
      <c r="O383" s="29">
        <f>N383*(1+O389)</f>
        <v>20547.805530000005</v>
      </c>
      <c r="P383" s="29">
        <f t="shared" ref="P383:S383" si="355">O383*(1+P389)</f>
        <v>23629.976359500004</v>
      </c>
      <c r="Q383" s="29">
        <f t="shared" si="355"/>
        <v>29537.470449375003</v>
      </c>
      <c r="R383" s="29">
        <f t="shared" si="355"/>
        <v>36921.83806171875</v>
      </c>
      <c r="S383" s="30">
        <f t="shared" si="355"/>
        <v>44306.205674062498</v>
      </c>
    </row>
    <row r="384" spans="1:43" outlineLevel="3">
      <c r="D384" s="31" t="s">
        <v>842</v>
      </c>
      <c r="H384" s="400">
        <v>20900.249999999996</v>
      </c>
      <c r="I384" s="400">
        <v>57930.085000000021</v>
      </c>
      <c r="J384" s="400">
        <v>61776.839999999982</v>
      </c>
      <c r="K384" s="400">
        <v>57536</v>
      </c>
      <c r="L384" s="400">
        <v>61466.960000000006</v>
      </c>
      <c r="M384" s="400">
        <v>41582.439999999995</v>
      </c>
      <c r="N384" s="704">
        <f t="shared" ref="N384:N387" si="356">L384*(1+N390)</f>
        <v>70687.004000000001</v>
      </c>
      <c r="O384" s="20">
        <f t="shared" ref="O384:S387" si="357">N384*(1+O390)</f>
        <v>88358.755000000005</v>
      </c>
      <c r="P384" s="20">
        <f t="shared" si="357"/>
        <v>114866.3815</v>
      </c>
      <c r="Q384" s="20">
        <f t="shared" si="357"/>
        <v>143582.97687499999</v>
      </c>
      <c r="R384" s="20">
        <f t="shared" si="357"/>
        <v>179478.72109374998</v>
      </c>
      <c r="S384" s="32">
        <f t="shared" si="357"/>
        <v>215374.46531249996</v>
      </c>
    </row>
    <row r="385" spans="1:43" outlineLevel="3">
      <c r="D385" s="31" t="s">
        <v>843</v>
      </c>
      <c r="H385" s="400">
        <v>28143.535000000007</v>
      </c>
      <c r="I385" s="400">
        <v>52479.560000000012</v>
      </c>
      <c r="J385" s="400">
        <v>108773.48000000001</v>
      </c>
      <c r="K385" s="400">
        <v>44644</v>
      </c>
      <c r="L385" s="400">
        <v>60198.364000000009</v>
      </c>
      <c r="M385" s="400">
        <v>37091.53</v>
      </c>
      <c r="N385" s="704">
        <f t="shared" si="356"/>
        <v>66218.200400000016</v>
      </c>
      <c r="O385" s="20">
        <f t="shared" si="357"/>
        <v>76150.930460000018</v>
      </c>
      <c r="P385" s="20">
        <f t="shared" si="357"/>
        <v>91381.116552000021</v>
      </c>
      <c r="Q385" s="20">
        <f t="shared" si="357"/>
        <v>109657.33986240003</v>
      </c>
      <c r="R385" s="20">
        <f t="shared" si="357"/>
        <v>131588.80783488002</v>
      </c>
      <c r="S385" s="32">
        <f t="shared" si="357"/>
        <v>157906.56940185602</v>
      </c>
    </row>
    <row r="386" spans="1:43" outlineLevel="3">
      <c r="D386" s="31" t="s">
        <v>844</v>
      </c>
      <c r="H386" s="400">
        <v>7763.6999999999989</v>
      </c>
      <c r="I386" s="400">
        <v>30017.599999999991</v>
      </c>
      <c r="J386" s="400">
        <v>40623.18</v>
      </c>
      <c r="K386" s="400">
        <v>258497</v>
      </c>
      <c r="L386" s="400">
        <v>239086.674</v>
      </c>
      <c r="M386" s="400">
        <v>72857.64</v>
      </c>
      <c r="N386" s="704">
        <f t="shared" si="356"/>
        <v>167360.67179999998</v>
      </c>
      <c r="O386" s="20">
        <f t="shared" si="357"/>
        <v>175728.70538999999</v>
      </c>
      <c r="P386" s="20">
        <f t="shared" si="357"/>
        <v>193301.57592900001</v>
      </c>
      <c r="Q386" s="20">
        <f t="shared" si="357"/>
        <v>222296.81231834998</v>
      </c>
      <c r="R386" s="20">
        <f t="shared" si="357"/>
        <v>255641.33416610246</v>
      </c>
      <c r="S386" s="32">
        <f t="shared" si="357"/>
        <v>293987.5342910178</v>
      </c>
    </row>
    <row r="387" spans="1:43" outlineLevel="3">
      <c r="D387" s="33" t="s">
        <v>665</v>
      </c>
      <c r="E387" s="34"/>
      <c r="F387" s="34"/>
      <c r="G387" s="34"/>
      <c r="H387" s="402">
        <v>0</v>
      </c>
      <c r="I387" s="402">
        <v>0</v>
      </c>
      <c r="J387" s="402">
        <v>7775.4599999999991</v>
      </c>
      <c r="K387" s="402">
        <v>25192</v>
      </c>
      <c r="L387" s="402">
        <v>5849.6399999999994</v>
      </c>
      <c r="M387" s="402">
        <v>11824.207999999999</v>
      </c>
      <c r="N387" s="705">
        <f t="shared" si="356"/>
        <v>11699.279999999999</v>
      </c>
      <c r="O387" s="35">
        <f t="shared" si="357"/>
        <v>15209.063999999998</v>
      </c>
      <c r="P387" s="35">
        <f t="shared" si="357"/>
        <v>16729.970399999998</v>
      </c>
      <c r="Q387" s="35">
        <f t="shared" si="357"/>
        <v>18402.96744</v>
      </c>
      <c r="R387" s="35">
        <f t="shared" si="357"/>
        <v>20243.264184000003</v>
      </c>
      <c r="S387" s="36">
        <f t="shared" si="357"/>
        <v>22267.590602400007</v>
      </c>
      <c r="AC387" s="448"/>
      <c r="AD387" s="448"/>
      <c r="AE387" s="448"/>
      <c r="AF387" s="448"/>
      <c r="AG387" s="448"/>
      <c r="AH387" s="448"/>
    </row>
    <row r="388" spans="1:43" s="1365" customFormat="1" outlineLevel="3">
      <c r="A388" s="22"/>
      <c r="B388" s="22"/>
      <c r="C388" s="22" t="s">
        <v>847</v>
      </c>
      <c r="D388" s="22"/>
      <c r="E388" s="22"/>
      <c r="F388" s="22"/>
      <c r="G388" s="22"/>
      <c r="H388" s="219"/>
      <c r="I388" s="24">
        <f>I382/H382-1</f>
        <v>1.7430375007319618</v>
      </c>
      <c r="J388" s="24">
        <f>J382/I382-1</f>
        <v>0.39807797338275441</v>
      </c>
      <c r="K388" s="24"/>
      <c r="L388" s="793">
        <f>L382/J382-1</f>
        <v>0.58833876952665864</v>
      </c>
      <c r="M388" s="24"/>
      <c r="N388" s="24">
        <f>N382/L382-1</f>
        <v>-0.14959363574773865</v>
      </c>
      <c r="O388" s="24">
        <f>O382/N382-1</f>
        <v>0.12058600891129601</v>
      </c>
      <c r="P388" s="24">
        <f t="shared" ref="P388:S388" si="358">P382/O382-1</f>
        <v>0.16998554794522036</v>
      </c>
      <c r="Q388" s="24">
        <f t="shared" si="358"/>
        <v>0.18996779394055996</v>
      </c>
      <c r="R388" s="24">
        <f t="shared" si="358"/>
        <v>0.19178739402571288</v>
      </c>
      <c r="S388" s="24">
        <f t="shared" si="358"/>
        <v>0.17626701233056719</v>
      </c>
      <c r="T388" s="726"/>
      <c r="U388" s="1521"/>
      <c r="V388" s="1521"/>
      <c r="W388" s="1521"/>
      <c r="X388" s="1521"/>
      <c r="Y388" s="1521"/>
      <c r="Z388" s="1521"/>
      <c r="AA388" s="1522"/>
      <c r="AC388" s="219"/>
      <c r="AD388" s="219"/>
      <c r="AE388" s="219"/>
      <c r="AF388" s="219"/>
      <c r="AG388" s="219"/>
      <c r="AH388" s="219"/>
      <c r="AI388" s="706"/>
      <c r="AK388" s="1521"/>
      <c r="AL388" s="1521"/>
      <c r="AM388" s="1521"/>
      <c r="AN388" s="1521"/>
      <c r="AO388" s="1521"/>
      <c r="AP388" s="1521"/>
      <c r="AQ388" s="1522"/>
    </row>
    <row r="389" spans="1:43" s="1365" customFormat="1" outlineLevel="3">
      <c r="A389" s="22"/>
      <c r="B389" s="22"/>
      <c r="C389" s="22"/>
      <c r="D389" s="707" t="s">
        <v>841</v>
      </c>
      <c r="E389" s="708"/>
      <c r="F389" s="708"/>
      <c r="G389" s="708"/>
      <c r="H389" s="709"/>
      <c r="I389" s="710">
        <f t="shared" ref="I389:J392" si="359">I383/H383-1</f>
        <v>3.6757214451898461</v>
      </c>
      <c r="J389" s="710">
        <f t="shared" si="359"/>
        <v>-0.2091608420667882</v>
      </c>
      <c r="K389" s="710"/>
      <c r="L389" s="710">
        <f t="shared" ref="L389:L393" si="360">L383/J383-1</f>
        <v>-5.1050707124468908E-2</v>
      </c>
      <c r="M389" s="727"/>
      <c r="N389" s="711">
        <f t="shared" ref="N389:S393" si="361">CHOOSE(case,U389,AC389,AK389)</f>
        <v>-0.3</v>
      </c>
      <c r="O389" s="712">
        <f t="shared" si="361"/>
        <v>0.05</v>
      </c>
      <c r="P389" s="712">
        <f t="shared" si="361"/>
        <v>0.15</v>
      </c>
      <c r="Q389" s="712">
        <f t="shared" si="361"/>
        <v>0.25</v>
      </c>
      <c r="R389" s="712">
        <f t="shared" si="361"/>
        <v>0.25</v>
      </c>
      <c r="S389" s="713">
        <f t="shared" si="361"/>
        <v>0.2</v>
      </c>
      <c r="T389" s="726"/>
      <c r="U389" s="1521"/>
      <c r="V389" s="1521"/>
      <c r="W389" s="1521"/>
      <c r="X389" s="1521"/>
      <c r="Y389" s="1521"/>
      <c r="Z389" s="1521"/>
      <c r="AA389" s="1523"/>
      <c r="AC389" s="714">
        <v>-0.3</v>
      </c>
      <c r="AD389" s="714">
        <v>0.05</v>
      </c>
      <c r="AE389" s="714">
        <v>0.15</v>
      </c>
      <c r="AF389" s="714">
        <v>0.25</v>
      </c>
      <c r="AG389" s="714">
        <v>0.25</v>
      </c>
      <c r="AH389" s="714">
        <v>0.2</v>
      </c>
      <c r="AI389" s="22"/>
      <c r="AK389" s="1521"/>
      <c r="AL389" s="1521"/>
      <c r="AM389" s="1521"/>
      <c r="AN389" s="1521"/>
      <c r="AO389" s="1521"/>
      <c r="AP389" s="1521"/>
      <c r="AQ389" s="1523"/>
    </row>
    <row r="390" spans="1:43" s="1365" customFormat="1" outlineLevel="3">
      <c r="A390" s="22"/>
      <c r="B390" s="22"/>
      <c r="C390" s="22"/>
      <c r="D390" s="715" t="s">
        <v>842</v>
      </c>
      <c r="E390" s="22"/>
      <c r="F390" s="22"/>
      <c r="G390" s="22"/>
      <c r="H390" s="219"/>
      <c r="I390" s="175">
        <f t="shared" si="359"/>
        <v>1.7717412471142704</v>
      </c>
      <c r="J390" s="175">
        <f t="shared" si="359"/>
        <v>6.6403406796312403E-2</v>
      </c>
      <c r="K390" s="175"/>
      <c r="L390" s="175">
        <f t="shared" si="360"/>
        <v>-5.016119309436573E-3</v>
      </c>
      <c r="M390" s="729"/>
      <c r="N390" s="716">
        <f t="shared" si="361"/>
        <v>0.15</v>
      </c>
      <c r="O390" s="717">
        <f t="shared" si="361"/>
        <v>0.25</v>
      </c>
      <c r="P390" s="717">
        <f t="shared" si="361"/>
        <v>0.3</v>
      </c>
      <c r="Q390" s="717">
        <f t="shared" si="361"/>
        <v>0.25</v>
      </c>
      <c r="R390" s="717">
        <f t="shared" si="361"/>
        <v>0.25</v>
      </c>
      <c r="S390" s="718">
        <f t="shared" si="361"/>
        <v>0.2</v>
      </c>
      <c r="T390" s="726"/>
      <c r="U390" s="1521"/>
      <c r="V390" s="1521"/>
      <c r="W390" s="1521"/>
      <c r="X390" s="1521"/>
      <c r="Y390" s="1521"/>
      <c r="Z390" s="1521"/>
      <c r="AA390" s="1523"/>
      <c r="AC390" s="714">
        <v>0.15</v>
      </c>
      <c r="AD390" s="714">
        <v>0.25</v>
      </c>
      <c r="AE390" s="714">
        <v>0.3</v>
      </c>
      <c r="AF390" s="714">
        <v>0.25</v>
      </c>
      <c r="AG390" s="714">
        <v>0.25</v>
      </c>
      <c r="AH390" s="714">
        <v>0.2</v>
      </c>
      <c r="AI390" s="22"/>
      <c r="AK390" s="1521"/>
      <c r="AL390" s="1521"/>
      <c r="AM390" s="1521"/>
      <c r="AN390" s="1521"/>
      <c r="AO390" s="1521"/>
      <c r="AP390" s="1521"/>
      <c r="AQ390" s="1523"/>
    </row>
    <row r="391" spans="1:43" s="1365" customFormat="1" outlineLevel="3">
      <c r="A391" s="22"/>
      <c r="B391" s="22"/>
      <c r="C391" s="22"/>
      <c r="D391" s="715" t="s">
        <v>843</v>
      </c>
      <c r="E391" s="22"/>
      <c r="F391" s="22"/>
      <c r="G391" s="22"/>
      <c r="H391" s="219"/>
      <c r="I391" s="175">
        <f t="shared" si="359"/>
        <v>0.8647110251075425</v>
      </c>
      <c r="J391" s="175">
        <f>J385/I385-1</f>
        <v>1.0726827740171601</v>
      </c>
      <c r="K391" s="175"/>
      <c r="L391" s="175">
        <f t="shared" si="360"/>
        <v>-0.4465713149933237</v>
      </c>
      <c r="M391" s="729"/>
      <c r="N391" s="716">
        <f t="shared" si="361"/>
        <v>0.1</v>
      </c>
      <c r="O391" s="717">
        <f t="shared" si="361"/>
        <v>0.15</v>
      </c>
      <c r="P391" s="717">
        <f t="shared" si="361"/>
        <v>0.2</v>
      </c>
      <c r="Q391" s="717">
        <f t="shared" si="361"/>
        <v>0.2</v>
      </c>
      <c r="R391" s="717">
        <f t="shared" si="361"/>
        <v>0.2</v>
      </c>
      <c r="S391" s="718">
        <f t="shared" si="361"/>
        <v>0.2</v>
      </c>
      <c r="T391" s="726"/>
      <c r="U391" s="1521"/>
      <c r="V391" s="1521"/>
      <c r="W391" s="1521"/>
      <c r="X391" s="1521"/>
      <c r="Y391" s="1521"/>
      <c r="Z391" s="1521"/>
      <c r="AA391" s="1523"/>
      <c r="AC391" s="714">
        <v>0.1</v>
      </c>
      <c r="AD391" s="714">
        <v>0.15</v>
      </c>
      <c r="AE391" s="714">
        <v>0.2</v>
      </c>
      <c r="AF391" s="714">
        <v>0.2</v>
      </c>
      <c r="AG391" s="714">
        <v>0.2</v>
      </c>
      <c r="AH391" s="714">
        <v>0.2</v>
      </c>
      <c r="AI391" s="22"/>
      <c r="AK391" s="1521"/>
      <c r="AL391" s="1521"/>
      <c r="AM391" s="1521"/>
      <c r="AN391" s="1521"/>
      <c r="AO391" s="1521"/>
      <c r="AP391" s="1521"/>
      <c r="AQ391" s="1523"/>
    </row>
    <row r="392" spans="1:43" s="1365" customFormat="1" outlineLevel="3">
      <c r="A392" s="22"/>
      <c r="B392" s="22"/>
      <c r="C392" s="22"/>
      <c r="D392" s="715" t="s">
        <v>844</v>
      </c>
      <c r="E392" s="22"/>
      <c r="F392" s="22"/>
      <c r="G392" s="22"/>
      <c r="H392" s="219"/>
      <c r="I392" s="175">
        <f t="shared" si="359"/>
        <v>2.8664039053544053</v>
      </c>
      <c r="J392" s="175">
        <f t="shared" si="359"/>
        <v>0.3533120569266035</v>
      </c>
      <c r="K392" s="175"/>
      <c r="L392" s="175">
        <f t="shared" si="360"/>
        <v>4.8854741061630333</v>
      </c>
      <c r="M392" s="729"/>
      <c r="N392" s="716">
        <f t="shared" si="361"/>
        <v>-0.3</v>
      </c>
      <c r="O392" s="717">
        <f t="shared" si="361"/>
        <v>0.05</v>
      </c>
      <c r="P392" s="717">
        <f t="shared" si="361"/>
        <v>0.1</v>
      </c>
      <c r="Q392" s="717">
        <f t="shared" si="361"/>
        <v>0.15</v>
      </c>
      <c r="R392" s="717">
        <f t="shared" si="361"/>
        <v>0.15</v>
      </c>
      <c r="S392" s="718">
        <f t="shared" si="361"/>
        <v>0.15</v>
      </c>
      <c r="T392" s="726"/>
      <c r="U392" s="1521"/>
      <c r="V392" s="1521"/>
      <c r="W392" s="1521"/>
      <c r="X392" s="1521"/>
      <c r="Y392" s="1521"/>
      <c r="Z392" s="1521"/>
      <c r="AA392" s="1523"/>
      <c r="AC392" s="714">
        <v>-0.3</v>
      </c>
      <c r="AD392" s="714">
        <v>0.05</v>
      </c>
      <c r="AE392" s="714">
        <v>0.1</v>
      </c>
      <c r="AF392" s="714">
        <v>0.15</v>
      </c>
      <c r="AG392" s="714">
        <v>0.15</v>
      </c>
      <c r="AH392" s="714">
        <v>0.15</v>
      </c>
      <c r="AI392" s="22"/>
      <c r="AK392" s="1521"/>
      <c r="AL392" s="1521"/>
      <c r="AM392" s="1521"/>
      <c r="AN392" s="1521"/>
      <c r="AO392" s="1521"/>
      <c r="AP392" s="1521"/>
      <c r="AQ392" s="1523"/>
    </row>
    <row r="393" spans="1:43" s="1365" customFormat="1" outlineLevel="3">
      <c r="A393" s="22"/>
      <c r="B393" s="22"/>
      <c r="C393" s="22"/>
      <c r="D393" s="719" t="s">
        <v>665</v>
      </c>
      <c r="E393" s="720"/>
      <c r="F393" s="720"/>
      <c r="G393" s="720"/>
      <c r="H393" s="721"/>
      <c r="I393" s="722"/>
      <c r="J393" s="722"/>
      <c r="K393" s="722"/>
      <c r="L393" s="722">
        <f t="shared" si="360"/>
        <v>-0.24767923698404981</v>
      </c>
      <c r="M393" s="730"/>
      <c r="N393" s="723">
        <f t="shared" si="361"/>
        <v>1</v>
      </c>
      <c r="O393" s="724">
        <f t="shared" si="361"/>
        <v>0.3</v>
      </c>
      <c r="P393" s="724">
        <f t="shared" si="361"/>
        <v>0.1</v>
      </c>
      <c r="Q393" s="724">
        <f t="shared" si="361"/>
        <v>0.1</v>
      </c>
      <c r="R393" s="724">
        <f t="shared" si="361"/>
        <v>0.1</v>
      </c>
      <c r="S393" s="725">
        <f t="shared" si="361"/>
        <v>0.1</v>
      </c>
      <c r="T393" s="726"/>
      <c r="U393" s="1521"/>
      <c r="V393" s="1521"/>
      <c r="W393" s="1521"/>
      <c r="X393" s="1521"/>
      <c r="Y393" s="1521"/>
      <c r="Z393" s="1521"/>
      <c r="AA393" s="1523"/>
      <c r="AC393" s="714">
        <v>1</v>
      </c>
      <c r="AD393" s="714">
        <v>0.3</v>
      </c>
      <c r="AE393" s="714">
        <v>0.1</v>
      </c>
      <c r="AF393" s="714">
        <v>0.1</v>
      </c>
      <c r="AG393" s="714">
        <v>0.1</v>
      </c>
      <c r="AH393" s="714">
        <v>0.1</v>
      </c>
      <c r="AI393" s="22"/>
      <c r="AK393" s="1521"/>
      <c r="AL393" s="1521"/>
      <c r="AM393" s="1521"/>
      <c r="AN393" s="1521"/>
      <c r="AO393" s="1521"/>
      <c r="AP393" s="1521"/>
      <c r="AQ393" s="1523"/>
    </row>
    <row r="394" spans="1:43" s="1365" customFormat="1" outlineLevel="3">
      <c r="A394" s="22"/>
      <c r="B394" s="22"/>
      <c r="C394" s="22" t="s">
        <v>848</v>
      </c>
      <c r="D394" s="22"/>
      <c r="E394" s="22"/>
      <c r="F394" s="22"/>
      <c r="G394" s="22"/>
      <c r="H394" s="24">
        <f>H382/H$382</f>
        <v>1</v>
      </c>
      <c r="I394" s="24">
        <f t="shared" ref="I394:S396" si="362">I382/I$382</f>
        <v>1</v>
      </c>
      <c r="J394" s="24">
        <f t="shared" si="362"/>
        <v>1</v>
      </c>
      <c r="K394" s="24">
        <f t="shared" si="362"/>
        <v>1</v>
      </c>
      <c r="L394" s="24">
        <f t="shared" si="362"/>
        <v>1</v>
      </c>
      <c r="M394" s="24">
        <f t="shared" si="362"/>
        <v>1</v>
      </c>
      <c r="N394" s="24">
        <f t="shared" si="362"/>
        <v>1</v>
      </c>
      <c r="O394" s="24">
        <f t="shared" si="362"/>
        <v>1</v>
      </c>
      <c r="P394" s="24">
        <f t="shared" si="362"/>
        <v>1</v>
      </c>
      <c r="Q394" s="24">
        <f t="shared" si="362"/>
        <v>1</v>
      </c>
      <c r="R394" s="24">
        <f t="shared" si="362"/>
        <v>1</v>
      </c>
      <c r="S394" s="24">
        <f t="shared" si="362"/>
        <v>1</v>
      </c>
      <c r="T394" s="726"/>
      <c r="U394" s="1521"/>
      <c r="V394" s="1521"/>
      <c r="W394" s="1521"/>
      <c r="X394" s="1521"/>
      <c r="Y394" s="1521"/>
      <c r="Z394" s="1521"/>
      <c r="AA394" s="1522"/>
      <c r="AC394" s="219"/>
      <c r="AD394" s="219"/>
      <c r="AE394" s="219"/>
      <c r="AF394" s="219"/>
      <c r="AG394" s="219"/>
      <c r="AH394" s="219"/>
      <c r="AI394" s="706"/>
      <c r="AK394" s="1521"/>
      <c r="AL394" s="1521"/>
      <c r="AM394" s="1521"/>
      <c r="AN394" s="1521"/>
      <c r="AO394" s="1521"/>
      <c r="AP394" s="1521"/>
      <c r="AQ394" s="1522"/>
    </row>
    <row r="395" spans="1:43" s="1365" customFormat="1" outlineLevel="3">
      <c r="A395" s="22"/>
      <c r="B395" s="22"/>
      <c r="C395" s="22"/>
      <c r="D395" s="707" t="s">
        <v>841</v>
      </c>
      <c r="E395" s="708"/>
      <c r="F395" s="708"/>
      <c r="G395" s="708"/>
      <c r="H395" s="793">
        <f>H383/H$382</f>
        <v>0.12299682704081816</v>
      </c>
      <c r="I395" s="793">
        <f t="shared" si="362"/>
        <v>0.20965768850465893</v>
      </c>
      <c r="J395" s="793">
        <f t="shared" si="362"/>
        <v>0.11859532371436282</v>
      </c>
      <c r="K395" s="793">
        <f t="shared" si="362"/>
        <v>5.5039378563172224E-2</v>
      </c>
      <c r="L395" s="793">
        <f t="shared" si="362"/>
        <v>7.0854499516263575E-2</v>
      </c>
      <c r="M395" s="793">
        <f t="shared" si="362"/>
        <v>6.3976956374628538E-2</v>
      </c>
      <c r="N395" s="793">
        <f t="shared" si="362"/>
        <v>5.8322881561445952E-2</v>
      </c>
      <c r="O395" s="793">
        <f t="shared" si="362"/>
        <v>5.4649107835118303E-2</v>
      </c>
      <c r="P395" s="793">
        <f t="shared" si="362"/>
        <v>5.3715598556546076E-2</v>
      </c>
      <c r="Q395" s="793">
        <f t="shared" si="362"/>
        <v>5.6425475157890301E-2</v>
      </c>
      <c r="R395" s="793">
        <f t="shared" si="362"/>
        <v>5.9181565689426265E-2</v>
      </c>
      <c r="S395" s="803">
        <f t="shared" si="362"/>
        <v>6.0375644375677946E-2</v>
      </c>
      <c r="T395" s="726"/>
      <c r="U395" s="1521"/>
      <c r="V395" s="1521"/>
      <c r="W395" s="1521"/>
      <c r="X395" s="1521"/>
      <c r="Y395" s="1521"/>
      <c r="Z395" s="1521"/>
      <c r="AA395" s="1523"/>
      <c r="AC395" s="728"/>
      <c r="AD395" s="728"/>
      <c r="AE395" s="728"/>
      <c r="AF395" s="728"/>
      <c r="AG395" s="728"/>
      <c r="AH395" s="728"/>
      <c r="AI395" s="22"/>
      <c r="AK395" s="1521"/>
      <c r="AL395" s="1521"/>
      <c r="AM395" s="1521"/>
      <c r="AN395" s="1521"/>
      <c r="AO395" s="1521"/>
      <c r="AP395" s="1521"/>
      <c r="AQ395" s="1523"/>
    </row>
    <row r="396" spans="1:43" s="1365" customFormat="1" outlineLevel="3">
      <c r="A396" s="22"/>
      <c r="B396" s="22"/>
      <c r="C396" s="22"/>
      <c r="D396" s="715" t="s">
        <v>842</v>
      </c>
      <c r="E396" s="22"/>
      <c r="F396" s="22"/>
      <c r="G396" s="22"/>
      <c r="H396" s="91">
        <f>H384/H$382</f>
        <v>0.32266145149076986</v>
      </c>
      <c r="I396" s="91">
        <f t="shared" si="362"/>
        <v>0.32603785172899746</v>
      </c>
      <c r="J396" s="91">
        <f t="shared" si="362"/>
        <v>0.24868990317263709</v>
      </c>
      <c r="K396" s="91">
        <f t="shared" si="362"/>
        <v>0.1409008091217209</v>
      </c>
      <c r="L396" s="91">
        <f t="shared" si="362"/>
        <v>0.15578694526295001</v>
      </c>
      <c r="M396" s="91">
        <f t="shared" si="362"/>
        <v>0.23826590645317203</v>
      </c>
      <c r="N396" s="91">
        <f t="shared" si="362"/>
        <v>0.21066985688649978</v>
      </c>
      <c r="O396" s="91">
        <f t="shared" si="362"/>
        <v>0.23499965108788909</v>
      </c>
      <c r="P396" s="91">
        <f t="shared" si="362"/>
        <v>0.26111394875841626</v>
      </c>
      <c r="Q396" s="91">
        <f t="shared" si="362"/>
        <v>0.27428678121378119</v>
      </c>
      <c r="R396" s="91">
        <f t="shared" si="362"/>
        <v>0.28768426166943439</v>
      </c>
      <c r="S396" s="804">
        <f t="shared" si="362"/>
        <v>0.2934887320518545</v>
      </c>
      <c r="T396" s="726"/>
      <c r="U396" s="1521"/>
      <c r="V396" s="1521"/>
      <c r="W396" s="1521"/>
      <c r="X396" s="1521"/>
      <c r="Y396" s="1521"/>
      <c r="Z396" s="1521"/>
      <c r="AA396" s="1523"/>
      <c r="AC396" s="728"/>
      <c r="AD396" s="728"/>
      <c r="AE396" s="728"/>
      <c r="AF396" s="728"/>
      <c r="AG396" s="728"/>
      <c r="AH396" s="728"/>
      <c r="AI396" s="22"/>
      <c r="AK396" s="1521"/>
      <c r="AL396" s="1521"/>
      <c r="AM396" s="1521"/>
      <c r="AN396" s="1521"/>
      <c r="AO396" s="1521"/>
      <c r="AP396" s="1521"/>
      <c r="AQ396" s="1523"/>
    </row>
    <row r="397" spans="1:43" s="1365" customFormat="1" outlineLevel="3">
      <c r="A397" s="22"/>
      <c r="B397" s="22"/>
      <c r="C397" s="22"/>
      <c r="D397" s="715" t="s">
        <v>843</v>
      </c>
      <c r="E397" s="22"/>
      <c r="F397" s="22"/>
      <c r="G397" s="22"/>
      <c r="H397" s="91">
        <f t="shared" ref="H397:S399" si="363">H385/H$382</f>
        <v>0.43448446086440534</v>
      </c>
      <c r="I397" s="91">
        <f t="shared" si="363"/>
        <v>0.29536160704896297</v>
      </c>
      <c r="J397" s="91">
        <f t="shared" si="363"/>
        <v>0.43788038055929679</v>
      </c>
      <c r="K397" s="91">
        <f t="shared" si="363"/>
        <v>0.10932938894657446</v>
      </c>
      <c r="L397" s="91">
        <f t="shared" si="363"/>
        <v>0.15257171067817801</v>
      </c>
      <c r="M397" s="91">
        <f t="shared" si="363"/>
        <v>0.21253315142605927</v>
      </c>
      <c r="N397" s="91">
        <f t="shared" si="363"/>
        <v>0.19735139434611723</v>
      </c>
      <c r="O397" s="91">
        <f t="shared" si="363"/>
        <v>0.20253162335886363</v>
      </c>
      <c r="P397" s="91">
        <f t="shared" si="363"/>
        <v>0.20772730779236565</v>
      </c>
      <c r="Q397" s="91">
        <f t="shared" si="363"/>
        <v>0.20947858473158826</v>
      </c>
      <c r="R397" s="91">
        <f t="shared" si="363"/>
        <v>0.21092210149059731</v>
      </c>
      <c r="S397" s="804">
        <f t="shared" si="363"/>
        <v>0.21517777777957958</v>
      </c>
      <c r="T397" s="726"/>
      <c r="U397" s="1521"/>
      <c r="V397" s="1521"/>
      <c r="W397" s="1521"/>
      <c r="X397" s="1521"/>
      <c r="Y397" s="1521"/>
      <c r="Z397" s="1521"/>
      <c r="AA397" s="1523"/>
      <c r="AC397" s="728"/>
      <c r="AD397" s="728"/>
      <c r="AE397" s="728"/>
      <c r="AF397" s="728"/>
      <c r="AG397" s="728"/>
      <c r="AH397" s="728"/>
      <c r="AI397" s="22"/>
      <c r="AK397" s="1521"/>
      <c r="AL397" s="1521"/>
      <c r="AM397" s="1521"/>
      <c r="AN397" s="1521"/>
      <c r="AO397" s="1521"/>
      <c r="AP397" s="1521"/>
      <c r="AQ397" s="1523"/>
    </row>
    <row r="398" spans="1:43" s="1365" customFormat="1" outlineLevel="3">
      <c r="A398" s="22"/>
      <c r="B398" s="22"/>
      <c r="C398" s="22"/>
      <c r="D398" s="715" t="s">
        <v>844</v>
      </c>
      <c r="E398" s="22"/>
      <c r="F398" s="22"/>
      <c r="G398" s="22"/>
      <c r="H398" s="91">
        <f t="shared" si="363"/>
        <v>0.11985726060400666</v>
      </c>
      <c r="I398" s="91">
        <f t="shared" si="363"/>
        <v>0.16894285271738077</v>
      </c>
      <c r="J398" s="91">
        <f t="shared" si="363"/>
        <v>0.16353336785702557</v>
      </c>
      <c r="K398" s="91">
        <f t="shared" si="363"/>
        <v>0.63303734106537624</v>
      </c>
      <c r="L398" s="91">
        <f t="shared" si="363"/>
        <v>0.60596103330209872</v>
      </c>
      <c r="M398" s="91">
        <f t="shared" si="363"/>
        <v>0.41747169325895467</v>
      </c>
      <c r="N398" s="91">
        <f t="shared" si="363"/>
        <v>0.49878827480839977</v>
      </c>
      <c r="O398" s="91">
        <f t="shared" si="363"/>
        <v>0.46736946953107761</v>
      </c>
      <c r="P398" s="91">
        <f t="shared" si="363"/>
        <v>0.43941262128158892</v>
      </c>
      <c r="Q398" s="91">
        <f t="shared" si="363"/>
        <v>0.42465394193606942</v>
      </c>
      <c r="R398" s="91">
        <f t="shared" si="363"/>
        <v>0.40976438891242678</v>
      </c>
      <c r="S398" s="804">
        <f t="shared" si="363"/>
        <v>0.40061401221788312</v>
      </c>
      <c r="T398" s="726"/>
      <c r="U398" s="1521"/>
      <c r="V398" s="1521"/>
      <c r="W398" s="1521"/>
      <c r="X398" s="1521"/>
      <c r="Y398" s="1521"/>
      <c r="Z398" s="1521"/>
      <c r="AA398" s="1523"/>
      <c r="AC398" s="728"/>
      <c r="AD398" s="728"/>
      <c r="AE398" s="728"/>
      <c r="AF398" s="728"/>
      <c r="AG398" s="728"/>
      <c r="AH398" s="728"/>
      <c r="AI398" s="22"/>
      <c r="AK398" s="1521"/>
      <c r="AL398" s="1521"/>
      <c r="AM398" s="1521"/>
      <c r="AN398" s="1521"/>
      <c r="AO398" s="1521"/>
      <c r="AP398" s="1521"/>
      <c r="AQ398" s="1523"/>
    </row>
    <row r="399" spans="1:43" s="1365" customFormat="1" outlineLevel="3">
      <c r="A399" s="22"/>
      <c r="B399" s="22"/>
      <c r="C399" s="22"/>
      <c r="D399" s="719" t="s">
        <v>665</v>
      </c>
      <c r="E399" s="720"/>
      <c r="F399" s="720"/>
      <c r="G399" s="720"/>
      <c r="H399" s="794">
        <f t="shared" si="363"/>
        <v>0</v>
      </c>
      <c r="I399" s="794">
        <f t="shared" si="363"/>
        <v>0</v>
      </c>
      <c r="J399" s="794">
        <f t="shared" si="363"/>
        <v>3.1301024696677802E-2</v>
      </c>
      <c r="K399" s="794">
        <f t="shared" si="363"/>
        <v>6.1693082303156163E-2</v>
      </c>
      <c r="L399" s="794">
        <f t="shared" si="363"/>
        <v>1.4825811240509742E-2</v>
      </c>
      <c r="M399" s="794">
        <f t="shared" si="363"/>
        <v>6.7752292487185659E-2</v>
      </c>
      <c r="N399" s="794">
        <f t="shared" si="363"/>
        <v>3.4867592397537304E-2</v>
      </c>
      <c r="O399" s="794">
        <f t="shared" si="363"/>
        <v>4.0450148187051463E-2</v>
      </c>
      <c r="P399" s="794">
        <f t="shared" si="363"/>
        <v>3.8030523611083021E-2</v>
      </c>
      <c r="Q399" s="794">
        <f t="shared" si="363"/>
        <v>3.5155216960670914E-2</v>
      </c>
      <c r="R399" s="794">
        <f t="shared" si="363"/>
        <v>3.2447682238115443E-2</v>
      </c>
      <c r="S399" s="805">
        <f t="shared" si="363"/>
        <v>3.0343833575004919E-2</v>
      </c>
      <c r="T399" s="726"/>
      <c r="U399" s="1521"/>
      <c r="V399" s="1521"/>
      <c r="W399" s="1521"/>
      <c r="X399" s="1521"/>
      <c r="Y399" s="1521"/>
      <c r="Z399" s="1521"/>
      <c r="AA399" s="1523"/>
      <c r="AC399" s="728"/>
      <c r="AD399" s="728"/>
      <c r="AE399" s="728"/>
      <c r="AF399" s="728"/>
      <c r="AG399" s="728"/>
      <c r="AH399" s="728"/>
      <c r="AI399" s="22"/>
      <c r="AK399" s="1521"/>
      <c r="AL399" s="1521"/>
      <c r="AM399" s="1521"/>
      <c r="AN399" s="1521"/>
      <c r="AO399" s="1521"/>
      <c r="AP399" s="1521"/>
      <c r="AQ399" s="1523"/>
    </row>
    <row r="400" spans="1:43" outlineLevel="3">
      <c r="C400" s="1" t="s">
        <v>31</v>
      </c>
      <c r="H400" s="806">
        <f t="shared" ref="H400:K405" si="364">IFERROR(H406/H382,"NA")</f>
        <v>0.46509722144109406</v>
      </c>
      <c r="I400" s="806">
        <f t="shared" si="364"/>
        <v>0.41679348625617407</v>
      </c>
      <c r="J400" s="806">
        <f t="shared" si="364"/>
        <v>0.42470047770387831</v>
      </c>
      <c r="K400" s="806">
        <f t="shared" si="364"/>
        <v>0.26504613757028389</v>
      </c>
      <c r="L400" s="806">
        <f t="shared" ref="L400:S405" si="365">IFERROR(L406/L382,"NA")</f>
        <v>0.31973672399703651</v>
      </c>
      <c r="M400" s="806">
        <f t="shared" si="365"/>
        <v>0.3821398450560291</v>
      </c>
      <c r="N400" s="806">
        <f t="shared" si="365"/>
        <v>0.35075990656721845</v>
      </c>
      <c r="O400" s="806">
        <f t="shared" si="365"/>
        <v>0.3638178208662427</v>
      </c>
      <c r="P400" s="806">
        <f t="shared" si="365"/>
        <v>0.37382374927190049</v>
      </c>
      <c r="Q400" s="806">
        <f t="shared" si="365"/>
        <v>0.37825715700474333</v>
      </c>
      <c r="R400" s="806">
        <f t="shared" si="365"/>
        <v>0.38281509170886485</v>
      </c>
      <c r="S400" s="806">
        <f t="shared" si="365"/>
        <v>0.38498253299778651</v>
      </c>
      <c r="U400" s="1529">
        <f>$L400*(1+$AA400)</f>
        <v>0.32613145847697722</v>
      </c>
      <c r="V400" s="1529">
        <f>U400*(1+$AA400)</f>
        <v>0.33265408764651677</v>
      </c>
      <c r="W400" s="1529">
        <f t="shared" ref="W400:Z400" si="366">V400*(1+$AA400)</f>
        <v>0.33930716939944711</v>
      </c>
      <c r="X400" s="1529">
        <f t="shared" si="366"/>
        <v>0.34609331278743605</v>
      </c>
      <c r="Y400" s="1529">
        <f t="shared" si="366"/>
        <v>0.3530151790431848</v>
      </c>
      <c r="Z400" s="1529">
        <f t="shared" si="366"/>
        <v>0.36007548262404848</v>
      </c>
      <c r="AA400" s="1520">
        <v>0.02</v>
      </c>
      <c r="AC400" s="448"/>
      <c r="AD400" s="448"/>
      <c r="AE400" s="448"/>
      <c r="AF400" s="448"/>
      <c r="AG400" s="448"/>
      <c r="AH400" s="448"/>
      <c r="AI400" s="702"/>
      <c r="AK400" s="1529">
        <f>$L400*(1+$AQ400)</f>
        <v>0.31973672399703651</v>
      </c>
      <c r="AL400" s="1529">
        <f>AK400*(1+$AQ400)</f>
        <v>0.31973672399703651</v>
      </c>
      <c r="AM400" s="1529">
        <f t="shared" ref="AM400:AN400" si="367">AL400*(1+$AQ400)</f>
        <v>0.31973672399703651</v>
      </c>
      <c r="AN400" s="1529">
        <f t="shared" si="367"/>
        <v>0.31973672399703651</v>
      </c>
      <c r="AO400" s="1529">
        <f>AN400*(1+$AQ400)</f>
        <v>0.31973672399703651</v>
      </c>
      <c r="AP400" s="1529">
        <f t="shared" ref="AP400" si="368">AO400*(1+$AQ400)</f>
        <v>0.31973672399703651</v>
      </c>
      <c r="AQ400" s="1520">
        <v>0</v>
      </c>
    </row>
    <row r="401" spans="3:34" outlineLevel="3">
      <c r="D401" s="27" t="s">
        <v>841</v>
      </c>
      <c r="E401" s="28"/>
      <c r="F401" s="28"/>
      <c r="G401" s="28"/>
      <c r="H401" s="693">
        <f t="shared" si="364"/>
        <v>0.4547427245469598</v>
      </c>
      <c r="I401" s="693">
        <f t="shared" si="364"/>
        <v>0.44887430482501617</v>
      </c>
      <c r="J401" s="693">
        <f t="shared" si="364"/>
        <v>0.43121791361621931</v>
      </c>
      <c r="K401" s="693">
        <f t="shared" si="364"/>
        <v>0.37432703003337042</v>
      </c>
      <c r="L401" s="693">
        <f t="shared" si="365"/>
        <v>0.37453793895722159</v>
      </c>
      <c r="M401" s="693">
        <f t="shared" si="365"/>
        <v>0.32971893625733656</v>
      </c>
      <c r="N401" s="780">
        <f>CHOOSE(case,U401,AC401,AK401)</f>
        <v>0.32971893625733656</v>
      </c>
      <c r="O401" s="781">
        <f t="shared" ref="O401" si="369">CHOOSE(case,V401,AD401,AL401)</f>
        <v>0.32971893625733656</v>
      </c>
      <c r="P401" s="781">
        <f t="shared" ref="P401" si="370">CHOOSE(case,W401,AE401,AM401)</f>
        <v>0.32971893625733656</v>
      </c>
      <c r="Q401" s="781">
        <f t="shared" ref="Q401" si="371">CHOOSE(case,X401,AF401,AN401)</f>
        <v>0.32971893625733656</v>
      </c>
      <c r="R401" s="781">
        <f t="shared" ref="R401" si="372">CHOOSE(case,Y401,AG401,AO401)</f>
        <v>0.32971893625733656</v>
      </c>
      <c r="S401" s="782">
        <f t="shared" ref="S401" si="373">CHOOSE(case,Z401,AH401,AP401)</f>
        <v>0.32971893625733656</v>
      </c>
      <c r="T401" s="993"/>
      <c r="U401" s="1530"/>
      <c r="V401" s="1530"/>
      <c r="W401" s="1530"/>
      <c r="X401" s="1530"/>
      <c r="Y401" s="1530"/>
      <c r="Z401" s="1530"/>
      <c r="AA401" s="1530"/>
      <c r="AB401" s="1371"/>
      <c r="AC401" s="783">
        <f t="shared" ref="AC401:AC405" si="374">M401</f>
        <v>0.32971893625733656</v>
      </c>
      <c r="AD401" s="783">
        <f t="shared" ref="AD401:AH405" si="375">AC401</f>
        <v>0.32971893625733656</v>
      </c>
      <c r="AE401" s="783">
        <f t="shared" si="375"/>
        <v>0.32971893625733656</v>
      </c>
      <c r="AF401" s="783">
        <f t="shared" si="375"/>
        <v>0.32971893625733656</v>
      </c>
      <c r="AG401" s="783">
        <f t="shared" si="375"/>
        <v>0.32971893625733656</v>
      </c>
      <c r="AH401" s="783">
        <f t="shared" si="375"/>
        <v>0.32971893625733656</v>
      </c>
    </row>
    <row r="402" spans="3:34" outlineLevel="3">
      <c r="D402" s="31" t="s">
        <v>842</v>
      </c>
      <c r="H402" s="695">
        <f t="shared" si="364"/>
        <v>0.51759262018396923</v>
      </c>
      <c r="I402" s="695">
        <f t="shared" si="364"/>
        <v>0.44831085937470988</v>
      </c>
      <c r="J402" s="695">
        <f t="shared" si="364"/>
        <v>0.49136945496079121</v>
      </c>
      <c r="K402" s="695">
        <f t="shared" si="364"/>
        <v>0.58740614571746386</v>
      </c>
      <c r="L402" s="695">
        <f t="shared" si="365"/>
        <v>0.58700266696124215</v>
      </c>
      <c r="M402" s="695">
        <f t="shared" si="365"/>
        <v>0.6036417975953311</v>
      </c>
      <c r="N402" s="785">
        <f>CHOOSE(case,U402,AC402,AK402)</f>
        <v>0.6036417975953311</v>
      </c>
      <c r="O402" s="786">
        <f t="shared" ref="O402:O405" si="376">CHOOSE(case,V402,AD402,AL402)</f>
        <v>0.6036417975953311</v>
      </c>
      <c r="P402" s="786">
        <f t="shared" ref="P402:P405" si="377">CHOOSE(case,W402,AE402,AM402)</f>
        <v>0.6036417975953311</v>
      </c>
      <c r="Q402" s="786">
        <f t="shared" ref="Q402:Q405" si="378">CHOOSE(case,X402,AF402,AN402)</f>
        <v>0.6036417975953311</v>
      </c>
      <c r="R402" s="786">
        <f t="shared" ref="R402:R405" si="379">CHOOSE(case,Y402,AG402,AO402)</f>
        <v>0.6036417975953311</v>
      </c>
      <c r="S402" s="787">
        <f t="shared" ref="S402:S405" si="380">CHOOSE(case,Z402,AH402,AP402)</f>
        <v>0.6036417975953311</v>
      </c>
      <c r="T402" s="993"/>
      <c r="U402" s="1530"/>
      <c r="V402" s="1530"/>
      <c r="W402" s="1530"/>
      <c r="X402" s="1530"/>
      <c r="Y402" s="1530"/>
      <c r="Z402" s="1530"/>
      <c r="AA402" s="1530"/>
      <c r="AB402" s="1371"/>
      <c r="AC402" s="783">
        <f t="shared" si="374"/>
        <v>0.6036417975953311</v>
      </c>
      <c r="AD402" s="783">
        <f t="shared" si="375"/>
        <v>0.6036417975953311</v>
      </c>
      <c r="AE402" s="783">
        <f t="shared" si="375"/>
        <v>0.6036417975953311</v>
      </c>
      <c r="AF402" s="783">
        <f t="shared" si="375"/>
        <v>0.6036417975953311</v>
      </c>
      <c r="AG402" s="783">
        <f t="shared" si="375"/>
        <v>0.6036417975953311</v>
      </c>
      <c r="AH402" s="783">
        <f t="shared" si="375"/>
        <v>0.6036417975953311</v>
      </c>
    </row>
    <row r="403" spans="3:34" outlineLevel="3">
      <c r="D403" s="31" t="s">
        <v>843</v>
      </c>
      <c r="H403" s="695">
        <f t="shared" si="364"/>
        <v>0.46125434171648999</v>
      </c>
      <c r="I403" s="695">
        <f t="shared" si="364"/>
        <v>0.50160198065684991</v>
      </c>
      <c r="J403" s="695">
        <f t="shared" si="364"/>
        <v>0.45014715443507008</v>
      </c>
      <c r="K403" s="695">
        <f t="shared" si="364"/>
        <v>0.43887196487769914</v>
      </c>
      <c r="L403" s="695">
        <f t="shared" si="365"/>
        <v>0.43729883954985882</v>
      </c>
      <c r="M403" s="695">
        <f t="shared" si="365"/>
        <v>0.38990042120128238</v>
      </c>
      <c r="N403" s="785">
        <f>CHOOSE(case,U403,AC403,AK403)</f>
        <v>0.38990042120128238</v>
      </c>
      <c r="O403" s="786">
        <f t="shared" si="376"/>
        <v>0.38990042120128238</v>
      </c>
      <c r="P403" s="786">
        <f t="shared" si="377"/>
        <v>0.38990042120128238</v>
      </c>
      <c r="Q403" s="786">
        <f t="shared" si="378"/>
        <v>0.38990042120128238</v>
      </c>
      <c r="R403" s="786">
        <f t="shared" si="379"/>
        <v>0.38990042120128238</v>
      </c>
      <c r="S403" s="787">
        <f t="shared" si="380"/>
        <v>0.38990042120128238</v>
      </c>
      <c r="T403" s="993"/>
      <c r="U403" s="1530"/>
      <c r="V403" s="1530"/>
      <c r="W403" s="1530"/>
      <c r="X403" s="1530"/>
      <c r="Y403" s="1530"/>
      <c r="Z403" s="1530"/>
      <c r="AA403" s="1530"/>
      <c r="AB403" s="1371"/>
      <c r="AC403" s="783">
        <f t="shared" si="374"/>
        <v>0.38990042120128238</v>
      </c>
      <c r="AD403" s="783">
        <f t="shared" si="375"/>
        <v>0.38990042120128238</v>
      </c>
      <c r="AE403" s="783">
        <f t="shared" si="375"/>
        <v>0.38990042120128238</v>
      </c>
      <c r="AF403" s="783">
        <f t="shared" si="375"/>
        <v>0.38990042120128238</v>
      </c>
      <c r="AG403" s="783">
        <f t="shared" si="375"/>
        <v>0.38990042120128238</v>
      </c>
      <c r="AH403" s="783">
        <f t="shared" si="375"/>
        <v>0.38990042120128238</v>
      </c>
    </row>
    <row r="404" spans="3:34" outlineLevel="3">
      <c r="D404" s="31" t="s">
        <v>844</v>
      </c>
      <c r="H404" s="695">
        <f t="shared" si="364"/>
        <v>0.34833333333333338</v>
      </c>
      <c r="I404" s="695">
        <f t="shared" si="364"/>
        <v>0.16788671446084968</v>
      </c>
      <c r="J404" s="695">
        <f t="shared" si="364"/>
        <v>0.24897601320231455</v>
      </c>
      <c r="K404" s="695">
        <f t="shared" si="364"/>
        <v>0.16783947202482041</v>
      </c>
      <c r="L404" s="695">
        <f t="shared" si="365"/>
        <v>0.20785057217367117</v>
      </c>
      <c r="M404" s="695">
        <f t="shared" si="365"/>
        <v>0.20522225589519505</v>
      </c>
      <c r="N404" s="785">
        <f>CHOOSE(case,U404,AC404,AK404)</f>
        <v>0.20522225589519505</v>
      </c>
      <c r="O404" s="786">
        <f t="shared" si="376"/>
        <v>0.20522225589519505</v>
      </c>
      <c r="P404" s="786">
        <f t="shared" si="377"/>
        <v>0.20522225589519505</v>
      </c>
      <c r="Q404" s="786">
        <f t="shared" si="378"/>
        <v>0.20522225589519505</v>
      </c>
      <c r="R404" s="786">
        <f t="shared" si="379"/>
        <v>0.20522225589519505</v>
      </c>
      <c r="S404" s="787">
        <f t="shared" si="380"/>
        <v>0.20522225589519505</v>
      </c>
      <c r="T404" s="993"/>
      <c r="U404" s="1530"/>
      <c r="V404" s="1530"/>
      <c r="W404" s="1530"/>
      <c r="X404" s="1530"/>
      <c r="Y404" s="1530"/>
      <c r="Z404" s="1530"/>
      <c r="AA404" s="1530"/>
      <c r="AB404" s="1371"/>
      <c r="AC404" s="783">
        <f t="shared" si="374"/>
        <v>0.20522225589519505</v>
      </c>
      <c r="AD404" s="783">
        <f t="shared" si="375"/>
        <v>0.20522225589519505</v>
      </c>
      <c r="AE404" s="783">
        <f t="shared" si="375"/>
        <v>0.20522225589519505</v>
      </c>
      <c r="AF404" s="783">
        <f t="shared" si="375"/>
        <v>0.20522225589519505</v>
      </c>
      <c r="AG404" s="783">
        <f t="shared" si="375"/>
        <v>0.20522225589519505</v>
      </c>
      <c r="AH404" s="783">
        <f t="shared" si="375"/>
        <v>0.20522225589519505</v>
      </c>
    </row>
    <row r="405" spans="3:34" ht="15" outlineLevel="3" thickBot="1">
      <c r="C405" s="37"/>
      <c r="D405" s="38" t="s">
        <v>665</v>
      </c>
      <c r="E405" s="37"/>
      <c r="F405" s="37"/>
      <c r="G405" s="37"/>
      <c r="H405" s="697" t="str">
        <f t="shared" si="364"/>
        <v>NA</v>
      </c>
      <c r="I405" s="697" t="str">
        <f t="shared" si="364"/>
        <v>NA</v>
      </c>
      <c r="J405" s="697">
        <f t="shared" si="364"/>
        <v>0.4324118573049055</v>
      </c>
      <c r="K405" s="697">
        <f t="shared" si="364"/>
        <v>0.12071292473801207</v>
      </c>
      <c r="L405" s="697">
        <f t="shared" si="365"/>
        <v>0.6126406018148125</v>
      </c>
      <c r="M405" s="697">
        <f t="shared" si="365"/>
        <v>0.71845425841629318</v>
      </c>
      <c r="N405" s="807">
        <f>CHOOSE(case,U405,AC405,AK405)</f>
        <v>0.71845425841629318</v>
      </c>
      <c r="O405" s="808">
        <f t="shared" si="376"/>
        <v>0.71845425841629318</v>
      </c>
      <c r="P405" s="808">
        <f t="shared" si="377"/>
        <v>0.71845425841629318</v>
      </c>
      <c r="Q405" s="808">
        <f t="shared" si="378"/>
        <v>0.71845425841629318</v>
      </c>
      <c r="R405" s="808">
        <f t="shared" si="379"/>
        <v>0.71845425841629318</v>
      </c>
      <c r="S405" s="809">
        <f t="shared" si="380"/>
        <v>0.71845425841629318</v>
      </c>
      <c r="T405" s="993"/>
      <c r="U405" s="1530"/>
      <c r="V405" s="1530"/>
      <c r="W405" s="1530"/>
      <c r="X405" s="1530"/>
      <c r="Y405" s="1530"/>
      <c r="Z405" s="1530"/>
      <c r="AA405" s="1530"/>
      <c r="AB405" s="1371"/>
      <c r="AC405" s="783">
        <f t="shared" si="374"/>
        <v>0.71845425841629318</v>
      </c>
      <c r="AD405" s="783">
        <f t="shared" si="375"/>
        <v>0.71845425841629318</v>
      </c>
      <c r="AE405" s="783">
        <f t="shared" si="375"/>
        <v>0.71845425841629318</v>
      </c>
      <c r="AF405" s="783">
        <f t="shared" si="375"/>
        <v>0.71845425841629318</v>
      </c>
      <c r="AG405" s="783">
        <f t="shared" si="375"/>
        <v>0.71845425841629318</v>
      </c>
      <c r="AH405" s="783">
        <f t="shared" si="375"/>
        <v>0.71845425841629318</v>
      </c>
    </row>
    <row r="406" spans="3:34" outlineLevel="3">
      <c r="C406" s="18" t="s">
        <v>845</v>
      </c>
      <c r="H406" s="23">
        <f>SUM(H407:H411)</f>
        <v>30126.462759999999</v>
      </c>
      <c r="I406" s="23">
        <f t="shared" ref="I406:S406" si="381">SUM(I407:I411)</f>
        <v>74055.456930000015</v>
      </c>
      <c r="J406" s="23">
        <f t="shared" si="381"/>
        <v>105499.47193000001</v>
      </c>
      <c r="K406" s="23">
        <f t="shared" si="381"/>
        <v>108230</v>
      </c>
      <c r="L406" s="23">
        <f t="shared" si="381"/>
        <v>126154.62990999999</v>
      </c>
      <c r="M406" s="23">
        <f t="shared" si="381"/>
        <v>66691.485220000002</v>
      </c>
      <c r="N406" s="23">
        <f>SUM(N407:N411)</f>
        <v>117692.04804612685</v>
      </c>
      <c r="O406" s="23">
        <f t="shared" si="381"/>
        <v>136793.77628748713</v>
      </c>
      <c r="P406" s="23">
        <f t="shared" si="381"/>
        <v>164448.43947174397</v>
      </c>
      <c r="Q406" s="23">
        <f t="shared" si="381"/>
        <v>198009.13622842316</v>
      </c>
      <c r="R406" s="23">
        <f t="shared" si="381"/>
        <v>238828.36925657798</v>
      </c>
      <c r="S406" s="23">
        <f t="shared" si="381"/>
        <v>282516.49260728824</v>
      </c>
      <c r="T406" s="1205"/>
    </row>
    <row r="407" spans="3:34" outlineLevel="3">
      <c r="D407" s="27" t="s">
        <v>841</v>
      </c>
      <c r="E407" s="28"/>
      <c r="F407" s="28"/>
      <c r="G407" s="28"/>
      <c r="H407" s="398">
        <v>3622.9643899999996</v>
      </c>
      <c r="I407" s="398">
        <v>16721.363260000002</v>
      </c>
      <c r="J407" s="398">
        <v>12703.748729999998</v>
      </c>
      <c r="K407" s="398">
        <v>8413</v>
      </c>
      <c r="L407" s="398">
        <v>10470.656780000001</v>
      </c>
      <c r="M407" s="398">
        <v>3681.42139</v>
      </c>
      <c r="N407" s="703">
        <f>N401*N383</f>
        <v>6452.3815064516366</v>
      </c>
      <c r="O407" s="29">
        <f t="shared" ref="O407:S407" si="382">O401*O383</f>
        <v>6775.0005817742194</v>
      </c>
      <c r="P407" s="29">
        <f t="shared" si="382"/>
        <v>7791.2506690403516</v>
      </c>
      <c r="Q407" s="29">
        <f t="shared" si="382"/>
        <v>9739.0633363004381</v>
      </c>
      <c r="R407" s="29">
        <f t="shared" si="382"/>
        <v>12173.829170375548</v>
      </c>
      <c r="S407" s="30">
        <f t="shared" si="382"/>
        <v>14608.595004450655</v>
      </c>
    </row>
    <row r="408" spans="3:34" outlineLevel="3">
      <c r="D408" s="31" t="s">
        <v>842</v>
      </c>
      <c r="H408" s="400">
        <v>10817.81516</v>
      </c>
      <c r="I408" s="400">
        <v>25970.68619</v>
      </c>
      <c r="J408" s="400">
        <v>30355.252199999995</v>
      </c>
      <c r="K408" s="400">
        <v>33797</v>
      </c>
      <c r="L408" s="400">
        <v>36081.26945</v>
      </c>
      <c r="M408" s="400">
        <v>25100.898829999998</v>
      </c>
      <c r="N408" s="704">
        <f>N402*N384</f>
        <v>42669.630161188361</v>
      </c>
      <c r="O408" s="20">
        <f t="shared" ref="O408:S411" si="383">O402*O384</f>
        <v>53337.037701485453</v>
      </c>
      <c r="P408" s="20">
        <f t="shared" si="383"/>
        <v>69338.149011931091</v>
      </c>
      <c r="Q408" s="20">
        <f t="shared" si="383"/>
        <v>86672.686264913849</v>
      </c>
      <c r="R408" s="20">
        <f t="shared" si="383"/>
        <v>108340.8578311423</v>
      </c>
      <c r="S408" s="32">
        <f t="shared" si="383"/>
        <v>130009.02939737076</v>
      </c>
    </row>
    <row r="409" spans="3:34" outlineLevel="3">
      <c r="D409" s="31" t="s">
        <v>843</v>
      </c>
      <c r="H409" s="400">
        <v>12981.32771</v>
      </c>
      <c r="I409" s="400">
        <v>26323.85124</v>
      </c>
      <c r="J409" s="400">
        <v>48964.072500000009</v>
      </c>
      <c r="K409" s="400">
        <v>19593</v>
      </c>
      <c r="L409" s="400">
        <v>26324.674720000003</v>
      </c>
      <c r="M409" s="400">
        <v>14462.003170000002</v>
      </c>
      <c r="N409" s="704">
        <f>N403*N385</f>
        <v>25818.50422715093</v>
      </c>
      <c r="O409" s="20">
        <f t="shared" si="383"/>
        <v>29691.279861223571</v>
      </c>
      <c r="P409" s="20">
        <f t="shared" si="383"/>
        <v>35629.535833468282</v>
      </c>
      <c r="Q409" s="20">
        <f t="shared" si="383"/>
        <v>42755.44300016194</v>
      </c>
      <c r="R409" s="20">
        <f t="shared" si="383"/>
        <v>51306.531600194328</v>
      </c>
      <c r="S409" s="32">
        <f t="shared" si="383"/>
        <v>61567.837920233185</v>
      </c>
    </row>
    <row r="410" spans="3:34" outlineLevel="3">
      <c r="D410" s="31" t="s">
        <v>844</v>
      </c>
      <c r="H410" s="400">
        <v>2704.3555000000001</v>
      </c>
      <c r="I410" s="400">
        <v>5039.5562399999999</v>
      </c>
      <c r="J410" s="400">
        <v>10114.197400000001</v>
      </c>
      <c r="K410" s="400">
        <v>43386</v>
      </c>
      <c r="L410" s="400">
        <v>49694.301989999993</v>
      </c>
      <c r="M410" s="400">
        <v>14952.009239999998</v>
      </c>
      <c r="N410" s="704">
        <f>N404*N386</f>
        <v>34346.134614931347</v>
      </c>
      <c r="O410" s="20">
        <f t="shared" si="383"/>
        <v>36063.441345677922</v>
      </c>
      <c r="P410" s="20">
        <f t="shared" si="383"/>
        <v>39669.785480245715</v>
      </c>
      <c r="Q410" s="20">
        <f t="shared" si="383"/>
        <v>45620.253302282566</v>
      </c>
      <c r="R410" s="20">
        <f t="shared" si="383"/>
        <v>52463.29129762495</v>
      </c>
      <c r="S410" s="32">
        <f t="shared" si="383"/>
        <v>60332.784992268687</v>
      </c>
    </row>
    <row r="411" spans="3:34" outlineLevel="3">
      <c r="D411" s="33" t="s">
        <v>665</v>
      </c>
      <c r="E411" s="34"/>
      <c r="F411" s="34"/>
      <c r="G411" s="34"/>
      <c r="H411" s="402">
        <v>0</v>
      </c>
      <c r="I411" s="402">
        <v>0</v>
      </c>
      <c r="J411" s="402">
        <v>3362.2011000000002</v>
      </c>
      <c r="K411" s="402">
        <v>3041</v>
      </c>
      <c r="L411" s="402">
        <v>3583.7269699999997</v>
      </c>
      <c r="M411" s="402">
        <v>8495.1525899999997</v>
      </c>
      <c r="N411" s="705">
        <f>N405*N387</f>
        <v>8405.3975364045691</v>
      </c>
      <c r="O411" s="35">
        <f t="shared" si="383"/>
        <v>10927.016797325941</v>
      </c>
      <c r="P411" s="35">
        <f t="shared" si="383"/>
        <v>12019.718477058535</v>
      </c>
      <c r="Q411" s="35">
        <f t="shared" si="383"/>
        <v>13221.69032476439</v>
      </c>
      <c r="R411" s="35">
        <f t="shared" si="383"/>
        <v>14543.85935724083</v>
      </c>
      <c r="S411" s="36">
        <f t="shared" si="383"/>
        <v>15998.245292964915</v>
      </c>
    </row>
    <row r="412" spans="3:34" outlineLevel="3">
      <c r="H412" s="43"/>
      <c r="I412" s="43"/>
      <c r="J412" s="43"/>
      <c r="K412" s="43"/>
      <c r="L412" s="144"/>
      <c r="M412" s="144"/>
      <c r="N412" s="144"/>
      <c r="S412" s="144"/>
    </row>
    <row r="413" spans="3:34" outlineLevel="3">
      <c r="C413" s="1" t="s">
        <v>659</v>
      </c>
      <c r="H413" s="394">
        <v>-21173</v>
      </c>
      <c r="I413" s="394">
        <v>-53429</v>
      </c>
      <c r="J413" s="394">
        <v>-70823</v>
      </c>
      <c r="K413" s="394">
        <v>-74019</v>
      </c>
      <c r="L413" s="394">
        <v>-85998.265642910832</v>
      </c>
      <c r="M413" s="394">
        <v>-46811.351404047018</v>
      </c>
      <c r="N413" s="20">
        <f>N414*N382</f>
        <v>-82609.10370154788</v>
      </c>
      <c r="O413" s="20">
        <f t="shared" ref="O413:S413" si="384">O414*O382</f>
        <v>-94599.760643015499</v>
      </c>
      <c r="P413" s="20">
        <f t="shared" si="384"/>
        <v>-113996.98987698763</v>
      </c>
      <c r="Q413" s="20">
        <f t="shared" si="384"/>
        <v>-137736.19104874766</v>
      </c>
      <c r="R413" s="20">
        <f t="shared" si="384"/>
        <v>-166624.73673896544</v>
      </c>
      <c r="S413" s="20">
        <f t="shared" si="384"/>
        <v>-197294.4339951305</v>
      </c>
    </row>
    <row r="414" spans="3:34" outlineLevel="3">
      <c r="D414" s="1" t="s">
        <v>849</v>
      </c>
      <c r="H414" s="744">
        <f>H413/H382</f>
        <v>-0.32687221025653146</v>
      </c>
      <c r="I414" s="744">
        <f t="shared" ref="I414" si="385">I413/I382</f>
        <v>-0.30070517555823717</v>
      </c>
      <c r="J414" s="744">
        <f>J413/J382</f>
        <v>-0.28510627951179895</v>
      </c>
      <c r="K414" s="744">
        <f>K413/K382</f>
        <v>-0.18126628528887409</v>
      </c>
      <c r="L414" s="744">
        <f t="shared" ref="L414:M414" si="386">L413/L382</f>
        <v>-0.21796111443319766</v>
      </c>
      <c r="M414" s="744">
        <f t="shared" si="386"/>
        <v>-0.26822738335180019</v>
      </c>
      <c r="N414" s="746">
        <f>N400/M400*M414</f>
        <v>-0.24620152318702193</v>
      </c>
      <c r="O414" s="744">
        <f>N414*(1+O415)</f>
        <v>-0.2515982795831207</v>
      </c>
      <c r="P414" s="744">
        <f t="shared" ref="P414:S414" si="387">O414*(1+P415)</f>
        <v>-0.25913765006477063</v>
      </c>
      <c r="Q414" s="744">
        <f t="shared" si="387"/>
        <v>-0.26311765727142661</v>
      </c>
      <c r="R414" s="744">
        <f t="shared" si="387"/>
        <v>-0.26708076630195249</v>
      </c>
      <c r="S414" s="744">
        <f t="shared" si="387"/>
        <v>-0.26885124562052026</v>
      </c>
    </row>
    <row r="415" spans="3:34" ht="15" outlineLevel="3" thickBot="1">
      <c r="C415" s="37"/>
      <c r="D415" s="74"/>
      <c r="E415" s="74" t="s">
        <v>151</v>
      </c>
      <c r="F415" s="37"/>
      <c r="G415" s="37"/>
      <c r="H415" s="747"/>
      <c r="I415" s="75">
        <f>I414/H414-1</f>
        <v>-8.0052797017397759E-2</v>
      </c>
      <c r="J415" s="75">
        <f>J414/I414-1</f>
        <v>-5.1874384993474076E-2</v>
      </c>
      <c r="K415" s="75"/>
      <c r="L415" s="75">
        <f>L414/J414-1</f>
        <v>-0.23550924656439398</v>
      </c>
      <c r="M415" s="75"/>
      <c r="N415" s="748">
        <f>N414/L414-1</f>
        <v>0.12956627069586579</v>
      </c>
      <c r="O415" s="749">
        <f>CHOOSE(case,V415,AD415,AL415)</f>
        <v>2.1920077204393484E-2</v>
      </c>
      <c r="P415" s="750">
        <f>CHOOSE(case,W415,AE415,AM415)</f>
        <v>2.9965906341419046E-2</v>
      </c>
      <c r="Q415" s="750">
        <f>CHOOSE(case,X415,AF415,AN415)</f>
        <v>1.5358660563840054E-2</v>
      </c>
      <c r="R415" s="750">
        <f>CHOOSE(case,Y415,AG415,AO415)</f>
        <v>1.5062117349416981E-2</v>
      </c>
      <c r="S415" s="751">
        <f>CHOOSE(case,Z415,AH415,AP415)</f>
        <v>6.6290034399787423E-3</v>
      </c>
      <c r="AC415" s="752"/>
      <c r="AD415" s="753">
        <f>(SUMPRODUCT(O395:O398,各区域分剂型成本优化!K$87:K$90)+O399*O405)/(SUMPRODUCT(N395:N398,各区域分剂型成本优化!J$87:J$90)+N399*N405)-1</f>
        <v>2.1920077204393484E-2</v>
      </c>
      <c r="AE415" s="753">
        <f>(SUMPRODUCT(P395:P398,各区域分剂型成本优化!L$87:L$90)+P399*P405)/(SUMPRODUCT(O395:O398,各区域分剂型成本优化!K$87:K$90)+O399*O405)-1</f>
        <v>2.9965906341419046E-2</v>
      </c>
      <c r="AF415" s="753">
        <f>(SUMPRODUCT(Q395:Q398,各区域分剂型成本优化!M$87:M$90)+Q399*Q405)/(SUMPRODUCT(P395:P398,各区域分剂型成本优化!L$87:L$90)+P399*P405)-1</f>
        <v>1.5358660563840054E-2</v>
      </c>
      <c r="AG415" s="753">
        <f>(SUMPRODUCT(R395:R398,各区域分剂型成本优化!N$87:N$90)+R399*R405)/(SUMPRODUCT(Q395:Q398,各区域分剂型成本优化!M$87:M$90)+Q399*Q405)-1</f>
        <v>1.5062117349416981E-2</v>
      </c>
      <c r="AH415" s="753">
        <f>(SUMPRODUCT(S395:S398,各区域分剂型成本优化!O$87:O$90)+S399*S405)/(SUMPRODUCT(R395:R398,各区域分剂型成本优化!N$87:N$90)+R399*R405)-1</f>
        <v>6.6290034399787423E-3</v>
      </c>
    </row>
    <row r="416" spans="3:34" outlineLevel="3">
      <c r="C416" s="18" t="s">
        <v>846</v>
      </c>
      <c r="D416" s="18"/>
      <c r="E416" s="18"/>
      <c r="F416" s="18"/>
      <c r="G416" s="18"/>
      <c r="H416" s="23">
        <f>H413+H406</f>
        <v>8953.4627599999985</v>
      </c>
      <c r="I416" s="23">
        <f>I413+I406</f>
        <v>20626.456930000015</v>
      </c>
      <c r="J416" s="23">
        <f>J413+J406</f>
        <v>34676.471930000014</v>
      </c>
      <c r="K416" s="23">
        <f>K413+K406</f>
        <v>34211</v>
      </c>
      <c r="L416" s="23">
        <f t="shared" ref="L416:S416" si="388">L413+L406</f>
        <v>40156.364267089157</v>
      </c>
      <c r="M416" s="23">
        <f t="shared" si="388"/>
        <v>19880.133815952984</v>
      </c>
      <c r="N416" s="23">
        <f t="shared" si="388"/>
        <v>35082.944344578966</v>
      </c>
      <c r="O416" s="23">
        <f t="shared" si="388"/>
        <v>42194.015644471627</v>
      </c>
      <c r="P416" s="23">
        <f t="shared" si="388"/>
        <v>50451.449594756341</v>
      </c>
      <c r="Q416" s="23">
        <f t="shared" si="388"/>
        <v>60272.945179675502</v>
      </c>
      <c r="R416" s="23">
        <f t="shared" si="388"/>
        <v>72203.632517612539</v>
      </c>
      <c r="S416" s="23">
        <f t="shared" si="388"/>
        <v>85222.058612157736</v>
      </c>
    </row>
    <row r="417" spans="1:43" outlineLevel="3">
      <c r="C417" s="22" t="s">
        <v>660</v>
      </c>
      <c r="D417" s="22"/>
      <c r="E417" s="22"/>
      <c r="F417" s="22"/>
      <c r="G417" s="22"/>
      <c r="H417" s="56">
        <f>IFERROR(H416/H406,"NA")</f>
        <v>0.29719595132448928</v>
      </c>
      <c r="I417" s="56">
        <f t="shared" ref="I417:S417" si="389">IFERROR(I416/I406,"NA")</f>
        <v>0.27852717119140746</v>
      </c>
      <c r="J417" s="56">
        <f t="shared" si="389"/>
        <v>0.32868858294388631</v>
      </c>
      <c r="K417" s="56">
        <f t="shared" si="389"/>
        <v>0.31609535249006743</v>
      </c>
      <c r="L417" s="56">
        <f t="shared" si="389"/>
        <v>0.31831066601152191</v>
      </c>
      <c r="M417" s="56">
        <f t="shared" si="389"/>
        <v>0.29809103441575724</v>
      </c>
      <c r="N417" s="56">
        <f t="shared" si="389"/>
        <v>0.29809103441575735</v>
      </c>
      <c r="O417" s="56">
        <f t="shared" si="389"/>
        <v>0.30844981979148139</v>
      </c>
      <c r="P417" s="56">
        <f t="shared" si="389"/>
        <v>0.30679190241525556</v>
      </c>
      <c r="Q417" s="56">
        <f t="shared" si="389"/>
        <v>0.30439476848252439</v>
      </c>
      <c r="R417" s="56">
        <f t="shared" si="389"/>
        <v>0.30232435427318421</v>
      </c>
      <c r="S417" s="56">
        <f t="shared" si="389"/>
        <v>0.30165339313701794</v>
      </c>
      <c r="U417" s="1526">
        <f>AC417+1%</f>
        <v>0.01</v>
      </c>
      <c r="V417" s="1526">
        <f t="shared" ref="V417:Z417" si="390">U417</f>
        <v>0.01</v>
      </c>
      <c r="W417" s="1526">
        <f t="shared" si="390"/>
        <v>0.01</v>
      </c>
      <c r="X417" s="1526">
        <f t="shared" si="390"/>
        <v>0.01</v>
      </c>
      <c r="Y417" s="1526">
        <f t="shared" si="390"/>
        <v>0.01</v>
      </c>
      <c r="Z417" s="1526">
        <f t="shared" si="390"/>
        <v>0.01</v>
      </c>
      <c r="AC417" s="416"/>
      <c r="AD417" s="65"/>
      <c r="AE417" s="65"/>
      <c r="AF417" s="65"/>
      <c r="AG417" s="65"/>
      <c r="AH417" s="65"/>
      <c r="AK417" s="1526">
        <f>AC417-1%</f>
        <v>-0.01</v>
      </c>
      <c r="AL417" s="1526">
        <f t="shared" ref="AL417:AP417" si="391">AK417</f>
        <v>-0.01</v>
      </c>
      <c r="AM417" s="1526">
        <f t="shared" si="391"/>
        <v>-0.01</v>
      </c>
      <c r="AN417" s="1526">
        <f t="shared" si="391"/>
        <v>-0.01</v>
      </c>
      <c r="AO417" s="1526">
        <f t="shared" si="391"/>
        <v>-0.01</v>
      </c>
      <c r="AP417" s="1526">
        <f t="shared" si="391"/>
        <v>-0.01</v>
      </c>
    </row>
    <row r="418" spans="1:43" outlineLevel="3"/>
    <row r="419" spans="1:43" s="1126" customFormat="1" outlineLevel="3">
      <c r="A419" s="26" t="s">
        <v>8</v>
      </c>
      <c r="B419" s="26"/>
      <c r="C419" s="26" t="s">
        <v>49</v>
      </c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408"/>
      <c r="U419" s="1518"/>
      <c r="V419" s="1518"/>
      <c r="W419" s="1518"/>
      <c r="X419" s="1518"/>
      <c r="Y419" s="1518"/>
      <c r="Z419" s="1518"/>
      <c r="AA419" s="1518"/>
      <c r="AC419" s="26"/>
      <c r="AD419" s="26"/>
      <c r="AE419" s="26"/>
      <c r="AF419" s="26"/>
      <c r="AG419" s="26"/>
      <c r="AH419" s="26"/>
      <c r="AI419" s="18"/>
      <c r="AK419" s="1518"/>
      <c r="AL419" s="1518"/>
      <c r="AM419" s="1518"/>
      <c r="AN419" s="1518"/>
      <c r="AO419" s="1518"/>
      <c r="AP419" s="1518"/>
      <c r="AQ419" s="1518"/>
    </row>
    <row r="420" spans="1:43" outlineLevel="3">
      <c r="L420" s="20"/>
      <c r="M420" s="20"/>
      <c r="N420" s="20"/>
      <c r="S420" s="20"/>
    </row>
    <row r="421" spans="1:43" s="1126" customFormat="1" outlineLevel="3">
      <c r="A421" s="18"/>
      <c r="B421" s="18"/>
      <c r="C421" s="18" t="s">
        <v>840</v>
      </c>
      <c r="D421" s="18"/>
      <c r="E421" s="18"/>
      <c r="F421" s="18"/>
      <c r="G421" s="18"/>
      <c r="H421" s="23">
        <f>SUM(H422:H426)</f>
        <v>14638.56</v>
      </c>
      <c r="I421" s="23">
        <f t="shared" ref="I421:K421" si="392">SUM(I422:I426)</f>
        <v>64462.530000000006</v>
      </c>
      <c r="J421" s="23">
        <f t="shared" si="392"/>
        <v>539903.16500000004</v>
      </c>
      <c r="K421" s="23">
        <f t="shared" si="392"/>
        <v>410527</v>
      </c>
      <c r="L421" s="23">
        <f>SUM(L422:L426)</f>
        <v>1808526.3860000002</v>
      </c>
      <c r="M421" s="23">
        <f>SUM(M422:M426)</f>
        <v>457793.43300000002</v>
      </c>
      <c r="N421" s="23">
        <f t="shared" ref="N421:S421" si="393">SUM(N422:N426)</f>
        <v>937880.45660000015</v>
      </c>
      <c r="O421" s="23">
        <f t="shared" si="393"/>
        <v>1155582.5635899999</v>
      </c>
      <c r="P421" s="23">
        <f t="shared" si="393"/>
        <v>1339464.0536130001</v>
      </c>
      <c r="Q421" s="23">
        <f t="shared" si="393"/>
        <v>1514404.3991727</v>
      </c>
      <c r="R421" s="23">
        <f t="shared" si="393"/>
        <v>1712987.8703181301</v>
      </c>
      <c r="S421" s="23">
        <f t="shared" si="393"/>
        <v>1884286.6573499432</v>
      </c>
      <c r="T421" s="408"/>
      <c r="U421" s="1519">
        <f>$L421*(1+$AA421)</f>
        <v>1898952.7053000003</v>
      </c>
      <c r="V421" s="1519">
        <f>U421*(1+$AA421)</f>
        <v>1993900.3405650004</v>
      </c>
      <c r="W421" s="1519">
        <f t="shared" ref="W421" si="394">V421*(1+$AA421)</f>
        <v>2093595.3575932505</v>
      </c>
      <c r="X421" s="1519">
        <f>W421*(1+$AA421)</f>
        <v>2198275.125472913</v>
      </c>
      <c r="Y421" s="1519">
        <f>X421*(1+$AA421)</f>
        <v>2308188.8817465589</v>
      </c>
      <c r="Z421" s="1519">
        <f t="shared" ref="Z421" si="395">Y421*(1+$AA421)</f>
        <v>2423598.3258338869</v>
      </c>
      <c r="AA421" s="1520">
        <f>AI421+5%</f>
        <v>0.05</v>
      </c>
      <c r="AB421" s="1321"/>
      <c r="AC421" s="20"/>
      <c r="AD421" s="20"/>
      <c r="AE421" s="20"/>
      <c r="AF421" s="20"/>
      <c r="AG421" s="20"/>
      <c r="AH421" s="20"/>
      <c r="AI421" s="702"/>
      <c r="AJ421" s="1321"/>
      <c r="AK421" s="1519">
        <f>$L421*(1+$AQ421)</f>
        <v>1718100.0667000001</v>
      </c>
      <c r="AL421" s="1519">
        <f>AK421*(1+$AQ421)</f>
        <v>1632195.0633650001</v>
      </c>
      <c r="AM421" s="1519">
        <f t="shared" ref="AM421:AN421" si="396">AL421*(1+$AQ421)</f>
        <v>1550585.3101967501</v>
      </c>
      <c r="AN421" s="1519">
        <f t="shared" si="396"/>
        <v>1473056.0446869126</v>
      </c>
      <c r="AO421" s="1519">
        <f>AN421*(1+$AQ421)</f>
        <v>1399403.242452567</v>
      </c>
      <c r="AP421" s="1519">
        <f>AO421*(1+$AQ421)</f>
        <v>1329433.0803299386</v>
      </c>
      <c r="AQ421" s="1520">
        <f>AI421-5%</f>
        <v>-0.05</v>
      </c>
    </row>
    <row r="422" spans="1:43" outlineLevel="3">
      <c r="D422" s="27" t="s">
        <v>841</v>
      </c>
      <c r="E422" s="28"/>
      <c r="F422" s="28"/>
      <c r="G422" s="28"/>
      <c r="H422" s="398"/>
      <c r="I422" s="398"/>
      <c r="J422" s="398"/>
      <c r="K422" s="398"/>
      <c r="L422" s="398"/>
      <c r="M422" s="398"/>
      <c r="N422" s="703">
        <f>L422*(1+N428)</f>
        <v>0</v>
      </c>
      <c r="O422" s="29">
        <f>N422*(1+O428)</f>
        <v>0</v>
      </c>
      <c r="P422" s="29">
        <f t="shared" ref="P422:S422" si="397">O422*(1+P428)</f>
        <v>0</v>
      </c>
      <c r="Q422" s="29">
        <f t="shared" si="397"/>
        <v>0</v>
      </c>
      <c r="R422" s="29">
        <f t="shared" si="397"/>
        <v>0</v>
      </c>
      <c r="S422" s="30">
        <f t="shared" si="397"/>
        <v>0</v>
      </c>
    </row>
    <row r="423" spans="1:43" outlineLevel="3">
      <c r="D423" s="31" t="s">
        <v>842</v>
      </c>
      <c r="H423" s="400">
        <v>4145.76</v>
      </c>
      <c r="I423" s="400">
        <v>23389.739999999998</v>
      </c>
      <c r="J423" s="400">
        <v>11768.685000000001</v>
      </c>
      <c r="K423" s="400">
        <v>5981</v>
      </c>
      <c r="L423" s="400">
        <v>5981.1299999999992</v>
      </c>
      <c r="M423" s="400">
        <v>0</v>
      </c>
      <c r="N423" s="704">
        <f t="shared" ref="N423:N426" si="398">L423*(1+N429)</f>
        <v>598.11299999999983</v>
      </c>
      <c r="O423" s="20">
        <f t="shared" ref="O423:S426" si="399">N423*(1+O429)</f>
        <v>628.01864999999987</v>
      </c>
      <c r="P423" s="20">
        <f t="shared" si="399"/>
        <v>690.82051499999989</v>
      </c>
      <c r="Q423" s="20">
        <f t="shared" si="399"/>
        <v>759.90256649999992</v>
      </c>
      <c r="R423" s="20">
        <f t="shared" si="399"/>
        <v>835.89282315000003</v>
      </c>
      <c r="S423" s="32">
        <f t="shared" si="399"/>
        <v>919.48210546500013</v>
      </c>
    </row>
    <row r="424" spans="1:43" outlineLevel="3">
      <c r="D424" s="31" t="s">
        <v>843</v>
      </c>
      <c r="H424" s="400">
        <v>10492.8</v>
      </c>
      <c r="I424" s="400">
        <v>41072.790000000008</v>
      </c>
      <c r="J424" s="400">
        <v>184178.48000000004</v>
      </c>
      <c r="K424" s="400">
        <v>267498</v>
      </c>
      <c r="L424" s="400">
        <v>305014.43599999993</v>
      </c>
      <c r="M424" s="400">
        <v>266411.43300000002</v>
      </c>
      <c r="N424" s="704">
        <f t="shared" si="398"/>
        <v>488023.09759999992</v>
      </c>
      <c r="O424" s="20">
        <f t="shared" si="399"/>
        <v>683232.33663999988</v>
      </c>
      <c r="P424" s="20">
        <f t="shared" si="399"/>
        <v>819878.80396799988</v>
      </c>
      <c r="Q424" s="20">
        <f t="shared" si="399"/>
        <v>942860.62456319982</v>
      </c>
      <c r="R424" s="20">
        <f t="shared" si="399"/>
        <v>1084289.7182476798</v>
      </c>
      <c r="S424" s="32">
        <f t="shared" si="399"/>
        <v>1192718.6900724478</v>
      </c>
    </row>
    <row r="425" spans="1:43" outlineLevel="3">
      <c r="D425" s="31" t="s">
        <v>844</v>
      </c>
      <c r="H425" s="400"/>
      <c r="I425" s="400"/>
      <c r="J425" s="400"/>
      <c r="K425" s="400"/>
      <c r="L425" s="400"/>
      <c r="M425" s="400"/>
      <c r="N425" s="704">
        <f t="shared" si="398"/>
        <v>0</v>
      </c>
      <c r="O425" s="20">
        <f t="shared" si="399"/>
        <v>0</v>
      </c>
      <c r="P425" s="20">
        <f t="shared" si="399"/>
        <v>0</v>
      </c>
      <c r="Q425" s="20">
        <f t="shared" si="399"/>
        <v>0</v>
      </c>
      <c r="R425" s="20">
        <f t="shared" si="399"/>
        <v>0</v>
      </c>
      <c r="S425" s="32">
        <f t="shared" si="399"/>
        <v>0</v>
      </c>
    </row>
    <row r="426" spans="1:43" outlineLevel="3">
      <c r="D426" s="33" t="s">
        <v>665</v>
      </c>
      <c r="E426" s="34"/>
      <c r="F426" s="34"/>
      <c r="G426" s="34"/>
      <c r="H426" s="402"/>
      <c r="I426" s="402">
        <v>0</v>
      </c>
      <c r="J426" s="402">
        <v>343956</v>
      </c>
      <c r="K426" s="402">
        <v>137048</v>
      </c>
      <c r="L426" s="402">
        <v>1497530.8200000003</v>
      </c>
      <c r="M426" s="402">
        <v>191382</v>
      </c>
      <c r="N426" s="705">
        <f t="shared" si="398"/>
        <v>449259.24600000016</v>
      </c>
      <c r="O426" s="35">
        <f t="shared" si="399"/>
        <v>471722.20830000017</v>
      </c>
      <c r="P426" s="35">
        <f t="shared" si="399"/>
        <v>518894.42913000024</v>
      </c>
      <c r="Q426" s="35">
        <f t="shared" si="399"/>
        <v>570783.8720430003</v>
      </c>
      <c r="R426" s="35">
        <f t="shared" si="399"/>
        <v>627862.25924730033</v>
      </c>
      <c r="S426" s="36">
        <f t="shared" si="399"/>
        <v>690648.4851720304</v>
      </c>
      <c r="AC426" s="448"/>
      <c r="AD426" s="448"/>
      <c r="AE426" s="448"/>
      <c r="AF426" s="448"/>
      <c r="AG426" s="448"/>
      <c r="AH426" s="448"/>
    </row>
    <row r="427" spans="1:43" s="1365" customFormat="1" outlineLevel="3">
      <c r="A427" s="22"/>
      <c r="B427" s="22"/>
      <c r="C427" s="22" t="s">
        <v>847</v>
      </c>
      <c r="D427" s="22"/>
      <c r="E427" s="22"/>
      <c r="F427" s="22"/>
      <c r="G427" s="22"/>
      <c r="H427" s="219"/>
      <c r="I427" s="24">
        <f>I421/H421-1</f>
        <v>3.4036114207954888</v>
      </c>
      <c r="J427" s="24">
        <f>J421/I421-1</f>
        <v>7.3754572617612126</v>
      </c>
      <c r="K427" s="24"/>
      <c r="L427" s="793">
        <f>L421/J421-1</f>
        <v>2.3497236231241581</v>
      </c>
      <c r="M427" s="24"/>
      <c r="N427" s="24">
        <f>N421/L421-1</f>
        <v>-0.4814117925730943</v>
      </c>
      <c r="O427" s="24">
        <f>O421/N421-1</f>
        <v>0.23212138120375436</v>
      </c>
      <c r="P427" s="24">
        <f t="shared" ref="P427:S427" si="400">P421/O421-1</f>
        <v>0.15912449340853962</v>
      </c>
      <c r="Q427" s="24">
        <f t="shared" si="400"/>
        <v>0.13060473335422862</v>
      </c>
      <c r="R427" s="24">
        <f t="shared" si="400"/>
        <v>0.13112975058307663</v>
      </c>
      <c r="S427" s="24">
        <f t="shared" si="400"/>
        <v>0.10000000000000009</v>
      </c>
      <c r="T427" s="726"/>
      <c r="U427" s="1521"/>
      <c r="V427" s="1521"/>
      <c r="W427" s="1521"/>
      <c r="X427" s="1521"/>
      <c r="Y427" s="1521"/>
      <c r="Z427" s="1521"/>
      <c r="AA427" s="1522"/>
      <c r="AC427" s="219"/>
      <c r="AD427" s="219"/>
      <c r="AE427" s="219"/>
      <c r="AF427" s="219"/>
      <c r="AG427" s="219"/>
      <c r="AH427" s="219"/>
      <c r="AI427" s="706"/>
      <c r="AK427" s="1521"/>
      <c r="AL427" s="1521"/>
      <c r="AM427" s="1521"/>
      <c r="AN427" s="1521"/>
      <c r="AO427" s="1521"/>
      <c r="AP427" s="1521"/>
      <c r="AQ427" s="1522"/>
    </row>
    <row r="428" spans="1:43" s="1365" customFormat="1" outlineLevel="3">
      <c r="A428" s="22"/>
      <c r="B428" s="22"/>
      <c r="C428" s="22"/>
      <c r="D428" s="707" t="s">
        <v>841</v>
      </c>
      <c r="E428" s="708"/>
      <c r="F428" s="708"/>
      <c r="G428" s="708"/>
      <c r="H428" s="709"/>
      <c r="I428" s="710"/>
      <c r="J428" s="710"/>
      <c r="K428" s="710"/>
      <c r="L428" s="710"/>
      <c r="M428" s="727"/>
      <c r="N428" s="711">
        <f t="shared" ref="N428:S432" si="401">CHOOSE(case,U428,AC428,AK428)</f>
        <v>0</v>
      </c>
      <c r="O428" s="712">
        <f t="shared" si="401"/>
        <v>0</v>
      </c>
      <c r="P428" s="712">
        <f t="shared" si="401"/>
        <v>0</v>
      </c>
      <c r="Q428" s="712">
        <f t="shared" si="401"/>
        <v>0</v>
      </c>
      <c r="R428" s="712">
        <f t="shared" si="401"/>
        <v>0</v>
      </c>
      <c r="S428" s="713">
        <f t="shared" si="401"/>
        <v>0</v>
      </c>
      <c r="T428" s="726"/>
      <c r="U428" s="1521"/>
      <c r="V428" s="1521"/>
      <c r="W428" s="1521"/>
      <c r="X428" s="1521"/>
      <c r="Y428" s="1521"/>
      <c r="Z428" s="1521"/>
      <c r="AA428" s="1523"/>
      <c r="AC428" s="714"/>
      <c r="AD428" s="714"/>
      <c r="AE428" s="714"/>
      <c r="AF428" s="714"/>
      <c r="AG428" s="714"/>
      <c r="AH428" s="714"/>
      <c r="AI428" s="22"/>
      <c r="AK428" s="1521"/>
      <c r="AL428" s="1521"/>
      <c r="AM428" s="1521"/>
      <c r="AN428" s="1521"/>
      <c r="AO428" s="1521"/>
      <c r="AP428" s="1521"/>
      <c r="AQ428" s="1523"/>
    </row>
    <row r="429" spans="1:43" s="1365" customFormat="1" outlineLevel="3">
      <c r="A429" s="22"/>
      <c r="B429" s="22"/>
      <c r="C429" s="22"/>
      <c r="D429" s="715" t="s">
        <v>842</v>
      </c>
      <c r="E429" s="22"/>
      <c r="F429" s="22"/>
      <c r="G429" s="22"/>
      <c r="H429" s="219"/>
      <c r="I429" s="175">
        <f t="shared" ref="I429:J430" si="402">I423/H423-1</f>
        <v>4.641846127127474</v>
      </c>
      <c r="J429" s="175">
        <f t="shared" si="402"/>
        <v>-0.49684412909249942</v>
      </c>
      <c r="K429" s="175"/>
      <c r="L429" s="175">
        <f t="shared" ref="L429:L432" si="403">L423/J423-1</f>
        <v>-0.49177584411512432</v>
      </c>
      <c r="M429" s="729"/>
      <c r="N429" s="716">
        <f t="shared" si="401"/>
        <v>-0.9</v>
      </c>
      <c r="O429" s="717">
        <f t="shared" si="401"/>
        <v>0.05</v>
      </c>
      <c r="P429" s="717">
        <f t="shared" si="401"/>
        <v>0.1</v>
      </c>
      <c r="Q429" s="717">
        <f t="shared" si="401"/>
        <v>0.1</v>
      </c>
      <c r="R429" s="717">
        <f t="shared" si="401"/>
        <v>0.1</v>
      </c>
      <c r="S429" s="718">
        <f t="shared" si="401"/>
        <v>0.1</v>
      </c>
      <c r="T429" s="726"/>
      <c r="U429" s="1521"/>
      <c r="V429" s="1521"/>
      <c r="W429" s="1521"/>
      <c r="X429" s="1521"/>
      <c r="Y429" s="1521"/>
      <c r="Z429" s="1521"/>
      <c r="AA429" s="1523"/>
      <c r="AC429" s="714">
        <v>-0.9</v>
      </c>
      <c r="AD429" s="714">
        <v>0.05</v>
      </c>
      <c r="AE429" s="714">
        <v>0.1</v>
      </c>
      <c r="AF429" s="714">
        <v>0.1</v>
      </c>
      <c r="AG429" s="714">
        <v>0.1</v>
      </c>
      <c r="AH429" s="714">
        <v>0.1</v>
      </c>
      <c r="AI429" s="22"/>
      <c r="AK429" s="1521"/>
      <c r="AL429" s="1521"/>
      <c r="AM429" s="1521"/>
      <c r="AN429" s="1521"/>
      <c r="AO429" s="1521"/>
      <c r="AP429" s="1521"/>
      <c r="AQ429" s="1523"/>
    </row>
    <row r="430" spans="1:43" s="1365" customFormat="1" outlineLevel="3">
      <c r="A430" s="22"/>
      <c r="B430" s="22"/>
      <c r="C430" s="22"/>
      <c r="D430" s="715" t="s">
        <v>843</v>
      </c>
      <c r="E430" s="22"/>
      <c r="F430" s="22"/>
      <c r="G430" s="22"/>
      <c r="H430" s="219"/>
      <c r="I430" s="175">
        <f t="shared" si="402"/>
        <v>2.9143784309240632</v>
      </c>
      <c r="J430" s="175">
        <f>J424/I424-1</f>
        <v>3.4841969586190764</v>
      </c>
      <c r="K430" s="175"/>
      <c r="L430" s="175">
        <f t="shared" si="403"/>
        <v>0.65608075384268494</v>
      </c>
      <c r="M430" s="729"/>
      <c r="N430" s="716">
        <f t="shared" si="401"/>
        <v>0.6</v>
      </c>
      <c r="O430" s="717">
        <f t="shared" si="401"/>
        <v>0.4</v>
      </c>
      <c r="P430" s="717">
        <f t="shared" si="401"/>
        <v>0.2</v>
      </c>
      <c r="Q430" s="717">
        <f t="shared" si="401"/>
        <v>0.15</v>
      </c>
      <c r="R430" s="717">
        <f t="shared" si="401"/>
        <v>0.15</v>
      </c>
      <c r="S430" s="718">
        <f t="shared" si="401"/>
        <v>0.1</v>
      </c>
      <c r="T430" s="726"/>
      <c r="U430" s="1521"/>
      <c r="V430" s="1521"/>
      <c r="W430" s="1521"/>
      <c r="X430" s="1521"/>
      <c r="Y430" s="1521"/>
      <c r="Z430" s="1521"/>
      <c r="AA430" s="1523"/>
      <c r="AC430" s="714">
        <v>0.6</v>
      </c>
      <c r="AD430" s="714">
        <v>0.4</v>
      </c>
      <c r="AE430" s="714">
        <v>0.2</v>
      </c>
      <c r="AF430" s="714">
        <v>0.15</v>
      </c>
      <c r="AG430" s="714">
        <v>0.15</v>
      </c>
      <c r="AH430" s="714">
        <v>0.1</v>
      </c>
      <c r="AI430" s="22"/>
      <c r="AK430" s="1521"/>
      <c r="AL430" s="1521"/>
      <c r="AM430" s="1521"/>
      <c r="AN430" s="1521"/>
      <c r="AO430" s="1521"/>
      <c r="AP430" s="1521"/>
      <c r="AQ430" s="1523"/>
    </row>
    <row r="431" spans="1:43" s="1365" customFormat="1" outlineLevel="3">
      <c r="A431" s="22"/>
      <c r="B431" s="22"/>
      <c r="C431" s="22"/>
      <c r="D431" s="715" t="s">
        <v>844</v>
      </c>
      <c r="E431" s="22"/>
      <c r="F431" s="22"/>
      <c r="G431" s="22"/>
      <c r="H431" s="219"/>
      <c r="I431" s="175"/>
      <c r="J431" s="175"/>
      <c r="K431" s="175"/>
      <c r="L431" s="175"/>
      <c r="M431" s="729"/>
      <c r="N431" s="716">
        <f t="shared" si="401"/>
        <v>0</v>
      </c>
      <c r="O431" s="717">
        <f t="shared" si="401"/>
        <v>0</v>
      </c>
      <c r="P431" s="717">
        <f t="shared" si="401"/>
        <v>0</v>
      </c>
      <c r="Q431" s="717">
        <f t="shared" si="401"/>
        <v>0</v>
      </c>
      <c r="R431" s="717">
        <f t="shared" si="401"/>
        <v>0</v>
      </c>
      <c r="S431" s="718">
        <f t="shared" si="401"/>
        <v>0</v>
      </c>
      <c r="T431" s="726"/>
      <c r="U431" s="1521"/>
      <c r="V431" s="1521"/>
      <c r="W431" s="1521"/>
      <c r="X431" s="1521"/>
      <c r="Y431" s="1521"/>
      <c r="Z431" s="1521"/>
      <c r="AA431" s="1523"/>
      <c r="AC431" s="714"/>
      <c r="AD431" s="714"/>
      <c r="AE431" s="714"/>
      <c r="AF431" s="714"/>
      <c r="AG431" s="714"/>
      <c r="AH431" s="714"/>
      <c r="AI431" s="22"/>
      <c r="AK431" s="1521"/>
      <c r="AL431" s="1521"/>
      <c r="AM431" s="1521"/>
      <c r="AN431" s="1521"/>
      <c r="AO431" s="1521"/>
      <c r="AP431" s="1521"/>
      <c r="AQ431" s="1523"/>
    </row>
    <row r="432" spans="1:43" s="1365" customFormat="1" outlineLevel="3">
      <c r="A432" s="22"/>
      <c r="B432" s="22"/>
      <c r="C432" s="22"/>
      <c r="D432" s="719" t="s">
        <v>665</v>
      </c>
      <c r="E432" s="720"/>
      <c r="F432" s="720"/>
      <c r="G432" s="720"/>
      <c r="H432" s="721"/>
      <c r="I432" s="722"/>
      <c r="J432" s="722"/>
      <c r="K432" s="722"/>
      <c r="L432" s="722">
        <f t="shared" si="403"/>
        <v>3.3538441544848769</v>
      </c>
      <c r="M432" s="730"/>
      <c r="N432" s="723">
        <f t="shared" si="401"/>
        <v>-0.7</v>
      </c>
      <c r="O432" s="724">
        <f t="shared" si="401"/>
        <v>0.05</v>
      </c>
      <c r="P432" s="724">
        <f t="shared" si="401"/>
        <v>0.1</v>
      </c>
      <c r="Q432" s="724">
        <f t="shared" si="401"/>
        <v>0.1</v>
      </c>
      <c r="R432" s="724">
        <f t="shared" si="401"/>
        <v>0.1</v>
      </c>
      <c r="S432" s="725">
        <f t="shared" si="401"/>
        <v>0.1</v>
      </c>
      <c r="T432" s="726"/>
      <c r="U432" s="1521"/>
      <c r="V432" s="1521"/>
      <c r="W432" s="1521"/>
      <c r="X432" s="1521"/>
      <c r="Y432" s="1521"/>
      <c r="Z432" s="1521"/>
      <c r="AA432" s="1523"/>
      <c r="AC432" s="714">
        <v>-0.7</v>
      </c>
      <c r="AD432" s="714">
        <v>0.05</v>
      </c>
      <c r="AE432" s="714">
        <v>0.1</v>
      </c>
      <c r="AF432" s="714">
        <v>0.1</v>
      </c>
      <c r="AG432" s="714">
        <v>0.1</v>
      </c>
      <c r="AH432" s="714">
        <v>0.1</v>
      </c>
      <c r="AI432" s="22"/>
      <c r="AK432" s="1521"/>
      <c r="AL432" s="1521"/>
      <c r="AM432" s="1521"/>
      <c r="AN432" s="1521"/>
      <c r="AO432" s="1521"/>
      <c r="AP432" s="1521"/>
      <c r="AQ432" s="1523"/>
    </row>
    <row r="433" spans="1:43" s="1365" customFormat="1" outlineLevel="3">
      <c r="A433" s="22"/>
      <c r="B433" s="22"/>
      <c r="C433" s="22" t="s">
        <v>848</v>
      </c>
      <c r="D433" s="22"/>
      <c r="E433" s="22"/>
      <c r="F433" s="22"/>
      <c r="G433" s="22"/>
      <c r="H433" s="24">
        <f>H421/H$421</f>
        <v>1</v>
      </c>
      <c r="I433" s="24">
        <f t="shared" ref="I433:S435" si="404">I421/I$421</f>
        <v>1</v>
      </c>
      <c r="J433" s="24">
        <f t="shared" si="404"/>
        <v>1</v>
      </c>
      <c r="K433" s="24">
        <f t="shared" si="404"/>
        <v>1</v>
      </c>
      <c r="L433" s="24">
        <f t="shared" si="404"/>
        <v>1</v>
      </c>
      <c r="M433" s="24">
        <f t="shared" si="404"/>
        <v>1</v>
      </c>
      <c r="N433" s="24">
        <f t="shared" si="404"/>
        <v>1</v>
      </c>
      <c r="O433" s="24">
        <f t="shared" si="404"/>
        <v>1</v>
      </c>
      <c r="P433" s="24">
        <f t="shared" si="404"/>
        <v>1</v>
      </c>
      <c r="Q433" s="24">
        <f t="shared" si="404"/>
        <v>1</v>
      </c>
      <c r="R433" s="24">
        <f t="shared" si="404"/>
        <v>1</v>
      </c>
      <c r="S433" s="24">
        <f t="shared" si="404"/>
        <v>1</v>
      </c>
      <c r="T433" s="726"/>
      <c r="U433" s="1521"/>
      <c r="V433" s="1521"/>
      <c r="W433" s="1521"/>
      <c r="X433" s="1521"/>
      <c r="Y433" s="1521"/>
      <c r="Z433" s="1521"/>
      <c r="AA433" s="1522"/>
      <c r="AC433" s="219"/>
      <c r="AD433" s="219"/>
      <c r="AE433" s="219"/>
      <c r="AF433" s="219"/>
      <c r="AG433" s="219"/>
      <c r="AH433" s="219"/>
      <c r="AI433" s="706"/>
      <c r="AK433" s="1521"/>
      <c r="AL433" s="1521"/>
      <c r="AM433" s="1521"/>
      <c r="AN433" s="1521"/>
      <c r="AO433" s="1521"/>
      <c r="AP433" s="1521"/>
      <c r="AQ433" s="1522"/>
    </row>
    <row r="434" spans="1:43" s="1365" customFormat="1" outlineLevel="3">
      <c r="A434" s="22"/>
      <c r="B434" s="22"/>
      <c r="C434" s="22"/>
      <c r="D434" s="707" t="s">
        <v>841</v>
      </c>
      <c r="E434" s="708"/>
      <c r="F434" s="708"/>
      <c r="G434" s="708"/>
      <c r="H434" s="793">
        <f>H422/H$421</f>
        <v>0</v>
      </c>
      <c r="I434" s="793">
        <f t="shared" si="404"/>
        <v>0</v>
      </c>
      <c r="J434" s="793">
        <f t="shared" si="404"/>
        <v>0</v>
      </c>
      <c r="K434" s="793">
        <f t="shared" si="404"/>
        <v>0</v>
      </c>
      <c r="L434" s="793">
        <f t="shared" si="404"/>
        <v>0</v>
      </c>
      <c r="M434" s="793">
        <f t="shared" si="404"/>
        <v>0</v>
      </c>
      <c r="N434" s="793">
        <f t="shared" si="404"/>
        <v>0</v>
      </c>
      <c r="O434" s="793">
        <f t="shared" si="404"/>
        <v>0</v>
      </c>
      <c r="P434" s="793">
        <f t="shared" si="404"/>
        <v>0</v>
      </c>
      <c r="Q434" s="793">
        <f t="shared" si="404"/>
        <v>0</v>
      </c>
      <c r="R434" s="793">
        <f t="shared" si="404"/>
        <v>0</v>
      </c>
      <c r="S434" s="803">
        <f t="shared" si="404"/>
        <v>0</v>
      </c>
      <c r="T434" s="726"/>
      <c r="U434" s="1521"/>
      <c r="V434" s="1521"/>
      <c r="W434" s="1521"/>
      <c r="X434" s="1521"/>
      <c r="Y434" s="1521"/>
      <c r="Z434" s="1521"/>
      <c r="AA434" s="1523"/>
      <c r="AC434" s="728"/>
      <c r="AD434" s="728"/>
      <c r="AE434" s="728"/>
      <c r="AF434" s="728"/>
      <c r="AG434" s="728"/>
      <c r="AH434" s="728"/>
      <c r="AI434" s="22"/>
      <c r="AK434" s="1521"/>
      <c r="AL434" s="1521"/>
      <c r="AM434" s="1521"/>
      <c r="AN434" s="1521"/>
      <c r="AO434" s="1521"/>
      <c r="AP434" s="1521"/>
      <c r="AQ434" s="1523"/>
    </row>
    <row r="435" spans="1:43" s="1365" customFormat="1" outlineLevel="3">
      <c r="A435" s="22"/>
      <c r="B435" s="22"/>
      <c r="C435" s="22"/>
      <c r="D435" s="715" t="s">
        <v>842</v>
      </c>
      <c r="E435" s="22"/>
      <c r="F435" s="22"/>
      <c r="G435" s="22"/>
      <c r="H435" s="91">
        <f>H423/H$421</f>
        <v>0.28320818441158147</v>
      </c>
      <c r="I435" s="91">
        <f t="shared" si="404"/>
        <v>0.36284241403494394</v>
      </c>
      <c r="J435" s="91">
        <f t="shared" si="404"/>
        <v>2.1797769976028943E-2</v>
      </c>
      <c r="K435" s="91">
        <f t="shared" si="404"/>
        <v>1.4569078282305426E-2</v>
      </c>
      <c r="L435" s="91">
        <f t="shared" si="404"/>
        <v>3.307184261341487E-3</v>
      </c>
      <c r="M435" s="91">
        <f t="shared" si="404"/>
        <v>0</v>
      </c>
      <c r="N435" s="91">
        <f t="shared" si="404"/>
        <v>6.3772839682391537E-4</v>
      </c>
      <c r="O435" s="91">
        <f t="shared" si="404"/>
        <v>5.434649758377806E-4</v>
      </c>
      <c r="P435" s="91">
        <f t="shared" si="404"/>
        <v>5.1574397471631801E-4</v>
      </c>
      <c r="Q435" s="91">
        <f t="shared" si="404"/>
        <v>5.0178312141401936E-4</v>
      </c>
      <c r="R435" s="91">
        <f t="shared" si="404"/>
        <v>4.8797357975147886E-4</v>
      </c>
      <c r="S435" s="804">
        <f t="shared" si="404"/>
        <v>4.8797357975147892E-4</v>
      </c>
      <c r="T435" s="726"/>
      <c r="U435" s="1521"/>
      <c r="V435" s="1521"/>
      <c r="W435" s="1521"/>
      <c r="X435" s="1521"/>
      <c r="Y435" s="1521"/>
      <c r="Z435" s="1521"/>
      <c r="AA435" s="1523"/>
      <c r="AC435" s="728"/>
      <c r="AD435" s="728"/>
      <c r="AE435" s="728"/>
      <c r="AF435" s="728"/>
      <c r="AG435" s="728"/>
      <c r="AH435" s="728"/>
      <c r="AI435" s="22"/>
      <c r="AK435" s="1521"/>
      <c r="AL435" s="1521"/>
      <c r="AM435" s="1521"/>
      <c r="AN435" s="1521"/>
      <c r="AO435" s="1521"/>
      <c r="AP435" s="1521"/>
      <c r="AQ435" s="1523"/>
    </row>
    <row r="436" spans="1:43" s="1365" customFormat="1" outlineLevel="3">
      <c r="A436" s="22"/>
      <c r="B436" s="22"/>
      <c r="C436" s="22"/>
      <c r="D436" s="715" t="s">
        <v>843</v>
      </c>
      <c r="E436" s="22"/>
      <c r="F436" s="22"/>
      <c r="G436" s="22"/>
      <c r="H436" s="91">
        <f t="shared" ref="H436:S438" si="405">H424/H$421</f>
        <v>0.71679181558841853</v>
      </c>
      <c r="I436" s="91">
        <f t="shared" si="405"/>
        <v>0.63715758596505601</v>
      </c>
      <c r="J436" s="91">
        <f t="shared" si="405"/>
        <v>0.34113243251685704</v>
      </c>
      <c r="K436" s="91">
        <f t="shared" si="405"/>
        <v>0.65159660631334848</v>
      </c>
      <c r="L436" s="91">
        <f t="shared" si="405"/>
        <v>0.16865357252244143</v>
      </c>
      <c r="M436" s="91">
        <f t="shared" si="405"/>
        <v>0.58194682098028261</v>
      </c>
      <c r="N436" s="91">
        <f t="shared" si="405"/>
        <v>0.52034680343929862</v>
      </c>
      <c r="O436" s="91">
        <f t="shared" si="405"/>
        <v>0.5912449340853938</v>
      </c>
      <c r="P436" s="91">
        <f t="shared" si="405"/>
        <v>0.6120946670845715</v>
      </c>
      <c r="Q436" s="91">
        <f t="shared" si="405"/>
        <v>0.6225950116615302</v>
      </c>
      <c r="R436" s="91">
        <f t="shared" si="405"/>
        <v>0.63298155056188998</v>
      </c>
      <c r="S436" s="804">
        <f t="shared" si="405"/>
        <v>0.63298155056188998</v>
      </c>
      <c r="T436" s="726"/>
      <c r="U436" s="1521"/>
      <c r="V436" s="1521"/>
      <c r="W436" s="1521"/>
      <c r="X436" s="1521"/>
      <c r="Y436" s="1521"/>
      <c r="Z436" s="1521"/>
      <c r="AA436" s="1523"/>
      <c r="AC436" s="728"/>
      <c r="AD436" s="728"/>
      <c r="AE436" s="728"/>
      <c r="AF436" s="728"/>
      <c r="AG436" s="728"/>
      <c r="AH436" s="728"/>
      <c r="AI436" s="22"/>
      <c r="AK436" s="1521"/>
      <c r="AL436" s="1521"/>
      <c r="AM436" s="1521"/>
      <c r="AN436" s="1521"/>
      <c r="AO436" s="1521"/>
      <c r="AP436" s="1521"/>
      <c r="AQ436" s="1523"/>
    </row>
    <row r="437" spans="1:43" s="1365" customFormat="1" outlineLevel="3">
      <c r="A437" s="22"/>
      <c r="B437" s="22"/>
      <c r="C437" s="22"/>
      <c r="D437" s="715" t="s">
        <v>844</v>
      </c>
      <c r="E437" s="22"/>
      <c r="F437" s="22"/>
      <c r="G437" s="22"/>
      <c r="H437" s="91">
        <f t="shared" si="405"/>
        <v>0</v>
      </c>
      <c r="I437" s="91">
        <f t="shared" si="405"/>
        <v>0</v>
      </c>
      <c r="J437" s="91">
        <f t="shared" si="405"/>
        <v>0</v>
      </c>
      <c r="K437" s="91">
        <f t="shared" si="405"/>
        <v>0</v>
      </c>
      <c r="L437" s="91">
        <f t="shared" si="405"/>
        <v>0</v>
      </c>
      <c r="M437" s="91">
        <f t="shared" si="405"/>
        <v>0</v>
      </c>
      <c r="N437" s="91">
        <f t="shared" si="405"/>
        <v>0</v>
      </c>
      <c r="O437" s="91">
        <f t="shared" si="405"/>
        <v>0</v>
      </c>
      <c r="P437" s="91">
        <f t="shared" si="405"/>
        <v>0</v>
      </c>
      <c r="Q437" s="91">
        <f t="shared" si="405"/>
        <v>0</v>
      </c>
      <c r="R437" s="91">
        <f t="shared" si="405"/>
        <v>0</v>
      </c>
      <c r="S437" s="804">
        <f t="shared" si="405"/>
        <v>0</v>
      </c>
      <c r="T437" s="726"/>
      <c r="U437" s="1521"/>
      <c r="V437" s="1521"/>
      <c r="W437" s="1521"/>
      <c r="X437" s="1521"/>
      <c r="Y437" s="1521"/>
      <c r="Z437" s="1521"/>
      <c r="AA437" s="1523"/>
      <c r="AC437" s="728"/>
      <c r="AD437" s="728"/>
      <c r="AE437" s="728"/>
      <c r="AF437" s="728"/>
      <c r="AG437" s="728"/>
      <c r="AH437" s="728"/>
      <c r="AI437" s="22"/>
      <c r="AK437" s="1521"/>
      <c r="AL437" s="1521"/>
      <c r="AM437" s="1521"/>
      <c r="AN437" s="1521"/>
      <c r="AO437" s="1521"/>
      <c r="AP437" s="1521"/>
      <c r="AQ437" s="1523"/>
    </row>
    <row r="438" spans="1:43" s="1365" customFormat="1" outlineLevel="3">
      <c r="A438" s="22"/>
      <c r="B438" s="22"/>
      <c r="C438" s="22"/>
      <c r="D438" s="719" t="s">
        <v>665</v>
      </c>
      <c r="E438" s="720"/>
      <c r="F438" s="720"/>
      <c r="G438" s="720"/>
      <c r="H438" s="794">
        <f>H426/H$421</f>
        <v>0</v>
      </c>
      <c r="I438" s="794">
        <f t="shared" si="405"/>
        <v>0</v>
      </c>
      <c r="J438" s="794">
        <f t="shared" si="405"/>
        <v>0.63706979750711401</v>
      </c>
      <c r="K438" s="794">
        <f t="shared" si="405"/>
        <v>0.3338343154043461</v>
      </c>
      <c r="L438" s="794">
        <f t="shared" si="405"/>
        <v>0.82803924321621714</v>
      </c>
      <c r="M438" s="794">
        <f t="shared" si="405"/>
        <v>0.41805317901971739</v>
      </c>
      <c r="N438" s="794">
        <f t="shared" si="405"/>
        <v>0.47901546816387741</v>
      </c>
      <c r="O438" s="794">
        <f t="shared" si="405"/>
        <v>0.40821160093876857</v>
      </c>
      <c r="P438" s="794">
        <f t="shared" si="405"/>
        <v>0.38738958894071224</v>
      </c>
      <c r="Q438" s="794">
        <f t="shared" si="405"/>
        <v>0.37690320521705584</v>
      </c>
      <c r="R438" s="794">
        <f t="shared" si="405"/>
        <v>0.36653047585835852</v>
      </c>
      <c r="S438" s="805">
        <f t="shared" si="405"/>
        <v>0.36653047585835852</v>
      </c>
      <c r="T438" s="726"/>
      <c r="U438" s="1521"/>
      <c r="V438" s="1521"/>
      <c r="W438" s="1521"/>
      <c r="X438" s="1521"/>
      <c r="Y438" s="1521"/>
      <c r="Z438" s="1521"/>
      <c r="AA438" s="1523"/>
      <c r="AC438" s="728"/>
      <c r="AD438" s="728"/>
      <c r="AE438" s="728"/>
      <c r="AF438" s="728"/>
      <c r="AG438" s="728"/>
      <c r="AH438" s="728"/>
      <c r="AI438" s="22"/>
      <c r="AK438" s="1521"/>
      <c r="AL438" s="1521"/>
      <c r="AM438" s="1521"/>
      <c r="AN438" s="1521"/>
      <c r="AO438" s="1521"/>
      <c r="AP438" s="1521"/>
      <c r="AQ438" s="1523"/>
    </row>
    <row r="439" spans="1:43" outlineLevel="3">
      <c r="C439" s="1" t="s">
        <v>31</v>
      </c>
      <c r="H439" s="806">
        <f t="shared" ref="H439:K444" si="406">IFERROR(H445/H421,"NA")</f>
        <v>0.19475959383983124</v>
      </c>
      <c r="I439" s="806">
        <f t="shared" si="406"/>
        <v>0.19902966126213165</v>
      </c>
      <c r="J439" s="806">
        <f t="shared" si="406"/>
        <v>8.9466583382596013E-2</v>
      </c>
      <c r="K439" s="806">
        <f t="shared" si="406"/>
        <v>0.18852353194795957</v>
      </c>
      <c r="L439" s="806">
        <f t="shared" ref="L439:S444" si="407">IFERROR(L445/L421,"NA")</f>
        <v>4.9431957803904553E-2</v>
      </c>
      <c r="M439" s="806">
        <f>IFERROR(M445/M421,"NA")</f>
        <v>0.14304728403563621</v>
      </c>
      <c r="N439" s="806">
        <f>IFERROR(N445/N421,"NA")</f>
        <v>0.12848779470677824</v>
      </c>
      <c r="O439" s="806">
        <f t="shared" si="407"/>
        <v>0.14524140163803265</v>
      </c>
      <c r="P439" s="806">
        <f t="shared" si="407"/>
        <v>0.15016830490200561</v>
      </c>
      <c r="Q439" s="806">
        <f t="shared" si="407"/>
        <v>0.15264959240679518</v>
      </c>
      <c r="R439" s="806">
        <f t="shared" si="407"/>
        <v>0.15510398702238007</v>
      </c>
      <c r="S439" s="806">
        <f t="shared" si="407"/>
        <v>0.15510398702238007</v>
      </c>
      <c r="U439" s="1529">
        <f>$L439*(1+$AA439)</f>
        <v>5.0420596959982647E-2</v>
      </c>
      <c r="V439" s="1529">
        <f>U439*(1+$AA439)</f>
        <v>5.1429008899182303E-2</v>
      </c>
      <c r="W439" s="1529">
        <f t="shared" ref="W439:Z439" si="408">V439*(1+$AA439)</f>
        <v>5.2457589077165953E-2</v>
      </c>
      <c r="X439" s="1529">
        <f t="shared" si="408"/>
        <v>5.3506740858709274E-2</v>
      </c>
      <c r="Y439" s="1529">
        <f t="shared" si="408"/>
        <v>5.4576875675883464E-2</v>
      </c>
      <c r="Z439" s="1529">
        <f t="shared" si="408"/>
        <v>5.5668413189401134E-2</v>
      </c>
      <c r="AA439" s="1520">
        <v>0.02</v>
      </c>
      <c r="AC439" s="448"/>
      <c r="AD439" s="448"/>
      <c r="AE439" s="448"/>
      <c r="AF439" s="448"/>
      <c r="AG439" s="448"/>
      <c r="AH439" s="448"/>
      <c r="AI439" s="702"/>
      <c r="AK439" s="1529">
        <f>$L439*(1+$AQ439)</f>
        <v>4.9431957803904553E-2</v>
      </c>
      <c r="AL439" s="1529">
        <f>AK439*(1+$AQ439)</f>
        <v>4.9431957803904553E-2</v>
      </c>
      <c r="AM439" s="1529">
        <f t="shared" ref="AM439:AN439" si="409">AL439*(1+$AQ439)</f>
        <v>4.9431957803904553E-2</v>
      </c>
      <c r="AN439" s="1529">
        <f t="shared" si="409"/>
        <v>4.9431957803904553E-2</v>
      </c>
      <c r="AO439" s="1529">
        <f>AN439*(1+$AQ439)</f>
        <v>4.9431957803904553E-2</v>
      </c>
      <c r="AP439" s="1529">
        <f t="shared" ref="AP439" si="410">AO439*(1+$AQ439)</f>
        <v>4.9431957803904553E-2</v>
      </c>
      <c r="AQ439" s="1520">
        <v>0</v>
      </c>
    </row>
    <row r="440" spans="1:43" outlineLevel="3">
      <c r="D440" s="27" t="s">
        <v>841</v>
      </c>
      <c r="E440" s="28"/>
      <c r="F440" s="28"/>
      <c r="G440" s="28"/>
      <c r="H440" s="693" t="str">
        <f t="shared" si="406"/>
        <v>NA</v>
      </c>
      <c r="I440" s="693" t="str">
        <f t="shared" si="406"/>
        <v>NA</v>
      </c>
      <c r="J440" s="693" t="str">
        <f t="shared" si="406"/>
        <v>NA</v>
      </c>
      <c r="K440" s="693" t="str">
        <f t="shared" si="406"/>
        <v>NA</v>
      </c>
      <c r="L440" s="693" t="str">
        <f t="shared" si="407"/>
        <v>NA</v>
      </c>
      <c r="M440" s="693" t="str">
        <f t="shared" si="407"/>
        <v>NA</v>
      </c>
      <c r="N440" s="780">
        <f>CHOOSE(case,U440,AC440,AK440)</f>
        <v>0</v>
      </c>
      <c r="O440" s="781">
        <f t="shared" ref="O440:O444" si="411">CHOOSE(case,V440,AD440,AL440)</f>
        <v>0</v>
      </c>
      <c r="P440" s="781">
        <f t="shared" ref="P440:P444" si="412">CHOOSE(case,W440,AE440,AM440)</f>
        <v>0</v>
      </c>
      <c r="Q440" s="781">
        <f t="shared" ref="Q440:Q444" si="413">CHOOSE(case,X440,AF440,AN440)</f>
        <v>0</v>
      </c>
      <c r="R440" s="781">
        <f t="shared" ref="R440:R444" si="414">CHOOSE(case,Y440,AG440,AO440)</f>
        <v>0</v>
      </c>
      <c r="S440" s="782">
        <f t="shared" ref="S440:S444" si="415">CHOOSE(case,Z440,AH440,AP440)</f>
        <v>0</v>
      </c>
      <c r="T440" s="993"/>
      <c r="U440" s="1530"/>
      <c r="V440" s="1530"/>
      <c r="W440" s="1530"/>
      <c r="X440" s="1530"/>
      <c r="Y440" s="1530"/>
      <c r="Z440" s="1530"/>
      <c r="AA440" s="1530"/>
      <c r="AB440" s="1371"/>
      <c r="AC440" s="783"/>
      <c r="AD440" s="783"/>
      <c r="AE440" s="783"/>
      <c r="AF440" s="783"/>
      <c r="AG440" s="783"/>
      <c r="AH440" s="783"/>
    </row>
    <row r="441" spans="1:43" outlineLevel="3">
      <c r="D441" s="31" t="s">
        <v>842</v>
      </c>
      <c r="H441" s="695">
        <f t="shared" si="406"/>
        <v>0.28438693990969083</v>
      </c>
      <c r="I441" s="695">
        <f t="shared" si="406"/>
        <v>0.28572489305139775</v>
      </c>
      <c r="J441" s="695">
        <f t="shared" si="406"/>
        <v>0.36877260713495175</v>
      </c>
      <c r="K441" s="695">
        <f t="shared" si="406"/>
        <v>0.40210667112522991</v>
      </c>
      <c r="L441" s="695">
        <f t="shared" si="407"/>
        <v>0.40212401335533593</v>
      </c>
      <c r="M441" s="695" t="str">
        <f t="shared" si="407"/>
        <v>NA</v>
      </c>
      <c r="N441" s="785">
        <f>CHOOSE(case,U441,AC441,AK441)</f>
        <v>0</v>
      </c>
      <c r="O441" s="786">
        <f t="shared" si="411"/>
        <v>0</v>
      </c>
      <c r="P441" s="786">
        <f t="shared" si="412"/>
        <v>0</v>
      </c>
      <c r="Q441" s="786">
        <f t="shared" si="413"/>
        <v>0</v>
      </c>
      <c r="R441" s="786">
        <f t="shared" si="414"/>
        <v>0</v>
      </c>
      <c r="S441" s="787">
        <f t="shared" si="415"/>
        <v>0</v>
      </c>
      <c r="T441" s="993"/>
      <c r="U441" s="1530"/>
      <c r="V441" s="1530"/>
      <c r="W441" s="1530"/>
      <c r="X441" s="1530"/>
      <c r="Y441" s="1530"/>
      <c r="Z441" s="1530"/>
      <c r="AA441" s="1530"/>
      <c r="AB441" s="1371"/>
      <c r="AC441" s="783"/>
      <c r="AD441" s="783"/>
      <c r="AE441" s="783"/>
      <c r="AF441" s="783"/>
      <c r="AG441" s="783"/>
      <c r="AH441" s="783"/>
    </row>
    <row r="442" spans="1:43" outlineLevel="3">
      <c r="D442" s="31" t="s">
        <v>843</v>
      </c>
      <c r="H442" s="695">
        <f t="shared" si="406"/>
        <v>0.15934736200060995</v>
      </c>
      <c r="I442" s="695">
        <f t="shared" si="406"/>
        <v>0.1496592890329583</v>
      </c>
      <c r="J442" s="695">
        <f t="shared" si="406"/>
        <v>0.19860351301628726</v>
      </c>
      <c r="K442" s="695">
        <f t="shared" si="406"/>
        <v>0.2409700259441192</v>
      </c>
      <c r="L442" s="695">
        <f t="shared" si="407"/>
        <v>0.22560982743124985</v>
      </c>
      <c r="M442" s="695">
        <f t="shared" si="407"/>
        <v>0.24183240683217977</v>
      </c>
      <c r="N442" s="785">
        <f>CHOOSE(case,U442,AC442,AK442)</f>
        <v>0.24183240683217977</v>
      </c>
      <c r="O442" s="786">
        <f t="shared" si="411"/>
        <v>0.24183240683217977</v>
      </c>
      <c r="P442" s="786">
        <f t="shared" si="412"/>
        <v>0.24183240683217977</v>
      </c>
      <c r="Q442" s="786">
        <f t="shared" si="413"/>
        <v>0.24183240683217977</v>
      </c>
      <c r="R442" s="786">
        <f t="shared" si="414"/>
        <v>0.24183240683217977</v>
      </c>
      <c r="S442" s="787">
        <f t="shared" si="415"/>
        <v>0.24183240683217977</v>
      </c>
      <c r="T442" s="993"/>
      <c r="U442" s="1530"/>
      <c r="V442" s="1530"/>
      <c r="W442" s="1530"/>
      <c r="X442" s="1530"/>
      <c r="Y442" s="1530"/>
      <c r="Z442" s="1530"/>
      <c r="AA442" s="1530"/>
      <c r="AB442" s="1371"/>
      <c r="AC442" s="783">
        <f t="shared" ref="AC442:AC444" si="416">M442</f>
        <v>0.24183240683217977</v>
      </c>
      <c r="AD442" s="783">
        <f t="shared" ref="AD442:AH442" si="417">AC442</f>
        <v>0.24183240683217977</v>
      </c>
      <c r="AE442" s="783">
        <f t="shared" si="417"/>
        <v>0.24183240683217977</v>
      </c>
      <c r="AF442" s="783">
        <f t="shared" si="417"/>
        <v>0.24183240683217977</v>
      </c>
      <c r="AG442" s="783">
        <f t="shared" si="417"/>
        <v>0.24183240683217977</v>
      </c>
      <c r="AH442" s="783">
        <f t="shared" si="417"/>
        <v>0.24183240683217977</v>
      </c>
    </row>
    <row r="443" spans="1:43" outlineLevel="3">
      <c r="D443" s="31" t="s">
        <v>844</v>
      </c>
      <c r="H443" s="695" t="str">
        <f t="shared" si="406"/>
        <v>NA</v>
      </c>
      <c r="I443" s="695" t="str">
        <f t="shared" si="406"/>
        <v>NA</v>
      </c>
      <c r="J443" s="695" t="str">
        <f t="shared" si="406"/>
        <v>NA</v>
      </c>
      <c r="K443" s="695" t="str">
        <f t="shared" si="406"/>
        <v>NA</v>
      </c>
      <c r="L443" s="695" t="str">
        <f t="shared" si="407"/>
        <v>NA</v>
      </c>
      <c r="M443" s="695" t="str">
        <f t="shared" si="407"/>
        <v>NA</v>
      </c>
      <c r="N443" s="785">
        <f>CHOOSE(case,U443,AC443,AK443)</f>
        <v>0</v>
      </c>
      <c r="O443" s="786">
        <f t="shared" si="411"/>
        <v>0</v>
      </c>
      <c r="P443" s="786">
        <f t="shared" si="412"/>
        <v>0</v>
      </c>
      <c r="Q443" s="786">
        <f t="shared" si="413"/>
        <v>0</v>
      </c>
      <c r="R443" s="786">
        <f t="shared" si="414"/>
        <v>0</v>
      </c>
      <c r="S443" s="787">
        <f t="shared" si="415"/>
        <v>0</v>
      </c>
      <c r="T443" s="993"/>
      <c r="U443" s="1530"/>
      <c r="V443" s="1530"/>
      <c r="W443" s="1530"/>
      <c r="X443" s="1530"/>
      <c r="Y443" s="1530"/>
      <c r="Z443" s="1530"/>
      <c r="AA443" s="1530"/>
      <c r="AB443" s="1371"/>
      <c r="AC443" s="783"/>
      <c r="AD443" s="783"/>
      <c r="AE443" s="783"/>
      <c r="AF443" s="783"/>
      <c r="AG443" s="783"/>
      <c r="AH443" s="783"/>
    </row>
    <row r="444" spans="1:43" ht="15" outlineLevel="3" thickBot="1">
      <c r="C444" s="37"/>
      <c r="D444" s="38" t="s">
        <v>665</v>
      </c>
      <c r="E444" s="37"/>
      <c r="F444" s="37"/>
      <c r="G444" s="37"/>
      <c r="H444" s="697" t="str">
        <f t="shared" si="406"/>
        <v>NA</v>
      </c>
      <c r="I444" s="697" t="str">
        <f t="shared" si="406"/>
        <v>NA</v>
      </c>
      <c r="J444" s="697">
        <f t="shared" si="406"/>
        <v>2.1470274482782631E-2</v>
      </c>
      <c r="K444" s="697">
        <f t="shared" si="406"/>
        <v>7.683439378903742E-2</v>
      </c>
      <c r="L444" s="697">
        <f t="shared" si="407"/>
        <v>1.2139709905937031E-2</v>
      </c>
      <c r="M444" s="697">
        <f t="shared" si="407"/>
        <v>5.5344242927757052E-3</v>
      </c>
      <c r="N444" s="807">
        <f>CHOOSE(case,U444,AC444,AK444)</f>
        <v>5.5344242927757052E-3</v>
      </c>
      <c r="O444" s="808">
        <f t="shared" si="411"/>
        <v>5.5344242927757052E-3</v>
      </c>
      <c r="P444" s="808">
        <f t="shared" si="412"/>
        <v>5.5344242927757052E-3</v>
      </c>
      <c r="Q444" s="808">
        <f t="shared" si="413"/>
        <v>5.5344242927757052E-3</v>
      </c>
      <c r="R444" s="808">
        <f t="shared" si="414"/>
        <v>5.5344242927757052E-3</v>
      </c>
      <c r="S444" s="809">
        <f t="shared" si="415"/>
        <v>5.5344242927757052E-3</v>
      </c>
      <c r="T444" s="993"/>
      <c r="U444" s="1530"/>
      <c r="V444" s="1530"/>
      <c r="W444" s="1530"/>
      <c r="X444" s="1530"/>
      <c r="Y444" s="1530"/>
      <c r="Z444" s="1530"/>
      <c r="AA444" s="1530"/>
      <c r="AB444" s="1371"/>
      <c r="AC444" s="783">
        <f t="shared" si="416"/>
        <v>5.5344242927757052E-3</v>
      </c>
      <c r="AD444" s="783">
        <f t="shared" ref="AD444:AH444" si="418">AC444</f>
        <v>5.5344242927757052E-3</v>
      </c>
      <c r="AE444" s="783">
        <f t="shared" si="418"/>
        <v>5.5344242927757052E-3</v>
      </c>
      <c r="AF444" s="783">
        <f t="shared" si="418"/>
        <v>5.5344242927757052E-3</v>
      </c>
      <c r="AG444" s="783">
        <f t="shared" si="418"/>
        <v>5.5344242927757052E-3</v>
      </c>
      <c r="AH444" s="783">
        <f t="shared" si="418"/>
        <v>5.5344242927757052E-3</v>
      </c>
    </row>
    <row r="445" spans="1:43" outlineLevel="3">
      <c r="C445" s="18" t="s">
        <v>845</v>
      </c>
      <c r="H445" s="23">
        <f>SUM(H446:H450)</f>
        <v>2851</v>
      </c>
      <c r="I445" s="23">
        <f t="shared" ref="I445:K445" si="419">SUM(I446:I450)</f>
        <v>12829.95551</v>
      </c>
      <c r="J445" s="23">
        <v>48303.291529999995</v>
      </c>
      <c r="K445" s="23">
        <f t="shared" si="419"/>
        <v>77394</v>
      </c>
      <c r="L445" s="23">
        <f>SUM(L446:L450)</f>
        <v>89399</v>
      </c>
      <c r="M445" s="23">
        <f>SUM(M446:M450)</f>
        <v>65486.107240000005</v>
      </c>
      <c r="N445" s="23">
        <f t="shared" ref="N445:S445" si="420">SUM(N446:N450)</f>
        <v>120506.19156712024</v>
      </c>
      <c r="O445" s="23">
        <f t="shared" si="420"/>
        <v>167838.43124428258</v>
      </c>
      <c r="P445" s="23">
        <f t="shared" si="420"/>
        <v>201145.04640823338</v>
      </c>
      <c r="Q445" s="23">
        <f t="shared" si="420"/>
        <v>231173.21427277022</v>
      </c>
      <c r="R445" s="23">
        <f t="shared" si="420"/>
        <v>265691.24840731773</v>
      </c>
      <c r="S445" s="23">
        <f t="shared" si="420"/>
        <v>292260.37324804952</v>
      </c>
      <c r="T445" s="1205"/>
    </row>
    <row r="446" spans="1:43" outlineLevel="3">
      <c r="D446" s="27" t="s">
        <v>841</v>
      </c>
      <c r="E446" s="28"/>
      <c r="F446" s="28"/>
      <c r="G446" s="28"/>
      <c r="H446" s="398"/>
      <c r="I446" s="398"/>
      <c r="J446" s="398"/>
      <c r="K446" s="398"/>
      <c r="L446" s="398"/>
      <c r="M446" s="398"/>
      <c r="N446" s="703">
        <f>N440*N422</f>
        <v>0</v>
      </c>
      <c r="O446" s="29">
        <f t="shared" ref="O446:S446" si="421">O440*O422</f>
        <v>0</v>
      </c>
      <c r="P446" s="29">
        <f t="shared" si="421"/>
        <v>0</v>
      </c>
      <c r="Q446" s="29">
        <f t="shared" si="421"/>
        <v>0</v>
      </c>
      <c r="R446" s="29">
        <f t="shared" si="421"/>
        <v>0</v>
      </c>
      <c r="S446" s="30">
        <f t="shared" si="421"/>
        <v>0</v>
      </c>
    </row>
    <row r="447" spans="1:43" outlineLevel="3">
      <c r="D447" s="31" t="s">
        <v>842</v>
      </c>
      <c r="H447" s="400">
        <v>1179</v>
      </c>
      <c r="I447" s="400">
        <v>6683.0309600000001</v>
      </c>
      <c r="J447" s="400">
        <v>4339.9686499999998</v>
      </c>
      <c r="K447" s="400">
        <v>2405</v>
      </c>
      <c r="L447" s="400">
        <v>2405.1559999999999</v>
      </c>
      <c r="M447" s="400">
        <v>0</v>
      </c>
      <c r="N447" s="704">
        <f>N441*N423</f>
        <v>0</v>
      </c>
      <c r="O447" s="20">
        <f t="shared" ref="O447:S450" si="422">O441*O423</f>
        <v>0</v>
      </c>
      <c r="P447" s="20">
        <f t="shared" si="422"/>
        <v>0</v>
      </c>
      <c r="Q447" s="20">
        <f t="shared" si="422"/>
        <v>0</v>
      </c>
      <c r="R447" s="20">
        <f t="shared" si="422"/>
        <v>0</v>
      </c>
      <c r="S447" s="32">
        <f t="shared" si="422"/>
        <v>0</v>
      </c>
    </row>
    <row r="448" spans="1:43" outlineLevel="3">
      <c r="D448" s="31" t="s">
        <v>843</v>
      </c>
      <c r="H448" s="400">
        <v>1672</v>
      </c>
      <c r="I448" s="400">
        <v>6146.9245500000006</v>
      </c>
      <c r="J448" s="400">
        <v>36578.493150000009</v>
      </c>
      <c r="K448" s="400">
        <v>64459</v>
      </c>
      <c r="L448" s="400">
        <v>68814.25426999999</v>
      </c>
      <c r="M448" s="400">
        <v>64426.918050000007</v>
      </c>
      <c r="N448" s="704">
        <f>N442*N424</f>
        <v>118019.80028230375</v>
      </c>
      <c r="O448" s="20">
        <f t="shared" si="422"/>
        <v>165227.72039522525</v>
      </c>
      <c r="P448" s="20">
        <f t="shared" si="422"/>
        <v>198273.26447427031</v>
      </c>
      <c r="Q448" s="20">
        <f t="shared" si="422"/>
        <v>228014.25414541084</v>
      </c>
      <c r="R448" s="20">
        <f t="shared" si="422"/>
        <v>262216.39226722246</v>
      </c>
      <c r="S448" s="32">
        <f t="shared" si="422"/>
        <v>288438.0314939447</v>
      </c>
    </row>
    <row r="449" spans="1:43" outlineLevel="3">
      <c r="D449" s="31" t="s">
        <v>844</v>
      </c>
      <c r="H449" s="400"/>
      <c r="I449" s="400"/>
      <c r="J449" s="400"/>
      <c r="K449" s="400"/>
      <c r="L449" s="400"/>
      <c r="M449" s="400"/>
      <c r="N449" s="704">
        <f>N443*N425</f>
        <v>0</v>
      </c>
      <c r="O449" s="20">
        <f t="shared" si="422"/>
        <v>0</v>
      </c>
      <c r="P449" s="20">
        <f t="shared" si="422"/>
        <v>0</v>
      </c>
      <c r="Q449" s="20">
        <f t="shared" si="422"/>
        <v>0</v>
      </c>
      <c r="R449" s="20">
        <f t="shared" si="422"/>
        <v>0</v>
      </c>
      <c r="S449" s="32">
        <f t="shared" si="422"/>
        <v>0</v>
      </c>
    </row>
    <row r="450" spans="1:43" outlineLevel="3">
      <c r="D450" s="33" t="s">
        <v>665</v>
      </c>
      <c r="E450" s="34"/>
      <c r="F450" s="34"/>
      <c r="G450" s="34"/>
      <c r="H450" s="402"/>
      <c r="I450" s="402">
        <v>0</v>
      </c>
      <c r="J450" s="402">
        <f>J445-SUM(J447:J448)</f>
        <v>7384.8297299999831</v>
      </c>
      <c r="K450" s="402">
        <v>10530</v>
      </c>
      <c r="L450" s="402">
        <f>89399-SUM(L446:L449)</f>
        <v>18179.589730000007</v>
      </c>
      <c r="M450" s="402">
        <v>1059.1891900000001</v>
      </c>
      <c r="N450" s="705">
        <f>N444*N426</f>
        <v>2486.3912848164973</v>
      </c>
      <c r="O450" s="35">
        <f t="shared" si="422"/>
        <v>2610.7108490573223</v>
      </c>
      <c r="P450" s="35">
        <f t="shared" si="422"/>
        <v>2871.7819339630551</v>
      </c>
      <c r="Q450" s="35">
        <f t="shared" si="422"/>
        <v>3158.9601273593607</v>
      </c>
      <c r="R450" s="35">
        <f t="shared" si="422"/>
        <v>3474.8561400952967</v>
      </c>
      <c r="S450" s="36">
        <f t="shared" si="422"/>
        <v>3822.3417541048266</v>
      </c>
    </row>
    <row r="451" spans="1:43" outlineLevel="3">
      <c r="H451" s="43"/>
      <c r="I451" s="43"/>
      <c r="J451" s="43"/>
      <c r="K451" s="43"/>
      <c r="L451" s="144"/>
      <c r="M451" s="144"/>
      <c r="N451" s="144"/>
      <c r="S451" s="144"/>
    </row>
    <row r="452" spans="1:43" outlineLevel="3">
      <c r="C452" s="1" t="s">
        <v>659</v>
      </c>
      <c r="H452" s="394">
        <v>-1832</v>
      </c>
      <c r="I452" s="394">
        <v>-9116</v>
      </c>
      <c r="J452" s="394">
        <v>-28634</v>
      </c>
      <c r="K452" s="394">
        <v>-41939</v>
      </c>
      <c r="L452" s="394">
        <v>-47653.566060824931</v>
      </c>
      <c r="M452" s="394">
        <v>-33417.997930379286</v>
      </c>
      <c r="N452" s="20">
        <f>N453*N421</f>
        <v>-61495.1144618978</v>
      </c>
      <c r="O452" s="20">
        <f t="shared" ref="O452:S452" si="423">O453*O421</f>
        <v>-85739.809409084104</v>
      </c>
      <c r="P452" s="20">
        <f t="shared" si="423"/>
        <v>-102504.12112359969</v>
      </c>
      <c r="Q452" s="20">
        <f t="shared" si="423"/>
        <v>-117448.02953577899</v>
      </c>
      <c r="R452" s="20">
        <f t="shared" si="423"/>
        <v>-134571.12530426629</v>
      </c>
      <c r="S452" s="20">
        <f t="shared" si="423"/>
        <v>-147495.38624279373</v>
      </c>
    </row>
    <row r="453" spans="1:43" outlineLevel="3">
      <c r="D453" s="1" t="s">
        <v>849</v>
      </c>
      <c r="H453" s="744">
        <f>H452/H421</f>
        <v>-0.12514892175186632</v>
      </c>
      <c r="I453" s="744">
        <f>I452/I421</f>
        <v>-0.14141548586442387</v>
      </c>
      <c r="J453" s="744">
        <f>J452/J421</f>
        <v>-5.3035436456461589E-2</v>
      </c>
      <c r="K453" s="744">
        <f>K452/K421</f>
        <v>-0.1021589322992154</v>
      </c>
      <c r="L453" s="744">
        <f t="shared" ref="L453:M453" si="424">L452/L421</f>
        <v>-2.6349389441987895E-2</v>
      </c>
      <c r="M453" s="744">
        <f t="shared" si="424"/>
        <v>-7.2997984508832575E-2</v>
      </c>
      <c r="N453" s="746">
        <f>N439/M439*M453</f>
        <v>-6.5568179856129644E-2</v>
      </c>
      <c r="O453" s="744">
        <f>N453*(1+O454)</f>
        <v>-7.4196177850520545E-2</v>
      </c>
      <c r="P453" s="744">
        <f t="shared" ref="P453:S453" si="425">O453*(1+P454)</f>
        <v>-7.6526220205096543E-2</v>
      </c>
      <c r="Q453" s="744">
        <f t="shared" si="425"/>
        <v>-7.7553941074087848E-2</v>
      </c>
      <c r="R453" s="744">
        <f t="shared" si="425"/>
        <v>-7.8559298425898497E-2</v>
      </c>
      <c r="S453" s="744">
        <f t="shared" si="425"/>
        <v>-7.8276511520933303E-2</v>
      </c>
    </row>
    <row r="454" spans="1:43" ht="15" outlineLevel="3" thickBot="1">
      <c r="C454" s="37"/>
      <c r="D454" s="74"/>
      <c r="E454" s="74" t="s">
        <v>151</v>
      </c>
      <c r="F454" s="37"/>
      <c r="G454" s="37"/>
      <c r="H454" s="747"/>
      <c r="I454" s="75">
        <f>I453/H453-1</f>
        <v>0.12997766089275142</v>
      </c>
      <c r="J454" s="75">
        <f>J453/I453-1</f>
        <v>-0.62496726484886478</v>
      </c>
      <c r="K454" s="75"/>
      <c r="L454" s="75">
        <f>L453/J453-1</f>
        <v>-0.50317389273077984</v>
      </c>
      <c r="M454" s="75"/>
      <c r="N454" s="748">
        <f>N453/L453-1</f>
        <v>1.4884136310060527</v>
      </c>
      <c r="O454" s="749">
        <f>CHOOSE(case,V454,AD454,AL454)</f>
        <v>0.1315881882541583</v>
      </c>
      <c r="P454" s="750">
        <f>CHOOSE(case,W454,AE454,AM454)</f>
        <v>3.1403805722583389E-2</v>
      </c>
      <c r="Q454" s="750">
        <f>CHOOSE(case,X454,AF454,AN454)</f>
        <v>1.3429656740355567E-2</v>
      </c>
      <c r="R454" s="750">
        <f>CHOOSE(case,Y454,AG454,AO454)</f>
        <v>1.296333026906038E-2</v>
      </c>
      <c r="S454" s="751">
        <f>CHOOSE(case,Z454,AH454,AP454)</f>
        <v>-3.5996617921929541E-3</v>
      </c>
      <c r="AC454" s="752"/>
      <c r="AD454" s="753">
        <f>(SUMPRODUCT(O434:O437,各区域分剂型成本优化!K$87:K$90)+O438*O444)/(SUMPRODUCT(N434:N437,各区域分剂型成本优化!J$87:J$90)+N438*N444)-1</f>
        <v>0.1315881882541583</v>
      </c>
      <c r="AE454" s="753">
        <f>(SUMPRODUCT(P434:P437,各区域分剂型成本优化!L$87:L$90)+P438*P444)/(SUMPRODUCT(O434:O437,各区域分剂型成本优化!K$87:K$90)+O438*O444)-1</f>
        <v>3.1403805722583389E-2</v>
      </c>
      <c r="AF454" s="753">
        <f>(SUMPRODUCT(Q434:Q437,各区域分剂型成本优化!M$87:M$90)+Q438*Q444)/(SUMPRODUCT(P434:P437,各区域分剂型成本优化!L$87:L$90)+P438*P444)-1</f>
        <v>1.3429656740355567E-2</v>
      </c>
      <c r="AG454" s="753">
        <f>(SUMPRODUCT(R434:R437,各区域分剂型成本优化!N$87:N$90)+R438*R444)/(SUMPRODUCT(Q434:Q437,各区域分剂型成本优化!M$87:M$90)+Q438*Q444)-1</f>
        <v>1.296333026906038E-2</v>
      </c>
      <c r="AH454" s="753">
        <f>(SUMPRODUCT(S434:S437,各区域分剂型成本优化!O$87:O$90)+S438*S444)/(SUMPRODUCT(R434:R437,各区域分剂型成本优化!N$87:N$90)+R438*R444)-1</f>
        <v>-3.5996617921929541E-3</v>
      </c>
    </row>
    <row r="455" spans="1:43" outlineLevel="3">
      <c r="C455" s="18" t="s">
        <v>846</v>
      </c>
      <c r="D455" s="18"/>
      <c r="E455" s="18"/>
      <c r="F455" s="18"/>
      <c r="G455" s="18"/>
      <c r="H455" s="23">
        <f>H452+H445</f>
        <v>1019</v>
      </c>
      <c r="I455" s="23">
        <f>I452+I445</f>
        <v>3713.9555099999998</v>
      </c>
      <c r="J455" s="23">
        <f>J452+J445</f>
        <v>19669.291529999995</v>
      </c>
      <c r="K455" s="23">
        <f>K452+K445</f>
        <v>35455</v>
      </c>
      <c r="L455" s="23">
        <f t="shared" ref="L455:S455" si="426">L452+L445</f>
        <v>41745.433939175069</v>
      </c>
      <c r="M455" s="23">
        <f t="shared" si="426"/>
        <v>32068.109309620719</v>
      </c>
      <c r="N455" s="23">
        <f t="shared" si="426"/>
        <v>59011.077105222445</v>
      </c>
      <c r="O455" s="23">
        <f t="shared" si="426"/>
        <v>82098.621835198472</v>
      </c>
      <c r="P455" s="23">
        <f t="shared" si="426"/>
        <v>98640.925284633689</v>
      </c>
      <c r="Q455" s="23">
        <f t="shared" si="426"/>
        <v>113725.18473699123</v>
      </c>
      <c r="R455" s="23">
        <f t="shared" si="426"/>
        <v>131120.12310305145</v>
      </c>
      <c r="S455" s="23">
        <f t="shared" si="426"/>
        <v>144764.9870052558</v>
      </c>
    </row>
    <row r="456" spans="1:43" outlineLevel="3">
      <c r="C456" s="22" t="s">
        <v>660</v>
      </c>
      <c r="D456" s="22"/>
      <c r="E456" s="22"/>
      <c r="F456" s="22"/>
      <c r="G456" s="22"/>
      <c r="H456" s="56">
        <f>IFERROR(H455/H445,"NA")</f>
        <v>0.3574184496667836</v>
      </c>
      <c r="I456" s="56">
        <f t="shared" ref="I456:S456" si="427">IFERROR(I455/I445,"NA")</f>
        <v>0.2894753225843415</v>
      </c>
      <c r="J456" s="56">
        <f t="shared" si="427"/>
        <v>0.40720395871539888</v>
      </c>
      <c r="K456" s="56">
        <f t="shared" si="427"/>
        <v>0.45811044783833371</v>
      </c>
      <c r="L456" s="56">
        <f t="shared" si="427"/>
        <v>0.46695638585638621</v>
      </c>
      <c r="M456" s="56">
        <f t="shared" si="427"/>
        <v>0.48969332063202842</v>
      </c>
      <c r="N456" s="56">
        <f>IFERROR(N455/N445,"NA")</f>
        <v>0.48969332063202836</v>
      </c>
      <c r="O456" s="56">
        <f t="shared" si="427"/>
        <v>0.48915270016857454</v>
      </c>
      <c r="P456" s="56">
        <f t="shared" si="427"/>
        <v>0.49039698986390778</v>
      </c>
      <c r="Q456" s="56">
        <f t="shared" si="427"/>
        <v>0.49194793218042332</v>
      </c>
      <c r="R456" s="56">
        <f t="shared" si="427"/>
        <v>0.49350561559347206</v>
      </c>
      <c r="S456" s="56">
        <f t="shared" si="427"/>
        <v>0.49532882407698053</v>
      </c>
      <c r="U456" s="1526">
        <f>AC456+1%</f>
        <v>0.01</v>
      </c>
      <c r="V456" s="1526">
        <f t="shared" ref="V456:Z456" si="428">U456</f>
        <v>0.01</v>
      </c>
      <c r="W456" s="1526">
        <f t="shared" si="428"/>
        <v>0.01</v>
      </c>
      <c r="X456" s="1526">
        <f t="shared" si="428"/>
        <v>0.01</v>
      </c>
      <c r="Y456" s="1526">
        <f t="shared" si="428"/>
        <v>0.01</v>
      </c>
      <c r="Z456" s="1526">
        <f t="shared" si="428"/>
        <v>0.01</v>
      </c>
      <c r="AC456" s="416"/>
      <c r="AD456" s="65"/>
      <c r="AE456" s="65"/>
      <c r="AF456" s="65"/>
      <c r="AG456" s="65"/>
      <c r="AH456" s="65"/>
      <c r="AK456" s="1526">
        <f>AC456-1%</f>
        <v>-0.01</v>
      </c>
      <c r="AL456" s="1526">
        <f t="shared" ref="AL456:AP456" si="429">AK456</f>
        <v>-0.01</v>
      </c>
      <c r="AM456" s="1526">
        <f t="shared" si="429"/>
        <v>-0.01</v>
      </c>
      <c r="AN456" s="1526">
        <f t="shared" si="429"/>
        <v>-0.01</v>
      </c>
      <c r="AO456" s="1526">
        <f t="shared" si="429"/>
        <v>-0.01</v>
      </c>
      <c r="AP456" s="1526">
        <f t="shared" si="429"/>
        <v>-0.01</v>
      </c>
    </row>
    <row r="457" spans="1:43" outlineLevel="3"/>
    <row r="458" spans="1:43" s="1126" customFormat="1" outlineLevel="3">
      <c r="A458" s="26" t="s">
        <v>8</v>
      </c>
      <c r="B458" s="26"/>
      <c r="C458" s="26" t="s">
        <v>50</v>
      </c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408"/>
      <c r="U458" s="1518"/>
      <c r="V458" s="1518"/>
      <c r="W458" s="1518"/>
      <c r="X458" s="1518"/>
      <c r="Y458" s="1518"/>
      <c r="Z458" s="1518"/>
      <c r="AA458" s="1518"/>
      <c r="AC458" s="26"/>
      <c r="AD458" s="26"/>
      <c r="AE458" s="26"/>
      <c r="AF458" s="26"/>
      <c r="AG458" s="26"/>
      <c r="AH458" s="26"/>
      <c r="AI458" s="18"/>
      <c r="AK458" s="1518"/>
      <c r="AL458" s="1518"/>
      <c r="AM458" s="1518"/>
      <c r="AN458" s="1518"/>
      <c r="AO458" s="1518"/>
      <c r="AP458" s="1518"/>
      <c r="AQ458" s="1518"/>
    </row>
    <row r="459" spans="1:43" outlineLevel="3">
      <c r="L459" s="20"/>
      <c r="M459" s="20"/>
      <c r="N459" s="20"/>
      <c r="S459" s="20"/>
    </row>
    <row r="460" spans="1:43" s="1126" customFormat="1" outlineLevel="3">
      <c r="A460" s="18"/>
      <c r="B460" s="18"/>
      <c r="C460" s="18" t="s">
        <v>840</v>
      </c>
      <c r="D460" s="18"/>
      <c r="E460" s="18"/>
      <c r="F460" s="18"/>
      <c r="G460" s="18"/>
      <c r="H460" s="23"/>
      <c r="I460" s="23">
        <f t="shared" ref="I460:M460" si="430">SUM(I461:I465)</f>
        <v>37674.339999999997</v>
      </c>
      <c r="J460" s="23">
        <f t="shared" si="430"/>
        <v>161985.14499999999</v>
      </c>
      <c r="K460" s="810"/>
      <c r="L460" s="23">
        <f t="shared" si="430"/>
        <v>278971.19999999995</v>
      </c>
      <c r="M460" s="23">
        <f t="shared" si="430"/>
        <v>207961.82</v>
      </c>
      <c r="N460" s="23">
        <f t="shared" ref="N460:S460" si="431">SUM(N461:N465)</f>
        <v>455364.57399999996</v>
      </c>
      <c r="O460" s="23">
        <f t="shared" si="431"/>
        <v>591973.94620000001</v>
      </c>
      <c r="P460" s="23">
        <f t="shared" si="431"/>
        <v>769566.13006</v>
      </c>
      <c r="Q460" s="23">
        <f t="shared" si="431"/>
        <v>1000435.9690780001</v>
      </c>
      <c r="R460" s="23">
        <f t="shared" si="431"/>
        <v>1300566.7598014001</v>
      </c>
      <c r="S460" s="23">
        <f t="shared" si="431"/>
        <v>1663355.4912785203</v>
      </c>
      <c r="T460" s="408"/>
      <c r="U460" s="1519">
        <f>$L460*(1+$AA460)</f>
        <v>418456.79999999993</v>
      </c>
      <c r="V460" s="1519">
        <f>U460*(1+$AA460)</f>
        <v>627685.19999999995</v>
      </c>
      <c r="W460" s="1519">
        <f t="shared" ref="W460" si="432">V460*(1+$AA460)</f>
        <v>941527.79999999993</v>
      </c>
      <c r="X460" s="1519">
        <f>W460*(1+$AA460)</f>
        <v>1412291.7</v>
      </c>
      <c r="Y460" s="1519">
        <f>X460*(1+$AA460)</f>
        <v>2118437.5499999998</v>
      </c>
      <c r="Z460" s="1519">
        <f t="shared" ref="Z460" si="433">Y460*(1+$AA460)</f>
        <v>3177656.3249999997</v>
      </c>
      <c r="AA460" s="1520">
        <v>0.5</v>
      </c>
      <c r="AB460" s="1321"/>
      <c r="AC460" s="20"/>
      <c r="AD460" s="20"/>
      <c r="AE460" s="20"/>
      <c r="AF460" s="20"/>
      <c r="AG460" s="20"/>
      <c r="AH460" s="20"/>
      <c r="AI460" s="702"/>
      <c r="AJ460" s="1321"/>
      <c r="AK460" s="1519">
        <f>$L460*(1+$AQ460)</f>
        <v>334765.43999999994</v>
      </c>
      <c r="AL460" s="1519">
        <f>AK460*(1+$AQ460)</f>
        <v>401718.52799999993</v>
      </c>
      <c r="AM460" s="1519">
        <f t="shared" ref="AM460:AN460" si="434">AL460*(1+$AQ460)</f>
        <v>482062.23359999992</v>
      </c>
      <c r="AN460" s="1519">
        <f t="shared" si="434"/>
        <v>578474.68031999993</v>
      </c>
      <c r="AO460" s="1519">
        <f>AN460*(1+$AQ460)</f>
        <v>694169.61638399994</v>
      </c>
      <c r="AP460" s="1519">
        <f t="shared" ref="AP460" si="435">AO460*(1+$AQ460)</f>
        <v>833003.5396607999</v>
      </c>
      <c r="AQ460" s="1520">
        <v>0.2</v>
      </c>
    </row>
    <row r="461" spans="1:43" outlineLevel="3">
      <c r="D461" s="27" t="s">
        <v>841</v>
      </c>
      <c r="E461" s="28"/>
      <c r="F461" s="28"/>
      <c r="G461" s="28"/>
      <c r="H461" s="398"/>
      <c r="I461" s="398">
        <v>8596.94</v>
      </c>
      <c r="J461" s="398">
        <v>8268.68</v>
      </c>
      <c r="K461" s="811"/>
      <c r="L461" s="398">
        <v>10240.11</v>
      </c>
      <c r="M461" s="398">
        <v>9014.2549999999992</v>
      </c>
      <c r="N461" s="703">
        <f>L461*(1+N467)</f>
        <v>18432.198</v>
      </c>
      <c r="O461" s="29">
        <f>N461*(1+O467)</f>
        <v>23961.857400000001</v>
      </c>
      <c r="P461" s="29">
        <f t="shared" ref="P461:S461" si="436">O461*(1+P467)</f>
        <v>31150.414620000003</v>
      </c>
      <c r="Q461" s="29">
        <f t="shared" si="436"/>
        <v>40495.539006000006</v>
      </c>
      <c r="R461" s="29">
        <f t="shared" si="436"/>
        <v>52644.20070780001</v>
      </c>
      <c r="S461" s="30">
        <f t="shared" si="436"/>
        <v>63173.040849360012</v>
      </c>
    </row>
    <row r="462" spans="1:43" outlineLevel="3">
      <c r="D462" s="31" t="s">
        <v>842</v>
      </c>
      <c r="H462" s="400"/>
      <c r="I462" s="400">
        <v>0</v>
      </c>
      <c r="J462" s="400">
        <v>4339.7049999999999</v>
      </c>
      <c r="K462" s="812"/>
      <c r="L462" s="400">
        <v>3331.39</v>
      </c>
      <c r="M462" s="400">
        <v>1171.3599999999999</v>
      </c>
      <c r="N462" s="704">
        <f t="shared" ref="N462:N465" si="437">L462*(1+N468)</f>
        <v>3997.6679999999997</v>
      </c>
      <c r="O462" s="20">
        <f t="shared" ref="O462:S465" si="438">N462*(1+O468)</f>
        <v>5196.9683999999997</v>
      </c>
      <c r="P462" s="20">
        <f t="shared" si="438"/>
        <v>6756.0589199999995</v>
      </c>
      <c r="Q462" s="20">
        <f t="shared" si="438"/>
        <v>8782.8765960000001</v>
      </c>
      <c r="R462" s="20">
        <f t="shared" si="438"/>
        <v>11417.7395748</v>
      </c>
      <c r="S462" s="32">
        <f t="shared" si="438"/>
        <v>14843.061447240001</v>
      </c>
    </row>
    <row r="463" spans="1:43" outlineLevel="3">
      <c r="D463" s="31" t="s">
        <v>843</v>
      </c>
      <c r="H463" s="400"/>
      <c r="I463" s="400">
        <v>6298.1999999999989</v>
      </c>
      <c r="J463" s="400">
        <v>32560.9</v>
      </c>
      <c r="K463" s="812"/>
      <c r="L463" s="400">
        <v>42634.54</v>
      </c>
      <c r="M463" s="400">
        <v>43896.57</v>
      </c>
      <c r="N463" s="704">
        <f t="shared" si="437"/>
        <v>76742.172000000006</v>
      </c>
      <c r="O463" s="20">
        <f t="shared" si="438"/>
        <v>99764.823600000018</v>
      </c>
      <c r="P463" s="20">
        <f t="shared" si="438"/>
        <v>129694.27068000003</v>
      </c>
      <c r="Q463" s="20">
        <f t="shared" si="438"/>
        <v>168602.55188400004</v>
      </c>
      <c r="R463" s="20">
        <f t="shared" si="438"/>
        <v>219183.31744920005</v>
      </c>
      <c r="S463" s="32">
        <f t="shared" si="438"/>
        <v>263019.98093904008</v>
      </c>
    </row>
    <row r="464" spans="1:43" outlineLevel="3">
      <c r="D464" s="31" t="s">
        <v>844</v>
      </c>
      <c r="H464" s="400"/>
      <c r="I464" s="400">
        <v>22779.199999999997</v>
      </c>
      <c r="J464" s="400">
        <v>114682.56</v>
      </c>
      <c r="K464" s="812"/>
      <c r="L464" s="400">
        <v>222185.86</v>
      </c>
      <c r="M464" s="400">
        <v>153520.35500000001</v>
      </c>
      <c r="N464" s="704">
        <f t="shared" si="437"/>
        <v>355497.37599999999</v>
      </c>
      <c r="O464" s="20">
        <f t="shared" si="438"/>
        <v>462146.58880000003</v>
      </c>
      <c r="P464" s="20">
        <f t="shared" si="438"/>
        <v>600790.56544000003</v>
      </c>
      <c r="Q464" s="20">
        <f t="shared" si="438"/>
        <v>781027.73507200007</v>
      </c>
      <c r="R464" s="20">
        <f t="shared" si="438"/>
        <v>1015336.0555936001</v>
      </c>
      <c r="S464" s="32">
        <f t="shared" si="438"/>
        <v>1319936.8722716803</v>
      </c>
    </row>
    <row r="465" spans="1:43" outlineLevel="3">
      <c r="D465" s="33" t="s">
        <v>665</v>
      </c>
      <c r="E465" s="34"/>
      <c r="F465" s="34"/>
      <c r="G465" s="34"/>
      <c r="H465" s="402"/>
      <c r="I465" s="402">
        <v>0</v>
      </c>
      <c r="J465" s="402">
        <v>2133.3000000000002</v>
      </c>
      <c r="K465" s="813"/>
      <c r="L465" s="402">
        <v>579.29999999999995</v>
      </c>
      <c r="M465" s="402">
        <v>359.28</v>
      </c>
      <c r="N465" s="705">
        <f t="shared" si="437"/>
        <v>695.16</v>
      </c>
      <c r="O465" s="35">
        <f t="shared" si="438"/>
        <v>903.70799999999997</v>
      </c>
      <c r="P465" s="35">
        <f t="shared" si="438"/>
        <v>1174.8204000000001</v>
      </c>
      <c r="Q465" s="35">
        <f t="shared" si="438"/>
        <v>1527.2665200000001</v>
      </c>
      <c r="R465" s="35">
        <f t="shared" si="438"/>
        <v>1985.4464760000003</v>
      </c>
      <c r="S465" s="36">
        <f t="shared" si="438"/>
        <v>2382.5357712000005</v>
      </c>
      <c r="AC465" s="448"/>
      <c r="AD465" s="448"/>
      <c r="AE465" s="448"/>
      <c r="AF465" s="448"/>
      <c r="AG465" s="448"/>
      <c r="AH465" s="448"/>
    </row>
    <row r="466" spans="1:43" s="1365" customFormat="1" outlineLevel="3">
      <c r="A466" s="22"/>
      <c r="B466" s="22"/>
      <c r="C466" s="22" t="s">
        <v>847</v>
      </c>
      <c r="D466" s="22"/>
      <c r="E466" s="22"/>
      <c r="F466" s="22"/>
      <c r="G466" s="22"/>
      <c r="H466" s="219"/>
      <c r="I466" s="24"/>
      <c r="J466" s="24">
        <f>J460/I460-1</f>
        <v>3.299614671418265</v>
      </c>
      <c r="K466" s="24"/>
      <c r="L466" s="793">
        <f>L460/J460-1</f>
        <v>0.72220236614906863</v>
      </c>
      <c r="M466" s="24"/>
      <c r="N466" s="24">
        <f>N460/L460-1</f>
        <v>0.63229958504677208</v>
      </c>
      <c r="O466" s="24">
        <f>O460/N460-1</f>
        <v>0.30000000000000004</v>
      </c>
      <c r="P466" s="24">
        <f t="shared" ref="P466:S466" si="439">P460/O460-1</f>
        <v>0.30000000000000004</v>
      </c>
      <c r="Q466" s="24">
        <f t="shared" si="439"/>
        <v>0.30000000000000004</v>
      </c>
      <c r="R466" s="24">
        <f t="shared" si="439"/>
        <v>0.30000000000000004</v>
      </c>
      <c r="S466" s="24">
        <f t="shared" si="439"/>
        <v>0.27894664287169624</v>
      </c>
      <c r="T466" s="726"/>
      <c r="U466" s="1521"/>
      <c r="V466" s="1521"/>
      <c r="W466" s="1521"/>
      <c r="X466" s="1521"/>
      <c r="Y466" s="1521"/>
      <c r="Z466" s="1521"/>
      <c r="AA466" s="1522"/>
      <c r="AC466" s="219"/>
      <c r="AD466" s="219"/>
      <c r="AE466" s="219"/>
      <c r="AF466" s="219"/>
      <c r="AG466" s="219"/>
      <c r="AH466" s="219"/>
      <c r="AI466" s="706"/>
      <c r="AK466" s="1521"/>
      <c r="AL466" s="1521"/>
      <c r="AM466" s="1521"/>
      <c r="AN466" s="1521"/>
      <c r="AO466" s="1521"/>
      <c r="AP466" s="1521"/>
      <c r="AQ466" s="1522"/>
    </row>
    <row r="467" spans="1:43" s="1365" customFormat="1" outlineLevel="3">
      <c r="A467" s="22"/>
      <c r="B467" s="22"/>
      <c r="C467" s="22"/>
      <c r="D467" s="707" t="s">
        <v>841</v>
      </c>
      <c r="E467" s="708"/>
      <c r="F467" s="708"/>
      <c r="G467" s="708"/>
      <c r="H467" s="709"/>
      <c r="I467" s="710"/>
      <c r="J467" s="710">
        <f t="shared" ref="J467" si="440">J461/I461-1</f>
        <v>-3.8183353611866533E-2</v>
      </c>
      <c r="K467" s="710"/>
      <c r="L467" s="710">
        <f t="shared" ref="L467:L471" si="441">L461/J461-1</f>
        <v>0.23842136834416139</v>
      </c>
      <c r="M467" s="727"/>
      <c r="N467" s="711">
        <f t="shared" ref="N467:S471" si="442">CHOOSE(case,U467,AC467,AK467)</f>
        <v>0.8</v>
      </c>
      <c r="O467" s="712">
        <f t="shared" si="442"/>
        <v>0.3</v>
      </c>
      <c r="P467" s="712">
        <f t="shared" si="442"/>
        <v>0.3</v>
      </c>
      <c r="Q467" s="712">
        <f t="shared" si="442"/>
        <v>0.3</v>
      </c>
      <c r="R467" s="712">
        <f t="shared" si="442"/>
        <v>0.3</v>
      </c>
      <c r="S467" s="713">
        <f t="shared" si="442"/>
        <v>0.2</v>
      </c>
      <c r="T467" s="726"/>
      <c r="U467" s="1521"/>
      <c r="V467" s="1521"/>
      <c r="W467" s="1521"/>
      <c r="X467" s="1521"/>
      <c r="Y467" s="1521"/>
      <c r="Z467" s="1521"/>
      <c r="AA467" s="1523"/>
      <c r="AC467" s="714">
        <v>0.8</v>
      </c>
      <c r="AD467" s="714">
        <v>0.3</v>
      </c>
      <c r="AE467" s="714">
        <v>0.3</v>
      </c>
      <c r="AF467" s="714">
        <v>0.3</v>
      </c>
      <c r="AG467" s="714">
        <v>0.3</v>
      </c>
      <c r="AH467" s="714">
        <v>0.2</v>
      </c>
      <c r="AI467" s="22"/>
      <c r="AK467" s="1521"/>
      <c r="AL467" s="1521"/>
      <c r="AM467" s="1521"/>
      <c r="AN467" s="1521"/>
      <c r="AO467" s="1521"/>
      <c r="AP467" s="1521"/>
      <c r="AQ467" s="1523"/>
    </row>
    <row r="468" spans="1:43" s="1365" customFormat="1" outlineLevel="3">
      <c r="A468" s="22"/>
      <c r="B468" s="22"/>
      <c r="C468" s="22"/>
      <c r="D468" s="715" t="s">
        <v>842</v>
      </c>
      <c r="E468" s="22"/>
      <c r="F468" s="22"/>
      <c r="G468" s="22"/>
      <c r="H468" s="219"/>
      <c r="I468" s="175"/>
      <c r="J468" s="175"/>
      <c r="K468" s="175"/>
      <c r="L468" s="175">
        <f t="shared" si="441"/>
        <v>-0.23234643829476886</v>
      </c>
      <c r="M468" s="729"/>
      <c r="N468" s="716">
        <f t="shared" si="442"/>
        <v>0.2</v>
      </c>
      <c r="O468" s="717">
        <f t="shared" si="442"/>
        <v>0.3</v>
      </c>
      <c r="P468" s="717">
        <f t="shared" si="442"/>
        <v>0.3</v>
      </c>
      <c r="Q468" s="717">
        <f t="shared" si="442"/>
        <v>0.3</v>
      </c>
      <c r="R468" s="717">
        <f t="shared" si="442"/>
        <v>0.3</v>
      </c>
      <c r="S468" s="718">
        <f t="shared" si="442"/>
        <v>0.3</v>
      </c>
      <c r="T468" s="726"/>
      <c r="U468" s="1521"/>
      <c r="V468" s="1521"/>
      <c r="W468" s="1521"/>
      <c r="X468" s="1521"/>
      <c r="Y468" s="1521"/>
      <c r="Z468" s="1521"/>
      <c r="AA468" s="1523"/>
      <c r="AC468" s="714">
        <v>0.2</v>
      </c>
      <c r="AD468" s="714">
        <v>0.3</v>
      </c>
      <c r="AE468" s="714">
        <v>0.3</v>
      </c>
      <c r="AF468" s="714">
        <v>0.3</v>
      </c>
      <c r="AG468" s="714">
        <v>0.3</v>
      </c>
      <c r="AH468" s="714">
        <v>0.3</v>
      </c>
      <c r="AI468" s="22"/>
      <c r="AK468" s="1521"/>
      <c r="AL468" s="1521"/>
      <c r="AM468" s="1521"/>
      <c r="AN468" s="1521"/>
      <c r="AO468" s="1521"/>
      <c r="AP468" s="1521"/>
      <c r="AQ468" s="1523"/>
    </row>
    <row r="469" spans="1:43" s="1365" customFormat="1" outlineLevel="3">
      <c r="A469" s="22"/>
      <c r="B469" s="22"/>
      <c r="C469" s="22"/>
      <c r="D469" s="715" t="s">
        <v>843</v>
      </c>
      <c r="E469" s="22"/>
      <c r="F469" s="22"/>
      <c r="G469" s="22"/>
      <c r="H469" s="219"/>
      <c r="I469" s="175"/>
      <c r="J469" s="175">
        <f>J463/I463-1</f>
        <v>4.1698739322346077</v>
      </c>
      <c r="K469" s="175"/>
      <c r="L469" s="175">
        <f t="shared" si="441"/>
        <v>0.30937842627200096</v>
      </c>
      <c r="M469" s="729"/>
      <c r="N469" s="716">
        <f t="shared" si="442"/>
        <v>0.8</v>
      </c>
      <c r="O469" s="717">
        <f t="shared" si="442"/>
        <v>0.3</v>
      </c>
      <c r="P469" s="717">
        <f t="shared" si="442"/>
        <v>0.3</v>
      </c>
      <c r="Q469" s="717">
        <f t="shared" si="442"/>
        <v>0.3</v>
      </c>
      <c r="R469" s="717">
        <f t="shared" si="442"/>
        <v>0.3</v>
      </c>
      <c r="S469" s="718">
        <f t="shared" si="442"/>
        <v>0.2</v>
      </c>
      <c r="T469" s="726"/>
      <c r="U469" s="1521"/>
      <c r="V469" s="1521"/>
      <c r="W469" s="1521"/>
      <c r="X469" s="1521"/>
      <c r="Y469" s="1521"/>
      <c r="Z469" s="1521"/>
      <c r="AA469" s="1523"/>
      <c r="AC469" s="714">
        <v>0.8</v>
      </c>
      <c r="AD469" s="714">
        <v>0.3</v>
      </c>
      <c r="AE469" s="714">
        <v>0.3</v>
      </c>
      <c r="AF469" s="714">
        <v>0.3</v>
      </c>
      <c r="AG469" s="714">
        <v>0.3</v>
      </c>
      <c r="AH469" s="714">
        <v>0.2</v>
      </c>
      <c r="AI469" s="22"/>
      <c r="AK469" s="1521"/>
      <c r="AL469" s="1521"/>
      <c r="AM469" s="1521"/>
      <c r="AN469" s="1521"/>
      <c r="AO469" s="1521"/>
      <c r="AP469" s="1521"/>
      <c r="AQ469" s="1523"/>
    </row>
    <row r="470" spans="1:43" s="1365" customFormat="1" outlineLevel="3">
      <c r="A470" s="22"/>
      <c r="B470" s="22"/>
      <c r="C470" s="22"/>
      <c r="D470" s="715" t="s">
        <v>844</v>
      </c>
      <c r="E470" s="22"/>
      <c r="F470" s="22"/>
      <c r="G470" s="22"/>
      <c r="H470" s="219"/>
      <c r="I470" s="175"/>
      <c r="J470" s="175">
        <f>J464/I464-1</f>
        <v>4.0345297464353447</v>
      </c>
      <c r="K470" s="175"/>
      <c r="L470" s="175">
        <f t="shared" si="441"/>
        <v>0.93739885122899236</v>
      </c>
      <c r="M470" s="729"/>
      <c r="N470" s="716">
        <f t="shared" si="442"/>
        <v>0.6</v>
      </c>
      <c r="O470" s="717">
        <f t="shared" si="442"/>
        <v>0.3</v>
      </c>
      <c r="P470" s="717">
        <f t="shared" si="442"/>
        <v>0.3</v>
      </c>
      <c r="Q470" s="717">
        <f t="shared" si="442"/>
        <v>0.3</v>
      </c>
      <c r="R470" s="717">
        <f t="shared" si="442"/>
        <v>0.3</v>
      </c>
      <c r="S470" s="718">
        <f t="shared" si="442"/>
        <v>0.3</v>
      </c>
      <c r="T470" s="726"/>
      <c r="U470" s="1521"/>
      <c r="V470" s="1521"/>
      <c r="W470" s="1521"/>
      <c r="X470" s="1521"/>
      <c r="Y470" s="1521"/>
      <c r="Z470" s="1521"/>
      <c r="AA470" s="1523"/>
      <c r="AC470" s="714">
        <v>0.6</v>
      </c>
      <c r="AD470" s="714">
        <v>0.3</v>
      </c>
      <c r="AE470" s="714">
        <v>0.3</v>
      </c>
      <c r="AF470" s="714">
        <v>0.3</v>
      </c>
      <c r="AG470" s="714">
        <v>0.3</v>
      </c>
      <c r="AH470" s="714">
        <v>0.3</v>
      </c>
      <c r="AI470" s="22"/>
      <c r="AK470" s="1521"/>
      <c r="AL470" s="1521"/>
      <c r="AM470" s="1521"/>
      <c r="AN470" s="1521"/>
      <c r="AO470" s="1521"/>
      <c r="AP470" s="1521"/>
      <c r="AQ470" s="1523"/>
    </row>
    <row r="471" spans="1:43" s="1365" customFormat="1" outlineLevel="3">
      <c r="A471" s="22"/>
      <c r="B471" s="22"/>
      <c r="C471" s="22"/>
      <c r="D471" s="719" t="s">
        <v>665</v>
      </c>
      <c r="E471" s="720"/>
      <c r="F471" s="720"/>
      <c r="G471" s="720"/>
      <c r="H471" s="721"/>
      <c r="I471" s="722"/>
      <c r="J471" s="722"/>
      <c r="K471" s="722"/>
      <c r="L471" s="722">
        <f t="shared" si="441"/>
        <v>-0.72844888201378155</v>
      </c>
      <c r="M471" s="730"/>
      <c r="N471" s="723">
        <f t="shared" si="442"/>
        <v>0.2</v>
      </c>
      <c r="O471" s="724">
        <f t="shared" si="442"/>
        <v>0.3</v>
      </c>
      <c r="P471" s="724">
        <f t="shared" si="442"/>
        <v>0.3</v>
      </c>
      <c r="Q471" s="724">
        <f t="shared" si="442"/>
        <v>0.3</v>
      </c>
      <c r="R471" s="724">
        <f t="shared" si="442"/>
        <v>0.3</v>
      </c>
      <c r="S471" s="725">
        <f t="shared" si="442"/>
        <v>0.2</v>
      </c>
      <c r="T471" s="726"/>
      <c r="U471" s="1521"/>
      <c r="V471" s="1521"/>
      <c r="W471" s="1521"/>
      <c r="X471" s="1521"/>
      <c r="Y471" s="1521"/>
      <c r="Z471" s="1521"/>
      <c r="AA471" s="1523"/>
      <c r="AC471" s="714">
        <v>0.2</v>
      </c>
      <c r="AD471" s="714">
        <v>0.3</v>
      </c>
      <c r="AE471" s="714">
        <v>0.3</v>
      </c>
      <c r="AF471" s="714">
        <v>0.3</v>
      </c>
      <c r="AG471" s="714">
        <v>0.3</v>
      </c>
      <c r="AH471" s="714">
        <v>0.2</v>
      </c>
      <c r="AI471" s="22"/>
      <c r="AK471" s="1521"/>
      <c r="AL471" s="1521"/>
      <c r="AM471" s="1521"/>
      <c r="AN471" s="1521"/>
      <c r="AO471" s="1521"/>
      <c r="AP471" s="1521"/>
      <c r="AQ471" s="1523"/>
    </row>
    <row r="472" spans="1:43" s="1365" customFormat="1" outlineLevel="3">
      <c r="A472" s="22"/>
      <c r="B472" s="22"/>
      <c r="C472" s="22" t="s">
        <v>848</v>
      </c>
      <c r="D472" s="22"/>
      <c r="E472" s="22"/>
      <c r="F472" s="22"/>
      <c r="G472" s="22"/>
      <c r="H472" s="24"/>
      <c r="I472" s="24">
        <f t="shared" ref="I472:S477" si="443">I460/I$460</f>
        <v>1</v>
      </c>
      <c r="J472" s="24">
        <f t="shared" si="443"/>
        <v>1</v>
      </c>
      <c r="K472" s="24"/>
      <c r="L472" s="24">
        <f t="shared" si="443"/>
        <v>1</v>
      </c>
      <c r="M472" s="24">
        <f t="shared" si="443"/>
        <v>1</v>
      </c>
      <c r="N472" s="24">
        <f t="shared" si="443"/>
        <v>1</v>
      </c>
      <c r="O472" s="24">
        <f t="shared" si="443"/>
        <v>1</v>
      </c>
      <c r="P472" s="24">
        <f t="shared" si="443"/>
        <v>1</v>
      </c>
      <c r="Q472" s="24">
        <f t="shared" si="443"/>
        <v>1</v>
      </c>
      <c r="R472" s="24">
        <f t="shared" si="443"/>
        <v>1</v>
      </c>
      <c r="S472" s="24">
        <f t="shared" si="443"/>
        <v>1</v>
      </c>
      <c r="T472" s="726"/>
      <c r="U472" s="1521"/>
      <c r="V472" s="1521"/>
      <c r="W472" s="1521"/>
      <c r="X472" s="1521"/>
      <c r="Y472" s="1521"/>
      <c r="Z472" s="1521"/>
      <c r="AA472" s="1522"/>
      <c r="AC472" s="219"/>
      <c r="AD472" s="219"/>
      <c r="AE472" s="219"/>
      <c r="AF472" s="219"/>
      <c r="AG472" s="219"/>
      <c r="AH472" s="219"/>
      <c r="AI472" s="706"/>
      <c r="AK472" s="1521"/>
      <c r="AL472" s="1521"/>
      <c r="AM472" s="1521"/>
      <c r="AN472" s="1521"/>
      <c r="AO472" s="1521"/>
      <c r="AP472" s="1521"/>
      <c r="AQ472" s="1522"/>
    </row>
    <row r="473" spans="1:43" s="1365" customFormat="1" outlineLevel="3">
      <c r="A473" s="22"/>
      <c r="B473" s="22"/>
      <c r="C473" s="22"/>
      <c r="D473" s="707" t="s">
        <v>841</v>
      </c>
      <c r="E473" s="708"/>
      <c r="F473" s="708"/>
      <c r="G473" s="708"/>
      <c r="H473" s="793"/>
      <c r="I473" s="793">
        <f t="shared" si="443"/>
        <v>0.22819085881796472</v>
      </c>
      <c r="J473" s="793">
        <f t="shared" si="443"/>
        <v>5.1045915352299749E-2</v>
      </c>
      <c r="K473" s="793"/>
      <c r="L473" s="793">
        <f t="shared" si="443"/>
        <v>3.6706692303721686E-2</v>
      </c>
      <c r="M473" s="793">
        <f t="shared" si="443"/>
        <v>4.3345720863570046E-2</v>
      </c>
      <c r="N473" s="793">
        <f t="shared" si="443"/>
        <v>4.0477891896790373E-2</v>
      </c>
      <c r="O473" s="793">
        <f t="shared" si="443"/>
        <v>4.0477891896790373E-2</v>
      </c>
      <c r="P473" s="793">
        <f t="shared" si="443"/>
        <v>4.047789189679038E-2</v>
      </c>
      <c r="Q473" s="793">
        <f t="shared" si="443"/>
        <v>4.047789189679038E-2</v>
      </c>
      <c r="R473" s="793">
        <f t="shared" si="443"/>
        <v>4.0477891896790373E-2</v>
      </c>
      <c r="S473" s="803">
        <f t="shared" si="443"/>
        <v>3.797927814023852E-2</v>
      </c>
      <c r="T473" s="726"/>
      <c r="U473" s="1521"/>
      <c r="V473" s="1521"/>
      <c r="W473" s="1521"/>
      <c r="X473" s="1521"/>
      <c r="Y473" s="1521"/>
      <c r="Z473" s="1521"/>
      <c r="AA473" s="1523"/>
      <c r="AC473" s="728"/>
      <c r="AD473" s="728"/>
      <c r="AE473" s="728"/>
      <c r="AF473" s="728"/>
      <c r="AG473" s="728"/>
      <c r="AH473" s="728"/>
      <c r="AI473" s="22"/>
      <c r="AK473" s="1521"/>
      <c r="AL473" s="1521"/>
      <c r="AM473" s="1521"/>
      <c r="AN473" s="1521"/>
      <c r="AO473" s="1521"/>
      <c r="AP473" s="1521"/>
      <c r="AQ473" s="1523"/>
    </row>
    <row r="474" spans="1:43" s="1365" customFormat="1" outlineLevel="3">
      <c r="A474" s="22"/>
      <c r="B474" s="22"/>
      <c r="C474" s="22"/>
      <c r="D474" s="715" t="s">
        <v>842</v>
      </c>
      <c r="E474" s="22"/>
      <c r="F474" s="22"/>
      <c r="G474" s="22"/>
      <c r="H474" s="91"/>
      <c r="I474" s="91">
        <f t="shared" si="443"/>
        <v>0</v>
      </c>
      <c r="J474" s="91">
        <f t="shared" si="443"/>
        <v>2.6790759115596682E-2</v>
      </c>
      <c r="K474" s="91"/>
      <c r="L474" s="91">
        <f t="shared" si="443"/>
        <v>1.1941698641293439E-2</v>
      </c>
      <c r="M474" s="91">
        <f t="shared" si="443"/>
        <v>5.6325723635232651E-3</v>
      </c>
      <c r="N474" s="91">
        <f t="shared" si="443"/>
        <v>8.7790492020136807E-3</v>
      </c>
      <c r="O474" s="91">
        <f t="shared" si="443"/>
        <v>8.7790492020136807E-3</v>
      </c>
      <c r="P474" s="91">
        <f t="shared" si="443"/>
        <v>8.7790492020136807E-3</v>
      </c>
      <c r="Q474" s="91">
        <f t="shared" si="443"/>
        <v>8.7790492020136807E-3</v>
      </c>
      <c r="R474" s="91">
        <f t="shared" si="443"/>
        <v>8.7790492020136807E-3</v>
      </c>
      <c r="S474" s="804">
        <f t="shared" si="443"/>
        <v>8.9235653623453894E-3</v>
      </c>
      <c r="T474" s="726"/>
      <c r="U474" s="1521"/>
      <c r="V474" s="1521"/>
      <c r="W474" s="1521"/>
      <c r="X474" s="1521"/>
      <c r="Y474" s="1521"/>
      <c r="Z474" s="1521"/>
      <c r="AA474" s="1523"/>
      <c r="AC474" s="728"/>
      <c r="AD474" s="728"/>
      <c r="AE474" s="728"/>
      <c r="AF474" s="728"/>
      <c r="AG474" s="728"/>
      <c r="AH474" s="728"/>
      <c r="AI474" s="22"/>
      <c r="AK474" s="1521"/>
      <c r="AL474" s="1521"/>
      <c r="AM474" s="1521"/>
      <c r="AN474" s="1521"/>
      <c r="AO474" s="1521"/>
      <c r="AP474" s="1521"/>
      <c r="AQ474" s="1523"/>
    </row>
    <row r="475" spans="1:43" s="1365" customFormat="1" outlineLevel="3">
      <c r="A475" s="22"/>
      <c r="B475" s="22"/>
      <c r="C475" s="22"/>
      <c r="D475" s="715" t="s">
        <v>843</v>
      </c>
      <c r="E475" s="22"/>
      <c r="F475" s="22"/>
      <c r="G475" s="22"/>
      <c r="H475" s="91"/>
      <c r="I475" s="91">
        <f t="shared" si="443"/>
        <v>0.16717479324123527</v>
      </c>
      <c r="J475" s="91">
        <f t="shared" si="443"/>
        <v>0.20101164214780315</v>
      </c>
      <c r="K475" s="91"/>
      <c r="L475" s="91">
        <f t="shared" si="443"/>
        <v>0.15282774709360683</v>
      </c>
      <c r="M475" s="91">
        <f t="shared" si="443"/>
        <v>0.21107994727109042</v>
      </c>
      <c r="N475" s="91">
        <f t="shared" si="443"/>
        <v>0.16852907841706635</v>
      </c>
      <c r="O475" s="91">
        <f t="shared" si="443"/>
        <v>0.16852907841706635</v>
      </c>
      <c r="P475" s="91">
        <f t="shared" si="443"/>
        <v>0.16852907841706635</v>
      </c>
      <c r="Q475" s="91">
        <f t="shared" si="443"/>
        <v>0.16852907841706635</v>
      </c>
      <c r="R475" s="91">
        <f t="shared" si="443"/>
        <v>0.16852907841706635</v>
      </c>
      <c r="S475" s="804">
        <f t="shared" si="443"/>
        <v>0.15812613859041796</v>
      </c>
      <c r="T475" s="726"/>
      <c r="U475" s="1521"/>
      <c r="V475" s="1521"/>
      <c r="W475" s="1521"/>
      <c r="X475" s="1521"/>
      <c r="Y475" s="1521"/>
      <c r="Z475" s="1521"/>
      <c r="AA475" s="1523"/>
      <c r="AC475" s="728"/>
      <c r="AD475" s="728"/>
      <c r="AE475" s="728"/>
      <c r="AF475" s="728"/>
      <c r="AG475" s="728"/>
      <c r="AH475" s="728"/>
      <c r="AI475" s="22"/>
      <c r="AK475" s="1521"/>
      <c r="AL475" s="1521"/>
      <c r="AM475" s="1521"/>
      <c r="AN475" s="1521"/>
      <c r="AO475" s="1521"/>
      <c r="AP475" s="1521"/>
      <c r="AQ475" s="1523"/>
    </row>
    <row r="476" spans="1:43" s="1365" customFormat="1" outlineLevel="3">
      <c r="A476" s="22"/>
      <c r="B476" s="22"/>
      <c r="C476" s="22"/>
      <c r="D476" s="715" t="s">
        <v>844</v>
      </c>
      <c r="E476" s="22"/>
      <c r="F476" s="22"/>
      <c r="G476" s="22"/>
      <c r="H476" s="91"/>
      <c r="I476" s="91">
        <f t="shared" si="443"/>
        <v>0.60463434794079995</v>
      </c>
      <c r="J476" s="91">
        <f t="shared" si="443"/>
        <v>0.70798195723441182</v>
      </c>
      <c r="K476" s="91"/>
      <c r="L476" s="91">
        <f t="shared" si="443"/>
        <v>0.79644730352093707</v>
      </c>
      <c r="M476" s="91">
        <f t="shared" si="443"/>
        <v>0.73821413469068509</v>
      </c>
      <c r="N476" s="91">
        <f t="shared" si="443"/>
        <v>0.78068737951494671</v>
      </c>
      <c r="O476" s="91">
        <f t="shared" si="443"/>
        <v>0.78068737951494671</v>
      </c>
      <c r="P476" s="91">
        <f t="shared" si="443"/>
        <v>0.78068737951494671</v>
      </c>
      <c r="Q476" s="91">
        <f t="shared" si="443"/>
        <v>0.78068737951494671</v>
      </c>
      <c r="R476" s="91">
        <f t="shared" si="443"/>
        <v>0.78068737951494671</v>
      </c>
      <c r="S476" s="804">
        <f t="shared" si="443"/>
        <v>0.79353865075295782</v>
      </c>
      <c r="T476" s="726"/>
      <c r="U476" s="1521"/>
      <c r="V476" s="1521"/>
      <c r="W476" s="1521"/>
      <c r="X476" s="1521"/>
      <c r="Y476" s="1521"/>
      <c r="Z476" s="1521"/>
      <c r="AA476" s="1523"/>
      <c r="AC476" s="728"/>
      <c r="AD476" s="728"/>
      <c r="AE476" s="728"/>
      <c r="AF476" s="728"/>
      <c r="AG476" s="728"/>
      <c r="AH476" s="728"/>
      <c r="AI476" s="22"/>
      <c r="AK476" s="1521"/>
      <c r="AL476" s="1521"/>
      <c r="AM476" s="1521"/>
      <c r="AN476" s="1521"/>
      <c r="AO476" s="1521"/>
      <c r="AP476" s="1521"/>
      <c r="AQ476" s="1523"/>
    </row>
    <row r="477" spans="1:43" s="1365" customFormat="1" outlineLevel="3">
      <c r="A477" s="22"/>
      <c r="B477" s="22"/>
      <c r="C477" s="22"/>
      <c r="D477" s="719" t="s">
        <v>665</v>
      </c>
      <c r="E477" s="720"/>
      <c r="F477" s="720"/>
      <c r="G477" s="720"/>
      <c r="H477" s="794"/>
      <c r="I477" s="794">
        <f t="shared" si="443"/>
        <v>0</v>
      </c>
      <c r="J477" s="794">
        <f t="shared" si="443"/>
        <v>1.3169726149888624E-2</v>
      </c>
      <c r="K477" s="794"/>
      <c r="L477" s="794">
        <f t="shared" si="443"/>
        <v>2.0765584404411641E-3</v>
      </c>
      <c r="M477" s="794">
        <f t="shared" si="443"/>
        <v>1.7276248111311968E-3</v>
      </c>
      <c r="N477" s="794">
        <f t="shared" si="443"/>
        <v>1.5266009691829914E-3</v>
      </c>
      <c r="O477" s="794">
        <f t="shared" si="443"/>
        <v>1.5266009691829914E-3</v>
      </c>
      <c r="P477" s="794">
        <f t="shared" si="443"/>
        <v>1.5266009691829914E-3</v>
      </c>
      <c r="Q477" s="794">
        <f t="shared" si="443"/>
        <v>1.5266009691829914E-3</v>
      </c>
      <c r="R477" s="794">
        <f t="shared" si="443"/>
        <v>1.5266009691829914E-3</v>
      </c>
      <c r="S477" s="805">
        <f t="shared" si="443"/>
        <v>1.4323671540403488E-3</v>
      </c>
      <c r="T477" s="726"/>
      <c r="U477" s="1521"/>
      <c r="V477" s="1521"/>
      <c r="W477" s="1521"/>
      <c r="X477" s="1521"/>
      <c r="Y477" s="1521"/>
      <c r="Z477" s="1521"/>
      <c r="AA477" s="1523"/>
      <c r="AC477" s="728"/>
      <c r="AD477" s="728"/>
      <c r="AE477" s="728"/>
      <c r="AF477" s="728"/>
      <c r="AG477" s="728"/>
      <c r="AH477" s="728"/>
      <c r="AI477" s="22"/>
      <c r="AK477" s="1521"/>
      <c r="AL477" s="1521"/>
      <c r="AM477" s="1521"/>
      <c r="AN477" s="1521"/>
      <c r="AO477" s="1521"/>
      <c r="AP477" s="1521"/>
      <c r="AQ477" s="1523"/>
    </row>
    <row r="478" spans="1:43" outlineLevel="3">
      <c r="C478" s="1" t="s">
        <v>31</v>
      </c>
      <c r="H478" s="57"/>
      <c r="I478" s="806">
        <f t="shared" ref="I478:J483" si="444">IFERROR(I484/I460,"NA")</f>
        <v>0.26062483153443439</v>
      </c>
      <c r="J478" s="806">
        <f t="shared" si="444"/>
        <v>0.17562731868885878</v>
      </c>
      <c r="K478" s="814"/>
      <c r="L478" s="806">
        <f>IFERROR(L484/L460,"NA")</f>
        <v>0.1805061306030121</v>
      </c>
      <c r="M478" s="806">
        <f>IFERROR(M484/M460,"NA")</f>
        <v>0.19937313493409511</v>
      </c>
      <c r="N478" s="806">
        <f>IFERROR(N484/N460,"NA")</f>
        <v>0.19168857053606839</v>
      </c>
      <c r="O478" s="806">
        <f t="shared" ref="O478:S478" si="445">IFERROR(O484/O460,"NA")</f>
        <v>0.19168857053606836</v>
      </c>
      <c r="P478" s="806">
        <f t="shared" si="445"/>
        <v>0.19168857053606841</v>
      </c>
      <c r="Q478" s="806">
        <f t="shared" si="445"/>
        <v>0.19168857053606836</v>
      </c>
      <c r="R478" s="806">
        <f t="shared" si="445"/>
        <v>0.19168857053606836</v>
      </c>
      <c r="S478" s="806">
        <f t="shared" si="445"/>
        <v>0.18842009200809506</v>
      </c>
      <c r="U478" s="1529">
        <f>$L478*(1+$AA478)</f>
        <v>0.18411625321507236</v>
      </c>
      <c r="V478" s="1529">
        <f>U478*(1+$AA478)</f>
        <v>0.1877985782793738</v>
      </c>
      <c r="W478" s="1529">
        <f t="shared" ref="W478:Z478" si="446">V478*(1+$AA478)</f>
        <v>0.19155454984496129</v>
      </c>
      <c r="X478" s="1529">
        <f t="shared" si="446"/>
        <v>0.19538564084186053</v>
      </c>
      <c r="Y478" s="1529">
        <f t="shared" si="446"/>
        <v>0.19929335365869774</v>
      </c>
      <c r="Z478" s="1529">
        <f t="shared" si="446"/>
        <v>0.20327922073187171</v>
      </c>
      <c r="AA478" s="1520">
        <v>0.02</v>
      </c>
      <c r="AC478" s="448"/>
      <c r="AD478" s="448"/>
      <c r="AE478" s="448"/>
      <c r="AF478" s="448"/>
      <c r="AG478" s="448"/>
      <c r="AH478" s="448"/>
      <c r="AI478" s="702"/>
      <c r="AK478" s="1529">
        <f>$L478*(1+$AQ478)</f>
        <v>0.1805061306030121</v>
      </c>
      <c r="AL478" s="1529">
        <f>AK478*(1+$AQ478)</f>
        <v>0.1805061306030121</v>
      </c>
      <c r="AM478" s="1529">
        <f t="shared" ref="AM478:AN478" si="447">AL478*(1+$AQ478)</f>
        <v>0.1805061306030121</v>
      </c>
      <c r="AN478" s="1529">
        <f t="shared" si="447"/>
        <v>0.1805061306030121</v>
      </c>
      <c r="AO478" s="1529">
        <f>AN478*(1+$AQ478)</f>
        <v>0.1805061306030121</v>
      </c>
      <c r="AP478" s="1529">
        <f t="shared" ref="AP478" si="448">AO478*(1+$AQ478)</f>
        <v>0.1805061306030121</v>
      </c>
      <c r="AQ478" s="1520">
        <v>0</v>
      </c>
    </row>
    <row r="479" spans="1:43" outlineLevel="3">
      <c r="D479" s="27" t="s">
        <v>841</v>
      </c>
      <c r="E479" s="28"/>
      <c r="F479" s="28"/>
      <c r="G479" s="28"/>
      <c r="H479" s="50"/>
      <c r="I479" s="693">
        <f t="shared" si="444"/>
        <v>0.63023294749887748</v>
      </c>
      <c r="J479" s="693">
        <f t="shared" si="444"/>
        <v>0.37004724914448256</v>
      </c>
      <c r="K479" s="699"/>
      <c r="L479" s="693">
        <f t="shared" ref="L479:M483" si="449">IFERROR(L485/L461,"NA")</f>
        <v>0.61585283411701619</v>
      </c>
      <c r="M479" s="693">
        <f t="shared" si="449"/>
        <v>0.64155406852812569</v>
      </c>
      <c r="N479" s="780">
        <f>CHOOSE(case,U479,AC479,AK479)</f>
        <v>0.64155406852812569</v>
      </c>
      <c r="O479" s="781">
        <f t="shared" ref="O479:O483" si="450">CHOOSE(case,V479,AD479,AL479)</f>
        <v>0.64155406852812569</v>
      </c>
      <c r="P479" s="781">
        <f t="shared" ref="P479:P483" si="451">CHOOSE(case,W479,AE479,AM479)</f>
        <v>0.64155406852812569</v>
      </c>
      <c r="Q479" s="781">
        <f t="shared" ref="Q479:Q483" si="452">CHOOSE(case,X479,AF479,AN479)</f>
        <v>0.64155406852812569</v>
      </c>
      <c r="R479" s="781">
        <f t="shared" ref="R479:R483" si="453">CHOOSE(case,Y479,AG479,AO479)</f>
        <v>0.64155406852812569</v>
      </c>
      <c r="S479" s="782">
        <f t="shared" ref="S479:S483" si="454">CHOOSE(case,Z479,AH479,AP479)</f>
        <v>0.64155406852812569</v>
      </c>
      <c r="T479" s="993"/>
      <c r="U479" s="1530"/>
      <c r="V479" s="1530"/>
      <c r="W479" s="1530"/>
      <c r="X479" s="1530"/>
      <c r="Y479" s="1530"/>
      <c r="Z479" s="1530"/>
      <c r="AA479" s="1530"/>
      <c r="AB479" s="1371"/>
      <c r="AC479" s="783">
        <f t="shared" ref="AC479:AC483" si="455">M479</f>
        <v>0.64155406852812569</v>
      </c>
      <c r="AD479" s="783">
        <f t="shared" ref="AD479:AH483" si="456">AC479</f>
        <v>0.64155406852812569</v>
      </c>
      <c r="AE479" s="783">
        <f t="shared" si="456"/>
        <v>0.64155406852812569</v>
      </c>
      <c r="AF479" s="783">
        <f t="shared" si="456"/>
        <v>0.64155406852812569</v>
      </c>
      <c r="AG479" s="783">
        <f t="shared" si="456"/>
        <v>0.64155406852812569</v>
      </c>
      <c r="AH479" s="783">
        <f t="shared" si="456"/>
        <v>0.64155406852812569</v>
      </c>
    </row>
    <row r="480" spans="1:43" outlineLevel="3">
      <c r="D480" s="31" t="s">
        <v>842</v>
      </c>
      <c r="H480" s="52"/>
      <c r="I480" s="695" t="str">
        <f t="shared" si="444"/>
        <v>NA</v>
      </c>
      <c r="J480" s="695">
        <f t="shared" si="444"/>
        <v>0.34724700411663934</v>
      </c>
      <c r="K480" s="700"/>
      <c r="L480" s="695">
        <f t="shared" si="449"/>
        <v>0.38371403528256981</v>
      </c>
      <c r="M480" s="695">
        <f t="shared" si="449"/>
        <v>0.68343702192323463</v>
      </c>
      <c r="N480" s="785">
        <f>CHOOSE(case,U480,AC480,AK480)</f>
        <v>0.68343702192323463</v>
      </c>
      <c r="O480" s="786">
        <f t="shared" si="450"/>
        <v>0.68343702192323463</v>
      </c>
      <c r="P480" s="786">
        <f t="shared" si="451"/>
        <v>0.68343702192323463</v>
      </c>
      <c r="Q480" s="786">
        <f t="shared" si="452"/>
        <v>0.68343702192323463</v>
      </c>
      <c r="R480" s="786">
        <f t="shared" si="453"/>
        <v>0.68343702192323463</v>
      </c>
      <c r="S480" s="787">
        <f t="shared" si="454"/>
        <v>0.68343702192323463</v>
      </c>
      <c r="T480" s="993"/>
      <c r="U480" s="1530"/>
      <c r="V480" s="1530"/>
      <c r="W480" s="1530"/>
      <c r="X480" s="1530"/>
      <c r="Y480" s="1530"/>
      <c r="Z480" s="1530"/>
      <c r="AA480" s="1530"/>
      <c r="AB480" s="1371"/>
      <c r="AC480" s="783">
        <f t="shared" si="455"/>
        <v>0.68343702192323463</v>
      </c>
      <c r="AD480" s="783">
        <f t="shared" si="456"/>
        <v>0.68343702192323463</v>
      </c>
      <c r="AE480" s="783">
        <f t="shared" si="456"/>
        <v>0.68343702192323463</v>
      </c>
      <c r="AF480" s="783">
        <f t="shared" si="456"/>
        <v>0.68343702192323463</v>
      </c>
      <c r="AG480" s="783">
        <f t="shared" si="456"/>
        <v>0.68343702192323463</v>
      </c>
      <c r="AH480" s="783">
        <f t="shared" si="456"/>
        <v>0.68343702192323463</v>
      </c>
    </row>
    <row r="481" spans="3:42" outlineLevel="3">
      <c r="D481" s="31" t="s">
        <v>843</v>
      </c>
      <c r="H481" s="52"/>
      <c r="I481" s="695">
        <f t="shared" si="444"/>
        <v>0.22861695405036367</v>
      </c>
      <c r="J481" s="695">
        <f t="shared" si="444"/>
        <v>0.24982886429060619</v>
      </c>
      <c r="K481" s="700"/>
      <c r="L481" s="695">
        <f t="shared" si="449"/>
        <v>0.31534711767653661</v>
      </c>
      <c r="M481" s="695">
        <f t="shared" si="449"/>
        <v>0.30593455251742913</v>
      </c>
      <c r="N481" s="785">
        <f>CHOOSE(case,U481,AC481,AK481)</f>
        <v>0.30593455251742913</v>
      </c>
      <c r="O481" s="786">
        <f t="shared" si="450"/>
        <v>0.30593455251742913</v>
      </c>
      <c r="P481" s="786">
        <f t="shared" si="451"/>
        <v>0.30593455251742913</v>
      </c>
      <c r="Q481" s="786">
        <f t="shared" si="452"/>
        <v>0.30593455251742913</v>
      </c>
      <c r="R481" s="786">
        <f t="shared" si="453"/>
        <v>0.30593455251742913</v>
      </c>
      <c r="S481" s="787">
        <f t="shared" si="454"/>
        <v>0.30593455251742913</v>
      </c>
      <c r="T481" s="993"/>
      <c r="U481" s="1530"/>
      <c r="V481" s="1530"/>
      <c r="W481" s="1530"/>
      <c r="X481" s="1530"/>
      <c r="Y481" s="1530"/>
      <c r="Z481" s="1530"/>
      <c r="AA481" s="1530"/>
      <c r="AB481" s="1371"/>
      <c r="AC481" s="783">
        <f t="shared" si="455"/>
        <v>0.30593455251742913</v>
      </c>
      <c r="AD481" s="783">
        <f t="shared" si="456"/>
        <v>0.30593455251742913</v>
      </c>
      <c r="AE481" s="783">
        <f t="shared" si="456"/>
        <v>0.30593455251742913</v>
      </c>
      <c r="AF481" s="783">
        <f t="shared" si="456"/>
        <v>0.30593455251742913</v>
      </c>
      <c r="AG481" s="783">
        <f t="shared" si="456"/>
        <v>0.30593455251742913</v>
      </c>
      <c r="AH481" s="783">
        <f t="shared" si="456"/>
        <v>0.30593455251742913</v>
      </c>
    </row>
    <row r="482" spans="3:42" outlineLevel="3">
      <c r="D482" s="31" t="s">
        <v>844</v>
      </c>
      <c r="H482" s="52"/>
      <c r="I482" s="695">
        <f t="shared" si="444"/>
        <v>0.12998342259605258</v>
      </c>
      <c r="J482" s="695">
        <f t="shared" si="444"/>
        <v>0.11775481276978818</v>
      </c>
      <c r="K482" s="700"/>
      <c r="L482" s="695">
        <f t="shared" si="449"/>
        <v>0.12930319917542904</v>
      </c>
      <c r="M482" s="695">
        <f t="shared" si="449"/>
        <v>0.13261347662985795</v>
      </c>
      <c r="N482" s="785">
        <f>CHOOSE(case,U482,AC482,AK482)</f>
        <v>0.13261347662985795</v>
      </c>
      <c r="O482" s="786">
        <f t="shared" si="450"/>
        <v>0.13261347662985795</v>
      </c>
      <c r="P482" s="786">
        <f t="shared" si="451"/>
        <v>0.13261347662985795</v>
      </c>
      <c r="Q482" s="786">
        <f t="shared" si="452"/>
        <v>0.13261347662985795</v>
      </c>
      <c r="R482" s="786">
        <f t="shared" si="453"/>
        <v>0.13261347662985795</v>
      </c>
      <c r="S482" s="787">
        <f t="shared" si="454"/>
        <v>0.13261347662985795</v>
      </c>
      <c r="T482" s="993"/>
      <c r="U482" s="1530"/>
      <c r="V482" s="1530"/>
      <c r="W482" s="1530"/>
      <c r="X482" s="1530"/>
      <c r="Y482" s="1530"/>
      <c r="Z482" s="1530"/>
      <c r="AA482" s="1530"/>
      <c r="AB482" s="1371"/>
      <c r="AC482" s="783">
        <f t="shared" si="455"/>
        <v>0.13261347662985795</v>
      </c>
      <c r="AD482" s="783">
        <f t="shared" si="456"/>
        <v>0.13261347662985795</v>
      </c>
      <c r="AE482" s="783">
        <f t="shared" si="456"/>
        <v>0.13261347662985795</v>
      </c>
      <c r="AF482" s="783">
        <f t="shared" si="456"/>
        <v>0.13261347662985795</v>
      </c>
      <c r="AG482" s="783">
        <f t="shared" si="456"/>
        <v>0.13261347662985795</v>
      </c>
      <c r="AH482" s="783">
        <f t="shared" si="456"/>
        <v>0.13261347662985795</v>
      </c>
    </row>
    <row r="483" spans="3:42" ht="15" outlineLevel="3" thickBot="1">
      <c r="C483" s="37"/>
      <c r="D483" s="38" t="s">
        <v>665</v>
      </c>
      <c r="E483" s="37"/>
      <c r="F483" s="37"/>
      <c r="G483" s="37"/>
      <c r="H483" s="54"/>
      <c r="I483" s="697" t="str">
        <f t="shared" si="444"/>
        <v>NA</v>
      </c>
      <c r="J483" s="697">
        <f t="shared" si="444"/>
        <v>1.0515111740870948</v>
      </c>
      <c r="K483" s="701"/>
      <c r="L483" s="697">
        <f t="shared" si="449"/>
        <v>1.0310515872604868</v>
      </c>
      <c r="M483" s="697">
        <f t="shared" si="449"/>
        <v>3.0337667835671276</v>
      </c>
      <c r="N483" s="807">
        <f>CHOOSE(case,U483,AC483,AK483)</f>
        <v>3.0337667835671276</v>
      </c>
      <c r="O483" s="808">
        <f t="shared" si="450"/>
        <v>3.0337667835671276</v>
      </c>
      <c r="P483" s="808">
        <f t="shared" si="451"/>
        <v>3.0337667835671276</v>
      </c>
      <c r="Q483" s="808">
        <f t="shared" si="452"/>
        <v>3.0337667835671276</v>
      </c>
      <c r="R483" s="808">
        <f t="shared" si="453"/>
        <v>3.0337667835671276</v>
      </c>
      <c r="S483" s="809">
        <f t="shared" si="454"/>
        <v>3.0337667835671276</v>
      </c>
      <c r="T483" s="993"/>
      <c r="U483" s="1530"/>
      <c r="V483" s="1530"/>
      <c r="W483" s="1530"/>
      <c r="X483" s="1530"/>
      <c r="Y483" s="1530"/>
      <c r="Z483" s="1530"/>
      <c r="AA483" s="1530"/>
      <c r="AB483" s="1371"/>
      <c r="AC483" s="783">
        <f t="shared" si="455"/>
        <v>3.0337667835671276</v>
      </c>
      <c r="AD483" s="783">
        <f t="shared" si="456"/>
        <v>3.0337667835671276</v>
      </c>
      <c r="AE483" s="783">
        <f t="shared" si="456"/>
        <v>3.0337667835671276</v>
      </c>
      <c r="AF483" s="783">
        <f t="shared" si="456"/>
        <v>3.0337667835671276</v>
      </c>
      <c r="AG483" s="783">
        <f t="shared" si="456"/>
        <v>3.0337667835671276</v>
      </c>
      <c r="AH483" s="783">
        <f t="shared" si="456"/>
        <v>3.0337667835671276</v>
      </c>
    </row>
    <row r="484" spans="3:42" outlineLevel="3">
      <c r="C484" s="18" t="s">
        <v>845</v>
      </c>
      <c r="H484" s="23"/>
      <c r="I484" s="23">
        <f t="shared" ref="I484:S484" si="457">SUM(I485:I489)</f>
        <v>9818.8685156710017</v>
      </c>
      <c r="J484" s="23">
        <f t="shared" si="457"/>
        <v>28449.016683775997</v>
      </c>
      <c r="K484" s="23">
        <f t="shared" si="457"/>
        <v>39018</v>
      </c>
      <c r="L484" s="23">
        <f t="shared" si="457"/>
        <v>50356.011861678999</v>
      </c>
      <c r="M484" s="23">
        <f>SUM(M485:M489)</f>
        <v>41462</v>
      </c>
      <c r="N484" s="23">
        <f t="shared" si="457"/>
        <v>87288.184262825729</v>
      </c>
      <c r="O484" s="23">
        <f t="shared" si="457"/>
        <v>113474.63954167344</v>
      </c>
      <c r="P484" s="23">
        <f t="shared" si="457"/>
        <v>147517.0314041755</v>
      </c>
      <c r="Q484" s="23">
        <f t="shared" si="457"/>
        <v>191772.14082542813</v>
      </c>
      <c r="R484" s="23">
        <f t="shared" si="457"/>
        <v>249303.78307305658</v>
      </c>
      <c r="S484" s="23">
        <f t="shared" si="457"/>
        <v>313409.59470886894</v>
      </c>
      <c r="T484" s="1205"/>
    </row>
    <row r="485" spans="3:42" outlineLevel="3">
      <c r="D485" s="27" t="s">
        <v>841</v>
      </c>
      <c r="E485" s="28"/>
      <c r="F485" s="28"/>
      <c r="G485" s="28"/>
      <c r="H485" s="398"/>
      <c r="I485" s="398">
        <v>5418.0748356710001</v>
      </c>
      <c r="J485" s="398">
        <v>3059.8022880560002</v>
      </c>
      <c r="K485" s="398">
        <v>5418</v>
      </c>
      <c r="L485" s="398">
        <v>6306.4007651699985</v>
      </c>
      <c r="M485" s="398">
        <v>5783.1319699999995</v>
      </c>
      <c r="N485" s="703">
        <f>N479*N461</f>
        <v>11825.251618815981</v>
      </c>
      <c r="O485" s="29">
        <f t="shared" ref="O485:S485" si="458">O479*O461</f>
        <v>15372.827104460775</v>
      </c>
      <c r="P485" s="29">
        <f t="shared" si="458"/>
        <v>19984.675235799012</v>
      </c>
      <c r="Q485" s="29">
        <f t="shared" si="458"/>
        <v>25980.077806538713</v>
      </c>
      <c r="R485" s="29">
        <f t="shared" si="458"/>
        <v>33774.101148500333</v>
      </c>
      <c r="S485" s="30">
        <f t="shared" si="458"/>
        <v>40528.921378200394</v>
      </c>
    </row>
    <row r="486" spans="3:42" outlineLevel="3">
      <c r="D486" s="31" t="s">
        <v>842</v>
      </c>
      <c r="H486" s="400"/>
      <c r="I486" s="400">
        <v>0</v>
      </c>
      <c r="J486" s="400">
        <v>1506.9495600000002</v>
      </c>
      <c r="K486" s="400">
        <v>1211</v>
      </c>
      <c r="L486" s="400">
        <v>1278.3011000000001</v>
      </c>
      <c r="M486" s="400">
        <v>800.55079000000001</v>
      </c>
      <c r="N486" s="704">
        <f>N480*N462</f>
        <v>2732.1543125578132</v>
      </c>
      <c r="O486" s="20">
        <f t="shared" ref="O486:S489" si="459">O480*O462</f>
        <v>3551.8006063251573</v>
      </c>
      <c r="P486" s="20">
        <f t="shared" si="459"/>
        <v>4617.3407882227048</v>
      </c>
      <c r="Q486" s="20">
        <f t="shared" si="459"/>
        <v>6002.5430246895166</v>
      </c>
      <c r="R486" s="20">
        <f t="shared" si="459"/>
        <v>7803.3059320963712</v>
      </c>
      <c r="S486" s="32">
        <f t="shared" si="459"/>
        <v>10144.297711725283</v>
      </c>
    </row>
    <row r="487" spans="3:42" outlineLevel="3">
      <c r="D487" s="31" t="s">
        <v>843</v>
      </c>
      <c r="H487" s="400"/>
      <c r="I487" s="400">
        <v>1439.8753000000002</v>
      </c>
      <c r="J487" s="400">
        <v>8134.6526672799992</v>
      </c>
      <c r="K487" s="400">
        <v>10446</v>
      </c>
      <c r="L487" s="400">
        <v>13444.679302465009</v>
      </c>
      <c r="M487" s="400">
        <v>13429.477500000003</v>
      </c>
      <c r="N487" s="704">
        <f>N481*N463</f>
        <v>23478.08205003558</v>
      </c>
      <c r="O487" s="20">
        <f t="shared" si="459"/>
        <v>30521.506665046258</v>
      </c>
      <c r="P487" s="20">
        <f t="shared" si="459"/>
        <v>39677.958664560138</v>
      </c>
      <c r="Q487" s="20">
        <f t="shared" si="459"/>
        <v>51581.346263928179</v>
      </c>
      <c r="R487" s="20">
        <f t="shared" si="459"/>
        <v>67055.750143106634</v>
      </c>
      <c r="S487" s="32">
        <f t="shared" si="459"/>
        <v>80466.900171727961</v>
      </c>
    </row>
    <row r="488" spans="3:42" outlineLevel="3">
      <c r="D488" s="31" t="s">
        <v>844</v>
      </c>
      <c r="H488" s="400"/>
      <c r="I488" s="400">
        <v>2960.9183800000005</v>
      </c>
      <c r="J488" s="400">
        <v>13504.423380759999</v>
      </c>
      <c r="K488" s="400">
        <v>21346</v>
      </c>
      <c r="L488" s="400">
        <v>28729.342509543989</v>
      </c>
      <c r="M488" s="400">
        <v>20358.868009999998</v>
      </c>
      <c r="N488" s="704">
        <f>N482*N464</f>
        <v>47143.742964151825</v>
      </c>
      <c r="O488" s="20">
        <f t="shared" si="459"/>
        <v>61286.865853397379</v>
      </c>
      <c r="P488" s="20">
        <f t="shared" si="459"/>
        <v>79672.92560941659</v>
      </c>
      <c r="Q488" s="20">
        <f t="shared" si="459"/>
        <v>103574.80329224157</v>
      </c>
      <c r="R488" s="20">
        <f t="shared" si="459"/>
        <v>134647.24427991404</v>
      </c>
      <c r="S488" s="32">
        <f t="shared" si="459"/>
        <v>175041.41756388827</v>
      </c>
    </row>
    <row r="489" spans="3:42" outlineLevel="3">
      <c r="D489" s="33" t="s">
        <v>665</v>
      </c>
      <c r="E489" s="34"/>
      <c r="F489" s="34"/>
      <c r="G489" s="34"/>
      <c r="H489" s="402"/>
      <c r="I489" s="402">
        <v>0</v>
      </c>
      <c r="J489" s="402">
        <v>2243.1887876799997</v>
      </c>
      <c r="K489" s="402">
        <v>597</v>
      </c>
      <c r="L489" s="402">
        <v>597.28818449999994</v>
      </c>
      <c r="M489" s="402">
        <f>41462-SUM(M485:M488)</f>
        <v>1089.9717299999975</v>
      </c>
      <c r="N489" s="705">
        <f>N483*N465</f>
        <v>2108.9533172645242</v>
      </c>
      <c r="O489" s="35">
        <f t="shared" si="459"/>
        <v>2741.6393124438819</v>
      </c>
      <c r="P489" s="35">
        <f t="shared" si="459"/>
        <v>3564.1311061770466</v>
      </c>
      <c r="Q489" s="35">
        <f t="shared" si="459"/>
        <v>4633.3704380301606</v>
      </c>
      <c r="R489" s="35">
        <f t="shared" si="459"/>
        <v>6023.3815694392088</v>
      </c>
      <c r="S489" s="36">
        <f t="shared" si="459"/>
        <v>7228.0578833270511</v>
      </c>
    </row>
    <row r="490" spans="3:42" outlineLevel="3">
      <c r="H490" s="43"/>
      <c r="I490" s="43"/>
      <c r="J490" s="43"/>
      <c r="K490" s="43"/>
      <c r="L490" s="815"/>
      <c r="M490" s="815"/>
      <c r="N490" s="815"/>
      <c r="S490" s="815"/>
      <c r="T490" s="97"/>
    </row>
    <row r="491" spans="3:42" outlineLevel="3">
      <c r="C491" s="1" t="s">
        <v>659</v>
      </c>
      <c r="H491" s="394"/>
      <c r="I491" s="394">
        <v>-7462</v>
      </c>
      <c r="J491" s="394">
        <v>-19347</v>
      </c>
      <c r="K491" s="394">
        <v>-26762</v>
      </c>
      <c r="L491" s="394">
        <v>-35215.841380533333</v>
      </c>
      <c r="M491" s="394">
        <v>-29413.093058836781</v>
      </c>
      <c r="N491" s="20">
        <f>N492*N460</f>
        <v>-61922.133198094285</v>
      </c>
      <c r="O491" s="20">
        <f t="shared" ref="O491:S491" si="460">O492*O460</f>
        <v>-80230.002308474068</v>
      </c>
      <c r="P491" s="20">
        <f t="shared" si="460"/>
        <v>-103951.06395589012</v>
      </c>
      <c r="Q491" s="20">
        <f t="shared" si="460"/>
        <v>-134685.95541844427</v>
      </c>
      <c r="R491" s="20">
        <f t="shared" si="460"/>
        <v>-174508.63538308995</v>
      </c>
      <c r="S491" s="20">
        <f t="shared" si="460"/>
        <v>-220650.56087411632</v>
      </c>
      <c r="T491" s="97"/>
    </row>
    <row r="492" spans="3:42" outlineLevel="3">
      <c r="D492" s="1" t="s">
        <v>849</v>
      </c>
      <c r="H492" s="744"/>
      <c r="I492" s="744">
        <f>I491/I460</f>
        <v>-0.1980658453472576</v>
      </c>
      <c r="J492" s="744">
        <f>J491/J460</f>
        <v>-0.11943687799273199</v>
      </c>
      <c r="K492" s="744"/>
      <c r="L492" s="744">
        <f t="shared" ref="L492:M492" si="461">L491/L460</f>
        <v>-0.12623468437076421</v>
      </c>
      <c r="M492" s="744">
        <f t="shared" si="461"/>
        <v>-0.14143506273813519</v>
      </c>
      <c r="N492" s="746">
        <f>N478/M478*M492</f>
        <v>-0.13598364197319901</v>
      </c>
      <c r="O492" s="744">
        <f>N492*(1+O493)</f>
        <v>-0.13552961717907791</v>
      </c>
      <c r="P492" s="744">
        <f t="shared" ref="P492:S492" si="462">O492*(1+P493)</f>
        <v>-0.1350774935323433</v>
      </c>
      <c r="Q492" s="744">
        <f t="shared" si="462"/>
        <v>-0.134627262095115</v>
      </c>
      <c r="R492" s="744">
        <f t="shared" si="462"/>
        <v>-0.13417891397573306</v>
      </c>
      <c r="S492" s="744">
        <f t="shared" si="462"/>
        <v>-0.13265388068338635</v>
      </c>
    </row>
    <row r="493" spans="3:42" ht="15" outlineLevel="3" thickBot="1">
      <c r="C493" s="37"/>
      <c r="D493" s="74"/>
      <c r="E493" s="74" t="s">
        <v>151</v>
      </c>
      <c r="F493" s="37"/>
      <c r="G493" s="37"/>
      <c r="H493" s="747"/>
      <c r="I493" s="75"/>
      <c r="J493" s="75">
        <f>J492/I492-1</f>
        <v>-0.39698397882113345</v>
      </c>
      <c r="K493" s="75"/>
      <c r="L493" s="75">
        <f>L492/J492-1</f>
        <v>5.6915472777561149E-2</v>
      </c>
      <c r="M493" s="75"/>
      <c r="N493" s="748">
        <f>N492/L492-1</f>
        <v>7.72288349357384E-2</v>
      </c>
      <c r="O493" s="749">
        <f>CHOOSE(case,V493,AD493,AL493)</f>
        <v>-3.3388191956984503E-3</v>
      </c>
      <c r="P493" s="750">
        <f>CHOOSE(case,W493,AE493,AM493)</f>
        <v>-3.3359767122872475E-3</v>
      </c>
      <c r="Q493" s="750">
        <f>CHOOSE(case,X493,AF493,AN493)</f>
        <v>-3.3331343768271404E-3</v>
      </c>
      <c r="R493" s="750">
        <f>CHOOSE(case,Y493,AG493,AO493)</f>
        <v>-3.3302921890009385E-3</v>
      </c>
      <c r="S493" s="751">
        <f>CHOOSE(case,Z493,AH493,AP493)</f>
        <v>-1.1365670261890282E-2</v>
      </c>
      <c r="AC493" s="752"/>
      <c r="AD493" s="753">
        <f>(SUMPRODUCT(O473:O476,各区域分剂型成本优化!K$87:K$90)+O477*O483)/(SUMPRODUCT(N473:N476,各区域分剂型成本优化!J$87:J$90)+N477*N483)-1</f>
        <v>-3.3388191956984503E-3</v>
      </c>
      <c r="AE493" s="753">
        <f>(SUMPRODUCT(P473:P476,各区域分剂型成本优化!L$87:L$90)+P477*P483)/(SUMPRODUCT(O473:O476,各区域分剂型成本优化!K$87:K$90)+O477*O483)-1</f>
        <v>-3.3359767122872475E-3</v>
      </c>
      <c r="AF493" s="753">
        <f>(SUMPRODUCT(Q473:Q476,各区域分剂型成本优化!M$87:M$90)+Q477*Q483)/(SUMPRODUCT(P473:P476,各区域分剂型成本优化!L$87:L$90)+P477*P483)-1</f>
        <v>-3.3331343768271404E-3</v>
      </c>
      <c r="AG493" s="753">
        <f>(SUMPRODUCT(R473:R476,各区域分剂型成本优化!N$87:N$90)+R477*R483)/(SUMPRODUCT(Q473:Q476,各区域分剂型成本优化!M$87:M$90)+Q477*Q483)-1</f>
        <v>-3.3302921890009385E-3</v>
      </c>
      <c r="AH493" s="753">
        <f>(SUMPRODUCT(S473:S476,各区域分剂型成本优化!O$87:O$90)+S477*S483)/(SUMPRODUCT(R473:R476,各区域分剂型成本优化!N$87:N$90)+R477*R483)-1</f>
        <v>-1.1365670261890282E-2</v>
      </c>
    </row>
    <row r="494" spans="3:42" outlineLevel="3">
      <c r="C494" s="18" t="s">
        <v>846</v>
      </c>
      <c r="D494" s="18"/>
      <c r="E494" s="18"/>
      <c r="F494" s="18"/>
      <c r="G494" s="18"/>
      <c r="H494" s="23"/>
      <c r="I494" s="23">
        <f>I491+I484</f>
        <v>2356.8685156710017</v>
      </c>
      <c r="J494" s="23">
        <f>J491+J484</f>
        <v>9102.0166837759971</v>
      </c>
      <c r="K494" s="23">
        <f>K491+K484</f>
        <v>12256</v>
      </c>
      <c r="L494" s="23">
        <f t="shared" ref="L494:S494" si="463">L491+L484</f>
        <v>15140.170481145666</v>
      </c>
      <c r="M494" s="23">
        <f t="shared" si="463"/>
        <v>12048.906941163219</v>
      </c>
      <c r="N494" s="23">
        <f t="shared" si="463"/>
        <v>25366.051064731444</v>
      </c>
      <c r="O494" s="23">
        <f t="shared" si="463"/>
        <v>33244.637233199377</v>
      </c>
      <c r="P494" s="23">
        <f t="shared" si="463"/>
        <v>43565.967448285388</v>
      </c>
      <c r="Q494" s="23">
        <f t="shared" si="463"/>
        <v>57086.185406983859</v>
      </c>
      <c r="R494" s="23">
        <f t="shared" si="463"/>
        <v>74795.14768996663</v>
      </c>
      <c r="S494" s="23">
        <f t="shared" si="463"/>
        <v>92759.033834752627</v>
      </c>
    </row>
    <row r="495" spans="3:42" outlineLevel="3">
      <c r="C495" s="22" t="s">
        <v>660</v>
      </c>
      <c r="D495" s="22"/>
      <c r="E495" s="22"/>
      <c r="F495" s="22"/>
      <c r="G495" s="22"/>
      <c r="H495" s="56"/>
      <c r="I495" s="56">
        <f t="shared" ref="I495:M495" si="464">IFERROR(I494/I484,"NA")</f>
        <v>0.24003463453140436</v>
      </c>
      <c r="J495" s="56">
        <f t="shared" si="464"/>
        <v>0.31994134577476369</v>
      </c>
      <c r="K495" s="56">
        <f t="shared" si="464"/>
        <v>0.3141114357476037</v>
      </c>
      <c r="L495" s="56">
        <f t="shared" si="464"/>
        <v>0.30066262043812408</v>
      </c>
      <c r="M495" s="56">
        <f t="shared" si="464"/>
        <v>0.2906011996807491</v>
      </c>
      <c r="N495" s="56">
        <f>IFERROR(N494/N484,"NA")</f>
        <v>0.29060119968074916</v>
      </c>
      <c r="O495" s="56">
        <f t="shared" ref="O495:S495" si="465">IFERROR(O494/O484,"NA")</f>
        <v>0.2929697540126604</v>
      </c>
      <c r="P495" s="56">
        <f t="shared" si="465"/>
        <v>0.29532839044815706</v>
      </c>
      <c r="Q495" s="56">
        <f t="shared" si="465"/>
        <v>0.29767715561432834</v>
      </c>
      <c r="R495" s="56">
        <f t="shared" si="465"/>
        <v>0.30001609589714279</v>
      </c>
      <c r="S495" s="56">
        <f t="shared" si="465"/>
        <v>0.29596743495015826</v>
      </c>
      <c r="U495" s="1526">
        <f>AC495+1%</f>
        <v>0.01</v>
      </c>
      <c r="V495" s="1526">
        <f t="shared" ref="V495:Z495" si="466">U495</f>
        <v>0.01</v>
      </c>
      <c r="W495" s="1526">
        <f t="shared" si="466"/>
        <v>0.01</v>
      </c>
      <c r="X495" s="1526">
        <f t="shared" si="466"/>
        <v>0.01</v>
      </c>
      <c r="Y495" s="1526">
        <f t="shared" si="466"/>
        <v>0.01</v>
      </c>
      <c r="Z495" s="1526">
        <f t="shared" si="466"/>
        <v>0.01</v>
      </c>
      <c r="AC495" s="1175"/>
      <c r="AD495" s="1176"/>
      <c r="AE495" s="1176"/>
      <c r="AF495" s="1176"/>
      <c r="AG495" s="1176"/>
      <c r="AH495" s="1176"/>
      <c r="AK495" s="1526">
        <f>AC495-1%</f>
        <v>-0.01</v>
      </c>
      <c r="AL495" s="1526">
        <f t="shared" ref="AL495:AP495" si="467">AK495</f>
        <v>-0.01</v>
      </c>
      <c r="AM495" s="1526">
        <f t="shared" si="467"/>
        <v>-0.01</v>
      </c>
      <c r="AN495" s="1526">
        <f t="shared" si="467"/>
        <v>-0.01</v>
      </c>
      <c r="AO495" s="1526">
        <f t="shared" si="467"/>
        <v>-0.01</v>
      </c>
      <c r="AP495" s="1526">
        <f t="shared" si="467"/>
        <v>-0.01</v>
      </c>
    </row>
    <row r="496" spans="3:42" outlineLevel="3">
      <c r="AC496" s="1321"/>
      <c r="AD496" s="1321"/>
      <c r="AE496" s="1321"/>
      <c r="AF496" s="1321"/>
      <c r="AG496" s="1321"/>
      <c r="AH496" s="1321"/>
    </row>
    <row r="497" spans="1:43" s="1126" customFormat="1" outlineLevel="3">
      <c r="A497" s="26" t="s">
        <v>8</v>
      </c>
      <c r="B497" s="26"/>
      <c r="C497" s="26" t="s">
        <v>1156</v>
      </c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408"/>
      <c r="U497" s="1518"/>
      <c r="V497" s="1518"/>
      <c r="W497" s="1518"/>
      <c r="X497" s="1518"/>
      <c r="Y497" s="1518"/>
      <c r="Z497" s="1518"/>
      <c r="AA497" s="1518"/>
      <c r="AC497" s="26"/>
      <c r="AD497" s="26"/>
      <c r="AE497" s="26"/>
      <c r="AF497" s="26"/>
      <c r="AG497" s="26"/>
      <c r="AH497" s="26"/>
      <c r="AI497" s="18"/>
      <c r="AK497" s="1518"/>
      <c r="AL497" s="1518"/>
      <c r="AM497" s="1518"/>
      <c r="AN497" s="1518"/>
      <c r="AO497" s="1518"/>
      <c r="AP497" s="1518"/>
      <c r="AQ497" s="1518"/>
    </row>
    <row r="498" spans="1:43" outlineLevel="3">
      <c r="L498" s="1474">
        <f>L523/K523</f>
        <v>1.2903552935065374</v>
      </c>
      <c r="M498" s="1474">
        <f>M523/K523</f>
        <v>0.89316693632460675</v>
      </c>
    </row>
    <row r="499" spans="1:43" s="1126" customFormat="1" outlineLevel="3">
      <c r="A499" s="18"/>
      <c r="B499" s="18"/>
      <c r="C499" s="18" t="s">
        <v>840</v>
      </c>
      <c r="D499" s="18"/>
      <c r="E499" s="18"/>
      <c r="F499" s="18"/>
      <c r="G499" s="18"/>
      <c r="H499" s="23">
        <f>SUM(H500:H504)</f>
        <v>1061348.9569999999</v>
      </c>
      <c r="I499" s="23">
        <f t="shared" ref="I499:K499" si="468">SUM(I500:I504)</f>
        <v>773341.4360000001</v>
      </c>
      <c r="J499" s="23">
        <f t="shared" si="468"/>
        <v>644067.72700000042</v>
      </c>
      <c r="K499" s="23">
        <f t="shared" si="468"/>
        <v>513563</v>
      </c>
      <c r="L499" s="23">
        <f>SUM(L500:L504)</f>
        <v>668281.99684384768</v>
      </c>
      <c r="M499" s="23">
        <f>SUM(M500:M504)</f>
        <v>424893.29370631045</v>
      </c>
      <c r="N499" s="23">
        <f t="shared" ref="N499:S499" si="469">SUM(N500:N504)</f>
        <v>883578.98338769632</v>
      </c>
      <c r="O499" s="23">
        <f>SUM(O500:O504)</f>
        <v>1151408.2340965446</v>
      </c>
      <c r="P499" s="23">
        <f t="shared" si="469"/>
        <v>1435901.7097800081</v>
      </c>
      <c r="Q499" s="23">
        <f t="shared" si="469"/>
        <v>1740536.2409403096</v>
      </c>
      <c r="R499" s="23">
        <f t="shared" si="469"/>
        <v>2054183.7618470059</v>
      </c>
      <c r="S499" s="23">
        <f t="shared" si="469"/>
        <v>2404599.3617182467</v>
      </c>
      <c r="T499" s="408"/>
      <c r="U499" s="1519">
        <f>$L499*(1+$AA499)</f>
        <v>1069251.1949501564</v>
      </c>
      <c r="V499" s="1519">
        <f>U499*(1+$AA499)</f>
        <v>1710801.9119202504</v>
      </c>
      <c r="W499" s="1519">
        <f t="shared" ref="W499" si="470">V499*(1+$AA499)</f>
        <v>2737283.0590724009</v>
      </c>
      <c r="X499" s="1519">
        <f>W499*(1+$AA499)</f>
        <v>4379652.8945158413</v>
      </c>
      <c r="Y499" s="1519">
        <f>X499*(1+$AA499)</f>
        <v>7007444.6312253466</v>
      </c>
      <c r="Z499" s="1519">
        <f t="shared" ref="Z499" si="471">Y499*(1+$AA499)</f>
        <v>11211911.409960555</v>
      </c>
      <c r="AA499" s="1520">
        <v>0.6</v>
      </c>
      <c r="AB499" s="1321"/>
      <c r="AC499" s="20"/>
      <c r="AD499" s="20"/>
      <c r="AE499" s="20"/>
      <c r="AF499" s="20"/>
      <c r="AG499" s="20"/>
      <c r="AH499" s="20"/>
      <c r="AI499" s="702"/>
      <c r="AJ499" s="1321"/>
      <c r="AK499" s="1519">
        <f>$L499*(1+$AQ499)</f>
        <v>801938.39621261717</v>
      </c>
      <c r="AL499" s="1519">
        <f>AK499*(1+$AQ499)</f>
        <v>962326.07545514056</v>
      </c>
      <c r="AM499" s="1519">
        <f t="shared" ref="AM499:AN499" si="472">AL499*(1+$AQ499)</f>
        <v>1154791.2905461686</v>
      </c>
      <c r="AN499" s="1519">
        <f t="shared" si="472"/>
        <v>1385749.5486554021</v>
      </c>
      <c r="AO499" s="1519">
        <f>AN499*(1+$AQ499)</f>
        <v>1662899.4583864824</v>
      </c>
      <c r="AP499" s="1519">
        <f t="shared" ref="AP499" si="473">AO499*(1+$AQ499)</f>
        <v>1995479.3500637789</v>
      </c>
      <c r="AQ499" s="1520">
        <v>0.2</v>
      </c>
    </row>
    <row r="500" spans="1:43" outlineLevel="3">
      <c r="D500" s="27" t="s">
        <v>841</v>
      </c>
      <c r="E500" s="28"/>
      <c r="F500" s="28"/>
      <c r="G500" s="28"/>
      <c r="H500" s="29">
        <f t="shared" ref="H500:M500" si="474">H539+H578</f>
        <v>574.19999999999891</v>
      </c>
      <c r="I500" s="29">
        <f t="shared" si="474"/>
        <v>1508.2920000000049</v>
      </c>
      <c r="J500" s="29">
        <f t="shared" si="474"/>
        <v>7486.3439999999973</v>
      </c>
      <c r="K500" s="29">
        <f t="shared" si="474"/>
        <v>9511</v>
      </c>
      <c r="L500" s="29">
        <f t="shared" si="474"/>
        <v>13599.687999999995</v>
      </c>
      <c r="M500" s="29">
        <f t="shared" si="474"/>
        <v>11790.569999999996</v>
      </c>
      <c r="N500" s="29">
        <f>N539+N578</f>
        <v>20399.531999999992</v>
      </c>
      <c r="O500" s="29">
        <f t="shared" ref="O500:S500" si="475">O539+O578</f>
        <v>27539.36819999999</v>
      </c>
      <c r="P500" s="29">
        <f t="shared" si="475"/>
        <v>34883.19971999999</v>
      </c>
      <c r="Q500" s="29">
        <f t="shared" si="475"/>
        <v>42451.426091999994</v>
      </c>
      <c r="R500" s="29">
        <f t="shared" si="475"/>
        <v>49756.498501199989</v>
      </c>
      <c r="S500" s="30">
        <f t="shared" si="475"/>
        <v>56721.102721319985</v>
      </c>
    </row>
    <row r="501" spans="1:43" outlineLevel="3">
      <c r="D501" s="31" t="s">
        <v>842</v>
      </c>
      <c r="E501" s="1133"/>
      <c r="F501" s="1133"/>
      <c r="G501" s="1133"/>
      <c r="H501" s="1188">
        <f t="shared" ref="H501:M501" si="476">H540+H579</f>
        <v>30034.394999999968</v>
      </c>
      <c r="I501" s="1188">
        <f t="shared" si="476"/>
        <v>95556.132000000041</v>
      </c>
      <c r="J501" s="1188">
        <f t="shared" si="476"/>
        <v>109616.24700000015</v>
      </c>
      <c r="K501" s="1188">
        <f t="shared" si="476"/>
        <v>100540</v>
      </c>
      <c r="L501" s="1188">
        <f t="shared" si="476"/>
        <v>132813.3939999998</v>
      </c>
      <c r="M501" s="1188">
        <f t="shared" si="476"/>
        <v>84942.751999999993</v>
      </c>
      <c r="N501" s="1188">
        <f t="shared" ref="N501:S501" si="477">N540+N579</f>
        <v>199220.09099999969</v>
      </c>
      <c r="O501" s="1188">
        <f t="shared" si="477"/>
        <v>298830.1364999995</v>
      </c>
      <c r="P501" s="1188">
        <f t="shared" si="477"/>
        <v>408401.18654999929</v>
      </c>
      <c r="Q501" s="1188">
        <f t="shared" si="477"/>
        <v>540882.547064999</v>
      </c>
      <c r="R501" s="1188">
        <f t="shared" si="477"/>
        <v>671321.90164724865</v>
      </c>
      <c r="S501" s="32">
        <f t="shared" si="477"/>
        <v>813438.04381323582</v>
      </c>
    </row>
    <row r="502" spans="1:43" outlineLevel="3">
      <c r="D502" s="31" t="s">
        <v>843</v>
      </c>
      <c r="E502" s="1133"/>
      <c r="F502" s="1133"/>
      <c r="G502" s="1133"/>
      <c r="H502" s="1188">
        <f t="shared" ref="H502:M502" si="478">H541+H580</f>
        <v>138296.08000000002</v>
      </c>
      <c r="I502" s="1188">
        <f t="shared" si="478"/>
        <v>95692.970000000074</v>
      </c>
      <c r="J502" s="1188">
        <f t="shared" si="478"/>
        <v>147145.06600000025</v>
      </c>
      <c r="K502" s="1188">
        <f t="shared" si="478"/>
        <v>134624</v>
      </c>
      <c r="L502" s="1188">
        <f t="shared" si="478"/>
        <v>167316.58199999988</v>
      </c>
      <c r="M502" s="1188">
        <f t="shared" si="478"/>
        <v>110330.0560000001</v>
      </c>
      <c r="N502" s="1188">
        <f t="shared" ref="N502:S502" si="479">N541+N580</f>
        <v>200779.89839999986</v>
      </c>
      <c r="O502" s="1188">
        <f t="shared" si="479"/>
        <v>240935.87807999982</v>
      </c>
      <c r="P502" s="1188">
        <f t="shared" si="479"/>
        <v>290628.90293399978</v>
      </c>
      <c r="Q502" s="1188">
        <f t="shared" si="479"/>
        <v>353046.35384909972</v>
      </c>
      <c r="R502" s="1188">
        <f t="shared" si="479"/>
        <v>436998.70374196465</v>
      </c>
      <c r="S502" s="32">
        <f t="shared" si="479"/>
        <v>532590.20160135929</v>
      </c>
    </row>
    <row r="503" spans="1:43" outlineLevel="3">
      <c r="D503" s="31" t="s">
        <v>844</v>
      </c>
      <c r="E503" s="1133"/>
      <c r="F503" s="1133"/>
      <c r="G503" s="1133"/>
      <c r="H503" s="1188">
        <f t="shared" ref="H503:M503" si="480">H542+H581</f>
        <v>690109.28199999989</v>
      </c>
      <c r="I503" s="1188">
        <f t="shared" si="480"/>
        <v>411791.04199999996</v>
      </c>
      <c r="J503" s="1188">
        <f t="shared" si="480"/>
        <v>353029.06999999995</v>
      </c>
      <c r="K503" s="1188">
        <f t="shared" si="480"/>
        <v>167378</v>
      </c>
      <c r="L503" s="1188">
        <f t="shared" si="480"/>
        <v>223568.36699999939</v>
      </c>
      <c r="M503" s="1188">
        <f t="shared" si="480"/>
        <v>127164.53999999954</v>
      </c>
      <c r="N503" s="1188">
        <f t="shared" ref="N503:S503" si="481">N542+N581</f>
        <v>201211.53029999946</v>
      </c>
      <c r="O503" s="1188">
        <f t="shared" si="481"/>
        <v>191150.95378499947</v>
      </c>
      <c r="P503" s="1188">
        <f t="shared" si="481"/>
        <v>191150.95378499947</v>
      </c>
      <c r="Q503" s="1188">
        <f t="shared" si="481"/>
        <v>191150.95378499947</v>
      </c>
      <c r="R503" s="1188">
        <f t="shared" si="481"/>
        <v>191150.95378499947</v>
      </c>
      <c r="S503" s="32">
        <f t="shared" si="481"/>
        <v>191150.95378499947</v>
      </c>
    </row>
    <row r="504" spans="1:43" outlineLevel="3">
      <c r="D504" s="33" t="s">
        <v>665</v>
      </c>
      <c r="E504" s="34"/>
      <c r="F504" s="34"/>
      <c r="G504" s="34"/>
      <c r="H504" s="35">
        <f t="shared" ref="H504:M504" si="482">H543+H582</f>
        <v>202335</v>
      </c>
      <c r="I504" s="35">
        <f t="shared" si="482"/>
        <v>168793</v>
      </c>
      <c r="J504" s="35">
        <f t="shared" si="482"/>
        <v>26791</v>
      </c>
      <c r="K504" s="35">
        <f t="shared" si="482"/>
        <v>101510</v>
      </c>
      <c r="L504" s="35">
        <f t="shared" si="482"/>
        <v>130983.96584384862</v>
      </c>
      <c r="M504" s="35">
        <f t="shared" si="482"/>
        <v>90665.375706310821</v>
      </c>
      <c r="N504" s="35">
        <f t="shared" ref="N504:S504" si="483">N543+N582</f>
        <v>261967.93168769724</v>
      </c>
      <c r="O504" s="35">
        <f t="shared" si="483"/>
        <v>392951.89753154584</v>
      </c>
      <c r="P504" s="35">
        <f t="shared" si="483"/>
        <v>510837.46679100959</v>
      </c>
      <c r="Q504" s="35">
        <f t="shared" si="483"/>
        <v>613004.96014921146</v>
      </c>
      <c r="R504" s="35">
        <f t="shared" si="483"/>
        <v>704955.70417159307</v>
      </c>
      <c r="S504" s="36">
        <f t="shared" si="483"/>
        <v>810699.05979733192</v>
      </c>
      <c r="AC504" s="1360"/>
      <c r="AD504" s="1360"/>
      <c r="AE504" s="1360"/>
      <c r="AF504" s="1360"/>
      <c r="AG504" s="1360"/>
      <c r="AH504" s="1360"/>
    </row>
    <row r="505" spans="1:43" s="1365" customFormat="1" outlineLevel="3">
      <c r="A505" s="22"/>
      <c r="B505" s="22"/>
      <c r="C505" s="22" t="s">
        <v>847</v>
      </c>
      <c r="D505" s="22"/>
      <c r="E505" s="22"/>
      <c r="F505" s="22"/>
      <c r="G505" s="22"/>
      <c r="H505" s="219"/>
      <c r="I505" s="24"/>
      <c r="J505" s="24">
        <f>J499/I499-1</f>
        <v>-0.16716252741951831</v>
      </c>
      <c r="K505" s="24"/>
      <c r="L505" s="91">
        <f>L499/J499-1</f>
        <v>3.7595844084029384E-2</v>
      </c>
      <c r="M505" s="24"/>
      <c r="N505" s="24">
        <f>N499/L499-1</f>
        <v>0.32216487584679832</v>
      </c>
      <c r="O505" s="24">
        <f>O499/N499-1</f>
        <v>0.3031186297369528</v>
      </c>
      <c r="P505" s="24">
        <f t="shared" ref="P505:S505" si="484">P499/O499-1</f>
        <v>0.24708306511868239</v>
      </c>
      <c r="Q505" s="24">
        <f t="shared" si="484"/>
        <v>0.21215555987253065</v>
      </c>
      <c r="R505" s="24">
        <f t="shared" si="484"/>
        <v>0.18020166057401421</v>
      </c>
      <c r="S505" s="24">
        <f t="shared" si="484"/>
        <v>0.17058629630883981</v>
      </c>
      <c r="T505" s="726"/>
      <c r="U505" s="1521"/>
      <c r="V505" s="1521"/>
      <c r="W505" s="1521"/>
      <c r="X505" s="1521"/>
      <c r="Y505" s="1521"/>
      <c r="Z505" s="1521"/>
      <c r="AA505" s="1522"/>
      <c r="AC505" s="1331"/>
      <c r="AD505" s="1331"/>
      <c r="AE505" s="1331"/>
      <c r="AF505" s="1331"/>
      <c r="AG505" s="1331"/>
      <c r="AH505" s="1331"/>
      <c r="AI505" s="706"/>
      <c r="AK505" s="1521"/>
      <c r="AL505" s="1521"/>
      <c r="AM505" s="1521"/>
      <c r="AN505" s="1521"/>
      <c r="AO505" s="1521"/>
      <c r="AP505" s="1521"/>
      <c r="AQ505" s="1522"/>
    </row>
    <row r="506" spans="1:43" s="1365" customFormat="1" outlineLevel="3">
      <c r="A506" s="22"/>
      <c r="B506" s="22"/>
      <c r="C506" s="22"/>
      <c r="D506" s="707" t="s">
        <v>841</v>
      </c>
      <c r="E506" s="708"/>
      <c r="F506" s="708"/>
      <c r="G506" s="708"/>
      <c r="H506" s="709"/>
      <c r="I506" s="710"/>
      <c r="J506" s="710">
        <f t="shared" ref="J506" si="485">J500/I500-1</f>
        <v>3.9634580041530239</v>
      </c>
      <c r="K506" s="710"/>
      <c r="L506" s="710">
        <f t="shared" ref="L506:L510" si="486">L500/J500-1</f>
        <v>0.81659939751633104</v>
      </c>
      <c r="M506" s="710"/>
      <c r="N506" s="710">
        <f>N500/L500-1</f>
        <v>0.5</v>
      </c>
      <c r="O506" s="710">
        <f t="shared" ref="O506:S510" si="487">O500/N500-1</f>
        <v>0.35000000000000009</v>
      </c>
      <c r="P506" s="710">
        <f t="shared" si="487"/>
        <v>0.26666666666666683</v>
      </c>
      <c r="Q506" s="710">
        <f t="shared" si="487"/>
        <v>0.21695906432748568</v>
      </c>
      <c r="R506" s="710">
        <f t="shared" si="487"/>
        <v>0.17208073041806804</v>
      </c>
      <c r="S506" s="727">
        <f t="shared" si="487"/>
        <v>0.13997376081341484</v>
      </c>
      <c r="T506" s="726"/>
      <c r="U506" s="1521"/>
      <c r="V506" s="1521"/>
      <c r="W506" s="1521"/>
      <c r="X506" s="1521"/>
      <c r="Y506" s="1521"/>
      <c r="Z506" s="1521"/>
      <c r="AA506" s="1523"/>
      <c r="AC506" s="728"/>
      <c r="AD506" s="728"/>
      <c r="AE506" s="728"/>
      <c r="AF506" s="728"/>
      <c r="AG506" s="728"/>
      <c r="AH506" s="728"/>
      <c r="AI506" s="22"/>
      <c r="AK506" s="1521"/>
      <c r="AL506" s="1521"/>
      <c r="AM506" s="1521"/>
      <c r="AN506" s="1521"/>
      <c r="AO506" s="1521"/>
      <c r="AP506" s="1521"/>
      <c r="AQ506" s="1523"/>
    </row>
    <row r="507" spans="1:43" s="1365" customFormat="1" outlineLevel="3">
      <c r="A507" s="22"/>
      <c r="B507" s="22"/>
      <c r="C507" s="22"/>
      <c r="D507" s="715" t="s">
        <v>842</v>
      </c>
      <c r="E507" s="1141"/>
      <c r="F507" s="1141"/>
      <c r="G507" s="1141"/>
      <c r="H507" s="1374"/>
      <c r="I507" s="175"/>
      <c r="J507" s="175">
        <f>J501/I501-1</f>
        <v>0.14713985074238978</v>
      </c>
      <c r="K507" s="175"/>
      <c r="L507" s="175">
        <f t="shared" si="486"/>
        <v>0.21162143053483318</v>
      </c>
      <c r="M507" s="175"/>
      <c r="N507" s="175">
        <f t="shared" ref="N507:N510" si="488">N501/L501-1</f>
        <v>0.5</v>
      </c>
      <c r="O507" s="175">
        <f t="shared" si="487"/>
        <v>0.49999999999999978</v>
      </c>
      <c r="P507" s="175">
        <f t="shared" si="487"/>
        <v>0.36666666666666647</v>
      </c>
      <c r="Q507" s="175">
        <f t="shared" si="487"/>
        <v>0.32439024390243887</v>
      </c>
      <c r="R507" s="175">
        <f t="shared" si="487"/>
        <v>0.24116022099447498</v>
      </c>
      <c r="S507" s="729">
        <f t="shared" si="487"/>
        <v>0.21169597151123964</v>
      </c>
      <c r="T507" s="726"/>
      <c r="U507" s="1521"/>
      <c r="V507" s="1521"/>
      <c r="W507" s="1521"/>
      <c r="X507" s="1521"/>
      <c r="Y507" s="1521"/>
      <c r="Z507" s="1521"/>
      <c r="AA507" s="1523"/>
      <c r="AC507" s="728"/>
      <c r="AD507" s="728"/>
      <c r="AE507" s="728"/>
      <c r="AF507" s="728"/>
      <c r="AG507" s="728"/>
      <c r="AH507" s="728"/>
      <c r="AI507" s="22"/>
      <c r="AK507" s="1521"/>
      <c r="AL507" s="1521"/>
      <c r="AM507" s="1521"/>
      <c r="AN507" s="1521"/>
      <c r="AO507" s="1521"/>
      <c r="AP507" s="1521"/>
      <c r="AQ507" s="1523"/>
    </row>
    <row r="508" spans="1:43" s="1365" customFormat="1" outlineLevel="3">
      <c r="A508" s="22"/>
      <c r="B508" s="22"/>
      <c r="C508" s="22"/>
      <c r="D508" s="715" t="s">
        <v>843</v>
      </c>
      <c r="E508" s="1141"/>
      <c r="F508" s="1141"/>
      <c r="G508" s="1141"/>
      <c r="H508" s="1374"/>
      <c r="I508" s="175"/>
      <c r="J508" s="175">
        <f>J502/I502-1</f>
        <v>0.53767895384582731</v>
      </c>
      <c r="K508" s="175"/>
      <c r="L508" s="175">
        <f t="shared" si="486"/>
        <v>0.13708591492968969</v>
      </c>
      <c r="M508" s="175"/>
      <c r="N508" s="175">
        <f t="shared" si="488"/>
        <v>0.19999999999999996</v>
      </c>
      <c r="O508" s="175">
        <f t="shared" si="487"/>
        <v>0.19999999999999996</v>
      </c>
      <c r="P508" s="175">
        <f t="shared" si="487"/>
        <v>0.20625000000000004</v>
      </c>
      <c r="Q508" s="175">
        <f t="shared" si="487"/>
        <v>0.21476683937823826</v>
      </c>
      <c r="R508" s="175">
        <f t="shared" si="487"/>
        <v>0.23779412810122991</v>
      </c>
      <c r="S508" s="729">
        <f t="shared" si="487"/>
        <v>0.21874549521739239</v>
      </c>
      <c r="T508" s="726"/>
      <c r="U508" s="1521"/>
      <c r="V508" s="1521"/>
      <c r="W508" s="1521"/>
      <c r="X508" s="1521"/>
      <c r="Y508" s="1521"/>
      <c r="Z508" s="1521"/>
      <c r="AA508" s="1523"/>
      <c r="AC508" s="728"/>
      <c r="AD508" s="728"/>
      <c r="AE508" s="728"/>
      <c r="AF508" s="728"/>
      <c r="AG508" s="728"/>
      <c r="AH508" s="728"/>
      <c r="AI508" s="22"/>
      <c r="AK508" s="1521"/>
      <c r="AL508" s="1521"/>
      <c r="AM508" s="1521"/>
      <c r="AN508" s="1521"/>
      <c r="AO508" s="1521"/>
      <c r="AP508" s="1521"/>
      <c r="AQ508" s="1523"/>
    </row>
    <row r="509" spans="1:43" s="1365" customFormat="1" outlineLevel="3">
      <c r="A509" s="22"/>
      <c r="B509" s="22"/>
      <c r="C509" s="22"/>
      <c r="D509" s="715" t="s">
        <v>844</v>
      </c>
      <c r="E509" s="1141"/>
      <c r="F509" s="1141"/>
      <c r="G509" s="1141"/>
      <c r="H509" s="1374"/>
      <c r="I509" s="175"/>
      <c r="J509" s="175">
        <f>J503/I503-1</f>
        <v>-0.14269851941072587</v>
      </c>
      <c r="K509" s="175"/>
      <c r="L509" s="175">
        <f t="shared" si="486"/>
        <v>-0.36671400176761815</v>
      </c>
      <c r="M509" s="175"/>
      <c r="N509" s="175">
        <f t="shared" si="488"/>
        <v>-9.9999999999999978E-2</v>
      </c>
      <c r="O509" s="175">
        <f t="shared" si="487"/>
        <v>-5.0000000000000155E-2</v>
      </c>
      <c r="P509" s="175">
        <f t="shared" si="487"/>
        <v>0</v>
      </c>
      <c r="Q509" s="175">
        <f t="shared" si="487"/>
        <v>0</v>
      </c>
      <c r="R509" s="175">
        <f t="shared" si="487"/>
        <v>0</v>
      </c>
      <c r="S509" s="729">
        <f t="shared" si="487"/>
        <v>0</v>
      </c>
      <c r="T509" s="726"/>
      <c r="U509" s="1521"/>
      <c r="V509" s="1521"/>
      <c r="W509" s="1521"/>
      <c r="X509" s="1521"/>
      <c r="Y509" s="1521"/>
      <c r="Z509" s="1521"/>
      <c r="AA509" s="1523"/>
      <c r="AC509" s="728"/>
      <c r="AD509" s="728"/>
      <c r="AE509" s="728"/>
      <c r="AF509" s="728"/>
      <c r="AG509" s="728"/>
      <c r="AH509" s="728"/>
      <c r="AI509" s="22"/>
      <c r="AK509" s="1521"/>
      <c r="AL509" s="1521"/>
      <c r="AM509" s="1521"/>
      <c r="AN509" s="1521"/>
      <c r="AO509" s="1521"/>
      <c r="AP509" s="1521"/>
      <c r="AQ509" s="1523"/>
    </row>
    <row r="510" spans="1:43" s="1365" customFormat="1" outlineLevel="3">
      <c r="A510" s="22"/>
      <c r="B510" s="22"/>
      <c r="C510" s="22"/>
      <c r="D510" s="719" t="s">
        <v>665</v>
      </c>
      <c r="E510" s="720"/>
      <c r="F510" s="720"/>
      <c r="G510" s="720"/>
      <c r="H510" s="721"/>
      <c r="I510" s="722"/>
      <c r="J510" s="722">
        <f>J504/I504-1</f>
        <v>-0.84127896299017135</v>
      </c>
      <c r="K510" s="722"/>
      <c r="L510" s="722">
        <f t="shared" si="486"/>
        <v>3.8891032751240573</v>
      </c>
      <c r="M510" s="722"/>
      <c r="N510" s="722">
        <f t="shared" si="488"/>
        <v>1</v>
      </c>
      <c r="O510" s="722">
        <f t="shared" si="487"/>
        <v>0.49999999999999978</v>
      </c>
      <c r="P510" s="722">
        <f t="shared" si="487"/>
        <v>0.30000000000000004</v>
      </c>
      <c r="Q510" s="722">
        <f t="shared" si="487"/>
        <v>0.19999999999999996</v>
      </c>
      <c r="R510" s="722">
        <f t="shared" si="487"/>
        <v>0.14999999999999991</v>
      </c>
      <c r="S510" s="730">
        <f t="shared" si="487"/>
        <v>0.14999999999999991</v>
      </c>
      <c r="T510" s="726"/>
      <c r="U510" s="1521"/>
      <c r="V510" s="1521"/>
      <c r="W510" s="1521"/>
      <c r="X510" s="1521"/>
      <c r="Y510" s="1521"/>
      <c r="Z510" s="1521"/>
      <c r="AA510" s="1523"/>
      <c r="AC510" s="728"/>
      <c r="AD510" s="728"/>
      <c r="AE510" s="728"/>
      <c r="AF510" s="728"/>
      <c r="AG510" s="728"/>
      <c r="AH510" s="728"/>
      <c r="AI510" s="22"/>
      <c r="AK510" s="1521"/>
      <c r="AL510" s="1521"/>
      <c r="AM510" s="1521"/>
      <c r="AN510" s="1521"/>
      <c r="AO510" s="1521"/>
      <c r="AP510" s="1521"/>
      <c r="AQ510" s="1523"/>
    </row>
    <row r="511" spans="1:43" s="1365" customFormat="1" outlineLevel="3">
      <c r="A511" s="22"/>
      <c r="B511" s="22"/>
      <c r="C511" s="22" t="s">
        <v>848</v>
      </c>
      <c r="D511" s="22"/>
      <c r="E511" s="22"/>
      <c r="F511" s="22"/>
      <c r="G511" s="22"/>
      <c r="H511" s="24">
        <f>H499/H$499</f>
        <v>1</v>
      </c>
      <c r="I511" s="24">
        <f t="shared" ref="I511:S513" si="489">I499/I$499</f>
        <v>1</v>
      </c>
      <c r="J511" s="24">
        <f t="shared" si="489"/>
        <v>1</v>
      </c>
      <c r="K511" s="24">
        <f t="shared" si="489"/>
        <v>1</v>
      </c>
      <c r="L511" s="24">
        <f t="shared" si="489"/>
        <v>1</v>
      </c>
      <c r="M511" s="24">
        <f t="shared" si="489"/>
        <v>1</v>
      </c>
      <c r="N511" s="24">
        <f t="shared" si="489"/>
        <v>1</v>
      </c>
      <c r="O511" s="24">
        <f t="shared" si="489"/>
        <v>1</v>
      </c>
      <c r="P511" s="24">
        <f t="shared" si="489"/>
        <v>1</v>
      </c>
      <c r="Q511" s="24">
        <f t="shared" si="489"/>
        <v>1</v>
      </c>
      <c r="R511" s="24">
        <f t="shared" si="489"/>
        <v>1</v>
      </c>
      <c r="S511" s="24">
        <f t="shared" si="489"/>
        <v>1</v>
      </c>
      <c r="T511" s="726"/>
      <c r="U511" s="1521"/>
      <c r="V511" s="1521"/>
      <c r="W511" s="1521"/>
      <c r="X511" s="1521"/>
      <c r="Y511" s="1521"/>
      <c r="Z511" s="1521"/>
      <c r="AA511" s="1522"/>
      <c r="AC511" s="1331"/>
      <c r="AD511" s="1331"/>
      <c r="AE511" s="1331"/>
      <c r="AF511" s="1331"/>
      <c r="AG511" s="1331"/>
      <c r="AH511" s="1331"/>
      <c r="AI511" s="706"/>
      <c r="AK511" s="1521"/>
      <c r="AL511" s="1521"/>
      <c r="AM511" s="1521"/>
      <c r="AN511" s="1521"/>
      <c r="AO511" s="1521"/>
      <c r="AP511" s="1521"/>
      <c r="AQ511" s="1522"/>
    </row>
    <row r="512" spans="1:43" s="1365" customFormat="1" outlineLevel="3">
      <c r="A512" s="22"/>
      <c r="B512" s="22"/>
      <c r="C512" s="22"/>
      <c r="D512" s="707" t="s">
        <v>841</v>
      </c>
      <c r="E512" s="708"/>
      <c r="F512" s="708"/>
      <c r="G512" s="708"/>
      <c r="H512" s="793">
        <f>H500/H$499</f>
        <v>5.4100962384984836E-4</v>
      </c>
      <c r="I512" s="793">
        <f t="shared" si="489"/>
        <v>1.9503571511717171E-3</v>
      </c>
      <c r="J512" s="793">
        <f t="shared" si="489"/>
        <v>1.1623535361522613E-2</v>
      </c>
      <c r="K512" s="793">
        <f t="shared" si="489"/>
        <v>1.851963634451859E-2</v>
      </c>
      <c r="L512" s="793">
        <f t="shared" si="489"/>
        <v>2.0350223504790491E-2</v>
      </c>
      <c r="M512" s="793">
        <f t="shared" si="489"/>
        <v>2.7749484811002288E-2</v>
      </c>
      <c r="N512" s="793">
        <f t="shared" si="489"/>
        <v>2.3087389337608424E-2</v>
      </c>
      <c r="O512" s="793">
        <f t="shared" si="489"/>
        <v>2.3917987890375671E-2</v>
      </c>
      <c r="P512" s="793">
        <f t="shared" si="489"/>
        <v>2.4293584639121561E-2</v>
      </c>
      <c r="Q512" s="793">
        <f t="shared" si="489"/>
        <v>2.4389854743309441E-2</v>
      </c>
      <c r="R512" s="793">
        <f t="shared" si="489"/>
        <v>2.4222028927179211E-2</v>
      </c>
      <c r="S512" s="803">
        <f t="shared" si="489"/>
        <v>2.3588587614357916E-2</v>
      </c>
      <c r="T512" s="726"/>
      <c r="U512" s="1521"/>
      <c r="V512" s="1521"/>
      <c r="W512" s="1521"/>
      <c r="X512" s="1521"/>
      <c r="Y512" s="1521"/>
      <c r="Z512" s="1521"/>
      <c r="AA512" s="1523"/>
      <c r="AC512" s="728"/>
      <c r="AD512" s="728"/>
      <c r="AE512" s="728"/>
      <c r="AF512" s="728"/>
      <c r="AG512" s="728"/>
      <c r="AH512" s="728"/>
      <c r="AI512" s="22"/>
      <c r="AK512" s="1521"/>
      <c r="AL512" s="1521"/>
      <c r="AM512" s="1521"/>
      <c r="AN512" s="1521"/>
      <c r="AO512" s="1521"/>
      <c r="AP512" s="1521"/>
      <c r="AQ512" s="1523"/>
    </row>
    <row r="513" spans="1:43" s="1365" customFormat="1" outlineLevel="3">
      <c r="A513" s="22"/>
      <c r="B513" s="22"/>
      <c r="C513" s="22"/>
      <c r="D513" s="715" t="s">
        <v>842</v>
      </c>
      <c r="E513" s="1141"/>
      <c r="F513" s="1141"/>
      <c r="G513" s="1141"/>
      <c r="H513" s="91">
        <f>H501/H$499</f>
        <v>2.8298322433834521E-2</v>
      </c>
      <c r="I513" s="91">
        <f t="shared" si="489"/>
        <v>0.12356266915458547</v>
      </c>
      <c r="J513" s="91">
        <f t="shared" si="489"/>
        <v>0.17019366505224703</v>
      </c>
      <c r="K513" s="91">
        <f t="shared" si="489"/>
        <v>0.19576955504972127</v>
      </c>
      <c r="L513" s="91">
        <f t="shared" si="489"/>
        <v>0.19873854843800809</v>
      </c>
      <c r="M513" s="91">
        <f t="shared" si="489"/>
        <v>0.19991549233232447</v>
      </c>
      <c r="N513" s="91">
        <f t="shared" si="489"/>
        <v>0.22546947669146405</v>
      </c>
      <c r="O513" s="91">
        <f t="shared" si="489"/>
        <v>0.25953447930175466</v>
      </c>
      <c r="P513" s="91">
        <f t="shared" si="489"/>
        <v>0.28442140835152963</v>
      </c>
      <c r="Q513" s="91">
        <f t="shared" si="489"/>
        <v>0.31075626829395514</v>
      </c>
      <c r="R513" s="91">
        <f t="shared" si="489"/>
        <v>0.32680713094705505</v>
      </c>
      <c r="S513" s="804">
        <f t="shared" si="489"/>
        <v>0.33828423011473313</v>
      </c>
      <c r="T513" s="726"/>
      <c r="U513" s="1521"/>
      <c r="V513" s="1521"/>
      <c r="W513" s="1521"/>
      <c r="X513" s="1521"/>
      <c r="Y513" s="1521"/>
      <c r="Z513" s="1521"/>
      <c r="AA513" s="1523"/>
      <c r="AC513" s="728"/>
      <c r="AD513" s="728"/>
      <c r="AE513" s="728"/>
      <c r="AF513" s="728"/>
      <c r="AG513" s="728"/>
      <c r="AH513" s="728"/>
      <c r="AI513" s="22"/>
      <c r="AK513" s="1521"/>
      <c r="AL513" s="1521"/>
      <c r="AM513" s="1521"/>
      <c r="AN513" s="1521"/>
      <c r="AO513" s="1521"/>
      <c r="AP513" s="1521"/>
      <c r="AQ513" s="1523"/>
    </row>
    <row r="514" spans="1:43" s="1365" customFormat="1" outlineLevel="3">
      <c r="A514" s="22"/>
      <c r="B514" s="22"/>
      <c r="C514" s="22"/>
      <c r="D514" s="715" t="s">
        <v>843</v>
      </c>
      <c r="E514" s="1141"/>
      <c r="F514" s="1141"/>
      <c r="G514" s="1141"/>
      <c r="H514" s="91">
        <f t="shared" ref="H514:S516" si="490">H502/H$499</f>
        <v>0.13030217732620811</v>
      </c>
      <c r="I514" s="91">
        <f t="shared" si="490"/>
        <v>0.12373961299029639</v>
      </c>
      <c r="J514" s="91">
        <f t="shared" si="490"/>
        <v>0.22846210084983837</v>
      </c>
      <c r="K514" s="91">
        <f t="shared" si="490"/>
        <v>0.2621372645615046</v>
      </c>
      <c r="L514" s="91">
        <f t="shared" si="490"/>
        <v>0.25036823195926294</v>
      </c>
      <c r="M514" s="91">
        <f t="shared" si="490"/>
        <v>0.25966532688148541</v>
      </c>
      <c r="N514" s="91">
        <f t="shared" si="490"/>
        <v>0.22723480546153027</v>
      </c>
      <c r="O514" s="91">
        <f t="shared" si="490"/>
        <v>0.20925321788153683</v>
      </c>
      <c r="P514" s="91">
        <f t="shared" si="490"/>
        <v>0.2024016692469337</v>
      </c>
      <c r="Q514" s="91">
        <f t="shared" si="490"/>
        <v>0.2028376919393356</v>
      </c>
      <c r="R514" s="91">
        <f t="shared" si="490"/>
        <v>0.21273593524517015</v>
      </c>
      <c r="S514" s="804">
        <f t="shared" si="490"/>
        <v>0.22148812400115919</v>
      </c>
      <c r="T514" s="726"/>
      <c r="U514" s="1521"/>
      <c r="V514" s="1521"/>
      <c r="W514" s="1521"/>
      <c r="X514" s="1521"/>
      <c r="Y514" s="1521"/>
      <c r="Z514" s="1521"/>
      <c r="AA514" s="1523"/>
      <c r="AC514" s="728"/>
      <c r="AD514" s="728"/>
      <c r="AE514" s="728"/>
      <c r="AF514" s="728"/>
      <c r="AG514" s="728"/>
      <c r="AH514" s="728"/>
      <c r="AI514" s="22"/>
      <c r="AK514" s="1521"/>
      <c r="AL514" s="1521"/>
      <c r="AM514" s="1521"/>
      <c r="AN514" s="1521"/>
      <c r="AO514" s="1521"/>
      <c r="AP514" s="1521"/>
      <c r="AQ514" s="1523"/>
    </row>
    <row r="515" spans="1:43" s="1365" customFormat="1" outlineLevel="3">
      <c r="A515" s="22"/>
      <c r="B515" s="22"/>
      <c r="C515" s="22"/>
      <c r="D515" s="715" t="s">
        <v>844</v>
      </c>
      <c r="E515" s="1141"/>
      <c r="F515" s="1141"/>
      <c r="G515" s="1141"/>
      <c r="H515" s="91">
        <f t="shared" si="490"/>
        <v>0.65021902311060542</v>
      </c>
      <c r="I515" s="91">
        <f t="shared" si="490"/>
        <v>0.53248283724447931</v>
      </c>
      <c r="J515" s="91">
        <f t="shared" si="490"/>
        <v>0.54812414160910083</v>
      </c>
      <c r="K515" s="91">
        <f t="shared" si="490"/>
        <v>0.32591522364344783</v>
      </c>
      <c r="L515" s="91">
        <f t="shared" si="490"/>
        <v>0.3345419569221747</v>
      </c>
      <c r="M515" s="91">
        <f t="shared" si="490"/>
        <v>0.2992858251321252</v>
      </c>
      <c r="N515" s="91">
        <f t="shared" si="490"/>
        <v>0.22772330949808475</v>
      </c>
      <c r="O515" s="91">
        <f t="shared" si="490"/>
        <v>0.16601492687342692</v>
      </c>
      <c r="P515" s="91">
        <f t="shared" si="490"/>
        <v>0.13312258943844099</v>
      </c>
      <c r="Q515" s="91">
        <f t="shared" si="490"/>
        <v>0.10982302424322508</v>
      </c>
      <c r="R515" s="91">
        <f t="shared" si="490"/>
        <v>9.3054456633970925E-2</v>
      </c>
      <c r="S515" s="804">
        <f t="shared" si="490"/>
        <v>7.9493888598726636E-2</v>
      </c>
      <c r="T515" s="726"/>
      <c r="U515" s="1521"/>
      <c r="V515" s="1521"/>
      <c r="W515" s="1521"/>
      <c r="X515" s="1521"/>
      <c r="Y515" s="1521"/>
      <c r="Z515" s="1521"/>
      <c r="AA515" s="1523"/>
      <c r="AC515" s="728"/>
      <c r="AD515" s="728"/>
      <c r="AE515" s="728"/>
      <c r="AF515" s="728"/>
      <c r="AG515" s="728"/>
      <c r="AH515" s="728"/>
      <c r="AI515" s="22"/>
      <c r="AK515" s="1521"/>
      <c r="AL515" s="1521"/>
      <c r="AM515" s="1521"/>
      <c r="AN515" s="1521"/>
      <c r="AO515" s="1521"/>
      <c r="AP515" s="1521"/>
      <c r="AQ515" s="1523"/>
    </row>
    <row r="516" spans="1:43" s="1365" customFormat="1" outlineLevel="3">
      <c r="A516" s="22"/>
      <c r="B516" s="22"/>
      <c r="C516" s="22"/>
      <c r="D516" s="719" t="s">
        <v>665</v>
      </c>
      <c r="E516" s="720"/>
      <c r="F516" s="720"/>
      <c r="G516" s="720"/>
      <c r="H516" s="794">
        <f t="shared" si="490"/>
        <v>0.19063946750550206</v>
      </c>
      <c r="I516" s="794">
        <f t="shared" si="490"/>
        <v>0.21826452345946709</v>
      </c>
      <c r="J516" s="794">
        <f t="shared" si="490"/>
        <v>4.1596557127291031E-2</v>
      </c>
      <c r="K516" s="794">
        <f t="shared" si="490"/>
        <v>0.19765832040080769</v>
      </c>
      <c r="L516" s="794">
        <f t="shared" si="490"/>
        <v>0.19600103917576375</v>
      </c>
      <c r="M516" s="794">
        <f t="shared" si="490"/>
        <v>0.21338387084306262</v>
      </c>
      <c r="N516" s="794">
        <f t="shared" si="490"/>
        <v>0.29648501901131241</v>
      </c>
      <c r="O516" s="794">
        <f t="shared" si="490"/>
        <v>0.34127938805290597</v>
      </c>
      <c r="P516" s="794">
        <f t="shared" si="490"/>
        <v>0.35576074832397414</v>
      </c>
      <c r="Q516" s="794">
        <f t="shared" si="490"/>
        <v>0.35219316078017476</v>
      </c>
      <c r="R516" s="794">
        <f t="shared" si="490"/>
        <v>0.34318044824662464</v>
      </c>
      <c r="S516" s="805">
        <f t="shared" si="490"/>
        <v>0.33714516967102304</v>
      </c>
      <c r="T516" s="726"/>
      <c r="U516" s="1521"/>
      <c r="V516" s="1521"/>
      <c r="W516" s="1521"/>
      <c r="X516" s="1521"/>
      <c r="Y516" s="1521"/>
      <c r="Z516" s="1521"/>
      <c r="AA516" s="1523"/>
      <c r="AC516" s="728"/>
      <c r="AD516" s="728"/>
      <c r="AE516" s="728"/>
      <c r="AF516" s="728"/>
      <c r="AG516" s="728"/>
      <c r="AH516" s="728"/>
      <c r="AI516" s="22"/>
      <c r="AK516" s="1521"/>
      <c r="AL516" s="1521"/>
      <c r="AM516" s="1521"/>
      <c r="AN516" s="1521"/>
      <c r="AO516" s="1521"/>
      <c r="AP516" s="1521"/>
      <c r="AQ516" s="1523"/>
    </row>
    <row r="517" spans="1:43" outlineLevel="3">
      <c r="C517" s="1" t="s">
        <v>31</v>
      </c>
      <c r="H517" s="806">
        <f t="shared" ref="H517:N517" si="491">IFERROR(H523/H499,"NA")</f>
        <v>0.10595290008844849</v>
      </c>
      <c r="I517" s="806">
        <f t="shared" si="491"/>
        <v>0.13352834232459257</v>
      </c>
      <c r="J517" s="806">
        <f t="shared" si="491"/>
        <v>0.20611962754035013</v>
      </c>
      <c r="K517" s="806">
        <f t="shared" si="491"/>
        <v>0.21853988702457147</v>
      </c>
      <c r="L517" s="806">
        <f t="shared" si="491"/>
        <v>0.21670752271552229</v>
      </c>
      <c r="M517" s="806">
        <f t="shared" si="491"/>
        <v>0.23592675953305381</v>
      </c>
      <c r="N517" s="806">
        <f t="shared" si="491"/>
        <v>0.2274788247961638</v>
      </c>
      <c r="O517" s="806">
        <f t="shared" ref="O517:S517" si="492">IFERROR(O523/O499,"NA")</f>
        <v>0.22517625449832329</v>
      </c>
      <c r="P517" s="806">
        <f t="shared" si="492"/>
        <v>0.22555601535692288</v>
      </c>
      <c r="Q517" s="806">
        <f t="shared" si="492"/>
        <v>0.22826052886120246</v>
      </c>
      <c r="R517" s="806">
        <f t="shared" si="492"/>
        <v>0.23175127446423693</v>
      </c>
      <c r="S517" s="806">
        <f t="shared" si="492"/>
        <v>0.2343988865187514</v>
      </c>
      <c r="U517" s="1529">
        <f>$L517*(1+$AA517)</f>
        <v>0.22104167316983275</v>
      </c>
      <c r="V517" s="1529">
        <f>U517*(1+$AA517)</f>
        <v>0.22546250663322942</v>
      </c>
      <c r="W517" s="1529">
        <f t="shared" ref="W517:Z517" si="493">V517*(1+$AA517)</f>
        <v>0.22997175676589401</v>
      </c>
      <c r="X517" s="1529">
        <f t="shared" si="493"/>
        <v>0.2345711919012119</v>
      </c>
      <c r="Y517" s="1529">
        <f t="shared" si="493"/>
        <v>0.23926261573923613</v>
      </c>
      <c r="Z517" s="1529">
        <f t="shared" si="493"/>
        <v>0.24404786805402084</v>
      </c>
      <c r="AA517" s="1520">
        <v>0.02</v>
      </c>
      <c r="AC517" s="1360"/>
      <c r="AD517" s="1360"/>
      <c r="AE517" s="1360"/>
      <c r="AF517" s="1360"/>
      <c r="AG517" s="1360"/>
      <c r="AH517" s="1360"/>
      <c r="AI517" s="702"/>
      <c r="AK517" s="1529">
        <f>$L517*(1+$AQ517)</f>
        <v>0.21670752271552229</v>
      </c>
      <c r="AL517" s="1529">
        <f>AK517*(1+$AQ517)</f>
        <v>0.21670752271552229</v>
      </c>
      <c r="AM517" s="1529">
        <f t="shared" ref="AM517:AN517" si="494">AL517*(1+$AQ517)</f>
        <v>0.21670752271552229</v>
      </c>
      <c r="AN517" s="1529">
        <f t="shared" si="494"/>
        <v>0.21670752271552229</v>
      </c>
      <c r="AO517" s="1529">
        <f>AN517*(1+$AQ517)</f>
        <v>0.21670752271552229</v>
      </c>
      <c r="AP517" s="1529">
        <f t="shared" ref="AP517" si="495">AO517*(1+$AQ517)</f>
        <v>0.21670752271552229</v>
      </c>
      <c r="AQ517" s="1520">
        <v>0</v>
      </c>
    </row>
    <row r="518" spans="1:43" outlineLevel="3">
      <c r="D518" s="27" t="s">
        <v>841</v>
      </c>
      <c r="E518" s="28"/>
      <c r="F518" s="28"/>
      <c r="G518" s="28"/>
      <c r="H518" s="1367">
        <f t="shared" ref="H518:M518" si="496">IFERROR(H524/H500,"NA")</f>
        <v>0.1010101010101012</v>
      </c>
      <c r="I518" s="1367">
        <f t="shared" si="496"/>
        <v>0.12066629008176097</v>
      </c>
      <c r="J518" s="1367">
        <f t="shared" si="496"/>
        <v>0.29961220056144905</v>
      </c>
      <c r="K518" s="1367">
        <f t="shared" si="496"/>
        <v>0.45946798443907055</v>
      </c>
      <c r="L518" s="1367">
        <f t="shared" si="496"/>
        <v>0.4146310292282861</v>
      </c>
      <c r="M518" s="1367">
        <f t="shared" si="496"/>
        <v>0.33103908561999401</v>
      </c>
      <c r="N518" s="1367">
        <f t="shared" ref="N518:S518" si="497">IFERROR(N524/N500,"NA")</f>
        <v>0.33103908561999401</v>
      </c>
      <c r="O518" s="1367">
        <f t="shared" si="497"/>
        <v>0.33103908561999401</v>
      </c>
      <c r="P518" s="1367">
        <f t="shared" si="497"/>
        <v>0.33103908561999401</v>
      </c>
      <c r="Q518" s="1367">
        <f t="shared" si="497"/>
        <v>0.33103908561999401</v>
      </c>
      <c r="R518" s="1367">
        <f t="shared" si="497"/>
        <v>0.33103908561999401</v>
      </c>
      <c r="S518" s="1368">
        <f t="shared" si="497"/>
        <v>0.33103908561999407</v>
      </c>
      <c r="T518" s="993"/>
      <c r="U518" s="1530"/>
      <c r="V518" s="1530"/>
      <c r="W518" s="1530"/>
      <c r="X518" s="1530"/>
      <c r="Y518" s="1530"/>
      <c r="Z518" s="1530"/>
      <c r="AA518" s="1530"/>
      <c r="AB518" s="1371"/>
      <c r="AC518" s="1361"/>
      <c r="AD518" s="1361"/>
      <c r="AE518" s="1361"/>
      <c r="AF518" s="1361"/>
      <c r="AG518" s="1361"/>
      <c r="AH518" s="1361"/>
    </row>
    <row r="519" spans="1:43" outlineLevel="3">
      <c r="D519" s="31" t="s">
        <v>842</v>
      </c>
      <c r="E519" s="1133"/>
      <c r="F519" s="1133"/>
      <c r="G519" s="1133"/>
      <c r="H519" s="1369">
        <f t="shared" ref="H519:M519" si="498">IFERROR(H525/H501,"NA")</f>
        <v>0.36784493245161132</v>
      </c>
      <c r="I519" s="1369">
        <f t="shared" si="498"/>
        <v>0.31039347637051684</v>
      </c>
      <c r="J519" s="1369">
        <f t="shared" si="498"/>
        <v>0.29039490833872422</v>
      </c>
      <c r="K519" s="1369">
        <f t="shared" si="498"/>
        <v>0.26438233538889994</v>
      </c>
      <c r="L519" s="1369">
        <f t="shared" si="498"/>
        <v>0.25824905925299468</v>
      </c>
      <c r="M519" s="1369">
        <f t="shared" si="498"/>
        <v>0.27949730583775262</v>
      </c>
      <c r="N519" s="1369">
        <f t="shared" ref="N519:S519" si="499">IFERROR(N525/N501,"NA")</f>
        <v>0.27949730583775262</v>
      </c>
      <c r="O519" s="1369">
        <f t="shared" si="499"/>
        <v>0.27949730583775262</v>
      </c>
      <c r="P519" s="1369">
        <f t="shared" si="499"/>
        <v>0.27949730583775262</v>
      </c>
      <c r="Q519" s="1369">
        <f t="shared" si="499"/>
        <v>0.27949730583775262</v>
      </c>
      <c r="R519" s="1369">
        <f t="shared" si="499"/>
        <v>0.27949730583775262</v>
      </c>
      <c r="S519" s="1370">
        <f t="shared" si="499"/>
        <v>0.27949730583775262</v>
      </c>
      <c r="T519" s="993"/>
      <c r="U519" s="1530"/>
      <c r="V519" s="1530"/>
      <c r="W519" s="1530"/>
      <c r="X519" s="1530"/>
      <c r="Y519" s="1530"/>
      <c r="Z519" s="1530"/>
      <c r="AA519" s="1530"/>
      <c r="AB519" s="1371"/>
      <c r="AC519" s="1361"/>
      <c r="AD519" s="1361"/>
      <c r="AE519" s="1361"/>
      <c r="AF519" s="1361"/>
      <c r="AG519" s="1361"/>
      <c r="AH519" s="1361"/>
    </row>
    <row r="520" spans="1:43" outlineLevel="3">
      <c r="D520" s="31" t="s">
        <v>843</v>
      </c>
      <c r="E520" s="1133"/>
      <c r="F520" s="1133"/>
      <c r="G520" s="1133"/>
      <c r="H520" s="1369">
        <f t="shared" ref="H520:M520" si="500">IFERROR(H526/H502,"NA")</f>
        <v>4.511335389983577E-2</v>
      </c>
      <c r="I520" s="1369">
        <f t="shared" si="500"/>
        <v>5.772628856644324E-2</v>
      </c>
      <c r="J520" s="1369">
        <f t="shared" si="500"/>
        <v>0.32807080327110605</v>
      </c>
      <c r="K520" s="1369">
        <f t="shared" si="500"/>
        <v>0.31021957451865939</v>
      </c>
      <c r="L520" s="1369">
        <f t="shared" si="500"/>
        <v>0.32207870540119909</v>
      </c>
      <c r="M520" s="1369">
        <f t="shared" si="500"/>
        <v>0.3380885690996524</v>
      </c>
      <c r="N520" s="1369">
        <f t="shared" ref="N520:S520" si="501">IFERROR(N526/N502,"NA")</f>
        <v>0.3380885690996524</v>
      </c>
      <c r="O520" s="1369">
        <f t="shared" si="501"/>
        <v>0.33808856909965246</v>
      </c>
      <c r="P520" s="1369">
        <f t="shared" si="501"/>
        <v>0.33808856909965246</v>
      </c>
      <c r="Q520" s="1369">
        <f t="shared" si="501"/>
        <v>0.33808856909965246</v>
      </c>
      <c r="R520" s="1369">
        <f t="shared" si="501"/>
        <v>0.3380885690996524</v>
      </c>
      <c r="S520" s="1370">
        <f t="shared" si="501"/>
        <v>0.3380885690996524</v>
      </c>
      <c r="T520" s="993"/>
      <c r="U520" s="1530"/>
      <c r="V520" s="1530"/>
      <c r="W520" s="1530"/>
      <c r="X520" s="1530"/>
      <c r="Y520" s="1530"/>
      <c r="Z520" s="1530"/>
      <c r="AA520" s="1530"/>
      <c r="AB520" s="1371"/>
      <c r="AC520" s="1361"/>
      <c r="AD520" s="1361"/>
      <c r="AE520" s="1361"/>
      <c r="AF520" s="1361"/>
      <c r="AG520" s="1361"/>
      <c r="AH520" s="1361"/>
    </row>
    <row r="521" spans="1:43" outlineLevel="3">
      <c r="D521" s="31" t="s">
        <v>844</v>
      </c>
      <c r="E521" s="1133"/>
      <c r="F521" s="1133"/>
      <c r="G521" s="1133"/>
      <c r="H521" s="1369">
        <f t="shared" ref="H521:M521" si="502">IFERROR(H527/H503,"NA")</f>
        <v>0.10035656932375532</v>
      </c>
      <c r="I521" s="1369">
        <f t="shared" si="502"/>
        <v>0.11251337516953563</v>
      </c>
      <c r="J521" s="1369">
        <f t="shared" si="502"/>
        <v>0.1330995206712014</v>
      </c>
      <c r="K521" s="1369">
        <f t="shared" si="502"/>
        <v>0.16023013777198916</v>
      </c>
      <c r="L521" s="1369">
        <f t="shared" si="502"/>
        <v>0.15478951284978493</v>
      </c>
      <c r="M521" s="1369">
        <f t="shared" si="502"/>
        <v>0.18836889643362617</v>
      </c>
      <c r="N521" s="1369">
        <f t="shared" ref="N521:S521" si="503">IFERROR(N527/N503,"NA")</f>
        <v>0.18836889643362614</v>
      </c>
      <c r="O521" s="1369">
        <f t="shared" si="503"/>
        <v>0.18836889643362614</v>
      </c>
      <c r="P521" s="1369">
        <f t="shared" si="503"/>
        <v>0.18836889643362614</v>
      </c>
      <c r="Q521" s="1369">
        <f t="shared" si="503"/>
        <v>0.18836889643362614</v>
      </c>
      <c r="R521" s="1369">
        <f t="shared" si="503"/>
        <v>0.18836889643362614</v>
      </c>
      <c r="S521" s="1370">
        <f t="shared" si="503"/>
        <v>0.18836889643362614</v>
      </c>
      <c r="T521" s="993"/>
      <c r="U521" s="1530"/>
      <c r="V521" s="1530"/>
      <c r="W521" s="1530"/>
      <c r="X521" s="1530"/>
      <c r="Y521" s="1530"/>
      <c r="Z521" s="1530"/>
      <c r="AA521" s="1530"/>
      <c r="AB521" s="1371"/>
      <c r="AC521" s="1361"/>
      <c r="AD521" s="1361"/>
      <c r="AE521" s="1361"/>
      <c r="AF521" s="1361"/>
      <c r="AG521" s="1361"/>
      <c r="AH521" s="1361"/>
    </row>
    <row r="522" spans="1:43" ht="15" outlineLevel="3" thickBot="1">
      <c r="C522" s="37"/>
      <c r="D522" s="38" t="s">
        <v>665</v>
      </c>
      <c r="E522" s="37"/>
      <c r="F522" s="37"/>
      <c r="G522" s="37"/>
      <c r="H522" s="1372">
        <f t="shared" ref="H522:M522" si="504">IFERROR(H528/H504,"NA")</f>
        <v>0.12776336274001038</v>
      </c>
      <c r="I522" s="1372">
        <f t="shared" si="504"/>
        <v>0.12776003744231099</v>
      </c>
      <c r="J522" s="1372">
        <f t="shared" si="504"/>
        <v>0.1275801575155836</v>
      </c>
      <c r="K522" s="1372">
        <f t="shared" si="504"/>
        <v>0.12512067776573738</v>
      </c>
      <c r="L522" s="1372">
        <f t="shared" si="504"/>
        <v>0.12512067776573738</v>
      </c>
      <c r="M522" s="1372">
        <f t="shared" si="504"/>
        <v>0.12512067776573738</v>
      </c>
      <c r="N522" s="1372">
        <f t="shared" ref="N522:S522" si="505">IFERROR(N528/N504,"NA")</f>
        <v>0.12512067776573738</v>
      </c>
      <c r="O522" s="1372">
        <f t="shared" si="505"/>
        <v>0.12512067776573738</v>
      </c>
      <c r="P522" s="1372">
        <f t="shared" si="505"/>
        <v>0.12512067776573738</v>
      </c>
      <c r="Q522" s="1372">
        <f t="shared" si="505"/>
        <v>0.12512067776573738</v>
      </c>
      <c r="R522" s="1372">
        <f t="shared" si="505"/>
        <v>0.12512067776573738</v>
      </c>
      <c r="S522" s="1373">
        <f t="shared" si="505"/>
        <v>0.12512067776573738</v>
      </c>
      <c r="T522" s="1205"/>
      <c r="U522" s="1530"/>
      <c r="V522" s="1530"/>
      <c r="W522" s="1530"/>
      <c r="X522" s="1530"/>
      <c r="Y522" s="1530"/>
      <c r="Z522" s="1530"/>
      <c r="AA522" s="1530"/>
      <c r="AB522" s="1371"/>
      <c r="AC522" s="1361"/>
      <c r="AD522" s="1361"/>
      <c r="AE522" s="1361"/>
      <c r="AF522" s="1361"/>
      <c r="AG522" s="1361"/>
      <c r="AH522" s="1361"/>
    </row>
    <row r="523" spans="1:43" outlineLevel="3">
      <c r="C523" s="18" t="s">
        <v>845</v>
      </c>
      <c r="H523" s="23">
        <f t="shared" ref="H523:L523" si="506">SUM(H524:H528)</f>
        <v>112453</v>
      </c>
      <c r="I523" s="23">
        <f t="shared" si="506"/>
        <v>103263</v>
      </c>
      <c r="J523" s="23">
        <f t="shared" si="506"/>
        <v>132755</v>
      </c>
      <c r="K523" s="23">
        <f t="shared" si="506"/>
        <v>112234</v>
      </c>
      <c r="L523" s="23">
        <f t="shared" si="506"/>
        <v>144821.73601141272</v>
      </c>
      <c r="M523" s="23">
        <f>SUM(M524:M528)</f>
        <v>100243.69793145591</v>
      </c>
      <c r="N523" s="23">
        <f t="shared" ref="N523:S523" si="507">SUM(N524:N528)</f>
        <v>200995.50875562229</v>
      </c>
      <c r="O523" s="23">
        <f t="shared" si="507"/>
        <v>259269.79355238852</v>
      </c>
      <c r="P523" s="23">
        <f t="shared" si="507"/>
        <v>323876.26810217131</v>
      </c>
      <c r="Q523" s="23">
        <f t="shared" si="507"/>
        <v>397295.72285912436</v>
      </c>
      <c r="R523" s="23">
        <f t="shared" si="507"/>
        <v>476059.70479178417</v>
      </c>
      <c r="S523" s="23">
        <f t="shared" si="507"/>
        <v>563635.41291045735</v>
      </c>
      <c r="T523" s="1205"/>
      <c r="AC523" s="1321"/>
      <c r="AD523" s="1321"/>
      <c r="AE523" s="1321"/>
      <c r="AF523" s="1321"/>
      <c r="AG523" s="1321"/>
      <c r="AH523" s="1321"/>
    </row>
    <row r="524" spans="1:43" outlineLevel="3">
      <c r="D524" s="27" t="s">
        <v>841</v>
      </c>
      <c r="E524" s="28"/>
      <c r="F524" s="28"/>
      <c r="G524" s="28"/>
      <c r="H524" s="29">
        <f t="shared" ref="H524:M524" si="508">H563+H602</f>
        <v>58</v>
      </c>
      <c r="I524" s="29">
        <f t="shared" si="508"/>
        <v>182</v>
      </c>
      <c r="J524" s="29">
        <f t="shared" si="508"/>
        <v>2243</v>
      </c>
      <c r="K524" s="29">
        <f t="shared" si="508"/>
        <v>4370</v>
      </c>
      <c r="L524" s="29">
        <f t="shared" si="508"/>
        <v>5638.8526326235697</v>
      </c>
      <c r="M524" s="29">
        <f t="shared" si="508"/>
        <v>3903.1395117385314</v>
      </c>
      <c r="N524" s="29">
        <f>N563+N602</f>
        <v>6753.042420355805</v>
      </c>
      <c r="O524" s="29">
        <f t="shared" ref="O524:S524" si="509">O563+O602</f>
        <v>9116.6072674803363</v>
      </c>
      <c r="P524" s="29">
        <f t="shared" si="509"/>
        <v>11547.702538808428</v>
      </c>
      <c r="Q524" s="29">
        <f t="shared" si="509"/>
        <v>14053.081276760433</v>
      </c>
      <c r="R524" s="29">
        <f t="shared" si="509"/>
        <v>16471.345767489845</v>
      </c>
      <c r="S524" s="30">
        <f t="shared" si="509"/>
        <v>18776.901980223523</v>
      </c>
    </row>
    <row r="525" spans="1:43" outlineLevel="3">
      <c r="D525" s="31" t="s">
        <v>842</v>
      </c>
      <c r="E525" s="1133"/>
      <c r="F525" s="1133"/>
      <c r="G525" s="1133"/>
      <c r="H525" s="1188">
        <f t="shared" ref="H525:M525" si="510">H564+H603</f>
        <v>11048</v>
      </c>
      <c r="I525" s="1188">
        <f t="shared" si="510"/>
        <v>29660</v>
      </c>
      <c r="J525" s="1188">
        <f t="shared" si="510"/>
        <v>31832</v>
      </c>
      <c r="K525" s="1188">
        <f t="shared" si="510"/>
        <v>26581</v>
      </c>
      <c r="L525" s="1188">
        <f t="shared" si="510"/>
        <v>34298.934056697275</v>
      </c>
      <c r="M525" s="1188">
        <f t="shared" si="510"/>
        <v>23741.270334444373</v>
      </c>
      <c r="N525" s="1188">
        <f t="shared" ref="N525:S528" si="511">N564+N603</f>
        <v>55681.478703251822</v>
      </c>
      <c r="O525" s="1188">
        <f t="shared" si="511"/>
        <v>83522.218054877725</v>
      </c>
      <c r="P525" s="1188">
        <f t="shared" si="511"/>
        <v>114147.03134166621</v>
      </c>
      <c r="Q525" s="1188">
        <f t="shared" si="511"/>
        <v>151175.21467932864</v>
      </c>
      <c r="R525" s="1188">
        <f t="shared" si="511"/>
        <v>187632.66286028275</v>
      </c>
      <c r="S525" s="32">
        <f t="shared" si="511"/>
        <v>227353.74171173119</v>
      </c>
    </row>
    <row r="526" spans="1:43" outlineLevel="3">
      <c r="D526" s="31" t="s">
        <v>843</v>
      </c>
      <c r="E526" s="1133"/>
      <c r="F526" s="1133"/>
      <c r="G526" s="1133"/>
      <c r="H526" s="1188">
        <f t="shared" ref="H526:M526" si="512">H565+H604</f>
        <v>6239</v>
      </c>
      <c r="I526" s="1188">
        <f t="shared" si="512"/>
        <v>5524</v>
      </c>
      <c r="J526" s="1188">
        <f t="shared" si="512"/>
        <v>48274</v>
      </c>
      <c r="K526" s="1188">
        <f t="shared" si="512"/>
        <v>41763</v>
      </c>
      <c r="L526" s="1188">
        <f t="shared" si="512"/>
        <v>53889.108122713529</v>
      </c>
      <c r="M526" s="1188">
        <f t="shared" si="512"/>
        <v>37301.330761724552</v>
      </c>
      <c r="N526" s="1188">
        <f t="shared" si="511"/>
        <v>67881.388554029545</v>
      </c>
      <c r="O526" s="1188">
        <f t="shared" si="511"/>
        <v>81457.666264835454</v>
      </c>
      <c r="P526" s="1188">
        <f t="shared" si="511"/>
        <v>98258.309931957774</v>
      </c>
      <c r="Q526" s="1188">
        <f t="shared" si="511"/>
        <v>119360.9365986917</v>
      </c>
      <c r="R526" s="1188">
        <f t="shared" si="511"/>
        <v>147744.26644652375</v>
      </c>
      <c r="S526" s="32">
        <f t="shared" si="511"/>
        <v>180062.65917589897</v>
      </c>
    </row>
    <row r="527" spans="1:43" outlineLevel="3">
      <c r="D527" s="31" t="s">
        <v>844</v>
      </c>
      <c r="E527" s="1133"/>
      <c r="F527" s="1133"/>
      <c r="G527" s="1133"/>
      <c r="H527" s="1188">
        <f t="shared" ref="H527:M527" si="513">H566+H605</f>
        <v>69257</v>
      </c>
      <c r="I527" s="1188">
        <f t="shared" si="513"/>
        <v>46332</v>
      </c>
      <c r="J527" s="1188">
        <f t="shared" si="513"/>
        <v>46988</v>
      </c>
      <c r="K527" s="1188">
        <f t="shared" si="513"/>
        <v>26819</v>
      </c>
      <c r="L527" s="1188">
        <f t="shared" si="513"/>
        <v>34606.038616551836</v>
      </c>
      <c r="M527" s="1188">
        <f t="shared" si="513"/>
        <v>23953.844065289628</v>
      </c>
      <c r="N527" s="1188">
        <f t="shared" si="511"/>
        <v>37901.993912332029</v>
      </c>
      <c r="O527" s="1188">
        <f t="shared" si="511"/>
        <v>36006.894216715424</v>
      </c>
      <c r="P527" s="1188">
        <f t="shared" si="511"/>
        <v>36006.894216715424</v>
      </c>
      <c r="Q527" s="1188">
        <f t="shared" si="511"/>
        <v>36006.894216715424</v>
      </c>
      <c r="R527" s="1188">
        <f t="shared" si="511"/>
        <v>36006.894216715424</v>
      </c>
      <c r="S527" s="32">
        <f t="shared" si="511"/>
        <v>36006.894216715424</v>
      </c>
    </row>
    <row r="528" spans="1:43" outlineLevel="3">
      <c r="D528" s="33" t="s">
        <v>665</v>
      </c>
      <c r="E528" s="34"/>
      <c r="F528" s="34"/>
      <c r="G528" s="34"/>
      <c r="H528" s="35">
        <f t="shared" ref="H528:M528" si="514">H567+H606</f>
        <v>25851</v>
      </c>
      <c r="I528" s="35">
        <f t="shared" si="514"/>
        <v>21565</v>
      </c>
      <c r="J528" s="35">
        <f t="shared" si="514"/>
        <v>3418</v>
      </c>
      <c r="K528" s="35">
        <f t="shared" si="514"/>
        <v>12701</v>
      </c>
      <c r="L528" s="35">
        <f t="shared" si="514"/>
        <v>16388.802582826534</v>
      </c>
      <c r="M528" s="35">
        <f t="shared" si="514"/>
        <v>11344.113258258831</v>
      </c>
      <c r="N528" s="35">
        <f t="shared" si="511"/>
        <v>32777.605165653069</v>
      </c>
      <c r="O528" s="35">
        <f t="shared" si="511"/>
        <v>49166.4077484796</v>
      </c>
      <c r="P528" s="35">
        <f t="shared" si="511"/>
        <v>63916.330073023477</v>
      </c>
      <c r="Q528" s="35">
        <f t="shared" si="511"/>
        <v>76699.596087628175</v>
      </c>
      <c r="R528" s="35">
        <f t="shared" si="511"/>
        <v>88204.535500772385</v>
      </c>
      <c r="S528" s="36">
        <f t="shared" si="511"/>
        <v>101435.21582588823</v>
      </c>
    </row>
    <row r="529" spans="1:43" outlineLevel="3">
      <c r="H529" s="43"/>
      <c r="I529" s="43"/>
      <c r="J529" s="43"/>
      <c r="K529" s="43"/>
    </row>
    <row r="530" spans="1:43" outlineLevel="3">
      <c r="C530" s="1" t="s">
        <v>659</v>
      </c>
      <c r="H530" s="20">
        <f t="shared" ref="H530:M530" si="515">H569+H608</f>
        <v>-78330</v>
      </c>
      <c r="I530" s="20">
        <f t="shared" si="515"/>
        <v>-74933</v>
      </c>
      <c r="J530" s="20">
        <f t="shared" si="515"/>
        <v>-91313</v>
      </c>
      <c r="K530" s="20">
        <f t="shared" si="515"/>
        <v>-77455</v>
      </c>
      <c r="L530" s="20">
        <f t="shared" si="515"/>
        <v>-100426.35453986522</v>
      </c>
      <c r="M530" s="20">
        <f t="shared" si="515"/>
        <v>-71249.994120585267</v>
      </c>
      <c r="N530" s="20">
        <f>N569+N608</f>
        <v>-142861.13853156555</v>
      </c>
      <c r="O530" s="20">
        <f t="shared" ref="O530:S530" si="516">O569+O608</f>
        <v>-179139.64610857237</v>
      </c>
      <c r="P530" s="20">
        <f t="shared" si="516"/>
        <v>-220202.01975159097</v>
      </c>
      <c r="Q530" s="20">
        <f t="shared" si="516"/>
        <v>-267412.17313155637</v>
      </c>
      <c r="R530" s="20">
        <f t="shared" si="516"/>
        <v>-320091.94689216476</v>
      </c>
      <c r="S530" s="20">
        <f t="shared" si="516"/>
        <v>-378361.92390211346</v>
      </c>
    </row>
    <row r="531" spans="1:43" outlineLevel="3">
      <c r="D531" s="1" t="s">
        <v>849</v>
      </c>
      <c r="H531" s="744"/>
      <c r="I531" s="744">
        <f>I530/I499</f>
        <v>-9.6895105462834641E-2</v>
      </c>
      <c r="J531" s="744">
        <f>J530/J499</f>
        <v>-0.14177546269136374</v>
      </c>
      <c r="K531" s="744"/>
      <c r="L531" s="744">
        <f t="shared" ref="L531:S531" si="517">L530/L499</f>
        <v>-0.15027541519023005</v>
      </c>
      <c r="M531" s="744">
        <f t="shared" si="517"/>
        <v>-0.16768914731291057</v>
      </c>
      <c r="N531" s="744">
        <f t="shared" si="517"/>
        <v>-0.16168462720087245</v>
      </c>
      <c r="O531" s="744">
        <f t="shared" si="517"/>
        <v>-0.15558308582805538</v>
      </c>
      <c r="P531" s="744">
        <f t="shared" si="517"/>
        <v>-0.15335452158861745</v>
      </c>
      <c r="Q531" s="744">
        <f t="shared" si="517"/>
        <v>-0.15363780818898046</v>
      </c>
      <c r="R531" s="744">
        <f t="shared" si="517"/>
        <v>-0.15582439742603951</v>
      </c>
      <c r="S531" s="744">
        <f t="shared" si="517"/>
        <v>-0.15734925739635422</v>
      </c>
    </row>
    <row r="532" spans="1:43" ht="15" outlineLevel="3" thickBot="1">
      <c r="C532" s="37"/>
      <c r="D532" s="74"/>
      <c r="E532" s="74" t="s">
        <v>151</v>
      </c>
      <c r="F532" s="37"/>
      <c r="G532" s="37"/>
      <c r="H532" s="747"/>
      <c r="I532" s="75"/>
      <c r="J532" s="75">
        <f>J531/I531-1</f>
        <v>0.46318497734380948</v>
      </c>
      <c r="K532" s="75"/>
      <c r="L532" s="75">
        <f>L531/J531-1</f>
        <v>5.9953621998541262E-2</v>
      </c>
      <c r="M532" s="75"/>
      <c r="N532" s="172">
        <f>N531/L531-1</f>
        <v>7.5922012900112579E-2</v>
      </c>
      <c r="O532" s="172">
        <f>O531/N531-1</f>
        <v>-3.7737300561275333E-2</v>
      </c>
      <c r="P532" s="172">
        <f t="shared" ref="P532:S532" si="518">P531/O531-1</f>
        <v>-1.4323949339203002E-2</v>
      </c>
      <c r="Q532" s="172">
        <f t="shared" si="518"/>
        <v>1.8472660435988608E-3</v>
      </c>
      <c r="R532" s="172">
        <f t="shared" si="518"/>
        <v>1.4232103821537612E-2</v>
      </c>
      <c r="S532" s="172">
        <f t="shared" si="518"/>
        <v>9.7857588125020989E-3</v>
      </c>
      <c r="T532" s="97"/>
      <c r="AC532" s="752"/>
      <c r="AD532" s="1362"/>
      <c r="AE532" s="1362"/>
      <c r="AF532" s="1362"/>
      <c r="AG532" s="1362"/>
      <c r="AH532" s="1362"/>
    </row>
    <row r="533" spans="1:43" outlineLevel="3">
      <c r="C533" s="18" t="s">
        <v>846</v>
      </c>
      <c r="D533" s="18"/>
      <c r="E533" s="18"/>
      <c r="F533" s="18"/>
      <c r="G533" s="18"/>
      <c r="H533" s="23">
        <f>H530+H523</f>
        <v>34123</v>
      </c>
      <c r="I533" s="23">
        <f>I530+I523</f>
        <v>28330</v>
      </c>
      <c r="J533" s="23">
        <f>J530+J523</f>
        <v>41442</v>
      </c>
      <c r="K533" s="23">
        <f>K530+K523</f>
        <v>34779</v>
      </c>
      <c r="L533" s="23">
        <f t="shared" ref="L533:M533" si="519">L530+L523</f>
        <v>44395.381471547502</v>
      </c>
      <c r="M533" s="23">
        <f t="shared" si="519"/>
        <v>28993.703810870647</v>
      </c>
      <c r="N533" s="23">
        <f t="shared" ref="N533:S533" si="520">N530+N523</f>
        <v>58134.370224056736</v>
      </c>
      <c r="O533" s="23">
        <f t="shared" si="520"/>
        <v>80130.147443816153</v>
      </c>
      <c r="P533" s="23">
        <f t="shared" si="520"/>
        <v>103674.24835058034</v>
      </c>
      <c r="Q533" s="23">
        <f t="shared" si="520"/>
        <v>129883.549727568</v>
      </c>
      <c r="R533" s="23">
        <f t="shared" si="520"/>
        <v>155967.75789961941</v>
      </c>
      <c r="S533" s="23">
        <f t="shared" si="520"/>
        <v>185273.48900834389</v>
      </c>
    </row>
    <row r="534" spans="1:43" outlineLevel="3">
      <c r="C534" s="22" t="s">
        <v>660</v>
      </c>
      <c r="D534" s="22"/>
      <c r="E534" s="22"/>
      <c r="F534" s="22"/>
      <c r="G534" s="22"/>
      <c r="H534" s="56">
        <f>IFERROR(H533/H523,"NA")</f>
        <v>0.30344232701662027</v>
      </c>
      <c r="I534" s="56">
        <f t="shared" ref="I534:M534" si="521">IFERROR(I533/I523,"NA")</f>
        <v>0.27434802397761054</v>
      </c>
      <c r="J534" s="56">
        <f t="shared" si="521"/>
        <v>0.31216903318142442</v>
      </c>
      <c r="K534" s="56">
        <f t="shared" si="521"/>
        <v>0.3098793591959656</v>
      </c>
      <c r="L534" s="56">
        <f t="shared" si="521"/>
        <v>0.3065519216538663</v>
      </c>
      <c r="M534" s="56">
        <f t="shared" si="521"/>
        <v>0.28923218525613253</v>
      </c>
      <c r="N534" s="56">
        <f t="shared" ref="N534:S534" si="522">IFERROR(N533/N523,"NA")</f>
        <v>0.28923218525613242</v>
      </c>
      <c r="O534" s="56">
        <f t="shared" si="522"/>
        <v>0.30906086800900279</v>
      </c>
      <c r="P534" s="56">
        <f t="shared" si="522"/>
        <v>0.3201044922435467</v>
      </c>
      <c r="Q534" s="56">
        <f t="shared" si="522"/>
        <v>0.32691907376416163</v>
      </c>
      <c r="R534" s="56">
        <f t="shared" si="522"/>
        <v>0.327622263194562</v>
      </c>
      <c r="S534" s="56">
        <f t="shared" si="522"/>
        <v>0.32871158334719042</v>
      </c>
      <c r="U534" s="1526">
        <f>AC534+1%</f>
        <v>0.01</v>
      </c>
      <c r="V534" s="1526">
        <f t="shared" ref="V534:Z534" si="523">U534</f>
        <v>0.01</v>
      </c>
      <c r="W534" s="1526">
        <f t="shared" si="523"/>
        <v>0.01</v>
      </c>
      <c r="X534" s="1526">
        <f t="shared" si="523"/>
        <v>0.01</v>
      </c>
      <c r="Y534" s="1526">
        <f t="shared" si="523"/>
        <v>0.01</v>
      </c>
      <c r="Z534" s="1526">
        <f t="shared" si="523"/>
        <v>0.01</v>
      </c>
      <c r="AC534" s="1175"/>
      <c r="AD534" s="1176"/>
      <c r="AE534" s="1176"/>
      <c r="AF534" s="1176"/>
      <c r="AG534" s="1176"/>
      <c r="AH534" s="1176"/>
      <c r="AK534" s="1526">
        <f>AC534-1%</f>
        <v>-0.01</v>
      </c>
      <c r="AL534" s="1526">
        <f t="shared" ref="AL534:AP534" si="524">AK534</f>
        <v>-0.01</v>
      </c>
      <c r="AM534" s="1526">
        <f t="shared" si="524"/>
        <v>-0.01</v>
      </c>
      <c r="AN534" s="1526">
        <f t="shared" si="524"/>
        <v>-0.01</v>
      </c>
      <c r="AO534" s="1526">
        <f t="shared" si="524"/>
        <v>-0.01</v>
      </c>
      <c r="AP534" s="1526">
        <f t="shared" si="524"/>
        <v>-0.01</v>
      </c>
    </row>
    <row r="535" spans="1:43" outlineLevel="2"/>
    <row r="536" spans="1:43" s="1126" customFormat="1" outlineLevel="3">
      <c r="A536" s="26" t="s">
        <v>8</v>
      </c>
      <c r="B536" s="26"/>
      <c r="C536" s="26" t="s">
        <v>1155</v>
      </c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408"/>
      <c r="U536" s="1518"/>
      <c r="V536" s="1518"/>
      <c r="W536" s="1518"/>
      <c r="X536" s="1518"/>
      <c r="Y536" s="1518"/>
      <c r="Z536" s="1518"/>
      <c r="AA536" s="1518"/>
      <c r="AC536" s="26"/>
      <c r="AD536" s="26"/>
      <c r="AE536" s="26"/>
      <c r="AF536" s="26"/>
      <c r="AG536" s="26"/>
      <c r="AH536" s="26"/>
      <c r="AI536" s="18"/>
      <c r="AK536" s="1518"/>
      <c r="AL536" s="1518"/>
      <c r="AM536" s="1518"/>
      <c r="AN536" s="1518"/>
      <c r="AO536" s="1518"/>
      <c r="AP536" s="1518"/>
      <c r="AQ536" s="1518"/>
    </row>
    <row r="537" spans="1:43" outlineLevel="3">
      <c r="L537" s="1474">
        <f>L562/K562</f>
        <v>1.2903552935065377</v>
      </c>
      <c r="M537" s="1474">
        <f>M562/K562</f>
        <v>0.89316693632460675</v>
      </c>
    </row>
    <row r="538" spans="1:43" s="1126" customFormat="1" outlineLevel="3">
      <c r="A538" s="18"/>
      <c r="B538" s="18"/>
      <c r="C538" s="18" t="s">
        <v>840</v>
      </c>
      <c r="D538" s="18"/>
      <c r="E538" s="18"/>
      <c r="F538" s="18"/>
      <c r="G538" s="18"/>
      <c r="H538" s="23">
        <f>SUM(H539:H543)</f>
        <v>1061348.9569999999</v>
      </c>
      <c r="I538" s="23">
        <f t="shared" ref="I538:K538" si="525">SUM(I539:I543)</f>
        <v>773341.4360000001</v>
      </c>
      <c r="J538" s="23">
        <f t="shared" si="525"/>
        <v>644067.72700000042</v>
      </c>
      <c r="K538" s="23">
        <f t="shared" si="525"/>
        <v>513563</v>
      </c>
      <c r="L538" s="23">
        <f>SUM(L539:L543)</f>
        <v>668281.99684384768</v>
      </c>
      <c r="M538" s="23">
        <f>SUM(M539:M543)</f>
        <v>424893.29370631045</v>
      </c>
      <c r="N538" s="23">
        <f t="shared" ref="N538:S538" si="526">SUM(N539:N543)</f>
        <v>883578.98338769632</v>
      </c>
      <c r="O538" s="23">
        <f t="shared" si="526"/>
        <v>1086464.3334265447</v>
      </c>
      <c r="P538" s="23">
        <f t="shared" si="526"/>
        <v>1291033.4064300084</v>
      </c>
      <c r="Q538" s="23">
        <f t="shared" si="526"/>
        <v>1480323.4759803102</v>
      </c>
      <c r="R538" s="23">
        <f t="shared" si="526"/>
        <v>1672341.7654550066</v>
      </c>
      <c r="S538" s="23">
        <f t="shared" si="526"/>
        <v>1893027.0394654474</v>
      </c>
      <c r="T538" s="408"/>
      <c r="U538" s="1519">
        <f>$L538*(1+$AA538)</f>
        <v>1069251.1949501564</v>
      </c>
      <c r="V538" s="1519">
        <f>U538*(1+$AA538)</f>
        <v>1710801.9119202504</v>
      </c>
      <c r="W538" s="1519">
        <f t="shared" ref="W538" si="527">V538*(1+$AA538)</f>
        <v>2737283.0590724009</v>
      </c>
      <c r="X538" s="1519">
        <f>W538*(1+$AA538)</f>
        <v>4379652.8945158413</v>
      </c>
      <c r="Y538" s="1519">
        <f>X538*(1+$AA538)</f>
        <v>7007444.6312253466</v>
      </c>
      <c r="Z538" s="1519">
        <f t="shared" ref="Z538" si="528">Y538*(1+$AA538)</f>
        <v>11211911.409960555</v>
      </c>
      <c r="AA538" s="1520">
        <v>0.6</v>
      </c>
      <c r="AB538" s="1321"/>
      <c r="AC538" s="20"/>
      <c r="AD538" s="20"/>
      <c r="AE538" s="20"/>
      <c r="AF538" s="20"/>
      <c r="AG538" s="20"/>
      <c r="AH538" s="20"/>
      <c r="AI538" s="702"/>
      <c r="AJ538" s="1321"/>
      <c r="AK538" s="1519">
        <f>$L538*(1+$AQ538)</f>
        <v>801938.39621261717</v>
      </c>
      <c r="AL538" s="1519">
        <f>AK538*(1+$AQ538)</f>
        <v>962326.07545514056</v>
      </c>
      <c r="AM538" s="1519">
        <f t="shared" ref="AM538" si="529">AL538*(1+$AQ538)</f>
        <v>1154791.2905461686</v>
      </c>
      <c r="AN538" s="1519">
        <f t="shared" ref="AN538" si="530">AM538*(1+$AQ538)</f>
        <v>1385749.5486554021</v>
      </c>
      <c r="AO538" s="1519">
        <f>AN538*(1+$AQ538)</f>
        <v>1662899.4583864824</v>
      </c>
      <c r="AP538" s="1519">
        <f t="shared" ref="AP538" si="531">AO538*(1+$AQ538)</f>
        <v>1995479.3500637789</v>
      </c>
      <c r="AQ538" s="1520">
        <v>0.2</v>
      </c>
    </row>
    <row r="539" spans="1:43" outlineLevel="3">
      <c r="D539" s="27" t="s">
        <v>841</v>
      </c>
      <c r="E539" s="28"/>
      <c r="F539" s="28"/>
      <c r="G539" s="28"/>
      <c r="H539" s="398">
        <v>574.19999999999891</v>
      </c>
      <c r="I539" s="398">
        <v>1508.2920000000049</v>
      </c>
      <c r="J539" s="398">
        <v>7486.3439999999973</v>
      </c>
      <c r="K539" s="398">
        <v>9511</v>
      </c>
      <c r="L539" s="398">
        <v>13599.687999999995</v>
      </c>
      <c r="M539" s="398">
        <v>11790.569999999996</v>
      </c>
      <c r="N539" s="703">
        <f>L539*(1+N545)</f>
        <v>20399.531999999992</v>
      </c>
      <c r="O539" s="29">
        <f>N539*(1+O545)</f>
        <v>22439.485199999992</v>
      </c>
      <c r="P539" s="29">
        <f t="shared" ref="P539:P543" si="532">O539*(1+P545)</f>
        <v>24683.433719999994</v>
      </c>
      <c r="Q539" s="29">
        <f t="shared" ref="Q539:Q543" si="533">P539*(1+Q545)</f>
        <v>27151.777091999997</v>
      </c>
      <c r="R539" s="29">
        <f t="shared" ref="R539:R543" si="534">Q539*(1+R545)</f>
        <v>29866.954801199998</v>
      </c>
      <c r="S539" s="30">
        <f t="shared" ref="S539:S543" si="535">R539*(1+S545)</f>
        <v>32853.650281319999</v>
      </c>
    </row>
    <row r="540" spans="1:43" outlineLevel="3">
      <c r="D540" s="31" t="s">
        <v>842</v>
      </c>
      <c r="H540" s="400">
        <v>30034.394999999968</v>
      </c>
      <c r="I540" s="400">
        <v>95556.132000000041</v>
      </c>
      <c r="J540" s="400">
        <v>109616.24700000015</v>
      </c>
      <c r="K540" s="400">
        <v>100540</v>
      </c>
      <c r="L540" s="400">
        <v>132813.3939999998</v>
      </c>
      <c r="M540" s="400">
        <v>84942.751999999993</v>
      </c>
      <c r="N540" s="704">
        <f t="shared" ref="N540:N543" si="536">L540*(1+N546)</f>
        <v>199220.09099999969</v>
      </c>
      <c r="O540" s="20">
        <f t="shared" ref="O540:O543" si="537">N540*(1+O546)</f>
        <v>249025.11374999961</v>
      </c>
      <c r="P540" s="20">
        <f t="shared" si="532"/>
        <v>298830.1364999995</v>
      </c>
      <c r="Q540" s="20">
        <f t="shared" si="533"/>
        <v>343654.65697499941</v>
      </c>
      <c r="R540" s="20">
        <f t="shared" si="534"/>
        <v>395202.85552124929</v>
      </c>
      <c r="S540" s="32">
        <f t="shared" si="535"/>
        <v>454483.28384943667</v>
      </c>
    </row>
    <row r="541" spans="1:43" outlineLevel="3">
      <c r="D541" s="31" t="s">
        <v>843</v>
      </c>
      <c r="H541" s="400">
        <v>138296.08000000002</v>
      </c>
      <c r="I541" s="400">
        <v>95692.970000000074</v>
      </c>
      <c r="J541" s="400">
        <v>147145.06600000025</v>
      </c>
      <c r="K541" s="400">
        <v>134624</v>
      </c>
      <c r="L541" s="400">
        <v>167316.58199999988</v>
      </c>
      <c r="M541" s="400">
        <v>110330.0560000001</v>
      </c>
      <c r="N541" s="704">
        <f t="shared" si="536"/>
        <v>200779.89839999986</v>
      </c>
      <c r="O541" s="20">
        <f t="shared" si="537"/>
        <v>230896.88315999982</v>
      </c>
      <c r="P541" s="20">
        <f t="shared" si="532"/>
        <v>265531.4156339998</v>
      </c>
      <c r="Q541" s="20">
        <f t="shared" si="533"/>
        <v>305361.12797909975</v>
      </c>
      <c r="R541" s="20">
        <f t="shared" si="534"/>
        <v>351165.29717596469</v>
      </c>
      <c r="S541" s="32">
        <f t="shared" si="535"/>
        <v>403840.09175235935</v>
      </c>
    </row>
    <row r="542" spans="1:43" outlineLevel="3">
      <c r="D542" s="31" t="s">
        <v>844</v>
      </c>
      <c r="H542" s="400">
        <v>690109.28199999989</v>
      </c>
      <c r="I542" s="400">
        <v>411791.04199999996</v>
      </c>
      <c r="J542" s="400">
        <v>353029.06999999995</v>
      </c>
      <c r="K542" s="400">
        <v>167378</v>
      </c>
      <c r="L542" s="400">
        <v>223568.36699999939</v>
      </c>
      <c r="M542" s="400">
        <v>127164.53999999954</v>
      </c>
      <c r="N542" s="704">
        <f t="shared" si="536"/>
        <v>201211.53029999946</v>
      </c>
      <c r="O542" s="20">
        <f t="shared" si="537"/>
        <v>191150.95378499947</v>
      </c>
      <c r="P542" s="20">
        <f t="shared" si="532"/>
        <v>191150.95378499947</v>
      </c>
      <c r="Q542" s="20">
        <f t="shared" si="533"/>
        <v>191150.95378499947</v>
      </c>
      <c r="R542" s="20">
        <f t="shared" si="534"/>
        <v>191150.95378499947</v>
      </c>
      <c r="S542" s="32">
        <f t="shared" si="535"/>
        <v>191150.95378499947</v>
      </c>
    </row>
    <row r="543" spans="1:43" outlineLevel="3">
      <c r="D543" s="33" t="s">
        <v>665</v>
      </c>
      <c r="E543" s="34"/>
      <c r="F543" s="34"/>
      <c r="G543" s="34"/>
      <c r="H543" s="402">
        <v>202335</v>
      </c>
      <c r="I543" s="402">
        <v>168793</v>
      </c>
      <c r="J543" s="402">
        <v>26791</v>
      </c>
      <c r="K543" s="402">
        <v>101510</v>
      </c>
      <c r="L543" s="1192">
        <f t="shared" ref="L543:M543" si="538">L567/L561</f>
        <v>130983.96584384862</v>
      </c>
      <c r="M543" s="1193">
        <f t="shared" si="538"/>
        <v>90665.375706310821</v>
      </c>
      <c r="N543" s="705">
        <f t="shared" si="536"/>
        <v>261967.93168769724</v>
      </c>
      <c r="O543" s="35">
        <f t="shared" si="537"/>
        <v>392951.89753154584</v>
      </c>
      <c r="P543" s="35">
        <f t="shared" si="532"/>
        <v>510837.46679100959</v>
      </c>
      <c r="Q543" s="35">
        <f t="shared" si="533"/>
        <v>613004.96014921146</v>
      </c>
      <c r="R543" s="35">
        <f t="shared" si="534"/>
        <v>704955.70417159307</v>
      </c>
      <c r="S543" s="36">
        <f t="shared" si="535"/>
        <v>810699.05979733192</v>
      </c>
      <c r="AC543" s="448"/>
      <c r="AD543" s="448"/>
      <c r="AE543" s="448"/>
      <c r="AF543" s="448"/>
      <c r="AG543" s="448"/>
      <c r="AH543" s="448"/>
    </row>
    <row r="544" spans="1:43" s="1365" customFormat="1" outlineLevel="3">
      <c r="A544" s="22"/>
      <c r="B544" s="22"/>
      <c r="C544" s="22" t="s">
        <v>847</v>
      </c>
      <c r="D544" s="22"/>
      <c r="E544" s="22"/>
      <c r="F544" s="22"/>
      <c r="G544" s="22"/>
      <c r="H544" s="219"/>
      <c r="I544" s="24"/>
      <c r="J544" s="24">
        <f>J538/I538-1</f>
        <v>-0.16716252741951831</v>
      </c>
      <c r="K544" s="24"/>
      <c r="L544" s="793">
        <f>L538/J538-1</f>
        <v>3.7595844084029384E-2</v>
      </c>
      <c r="M544" s="24"/>
      <c r="N544" s="24">
        <f>N538/L538-1</f>
        <v>0.32216487584679832</v>
      </c>
      <c r="O544" s="24">
        <f>O538/N538-1</f>
        <v>0.22961767295660818</v>
      </c>
      <c r="P544" s="24">
        <f t="shared" ref="P544" si="539">P538/O538-1</f>
        <v>0.18828880682928961</v>
      </c>
      <c r="Q544" s="24">
        <f t="shared" ref="Q544" si="540">Q538/P538-1</f>
        <v>0.14661903294487977</v>
      </c>
      <c r="R544" s="24">
        <f t="shared" ref="R544" si="541">R538/Q538-1</f>
        <v>0.12971373661931329</v>
      </c>
      <c r="S544" s="24">
        <f t="shared" ref="S544" si="542">S538/R538-1</f>
        <v>0.13196182656503663</v>
      </c>
      <c r="T544" s="726"/>
      <c r="U544" s="1521"/>
      <c r="V544" s="1521"/>
      <c r="W544" s="1521"/>
      <c r="X544" s="1521"/>
      <c r="Y544" s="1521"/>
      <c r="Z544" s="1521"/>
      <c r="AA544" s="1522"/>
      <c r="AC544" s="219"/>
      <c r="AD544" s="219"/>
      <c r="AE544" s="219"/>
      <c r="AF544" s="219"/>
      <c r="AG544" s="219"/>
      <c r="AH544" s="219"/>
      <c r="AI544" s="706"/>
      <c r="AK544" s="1521"/>
      <c r="AL544" s="1521"/>
      <c r="AM544" s="1521"/>
      <c r="AN544" s="1521"/>
      <c r="AO544" s="1521"/>
      <c r="AP544" s="1521"/>
      <c r="AQ544" s="1522"/>
    </row>
    <row r="545" spans="1:43" s="1365" customFormat="1" outlineLevel="3">
      <c r="A545" s="22"/>
      <c r="B545" s="22"/>
      <c r="C545" s="22"/>
      <c r="D545" s="707" t="s">
        <v>841</v>
      </c>
      <c r="E545" s="708"/>
      <c r="F545" s="708"/>
      <c r="G545" s="708"/>
      <c r="H545" s="709"/>
      <c r="I545" s="710"/>
      <c r="J545" s="710">
        <f t="shared" ref="J545" si="543">J539/I539-1</f>
        <v>3.9634580041530239</v>
      </c>
      <c r="K545" s="710"/>
      <c r="L545" s="710">
        <f t="shared" ref="L545:L549" si="544">L539/J539-1</f>
        <v>0.81659939751633104</v>
      </c>
      <c r="M545" s="727"/>
      <c r="N545" s="711">
        <f t="shared" ref="N545:N549" si="545">CHOOSE(case,U545,AC545,AK545)</f>
        <v>0.5</v>
      </c>
      <c r="O545" s="712">
        <f t="shared" ref="O545:O549" si="546">CHOOSE(case,V545,AD545,AL545)</f>
        <v>0.1</v>
      </c>
      <c r="P545" s="712">
        <f t="shared" ref="P545:P549" si="547">CHOOSE(case,W545,AE545,AM545)</f>
        <v>0.1</v>
      </c>
      <c r="Q545" s="712">
        <f t="shared" ref="Q545:Q549" si="548">CHOOSE(case,X545,AF545,AN545)</f>
        <v>0.1</v>
      </c>
      <c r="R545" s="712">
        <f t="shared" ref="R545:R549" si="549">CHOOSE(case,Y545,AG545,AO545)</f>
        <v>0.1</v>
      </c>
      <c r="S545" s="713">
        <f t="shared" ref="S545:S549" si="550">CHOOSE(case,Z545,AH545,AP545)</f>
        <v>0.1</v>
      </c>
      <c r="T545" s="726"/>
      <c r="U545" s="1521"/>
      <c r="V545" s="1521"/>
      <c r="W545" s="1521"/>
      <c r="X545" s="1521"/>
      <c r="Y545" s="1521"/>
      <c r="Z545" s="1521"/>
      <c r="AA545" s="1523"/>
      <c r="AC545" s="714">
        <v>0.5</v>
      </c>
      <c r="AD545" s="714">
        <v>0.1</v>
      </c>
      <c r="AE545" s="714">
        <v>0.1</v>
      </c>
      <c r="AF545" s="714">
        <v>0.1</v>
      </c>
      <c r="AG545" s="714">
        <v>0.1</v>
      </c>
      <c r="AH545" s="714">
        <v>0.1</v>
      </c>
      <c r="AI545" s="22"/>
      <c r="AK545" s="1521"/>
      <c r="AL545" s="1521"/>
      <c r="AM545" s="1521"/>
      <c r="AN545" s="1521"/>
      <c r="AO545" s="1521"/>
      <c r="AP545" s="1521"/>
      <c r="AQ545" s="1523"/>
    </row>
    <row r="546" spans="1:43" s="1365" customFormat="1" outlineLevel="3">
      <c r="A546" s="22"/>
      <c r="B546" s="22"/>
      <c r="C546" s="22"/>
      <c r="D546" s="715" t="s">
        <v>842</v>
      </c>
      <c r="E546" s="22"/>
      <c r="F546" s="22"/>
      <c r="G546" s="22"/>
      <c r="H546" s="219"/>
      <c r="I546" s="175"/>
      <c r="J546" s="175">
        <f>J540/I540-1</f>
        <v>0.14713985074238978</v>
      </c>
      <c r="K546" s="175"/>
      <c r="L546" s="175">
        <f t="shared" si="544"/>
        <v>0.21162143053483318</v>
      </c>
      <c r="M546" s="729"/>
      <c r="N546" s="716">
        <f t="shared" si="545"/>
        <v>0.5</v>
      </c>
      <c r="O546" s="717">
        <f t="shared" si="546"/>
        <v>0.25</v>
      </c>
      <c r="P546" s="717">
        <f t="shared" si="547"/>
        <v>0.2</v>
      </c>
      <c r="Q546" s="717">
        <f t="shared" si="548"/>
        <v>0.15</v>
      </c>
      <c r="R546" s="717">
        <f t="shared" si="549"/>
        <v>0.15</v>
      </c>
      <c r="S546" s="718">
        <f t="shared" si="550"/>
        <v>0.15</v>
      </c>
      <c r="T546" s="726"/>
      <c r="U546" s="1521"/>
      <c r="V546" s="1521"/>
      <c r="W546" s="1521"/>
      <c r="X546" s="1521"/>
      <c r="Y546" s="1521"/>
      <c r="Z546" s="1521"/>
      <c r="AA546" s="1523"/>
      <c r="AC546" s="714">
        <v>0.5</v>
      </c>
      <c r="AD546" s="714">
        <v>0.25</v>
      </c>
      <c r="AE546" s="714">
        <v>0.2</v>
      </c>
      <c r="AF546" s="714">
        <v>0.15</v>
      </c>
      <c r="AG546" s="714">
        <v>0.15</v>
      </c>
      <c r="AH546" s="714">
        <v>0.15</v>
      </c>
      <c r="AI546" s="22"/>
      <c r="AK546" s="1521"/>
      <c r="AL546" s="1521"/>
      <c r="AM546" s="1521"/>
      <c r="AN546" s="1521"/>
      <c r="AO546" s="1521"/>
      <c r="AP546" s="1521"/>
      <c r="AQ546" s="1523"/>
    </row>
    <row r="547" spans="1:43" s="1365" customFormat="1" outlineLevel="3">
      <c r="A547" s="22"/>
      <c r="B547" s="22"/>
      <c r="C547" s="22"/>
      <c r="D547" s="715" t="s">
        <v>843</v>
      </c>
      <c r="E547" s="22"/>
      <c r="F547" s="22"/>
      <c r="G547" s="22"/>
      <c r="H547" s="219"/>
      <c r="I547" s="175"/>
      <c r="J547" s="175">
        <f>J541/I541-1</f>
        <v>0.53767895384582731</v>
      </c>
      <c r="K547" s="175"/>
      <c r="L547" s="175">
        <f t="shared" si="544"/>
        <v>0.13708591492968969</v>
      </c>
      <c r="M547" s="729"/>
      <c r="N547" s="716">
        <f t="shared" si="545"/>
        <v>0.2</v>
      </c>
      <c r="O547" s="717">
        <f t="shared" si="546"/>
        <v>0.15</v>
      </c>
      <c r="P547" s="717">
        <f t="shared" si="547"/>
        <v>0.15</v>
      </c>
      <c r="Q547" s="717">
        <f t="shared" si="548"/>
        <v>0.15</v>
      </c>
      <c r="R547" s="717">
        <f t="shared" si="549"/>
        <v>0.15</v>
      </c>
      <c r="S547" s="718">
        <f t="shared" si="550"/>
        <v>0.15</v>
      </c>
      <c r="T547" s="726"/>
      <c r="U547" s="1521"/>
      <c r="V547" s="1521"/>
      <c r="W547" s="1521"/>
      <c r="X547" s="1521"/>
      <c r="Y547" s="1521"/>
      <c r="Z547" s="1521"/>
      <c r="AA547" s="1523"/>
      <c r="AC547" s="714">
        <v>0.2</v>
      </c>
      <c r="AD547" s="714">
        <v>0.15</v>
      </c>
      <c r="AE547" s="714">
        <v>0.15</v>
      </c>
      <c r="AF547" s="714">
        <v>0.15</v>
      </c>
      <c r="AG547" s="714">
        <v>0.15</v>
      </c>
      <c r="AH547" s="714">
        <v>0.15</v>
      </c>
      <c r="AI547" s="22"/>
      <c r="AK547" s="1521"/>
      <c r="AL547" s="1521"/>
      <c r="AM547" s="1521"/>
      <c r="AN547" s="1521"/>
      <c r="AO547" s="1521"/>
      <c r="AP547" s="1521"/>
      <c r="AQ547" s="1523"/>
    </row>
    <row r="548" spans="1:43" s="1365" customFormat="1" outlineLevel="3">
      <c r="A548" s="22"/>
      <c r="B548" s="22"/>
      <c r="C548" s="22"/>
      <c r="D548" s="715" t="s">
        <v>844</v>
      </c>
      <c r="E548" s="22"/>
      <c r="F548" s="22"/>
      <c r="G548" s="22"/>
      <c r="H548" s="219"/>
      <c r="I548" s="175"/>
      <c r="J548" s="175">
        <f>J542/I542-1</f>
        <v>-0.14269851941072587</v>
      </c>
      <c r="K548" s="175"/>
      <c r="L548" s="175">
        <f t="shared" si="544"/>
        <v>-0.36671400176761815</v>
      </c>
      <c r="M548" s="729"/>
      <c r="N548" s="716">
        <f t="shared" si="545"/>
        <v>-0.1</v>
      </c>
      <c r="O548" s="717">
        <f t="shared" si="546"/>
        <v>-0.05</v>
      </c>
      <c r="P548" s="717">
        <f t="shared" si="547"/>
        <v>0</v>
      </c>
      <c r="Q548" s="717">
        <f t="shared" si="548"/>
        <v>0</v>
      </c>
      <c r="R548" s="717">
        <f t="shared" si="549"/>
        <v>0</v>
      </c>
      <c r="S548" s="718">
        <f t="shared" si="550"/>
        <v>0</v>
      </c>
      <c r="T548" s="726"/>
      <c r="U548" s="1521"/>
      <c r="V548" s="1521"/>
      <c r="W548" s="1521"/>
      <c r="X548" s="1521"/>
      <c r="Y548" s="1521"/>
      <c r="Z548" s="1521"/>
      <c r="AA548" s="1523"/>
      <c r="AC548" s="714">
        <v>-0.1</v>
      </c>
      <c r="AD548" s="714">
        <v>-0.05</v>
      </c>
      <c r="AE548" s="714">
        <v>0</v>
      </c>
      <c r="AF548" s="714">
        <v>0</v>
      </c>
      <c r="AG548" s="714">
        <v>0</v>
      </c>
      <c r="AH548" s="714">
        <v>0</v>
      </c>
      <c r="AI548" s="22"/>
      <c r="AK548" s="1521"/>
      <c r="AL548" s="1521"/>
      <c r="AM548" s="1521"/>
      <c r="AN548" s="1521"/>
      <c r="AO548" s="1521"/>
      <c r="AP548" s="1521"/>
      <c r="AQ548" s="1523"/>
    </row>
    <row r="549" spans="1:43" s="1365" customFormat="1" outlineLevel="3">
      <c r="A549" s="22"/>
      <c r="B549" s="22"/>
      <c r="C549" s="22"/>
      <c r="D549" s="719" t="s">
        <v>665</v>
      </c>
      <c r="E549" s="720"/>
      <c r="F549" s="720"/>
      <c r="G549" s="720"/>
      <c r="H549" s="721"/>
      <c r="I549" s="722"/>
      <c r="J549" s="722">
        <f>J543/I543-1</f>
        <v>-0.84127896299017135</v>
      </c>
      <c r="K549" s="722"/>
      <c r="L549" s="722">
        <f t="shared" si="544"/>
        <v>3.8891032751240573</v>
      </c>
      <c r="M549" s="730"/>
      <c r="N549" s="723">
        <f t="shared" si="545"/>
        <v>1</v>
      </c>
      <c r="O549" s="724">
        <f t="shared" si="546"/>
        <v>0.5</v>
      </c>
      <c r="P549" s="724">
        <f t="shared" si="547"/>
        <v>0.3</v>
      </c>
      <c r="Q549" s="724">
        <f t="shared" si="548"/>
        <v>0.2</v>
      </c>
      <c r="R549" s="724">
        <f t="shared" si="549"/>
        <v>0.15</v>
      </c>
      <c r="S549" s="725">
        <f t="shared" si="550"/>
        <v>0.15</v>
      </c>
      <c r="T549" s="726"/>
      <c r="U549" s="1521"/>
      <c r="V549" s="1521"/>
      <c r="W549" s="1521"/>
      <c r="X549" s="1521"/>
      <c r="Y549" s="1521"/>
      <c r="Z549" s="1521"/>
      <c r="AA549" s="1523"/>
      <c r="AC549" s="714">
        <v>1</v>
      </c>
      <c r="AD549" s="714">
        <v>0.5</v>
      </c>
      <c r="AE549" s="714">
        <v>0.3</v>
      </c>
      <c r="AF549" s="714">
        <v>0.2</v>
      </c>
      <c r="AG549" s="714">
        <v>0.15</v>
      </c>
      <c r="AH549" s="714">
        <v>0.15</v>
      </c>
      <c r="AI549" s="22"/>
      <c r="AK549" s="1521"/>
      <c r="AL549" s="1521"/>
      <c r="AM549" s="1521"/>
      <c r="AN549" s="1521"/>
      <c r="AO549" s="1521"/>
      <c r="AP549" s="1521"/>
      <c r="AQ549" s="1523"/>
    </row>
    <row r="550" spans="1:43" s="1365" customFormat="1" outlineLevel="3">
      <c r="A550" s="22"/>
      <c r="B550" s="22"/>
      <c r="C550" s="22" t="s">
        <v>848</v>
      </c>
      <c r="D550" s="22"/>
      <c r="E550" s="22"/>
      <c r="F550" s="22"/>
      <c r="G550" s="22"/>
      <c r="H550" s="24">
        <f>H538/H$538</f>
        <v>1</v>
      </c>
      <c r="I550" s="24">
        <f t="shared" ref="I550:S550" si="551">I538/I$538</f>
        <v>1</v>
      </c>
      <c r="J550" s="24">
        <f t="shared" si="551"/>
        <v>1</v>
      </c>
      <c r="K550" s="24">
        <f t="shared" si="551"/>
        <v>1</v>
      </c>
      <c r="L550" s="24">
        <f t="shared" si="551"/>
        <v>1</v>
      </c>
      <c r="M550" s="24">
        <f t="shared" si="551"/>
        <v>1</v>
      </c>
      <c r="N550" s="24">
        <f t="shared" si="551"/>
        <v>1</v>
      </c>
      <c r="O550" s="24">
        <f t="shared" si="551"/>
        <v>1</v>
      </c>
      <c r="P550" s="24">
        <f t="shared" si="551"/>
        <v>1</v>
      </c>
      <c r="Q550" s="24">
        <f t="shared" si="551"/>
        <v>1</v>
      </c>
      <c r="R550" s="24">
        <f t="shared" si="551"/>
        <v>1</v>
      </c>
      <c r="S550" s="24">
        <f t="shared" si="551"/>
        <v>1</v>
      </c>
      <c r="T550" s="726"/>
      <c r="U550" s="1521"/>
      <c r="V550" s="1521"/>
      <c r="W550" s="1521"/>
      <c r="X550" s="1521"/>
      <c r="Y550" s="1521"/>
      <c r="Z550" s="1521"/>
      <c r="AA550" s="1522"/>
      <c r="AC550" s="219"/>
      <c r="AD550" s="219"/>
      <c r="AE550" s="219"/>
      <c r="AF550" s="219"/>
      <c r="AG550" s="219"/>
      <c r="AH550" s="219"/>
      <c r="AI550" s="706"/>
      <c r="AK550" s="1521"/>
      <c r="AL550" s="1521"/>
      <c r="AM550" s="1521"/>
      <c r="AN550" s="1521"/>
      <c r="AO550" s="1521"/>
      <c r="AP550" s="1521"/>
      <c r="AQ550" s="1522"/>
    </row>
    <row r="551" spans="1:43" s="1365" customFormat="1" outlineLevel="3">
      <c r="A551" s="22"/>
      <c r="B551" s="22"/>
      <c r="C551" s="22"/>
      <c r="D551" s="707" t="s">
        <v>841</v>
      </c>
      <c r="E551" s="708"/>
      <c r="F551" s="708"/>
      <c r="G551" s="708"/>
      <c r="H551" s="793">
        <f t="shared" ref="H551:S551" si="552">H539/H$538</f>
        <v>5.4100962384984836E-4</v>
      </c>
      <c r="I551" s="793">
        <f t="shared" si="552"/>
        <v>1.9503571511717171E-3</v>
      </c>
      <c r="J551" s="793">
        <f t="shared" si="552"/>
        <v>1.1623535361522613E-2</v>
      </c>
      <c r="K551" s="793">
        <f t="shared" si="552"/>
        <v>1.851963634451859E-2</v>
      </c>
      <c r="L551" s="793">
        <f t="shared" si="552"/>
        <v>2.0350223504790491E-2</v>
      </c>
      <c r="M551" s="793">
        <f t="shared" si="552"/>
        <v>2.7749484811002288E-2</v>
      </c>
      <c r="N551" s="793">
        <f t="shared" si="552"/>
        <v>2.3087389337608424E-2</v>
      </c>
      <c r="O551" s="793">
        <f t="shared" si="552"/>
        <v>2.0653678643300918E-2</v>
      </c>
      <c r="P551" s="793">
        <f t="shared" si="552"/>
        <v>1.9119128596567555E-2</v>
      </c>
      <c r="Q551" s="793">
        <f t="shared" si="552"/>
        <v>1.8341786462596869E-2</v>
      </c>
      <c r="R551" s="793">
        <f t="shared" si="552"/>
        <v>1.7859360698962073E-2</v>
      </c>
      <c r="S551" s="803">
        <f t="shared" si="552"/>
        <v>1.7355087696263021E-2</v>
      </c>
      <c r="T551" s="726"/>
      <c r="U551" s="1521"/>
      <c r="V551" s="1521"/>
      <c r="W551" s="1521"/>
      <c r="X551" s="1521"/>
      <c r="Y551" s="1521"/>
      <c r="Z551" s="1521"/>
      <c r="AA551" s="1523"/>
      <c r="AC551" s="728"/>
      <c r="AD551" s="728"/>
      <c r="AE551" s="728"/>
      <c r="AF551" s="728"/>
      <c r="AG551" s="728"/>
      <c r="AH551" s="728"/>
      <c r="AI551" s="22"/>
      <c r="AK551" s="1521"/>
      <c r="AL551" s="1521"/>
      <c r="AM551" s="1521"/>
      <c r="AN551" s="1521"/>
      <c r="AO551" s="1521"/>
      <c r="AP551" s="1521"/>
      <c r="AQ551" s="1523"/>
    </row>
    <row r="552" spans="1:43" s="1365" customFormat="1" outlineLevel="3">
      <c r="A552" s="22"/>
      <c r="B552" s="22"/>
      <c r="C552" s="22"/>
      <c r="D552" s="715" t="s">
        <v>842</v>
      </c>
      <c r="E552" s="1141"/>
      <c r="F552" s="1141"/>
      <c r="G552" s="1141"/>
      <c r="H552" s="91">
        <f t="shared" ref="H552:S552" si="553">H540/H$538</f>
        <v>2.8298322433834521E-2</v>
      </c>
      <c r="I552" s="91">
        <f t="shared" si="553"/>
        <v>0.12356266915458547</v>
      </c>
      <c r="J552" s="91">
        <f t="shared" si="553"/>
        <v>0.17019366505224703</v>
      </c>
      <c r="K552" s="91">
        <f t="shared" si="553"/>
        <v>0.19576955504972127</v>
      </c>
      <c r="L552" s="91">
        <f t="shared" si="553"/>
        <v>0.19873854843800809</v>
      </c>
      <c r="M552" s="91">
        <f t="shared" si="553"/>
        <v>0.19991549233232447</v>
      </c>
      <c r="N552" s="91">
        <f t="shared" si="553"/>
        <v>0.22546947669146405</v>
      </c>
      <c r="O552" s="91">
        <f t="shared" si="553"/>
        <v>0.22920689256739055</v>
      </c>
      <c r="P552" s="91">
        <f t="shared" si="553"/>
        <v>0.23146584357280933</v>
      </c>
      <c r="Q552" s="91">
        <f t="shared" si="553"/>
        <v>0.23214835308034415</v>
      </c>
      <c r="R552" s="91">
        <f t="shared" si="553"/>
        <v>0.23631703978506061</v>
      </c>
      <c r="S552" s="804">
        <f t="shared" si="553"/>
        <v>0.24008282733128503</v>
      </c>
      <c r="T552" s="726"/>
      <c r="U552" s="1521"/>
      <c r="V552" s="1521"/>
      <c r="W552" s="1521"/>
      <c r="X552" s="1521"/>
      <c r="Y552" s="1521"/>
      <c r="Z552" s="1521"/>
      <c r="AA552" s="1523"/>
      <c r="AC552" s="728"/>
      <c r="AD552" s="728"/>
      <c r="AE552" s="728"/>
      <c r="AF552" s="728"/>
      <c r="AG552" s="728"/>
      <c r="AH552" s="728"/>
      <c r="AI552" s="22"/>
      <c r="AK552" s="1521"/>
      <c r="AL552" s="1521"/>
      <c r="AM552" s="1521"/>
      <c r="AN552" s="1521"/>
      <c r="AO552" s="1521"/>
      <c r="AP552" s="1521"/>
      <c r="AQ552" s="1523"/>
    </row>
    <row r="553" spans="1:43" s="1365" customFormat="1" outlineLevel="3">
      <c r="A553" s="22"/>
      <c r="B553" s="22"/>
      <c r="C553" s="22"/>
      <c r="D553" s="715" t="s">
        <v>843</v>
      </c>
      <c r="E553" s="1141"/>
      <c r="F553" s="1141"/>
      <c r="G553" s="1141"/>
      <c r="H553" s="91">
        <f t="shared" ref="H553:S553" si="554">H541/H$538</f>
        <v>0.13030217732620811</v>
      </c>
      <c r="I553" s="91">
        <f t="shared" si="554"/>
        <v>0.12373961299029639</v>
      </c>
      <c r="J553" s="91">
        <f t="shared" si="554"/>
        <v>0.22846210084983837</v>
      </c>
      <c r="K553" s="91">
        <f t="shared" si="554"/>
        <v>0.2621372645615046</v>
      </c>
      <c r="L553" s="91">
        <f t="shared" si="554"/>
        <v>0.25036823195926294</v>
      </c>
      <c r="M553" s="91">
        <f t="shared" si="554"/>
        <v>0.25966532688148541</v>
      </c>
      <c r="N553" s="91">
        <f t="shared" si="554"/>
        <v>0.22723480546153027</v>
      </c>
      <c r="O553" s="91">
        <f t="shared" si="554"/>
        <v>0.21252136499666388</v>
      </c>
      <c r="P553" s="91">
        <f t="shared" si="554"/>
        <v>0.20567354362134799</v>
      </c>
      <c r="Q553" s="91">
        <f t="shared" si="554"/>
        <v>0.20628000091458482</v>
      </c>
      <c r="R553" s="91">
        <f t="shared" si="554"/>
        <v>0.20998416976114956</v>
      </c>
      <c r="S553" s="804">
        <f t="shared" si="554"/>
        <v>0.21333033460863593</v>
      </c>
      <c r="T553" s="726"/>
      <c r="U553" s="1521"/>
      <c r="V553" s="1521"/>
      <c r="W553" s="1521"/>
      <c r="X553" s="1521"/>
      <c r="Y553" s="1521"/>
      <c r="Z553" s="1521"/>
      <c r="AA553" s="1523"/>
      <c r="AC553" s="728"/>
      <c r="AD553" s="728"/>
      <c r="AE553" s="728"/>
      <c r="AF553" s="728"/>
      <c r="AG553" s="728"/>
      <c r="AH553" s="728"/>
      <c r="AI553" s="22"/>
      <c r="AK553" s="1521"/>
      <c r="AL553" s="1521"/>
      <c r="AM553" s="1521"/>
      <c r="AN553" s="1521"/>
      <c r="AO553" s="1521"/>
      <c r="AP553" s="1521"/>
      <c r="AQ553" s="1523"/>
    </row>
    <row r="554" spans="1:43" s="1365" customFormat="1" outlineLevel="3">
      <c r="A554" s="22"/>
      <c r="B554" s="22"/>
      <c r="C554" s="22"/>
      <c r="D554" s="715" t="s">
        <v>844</v>
      </c>
      <c r="E554" s="1141"/>
      <c r="F554" s="1141"/>
      <c r="G554" s="1141"/>
      <c r="H554" s="91">
        <f t="shared" ref="H554:S554" si="555">H542/H$538</f>
        <v>0.65021902311060542</v>
      </c>
      <c r="I554" s="91">
        <f t="shared" si="555"/>
        <v>0.53248283724447931</v>
      </c>
      <c r="J554" s="91">
        <f t="shared" si="555"/>
        <v>0.54812414160910083</v>
      </c>
      <c r="K554" s="91">
        <f t="shared" si="555"/>
        <v>0.32591522364344783</v>
      </c>
      <c r="L554" s="91">
        <f t="shared" si="555"/>
        <v>0.3345419569221747</v>
      </c>
      <c r="M554" s="91">
        <f t="shared" si="555"/>
        <v>0.2992858251321252</v>
      </c>
      <c r="N554" s="91">
        <f t="shared" si="555"/>
        <v>0.22772330949808475</v>
      </c>
      <c r="O554" s="91">
        <f t="shared" si="555"/>
        <v>0.17593854478603838</v>
      </c>
      <c r="P554" s="91">
        <f t="shared" si="555"/>
        <v>0.14806042417877779</v>
      </c>
      <c r="Q554" s="91">
        <f t="shared" si="555"/>
        <v>0.1291278270503777</v>
      </c>
      <c r="R554" s="91">
        <f t="shared" si="555"/>
        <v>0.11430136933343382</v>
      </c>
      <c r="S554" s="804">
        <f t="shared" si="555"/>
        <v>0.10097634624330386</v>
      </c>
      <c r="T554" s="726"/>
      <c r="U554" s="1521"/>
      <c r="V554" s="1521"/>
      <c r="W554" s="1521"/>
      <c r="X554" s="1521"/>
      <c r="Y554" s="1521"/>
      <c r="Z554" s="1521"/>
      <c r="AA554" s="1523"/>
      <c r="AC554" s="728"/>
      <c r="AD554" s="728"/>
      <c r="AE554" s="728"/>
      <c r="AF554" s="728"/>
      <c r="AG554" s="728"/>
      <c r="AH554" s="728"/>
      <c r="AI554" s="22"/>
      <c r="AK554" s="1521"/>
      <c r="AL554" s="1521"/>
      <c r="AM554" s="1521"/>
      <c r="AN554" s="1521"/>
      <c r="AO554" s="1521"/>
      <c r="AP554" s="1521"/>
      <c r="AQ554" s="1523"/>
    </row>
    <row r="555" spans="1:43" s="1365" customFormat="1" outlineLevel="3">
      <c r="A555" s="22"/>
      <c r="B555" s="22"/>
      <c r="C555" s="22"/>
      <c r="D555" s="719" t="s">
        <v>665</v>
      </c>
      <c r="E555" s="720"/>
      <c r="F555" s="720"/>
      <c r="G555" s="720"/>
      <c r="H555" s="794">
        <f t="shared" ref="H555:S555" si="556">H543/H$538</f>
        <v>0.19063946750550206</v>
      </c>
      <c r="I555" s="794">
        <f t="shared" si="556"/>
        <v>0.21826452345946709</v>
      </c>
      <c r="J555" s="794">
        <f t="shared" si="556"/>
        <v>4.1596557127291031E-2</v>
      </c>
      <c r="K555" s="794">
        <f t="shared" si="556"/>
        <v>0.19765832040080769</v>
      </c>
      <c r="L555" s="794">
        <f t="shared" si="556"/>
        <v>0.19600103917576375</v>
      </c>
      <c r="M555" s="794">
        <f t="shared" si="556"/>
        <v>0.21338387084306262</v>
      </c>
      <c r="N555" s="794">
        <f t="shared" si="556"/>
        <v>0.29648501901131241</v>
      </c>
      <c r="O555" s="794">
        <f t="shared" si="556"/>
        <v>0.36167951900660633</v>
      </c>
      <c r="P555" s="794">
        <f t="shared" si="556"/>
        <v>0.3956810600304973</v>
      </c>
      <c r="Q555" s="794">
        <f t="shared" si="556"/>
        <v>0.41410203249209637</v>
      </c>
      <c r="R555" s="794">
        <f t="shared" si="556"/>
        <v>0.42153806042139386</v>
      </c>
      <c r="S555" s="805">
        <f t="shared" si="556"/>
        <v>0.42825540412051216</v>
      </c>
      <c r="T555" s="726"/>
      <c r="U555" s="1521"/>
      <c r="V555" s="1521"/>
      <c r="W555" s="1521"/>
      <c r="X555" s="1521"/>
      <c r="Y555" s="1521"/>
      <c r="Z555" s="1521"/>
      <c r="AA555" s="1523"/>
      <c r="AC555" s="728"/>
      <c r="AD555" s="728"/>
      <c r="AE555" s="728"/>
      <c r="AF555" s="728"/>
      <c r="AG555" s="728"/>
      <c r="AH555" s="728"/>
      <c r="AI555" s="22"/>
      <c r="AK555" s="1521"/>
      <c r="AL555" s="1521"/>
      <c r="AM555" s="1521"/>
      <c r="AN555" s="1521"/>
      <c r="AO555" s="1521"/>
      <c r="AP555" s="1521"/>
      <c r="AQ555" s="1523"/>
    </row>
    <row r="556" spans="1:43" outlineLevel="3">
      <c r="C556" s="1" t="s">
        <v>31</v>
      </c>
      <c r="H556" s="806">
        <f t="shared" ref="H556:S556" si="557">IFERROR(H562/H538,"NA")</f>
        <v>0.10595290008844849</v>
      </c>
      <c r="I556" s="806">
        <f t="shared" si="557"/>
        <v>0.13352834232459257</v>
      </c>
      <c r="J556" s="806">
        <f t="shared" si="557"/>
        <v>0.20611962754035013</v>
      </c>
      <c r="K556" s="806">
        <f t="shared" si="557"/>
        <v>0.21853988702457147</v>
      </c>
      <c r="L556" s="806">
        <f t="shared" si="557"/>
        <v>0.21670752271552235</v>
      </c>
      <c r="M556" s="806">
        <f t="shared" si="557"/>
        <v>0.23592675953305381</v>
      </c>
      <c r="N556" s="806">
        <f t="shared" si="557"/>
        <v>0.2274788247961638</v>
      </c>
      <c r="O556" s="806">
        <f t="shared" si="557"/>
        <v>0.22114586411320009</v>
      </c>
      <c r="P556" s="806">
        <f t="shared" si="557"/>
        <v>0.21795699370325036</v>
      </c>
      <c r="Q556" s="806">
        <f t="shared" si="557"/>
        <v>0.21683399105286205</v>
      </c>
      <c r="R556" s="806">
        <f t="shared" si="557"/>
        <v>0.21722932049331545</v>
      </c>
      <c r="S556" s="806">
        <f t="shared" si="557"/>
        <v>0.21757667268036313</v>
      </c>
      <c r="U556" s="1529">
        <f>$L556*(1+$AA556)</f>
        <v>0.22104167316983281</v>
      </c>
      <c r="V556" s="1529">
        <f>U556*(1+$AA556)</f>
        <v>0.22546250663322948</v>
      </c>
      <c r="W556" s="1529">
        <f t="shared" ref="W556" si="558">V556*(1+$AA556)</f>
        <v>0.22997175676589407</v>
      </c>
      <c r="X556" s="1529">
        <f t="shared" ref="X556" si="559">W556*(1+$AA556)</f>
        <v>0.23457119190121195</v>
      </c>
      <c r="Y556" s="1529">
        <f t="shared" ref="Y556" si="560">X556*(1+$AA556)</f>
        <v>0.23926261573923618</v>
      </c>
      <c r="Z556" s="1529">
        <f t="shared" ref="Z556" si="561">Y556*(1+$AA556)</f>
        <v>0.2440478680540209</v>
      </c>
      <c r="AA556" s="1520">
        <v>0.02</v>
      </c>
      <c r="AC556" s="448"/>
      <c r="AD556" s="448"/>
      <c r="AE556" s="448"/>
      <c r="AF556" s="448"/>
      <c r="AG556" s="448"/>
      <c r="AH556" s="448"/>
      <c r="AI556" s="702"/>
      <c r="AK556" s="1529">
        <f>$L556*(1+$AQ556)</f>
        <v>0.21670752271552235</v>
      </c>
      <c r="AL556" s="1529">
        <f>AK556*(1+$AQ556)</f>
        <v>0.21670752271552235</v>
      </c>
      <c r="AM556" s="1529">
        <f t="shared" ref="AM556" si="562">AL556*(1+$AQ556)</f>
        <v>0.21670752271552235</v>
      </c>
      <c r="AN556" s="1529">
        <f t="shared" ref="AN556" si="563">AM556*(1+$AQ556)</f>
        <v>0.21670752271552235</v>
      </c>
      <c r="AO556" s="1529">
        <f>AN556*(1+$AQ556)</f>
        <v>0.21670752271552235</v>
      </c>
      <c r="AP556" s="1529">
        <f t="shared" ref="AP556" si="564">AO556*(1+$AQ556)</f>
        <v>0.21670752271552235</v>
      </c>
      <c r="AQ556" s="1520">
        <v>0</v>
      </c>
    </row>
    <row r="557" spans="1:43" outlineLevel="3">
      <c r="D557" s="27" t="s">
        <v>841</v>
      </c>
      <c r="E557" s="28"/>
      <c r="F557" s="28"/>
      <c r="G557" s="28"/>
      <c r="H557" s="693">
        <f t="shared" ref="H557:M557" si="565">IFERROR(H563/H539,"NA")</f>
        <v>0.1010101010101012</v>
      </c>
      <c r="I557" s="693">
        <f t="shared" si="565"/>
        <v>0.12066629008176097</v>
      </c>
      <c r="J557" s="693">
        <f t="shared" si="565"/>
        <v>0.29961220056144905</v>
      </c>
      <c r="K557" s="693">
        <f t="shared" si="565"/>
        <v>0.45946798443907055</v>
      </c>
      <c r="L557" s="693">
        <f t="shared" si="565"/>
        <v>0.4146310292282861</v>
      </c>
      <c r="M557" s="693">
        <f t="shared" si="565"/>
        <v>0.33103908561999401</v>
      </c>
      <c r="N557" s="780">
        <f>CHOOSE(case,U557,AC557,AK557)</f>
        <v>0.33103908561999401</v>
      </c>
      <c r="O557" s="781">
        <f t="shared" ref="O557:O561" si="566">CHOOSE(case,V557,AD557,AL557)</f>
        <v>0.33103908561999401</v>
      </c>
      <c r="P557" s="781">
        <f t="shared" ref="P557:P561" si="567">CHOOSE(case,W557,AE557,AM557)</f>
        <v>0.33103908561999401</v>
      </c>
      <c r="Q557" s="781">
        <f t="shared" ref="Q557:Q561" si="568">CHOOSE(case,X557,AF557,AN557)</f>
        <v>0.33103908561999401</v>
      </c>
      <c r="R557" s="781">
        <f t="shared" ref="R557:R561" si="569">CHOOSE(case,Y557,AG557,AO557)</f>
        <v>0.33103908561999401</v>
      </c>
      <c r="S557" s="782">
        <f t="shared" ref="S557:S561" si="570">CHOOSE(case,Z557,AH557,AP557)</f>
        <v>0.33103908561999401</v>
      </c>
      <c r="T557" s="993"/>
      <c r="U557" s="1530"/>
      <c r="V557" s="1530"/>
      <c r="W557" s="1530"/>
      <c r="X557" s="1530"/>
      <c r="Y557" s="1530"/>
      <c r="Z557" s="1530"/>
      <c r="AA557" s="1530"/>
      <c r="AB557" s="1371"/>
      <c r="AC557" s="783">
        <f t="shared" ref="AC557:AC561" si="571">M557</f>
        <v>0.33103908561999401</v>
      </c>
      <c r="AD557" s="783">
        <f t="shared" ref="AD557:AD561" si="572">AC557</f>
        <v>0.33103908561999401</v>
      </c>
      <c r="AE557" s="783">
        <f t="shared" ref="AE557:AE561" si="573">AD557</f>
        <v>0.33103908561999401</v>
      </c>
      <c r="AF557" s="783">
        <f t="shared" ref="AF557:AF561" si="574">AE557</f>
        <v>0.33103908561999401</v>
      </c>
      <c r="AG557" s="783">
        <f t="shared" ref="AG557:AG561" si="575">AF557</f>
        <v>0.33103908561999401</v>
      </c>
      <c r="AH557" s="783">
        <f t="shared" ref="AH557:AH561" si="576">AG557</f>
        <v>0.33103908561999401</v>
      </c>
    </row>
    <row r="558" spans="1:43" outlineLevel="3">
      <c r="D558" s="31" t="s">
        <v>842</v>
      </c>
      <c r="H558" s="695">
        <f t="shared" ref="H558:M558" si="577">IFERROR(H564/H540,"NA")</f>
        <v>0.36784493245161132</v>
      </c>
      <c r="I558" s="695">
        <f t="shared" si="577"/>
        <v>0.31039347637051684</v>
      </c>
      <c r="J558" s="695">
        <f t="shared" si="577"/>
        <v>0.29039490833872422</v>
      </c>
      <c r="K558" s="695">
        <f t="shared" si="577"/>
        <v>0.26438233538889994</v>
      </c>
      <c r="L558" s="695">
        <f t="shared" si="577"/>
        <v>0.25824905925299468</v>
      </c>
      <c r="M558" s="695">
        <f t="shared" si="577"/>
        <v>0.27949730583775262</v>
      </c>
      <c r="N558" s="785">
        <f>CHOOSE(case,U558,AC558,AK558)</f>
        <v>0.27949730583775262</v>
      </c>
      <c r="O558" s="786">
        <f t="shared" si="566"/>
        <v>0.27949730583775262</v>
      </c>
      <c r="P558" s="786">
        <f t="shared" si="567"/>
        <v>0.27949730583775262</v>
      </c>
      <c r="Q558" s="786">
        <f t="shared" si="568"/>
        <v>0.27949730583775262</v>
      </c>
      <c r="R558" s="786">
        <f t="shared" si="569"/>
        <v>0.27949730583775262</v>
      </c>
      <c r="S558" s="787">
        <f t="shared" si="570"/>
        <v>0.27949730583775262</v>
      </c>
      <c r="T558" s="993"/>
      <c r="U558" s="1530"/>
      <c r="V558" s="1530"/>
      <c r="W558" s="1530"/>
      <c r="X558" s="1530"/>
      <c r="Y558" s="1530"/>
      <c r="Z558" s="1530"/>
      <c r="AA558" s="1530"/>
      <c r="AB558" s="1371"/>
      <c r="AC558" s="783">
        <f t="shared" si="571"/>
        <v>0.27949730583775262</v>
      </c>
      <c r="AD558" s="783">
        <f t="shared" si="572"/>
        <v>0.27949730583775262</v>
      </c>
      <c r="AE558" s="783">
        <f t="shared" si="573"/>
        <v>0.27949730583775262</v>
      </c>
      <c r="AF558" s="783">
        <f t="shared" si="574"/>
        <v>0.27949730583775262</v>
      </c>
      <c r="AG558" s="783">
        <f t="shared" si="575"/>
        <v>0.27949730583775262</v>
      </c>
      <c r="AH558" s="783">
        <f t="shared" si="576"/>
        <v>0.27949730583775262</v>
      </c>
    </row>
    <row r="559" spans="1:43" outlineLevel="3">
      <c r="D559" s="31" t="s">
        <v>843</v>
      </c>
      <c r="H559" s="695">
        <f t="shared" ref="H559:M559" si="578">IFERROR(H565/H541,"NA")</f>
        <v>4.511335389983577E-2</v>
      </c>
      <c r="I559" s="695">
        <f t="shared" si="578"/>
        <v>5.772628856644324E-2</v>
      </c>
      <c r="J559" s="695">
        <f t="shared" si="578"/>
        <v>0.32807080327110605</v>
      </c>
      <c r="K559" s="695">
        <f t="shared" si="578"/>
        <v>0.31021957451865939</v>
      </c>
      <c r="L559" s="695">
        <f t="shared" si="578"/>
        <v>0.32207870540119909</v>
      </c>
      <c r="M559" s="695">
        <f t="shared" si="578"/>
        <v>0.3380885690996524</v>
      </c>
      <c r="N559" s="785">
        <f>CHOOSE(case,U559,AC559,AK559)</f>
        <v>0.3380885690996524</v>
      </c>
      <c r="O559" s="786">
        <f t="shared" si="566"/>
        <v>0.3380885690996524</v>
      </c>
      <c r="P559" s="786">
        <f t="shared" si="567"/>
        <v>0.3380885690996524</v>
      </c>
      <c r="Q559" s="786">
        <f t="shared" si="568"/>
        <v>0.3380885690996524</v>
      </c>
      <c r="R559" s="786">
        <f t="shared" si="569"/>
        <v>0.3380885690996524</v>
      </c>
      <c r="S559" s="787">
        <f t="shared" si="570"/>
        <v>0.3380885690996524</v>
      </c>
      <c r="T559" s="993"/>
      <c r="U559" s="1530"/>
      <c r="V559" s="1530"/>
      <c r="W559" s="1530"/>
      <c r="X559" s="1530"/>
      <c r="Y559" s="1530"/>
      <c r="Z559" s="1530"/>
      <c r="AA559" s="1530"/>
      <c r="AB559" s="1371"/>
      <c r="AC559" s="783">
        <f t="shared" si="571"/>
        <v>0.3380885690996524</v>
      </c>
      <c r="AD559" s="783">
        <f t="shared" si="572"/>
        <v>0.3380885690996524</v>
      </c>
      <c r="AE559" s="783">
        <f t="shared" si="573"/>
        <v>0.3380885690996524</v>
      </c>
      <c r="AF559" s="783">
        <f t="shared" si="574"/>
        <v>0.3380885690996524</v>
      </c>
      <c r="AG559" s="783">
        <f t="shared" si="575"/>
        <v>0.3380885690996524</v>
      </c>
      <c r="AH559" s="783">
        <f t="shared" si="576"/>
        <v>0.3380885690996524</v>
      </c>
    </row>
    <row r="560" spans="1:43" outlineLevel="3">
      <c r="D560" s="31" t="s">
        <v>844</v>
      </c>
      <c r="H560" s="695">
        <f t="shared" ref="H560:M560" si="579">IFERROR(H566/H542,"NA")</f>
        <v>0.10035656932375532</v>
      </c>
      <c r="I560" s="695">
        <f t="shared" si="579"/>
        <v>0.11251337516953563</v>
      </c>
      <c r="J560" s="695">
        <f t="shared" si="579"/>
        <v>0.1330995206712014</v>
      </c>
      <c r="K560" s="695">
        <f t="shared" si="579"/>
        <v>0.16023013777198916</v>
      </c>
      <c r="L560" s="695">
        <f t="shared" si="579"/>
        <v>0.15478951284978493</v>
      </c>
      <c r="M560" s="695">
        <f t="shared" si="579"/>
        <v>0.18836889643362617</v>
      </c>
      <c r="N560" s="785">
        <f>CHOOSE(case,U560,AC560,AK560)</f>
        <v>0.18836889643362617</v>
      </c>
      <c r="O560" s="786">
        <f t="shared" si="566"/>
        <v>0.18836889643362617</v>
      </c>
      <c r="P560" s="786">
        <f t="shared" si="567"/>
        <v>0.18836889643362617</v>
      </c>
      <c r="Q560" s="786">
        <f t="shared" si="568"/>
        <v>0.18836889643362617</v>
      </c>
      <c r="R560" s="786">
        <f t="shared" si="569"/>
        <v>0.18836889643362617</v>
      </c>
      <c r="S560" s="787">
        <f t="shared" si="570"/>
        <v>0.18836889643362617</v>
      </c>
      <c r="T560" s="993"/>
      <c r="U560" s="1530"/>
      <c r="V560" s="1530"/>
      <c r="W560" s="1530"/>
      <c r="X560" s="1530"/>
      <c r="Y560" s="1530"/>
      <c r="Z560" s="1530"/>
      <c r="AA560" s="1530"/>
      <c r="AB560" s="1371"/>
      <c r="AC560" s="783">
        <f t="shared" si="571"/>
        <v>0.18836889643362617</v>
      </c>
      <c r="AD560" s="783">
        <f t="shared" si="572"/>
        <v>0.18836889643362617</v>
      </c>
      <c r="AE560" s="783">
        <f t="shared" si="573"/>
        <v>0.18836889643362617</v>
      </c>
      <c r="AF560" s="783">
        <f t="shared" si="574"/>
        <v>0.18836889643362617</v>
      </c>
      <c r="AG560" s="783">
        <f t="shared" si="575"/>
        <v>0.18836889643362617</v>
      </c>
      <c r="AH560" s="783">
        <f t="shared" si="576"/>
        <v>0.18836889643362617</v>
      </c>
    </row>
    <row r="561" spans="1:43" ht="15" outlineLevel="3" thickBot="1">
      <c r="C561" s="37"/>
      <c r="D561" s="38" t="s">
        <v>665</v>
      </c>
      <c r="E561" s="37"/>
      <c r="F561" s="37"/>
      <c r="G561" s="37"/>
      <c r="H561" s="697">
        <f t="shared" ref="H561:K561" si="580">IFERROR(H567/H543,"NA")</f>
        <v>0.12776336274001038</v>
      </c>
      <c r="I561" s="697">
        <f t="shared" si="580"/>
        <v>0.12776003744231099</v>
      </c>
      <c r="J561" s="697">
        <f t="shared" si="580"/>
        <v>0.1275801575155836</v>
      </c>
      <c r="K561" s="816">
        <f t="shared" si="580"/>
        <v>0.12512067776573738</v>
      </c>
      <c r="L561" s="1190">
        <f t="shared" ref="L561" si="581">K561</f>
        <v>0.12512067776573738</v>
      </c>
      <c r="M561" s="1191">
        <f t="shared" ref="M561" si="582">L561</f>
        <v>0.12512067776573738</v>
      </c>
      <c r="N561" s="807">
        <f>CHOOSE(case,U561,AC561,AK561)</f>
        <v>0.12512067776573738</v>
      </c>
      <c r="O561" s="808">
        <f t="shared" si="566"/>
        <v>0.12512067776573738</v>
      </c>
      <c r="P561" s="808">
        <f t="shared" si="567"/>
        <v>0.12512067776573738</v>
      </c>
      <c r="Q561" s="808">
        <f t="shared" si="568"/>
        <v>0.12512067776573738</v>
      </c>
      <c r="R561" s="808">
        <f t="shared" si="569"/>
        <v>0.12512067776573738</v>
      </c>
      <c r="S561" s="809">
        <f t="shared" si="570"/>
        <v>0.12512067776573738</v>
      </c>
      <c r="T561" s="1205"/>
      <c r="U561" s="1530"/>
      <c r="V561" s="1530"/>
      <c r="W561" s="1530"/>
      <c r="X561" s="1530"/>
      <c r="Y561" s="1530"/>
      <c r="Z561" s="1530"/>
      <c r="AA561" s="1530"/>
      <c r="AB561" s="1371"/>
      <c r="AC561" s="783">
        <f t="shared" si="571"/>
        <v>0.12512067776573738</v>
      </c>
      <c r="AD561" s="783">
        <f t="shared" si="572"/>
        <v>0.12512067776573738</v>
      </c>
      <c r="AE561" s="783">
        <f t="shared" si="573"/>
        <v>0.12512067776573738</v>
      </c>
      <c r="AF561" s="783">
        <f t="shared" si="574"/>
        <v>0.12512067776573738</v>
      </c>
      <c r="AG561" s="783">
        <f t="shared" si="575"/>
        <v>0.12512067776573738</v>
      </c>
      <c r="AH561" s="783">
        <f t="shared" si="576"/>
        <v>0.12512067776573738</v>
      </c>
    </row>
    <row r="562" spans="1:43" outlineLevel="3">
      <c r="C562" s="18" t="s">
        <v>845</v>
      </c>
      <c r="H562" s="23">
        <f>SUM(H563:H567)</f>
        <v>112453</v>
      </c>
      <c r="I562" s="23">
        <f t="shared" ref="I562:K562" si="583">SUM(I563:I567)</f>
        <v>103263</v>
      </c>
      <c r="J562" s="23">
        <f t="shared" si="583"/>
        <v>132755</v>
      </c>
      <c r="K562" s="23">
        <f t="shared" si="583"/>
        <v>112234</v>
      </c>
      <c r="L562" s="405">
        <v>144821.73601141275</v>
      </c>
      <c r="M562" s="405">
        <v>100243.69793145591</v>
      </c>
      <c r="N562" s="23">
        <f t="shared" ref="N562:S562" si="584">SUM(N563:N567)</f>
        <v>200995.50875562229</v>
      </c>
      <c r="O562" s="23">
        <f t="shared" si="584"/>
        <v>240267.09384378514</v>
      </c>
      <c r="P562" s="23">
        <f t="shared" si="584"/>
        <v>281389.76003595121</v>
      </c>
      <c r="Q562" s="23">
        <f t="shared" si="584"/>
        <v>320984.44734605623</v>
      </c>
      <c r="R562" s="23">
        <f t="shared" si="584"/>
        <v>363281.66534238262</v>
      </c>
      <c r="S562" s="23">
        <f t="shared" si="584"/>
        <v>411878.52454085049</v>
      </c>
      <c r="T562" s="1205"/>
    </row>
    <row r="563" spans="1:43" outlineLevel="3">
      <c r="D563" s="27" t="s">
        <v>841</v>
      </c>
      <c r="E563" s="28"/>
      <c r="F563" s="28"/>
      <c r="G563" s="28"/>
      <c r="H563" s="398">
        <v>58</v>
      </c>
      <c r="I563" s="398">
        <v>182</v>
      </c>
      <c r="J563" s="398">
        <v>2243</v>
      </c>
      <c r="K563" s="398">
        <v>4370</v>
      </c>
      <c r="L563" s="159">
        <f>K563*$L$537</f>
        <v>5638.8526326235697</v>
      </c>
      <c r="M563" s="817">
        <f>K563*$M$537</f>
        <v>3903.1395117385314</v>
      </c>
      <c r="N563" s="29">
        <f>N557*N539</f>
        <v>6753.042420355805</v>
      </c>
      <c r="O563" s="29">
        <f t="shared" ref="O563:S563" si="585">O557*O539</f>
        <v>7428.3466623913855</v>
      </c>
      <c r="P563" s="29">
        <f t="shared" si="585"/>
        <v>8171.1813286305251</v>
      </c>
      <c r="Q563" s="29">
        <f t="shared" si="585"/>
        <v>8988.2994614935797</v>
      </c>
      <c r="R563" s="29">
        <f t="shared" si="585"/>
        <v>9887.1294076429367</v>
      </c>
      <c r="S563" s="30">
        <f t="shared" si="585"/>
        <v>10875.842348407232</v>
      </c>
    </row>
    <row r="564" spans="1:43" outlineLevel="3">
      <c r="D564" s="31" t="s">
        <v>842</v>
      </c>
      <c r="H564" s="400">
        <v>11048</v>
      </c>
      <c r="I564" s="400">
        <v>29660</v>
      </c>
      <c r="J564" s="400">
        <v>31832</v>
      </c>
      <c r="K564" s="400">
        <v>26581</v>
      </c>
      <c r="L564" s="162">
        <f t="shared" ref="L564:L567" si="586">K564*$L$537</f>
        <v>34298.934056697275</v>
      </c>
      <c r="M564" s="539">
        <f t="shared" ref="M564:M567" si="587">K564*$M$537</f>
        <v>23741.270334444373</v>
      </c>
      <c r="N564" s="1188">
        <f>N558*N540</f>
        <v>55681.478703251822</v>
      </c>
      <c r="O564" s="20">
        <f t="shared" ref="O564:S564" si="588">O558*O540</f>
        <v>69601.848379064773</v>
      </c>
      <c r="P564" s="20">
        <f t="shared" si="588"/>
        <v>83522.218054877725</v>
      </c>
      <c r="Q564" s="20">
        <f t="shared" si="588"/>
        <v>96050.550763109379</v>
      </c>
      <c r="R564" s="20">
        <f t="shared" si="588"/>
        <v>110458.13337757578</v>
      </c>
      <c r="S564" s="32">
        <f t="shared" si="588"/>
        <v>127026.85338421214</v>
      </c>
    </row>
    <row r="565" spans="1:43" outlineLevel="3">
      <c r="D565" s="31" t="s">
        <v>843</v>
      </c>
      <c r="H565" s="400">
        <v>6239</v>
      </c>
      <c r="I565" s="400">
        <v>5524</v>
      </c>
      <c r="J565" s="400">
        <v>48274</v>
      </c>
      <c r="K565" s="400">
        <v>41763</v>
      </c>
      <c r="L565" s="162">
        <f t="shared" si="586"/>
        <v>53889.108122713529</v>
      </c>
      <c r="M565" s="539">
        <f t="shared" si="587"/>
        <v>37301.330761724552</v>
      </c>
      <c r="N565" s="1188">
        <f>N559*N541</f>
        <v>67881.388554029545</v>
      </c>
      <c r="O565" s="20">
        <f t="shared" ref="O565:S565" si="589">O559*O541</f>
        <v>78063.59683713397</v>
      </c>
      <c r="P565" s="20">
        <f t="shared" si="589"/>
        <v>89773.13636270407</v>
      </c>
      <c r="Q565" s="20">
        <f t="shared" si="589"/>
        <v>103239.10681710967</v>
      </c>
      <c r="R565" s="20">
        <f t="shared" si="589"/>
        <v>118724.97283967611</v>
      </c>
      <c r="S565" s="32">
        <f t="shared" si="589"/>
        <v>136533.71876562751</v>
      </c>
    </row>
    <row r="566" spans="1:43" outlineLevel="3">
      <c r="D566" s="31" t="s">
        <v>844</v>
      </c>
      <c r="H566" s="400">
        <v>69257</v>
      </c>
      <c r="I566" s="400">
        <v>46332</v>
      </c>
      <c r="J566" s="400">
        <v>46988</v>
      </c>
      <c r="K566" s="400">
        <v>26819</v>
      </c>
      <c r="L566" s="162">
        <f t="shared" si="586"/>
        <v>34606.038616551836</v>
      </c>
      <c r="M566" s="539">
        <f t="shared" si="587"/>
        <v>23953.844065289628</v>
      </c>
      <c r="N566" s="1188">
        <f>N560*N542</f>
        <v>37901.993912332029</v>
      </c>
      <c r="O566" s="20">
        <f t="shared" ref="O566:S566" si="590">O560*O542</f>
        <v>36006.894216715424</v>
      </c>
      <c r="P566" s="20">
        <f t="shared" si="590"/>
        <v>36006.894216715424</v>
      </c>
      <c r="Q566" s="20">
        <f t="shared" si="590"/>
        <v>36006.894216715424</v>
      </c>
      <c r="R566" s="20">
        <f t="shared" si="590"/>
        <v>36006.894216715424</v>
      </c>
      <c r="S566" s="32">
        <f t="shared" si="590"/>
        <v>36006.894216715424</v>
      </c>
    </row>
    <row r="567" spans="1:43" outlineLevel="3">
      <c r="D567" s="33" t="s">
        <v>665</v>
      </c>
      <c r="E567" s="34"/>
      <c r="F567" s="34"/>
      <c r="G567" s="34"/>
      <c r="H567" s="402">
        <v>25851</v>
      </c>
      <c r="I567" s="402">
        <v>21565</v>
      </c>
      <c r="J567" s="402">
        <v>3418</v>
      </c>
      <c r="K567" s="402">
        <v>12701</v>
      </c>
      <c r="L567" s="163">
        <f t="shared" si="586"/>
        <v>16388.802582826534</v>
      </c>
      <c r="M567" s="818">
        <f t="shared" si="587"/>
        <v>11344.113258258831</v>
      </c>
      <c r="N567" s="35">
        <f>N561*N543</f>
        <v>32777.605165653069</v>
      </c>
      <c r="O567" s="35">
        <f t="shared" ref="O567:S567" si="591">O561*O543</f>
        <v>49166.4077484796</v>
      </c>
      <c r="P567" s="35">
        <f t="shared" si="591"/>
        <v>63916.330073023477</v>
      </c>
      <c r="Q567" s="35">
        <f t="shared" si="591"/>
        <v>76699.596087628175</v>
      </c>
      <c r="R567" s="35">
        <f t="shared" si="591"/>
        <v>88204.535500772385</v>
      </c>
      <c r="S567" s="36">
        <f t="shared" si="591"/>
        <v>101435.21582588823</v>
      </c>
    </row>
    <row r="568" spans="1:43" outlineLevel="3">
      <c r="H568" s="43"/>
      <c r="I568" s="43"/>
      <c r="J568" s="43"/>
      <c r="K568" s="43"/>
    </row>
    <row r="569" spans="1:43" outlineLevel="3">
      <c r="C569" s="1" t="s">
        <v>659</v>
      </c>
      <c r="H569" s="394">
        <v>-78330</v>
      </c>
      <c r="I569" s="394">
        <v>-74933</v>
      </c>
      <c r="J569" s="394">
        <v>-91313</v>
      </c>
      <c r="K569" s="394">
        <v>-77455</v>
      </c>
      <c r="L569" s="394">
        <v>-100426.35453986522</v>
      </c>
      <c r="M569" s="394">
        <v>-71249.994120585267</v>
      </c>
      <c r="N569" s="20">
        <f>N570*N538</f>
        <v>-142861.13853156555</v>
      </c>
      <c r="O569" s="20">
        <f t="shared" ref="O569:S569" si="592">O570*O538</f>
        <v>-165481.63930641735</v>
      </c>
      <c r="P569" s="20">
        <f t="shared" si="592"/>
        <v>-190208.24158876803</v>
      </c>
      <c r="Q569" s="20">
        <f t="shared" si="592"/>
        <v>-214198.8995399049</v>
      </c>
      <c r="R569" s="20">
        <f t="shared" si="592"/>
        <v>-241680.67272241839</v>
      </c>
      <c r="S569" s="20">
        <f t="shared" si="592"/>
        <v>-273162.3764839315</v>
      </c>
    </row>
    <row r="570" spans="1:43" outlineLevel="3">
      <c r="D570" s="1" t="s">
        <v>849</v>
      </c>
      <c r="H570" s="744"/>
      <c r="I570" s="744">
        <f>I569/I538</f>
        <v>-9.6895105462834641E-2</v>
      </c>
      <c r="J570" s="744">
        <f>J569/J538</f>
        <v>-0.14177546269136374</v>
      </c>
      <c r="K570" s="744"/>
      <c r="L570" s="744">
        <f t="shared" ref="L570:M570" si="593">L569/L538</f>
        <v>-0.15027541519023005</v>
      </c>
      <c r="M570" s="744">
        <f t="shared" si="593"/>
        <v>-0.16768914731291057</v>
      </c>
      <c r="N570" s="746">
        <f>N556/M556*M570</f>
        <v>-0.16168462720087245</v>
      </c>
      <c r="O570" s="744">
        <f>N570*(1+O571)</f>
        <v>-0.15231207708817573</v>
      </c>
      <c r="P570" s="744">
        <f t="shared" ref="P570" si="594">O570*(1+P571)</f>
        <v>-0.14733022448639474</v>
      </c>
      <c r="Q570" s="744">
        <f t="shared" ref="Q570" si="595">P570*(1+Q571)</f>
        <v>-0.14469736041851028</v>
      </c>
      <c r="R570" s="744">
        <f t="shared" ref="R570" si="596">Q570*(1+R571)</f>
        <v>-0.14451631700812215</v>
      </c>
      <c r="S570" s="744">
        <f t="shared" ref="S570" si="597">R570*(1+S571)</f>
        <v>-0.14429924707312528</v>
      </c>
    </row>
    <row r="571" spans="1:43" ht="15" outlineLevel="3" thickBot="1">
      <c r="C571" s="37"/>
      <c r="D571" s="74"/>
      <c r="E571" s="74" t="s">
        <v>151</v>
      </c>
      <c r="F571" s="37"/>
      <c r="G571" s="37"/>
      <c r="H571" s="747"/>
      <c r="I571" s="75"/>
      <c r="J571" s="75">
        <f>J570/I570-1</f>
        <v>0.46318497734380948</v>
      </c>
      <c r="K571" s="75"/>
      <c r="L571" s="75">
        <f>L570/J570-1</f>
        <v>5.9953621998541262E-2</v>
      </c>
      <c r="M571" s="75"/>
      <c r="N571" s="748">
        <f>N570/L570-1</f>
        <v>7.5922012900112579E-2</v>
      </c>
      <c r="O571" s="749">
        <f>CHOOSE(case,V571,AD571,AL571)</f>
        <v>-5.7968096750796949E-2</v>
      </c>
      <c r="P571" s="750">
        <f>CHOOSE(case,W571,AE571,AM571)</f>
        <v>-3.2708191609106096E-2</v>
      </c>
      <c r="Q571" s="750">
        <f>CHOOSE(case,X571,AF571,AN571)</f>
        <v>-1.7870495189041047E-2</v>
      </c>
      <c r="R571" s="750">
        <f>CHOOSE(case,Y571,AG571,AO571)</f>
        <v>-1.2511866827736862E-3</v>
      </c>
      <c r="S571" s="751">
        <f>CHOOSE(case,Z571,AH571,AP571)</f>
        <v>-1.502044471453412E-3</v>
      </c>
      <c r="AC571" s="752"/>
      <c r="AD571" s="753">
        <f>(SUMPRODUCT(O551:O554,各区域分剂型成本优化!K$87:K$90)+O555*O561)/(SUMPRODUCT(N551:N554,各区域分剂型成本优化!J$87:J$90)+N555*N561)-1</f>
        <v>-5.7968096750796949E-2</v>
      </c>
      <c r="AE571" s="753">
        <f>(SUMPRODUCT(P551:P554,各区域分剂型成本优化!L$87:L$90)+P555*P561)/(SUMPRODUCT(O551:O554,各区域分剂型成本优化!K$87:K$90)+O555*O561)-1</f>
        <v>-3.2708191609106096E-2</v>
      </c>
      <c r="AF571" s="753">
        <f>(SUMPRODUCT(Q551:Q554,各区域分剂型成本优化!M$87:M$90)+Q555*Q561)/(SUMPRODUCT(P551:P554,各区域分剂型成本优化!L$87:L$90)+P555*P561)-1</f>
        <v>-1.7870495189041047E-2</v>
      </c>
      <c r="AG571" s="753">
        <f>(SUMPRODUCT(R551:R554,各区域分剂型成本优化!N$87:N$90)+R555*R561)/(SUMPRODUCT(Q551:Q554,各区域分剂型成本优化!M$87:M$90)+Q555*Q561)-1</f>
        <v>-1.2511866827736862E-3</v>
      </c>
      <c r="AH571" s="753">
        <f>(SUMPRODUCT(S551:S554,各区域分剂型成本优化!O$87:O$90)+S555*S561)/(SUMPRODUCT(R551:R554,各区域分剂型成本优化!N$87:N$90)+R555*R561)-1</f>
        <v>-1.502044471453412E-3</v>
      </c>
    </row>
    <row r="572" spans="1:43" outlineLevel="3">
      <c r="C572" s="18" t="s">
        <v>846</v>
      </c>
      <c r="D572" s="18"/>
      <c r="E572" s="18"/>
      <c r="F572" s="18"/>
      <c r="G572" s="18"/>
      <c r="H572" s="23">
        <f>H569+H562</f>
        <v>34123</v>
      </c>
      <c r="I572" s="23">
        <f>I569+I562</f>
        <v>28330</v>
      </c>
      <c r="J572" s="23">
        <f>J569+J562</f>
        <v>41442</v>
      </c>
      <c r="K572" s="23">
        <f>K569+K562</f>
        <v>34779</v>
      </c>
      <c r="L572" s="23">
        <f t="shared" ref="L572:S572" si="598">L569+L562</f>
        <v>44395.381471547531</v>
      </c>
      <c r="M572" s="23">
        <f t="shared" si="598"/>
        <v>28993.703810870647</v>
      </c>
      <c r="N572" s="23">
        <f t="shared" si="598"/>
        <v>58134.370224056736</v>
      </c>
      <c r="O572" s="23">
        <f t="shared" si="598"/>
        <v>74785.454537367797</v>
      </c>
      <c r="P572" s="23">
        <f t="shared" si="598"/>
        <v>91181.518447183189</v>
      </c>
      <c r="Q572" s="23">
        <f t="shared" si="598"/>
        <v>106785.54780615133</v>
      </c>
      <c r="R572" s="23">
        <f t="shared" si="598"/>
        <v>121600.99261996424</v>
      </c>
      <c r="S572" s="23">
        <f t="shared" si="598"/>
        <v>138716.14805691899</v>
      </c>
    </row>
    <row r="573" spans="1:43" outlineLevel="3">
      <c r="C573" s="22" t="s">
        <v>660</v>
      </c>
      <c r="D573" s="22"/>
      <c r="E573" s="22"/>
      <c r="F573" s="22"/>
      <c r="G573" s="22"/>
      <c r="H573" s="56">
        <f>IFERROR(H572/H562,"NA")</f>
        <v>0.30344232701662027</v>
      </c>
      <c r="I573" s="56">
        <f t="shared" ref="I573:S573" si="599">IFERROR(I572/I562,"NA")</f>
        <v>0.27434802397761054</v>
      </c>
      <c r="J573" s="56">
        <f t="shared" si="599"/>
        <v>0.31216903318142442</v>
      </c>
      <c r="K573" s="56">
        <f t="shared" si="599"/>
        <v>0.3098793591959656</v>
      </c>
      <c r="L573" s="56">
        <f t="shared" si="599"/>
        <v>0.30655192165386647</v>
      </c>
      <c r="M573" s="56">
        <f t="shared" si="599"/>
        <v>0.28923218525613253</v>
      </c>
      <c r="N573" s="56">
        <f t="shared" si="599"/>
        <v>0.28923218525613242</v>
      </c>
      <c r="O573" s="56">
        <f t="shared" si="599"/>
        <v>0.31125966249040821</v>
      </c>
      <c r="P573" s="56">
        <f t="shared" si="599"/>
        <v>0.32403993107472551</v>
      </c>
      <c r="Q573" s="56">
        <f t="shared" si="599"/>
        <v>0.3326813765871493</v>
      </c>
      <c r="R573" s="56">
        <f t="shared" si="599"/>
        <v>0.33472923139503546</v>
      </c>
      <c r="S573" s="56">
        <f t="shared" si="599"/>
        <v>0.33678897973997429</v>
      </c>
      <c r="U573" s="1526">
        <f>AC573+1%</f>
        <v>0.01</v>
      </c>
      <c r="V573" s="1526">
        <f t="shared" ref="V573" si="600">U573</f>
        <v>0.01</v>
      </c>
      <c r="W573" s="1526">
        <f t="shared" ref="W573" si="601">V573</f>
        <v>0.01</v>
      </c>
      <c r="X573" s="1526">
        <f t="shared" ref="X573" si="602">W573</f>
        <v>0.01</v>
      </c>
      <c r="Y573" s="1526">
        <f t="shared" ref="Y573" si="603">X573</f>
        <v>0.01</v>
      </c>
      <c r="Z573" s="1526">
        <f t="shared" ref="Z573" si="604">Y573</f>
        <v>0.01</v>
      </c>
      <c r="AC573" s="1175"/>
      <c r="AD573" s="1176"/>
      <c r="AE573" s="1176"/>
      <c r="AF573" s="1176"/>
      <c r="AG573" s="1176"/>
      <c r="AH573" s="1176"/>
      <c r="AK573" s="1526">
        <f>AC573-1%</f>
        <v>-0.01</v>
      </c>
      <c r="AL573" s="1526">
        <f t="shared" ref="AL573" si="605">AK573</f>
        <v>-0.01</v>
      </c>
      <c r="AM573" s="1526">
        <f t="shared" ref="AM573" si="606">AL573</f>
        <v>-0.01</v>
      </c>
      <c r="AN573" s="1526">
        <f t="shared" ref="AN573" si="607">AM573</f>
        <v>-0.01</v>
      </c>
      <c r="AO573" s="1526">
        <f t="shared" ref="AO573" si="608">AN573</f>
        <v>-0.01</v>
      </c>
      <c r="AP573" s="1526">
        <f t="shared" ref="AP573" si="609">AO573</f>
        <v>-0.01</v>
      </c>
    </row>
    <row r="574" spans="1:43" outlineLevel="2"/>
    <row r="575" spans="1:43" s="1126" customFormat="1" outlineLevel="3">
      <c r="A575" s="26" t="s">
        <v>8</v>
      </c>
      <c r="B575" s="26"/>
      <c r="C575" s="26" t="s">
        <v>1157</v>
      </c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408"/>
      <c r="U575" s="1518"/>
      <c r="V575" s="1518"/>
      <c r="W575" s="1518"/>
      <c r="X575" s="1518"/>
      <c r="Y575" s="1518"/>
      <c r="Z575" s="1518"/>
      <c r="AA575" s="1518"/>
      <c r="AC575" s="26"/>
      <c r="AD575" s="26"/>
      <c r="AE575" s="26"/>
      <c r="AF575" s="26"/>
      <c r="AG575" s="26"/>
      <c r="AH575" s="26"/>
      <c r="AI575" s="18"/>
      <c r="AK575" s="1518"/>
      <c r="AL575" s="1518"/>
      <c r="AM575" s="1518"/>
      <c r="AN575" s="1518"/>
      <c r="AO575" s="1518"/>
      <c r="AP575" s="1518"/>
      <c r="AQ575" s="1518"/>
    </row>
    <row r="576" spans="1:43" outlineLevel="3">
      <c r="H576" s="1132"/>
      <c r="I576" s="1132"/>
      <c r="J576" s="1132"/>
      <c r="K576" s="1132"/>
      <c r="L576" s="1343"/>
      <c r="M576" s="1343"/>
      <c r="N576" s="1132"/>
    </row>
    <row r="577" spans="1:43" s="1126" customFormat="1" outlineLevel="3">
      <c r="A577" s="18"/>
      <c r="B577" s="18"/>
      <c r="C577" s="18" t="s">
        <v>840</v>
      </c>
      <c r="D577" s="18"/>
      <c r="E577" s="18"/>
      <c r="F577" s="18"/>
      <c r="G577" s="18"/>
      <c r="H577" s="1344"/>
      <c r="I577" s="1344"/>
      <c r="J577" s="1344"/>
      <c r="K577" s="1344"/>
      <c r="L577" s="1344"/>
      <c r="M577" s="1344"/>
      <c r="N577" s="1344"/>
      <c r="O577" s="23">
        <f t="shared" ref="O577:S577" si="610">SUM(O578:O582)</f>
        <v>64943.900669999886</v>
      </c>
      <c r="P577" s="23">
        <f t="shared" si="610"/>
        <v>144868.30334999977</v>
      </c>
      <c r="Q577" s="23">
        <f t="shared" si="610"/>
        <v>260212.76495999956</v>
      </c>
      <c r="R577" s="23">
        <f t="shared" si="610"/>
        <v>381841.9963919993</v>
      </c>
      <c r="S577" s="23">
        <f t="shared" si="610"/>
        <v>511572.32225279917</v>
      </c>
      <c r="T577" s="408"/>
      <c r="U577" s="1519">
        <f>$L577*(1+$AA577)</f>
        <v>0</v>
      </c>
      <c r="V577" s="1519">
        <f>U577*(1+$AA577)</f>
        <v>0</v>
      </c>
      <c r="W577" s="1519">
        <f t="shared" ref="W577" si="611">V577*(1+$AA577)</f>
        <v>0</v>
      </c>
      <c r="X577" s="1519">
        <f>W577*(1+$AA577)</f>
        <v>0</v>
      </c>
      <c r="Y577" s="1519">
        <f>X577*(1+$AA577)</f>
        <v>0</v>
      </c>
      <c r="Z577" s="1519">
        <f t="shared" ref="Z577" si="612">Y577*(1+$AA577)</f>
        <v>0</v>
      </c>
      <c r="AA577" s="1520">
        <v>0.6</v>
      </c>
      <c r="AB577" s="1321"/>
      <c r="AC577" s="20"/>
      <c r="AD577" s="20"/>
      <c r="AE577" s="20"/>
      <c r="AF577" s="20"/>
      <c r="AG577" s="20"/>
      <c r="AH577" s="20"/>
      <c r="AI577" s="702"/>
      <c r="AJ577" s="1321"/>
      <c r="AK577" s="1519">
        <f>$L577*(1+$AQ577)</f>
        <v>0</v>
      </c>
      <c r="AL577" s="1519">
        <f>AK577*(1+$AQ577)</f>
        <v>0</v>
      </c>
      <c r="AM577" s="1519">
        <f t="shared" ref="AM577" si="613">AL577*(1+$AQ577)</f>
        <v>0</v>
      </c>
      <c r="AN577" s="1519">
        <f t="shared" ref="AN577" si="614">AM577*(1+$AQ577)</f>
        <v>0</v>
      </c>
      <c r="AO577" s="1519">
        <f>AN577*(1+$AQ577)</f>
        <v>0</v>
      </c>
      <c r="AP577" s="1519">
        <f t="shared" ref="AP577" si="615">AO577*(1+$AQ577)</f>
        <v>0</v>
      </c>
      <c r="AQ577" s="1520">
        <v>0.2</v>
      </c>
    </row>
    <row r="578" spans="1:43" outlineLevel="3">
      <c r="D578" s="27" t="s">
        <v>841</v>
      </c>
      <c r="E578" s="28"/>
      <c r="F578" s="28"/>
      <c r="G578" s="28"/>
      <c r="H578" s="1323"/>
      <c r="I578" s="1323"/>
      <c r="J578" s="1323"/>
      <c r="K578" s="1323"/>
      <c r="L578" s="1323"/>
      <c r="M578" s="1323"/>
      <c r="N578" s="1352"/>
      <c r="O578" s="159">
        <v>5099.882999999998</v>
      </c>
      <c r="P578" s="29">
        <f t="shared" ref="P578:P582" si="616">O578*(1+P584)</f>
        <v>10199.765999999996</v>
      </c>
      <c r="Q578" s="29">
        <f t="shared" ref="Q578:Q582" si="617">P578*(1+Q584)</f>
        <v>15299.648999999994</v>
      </c>
      <c r="R578" s="29">
        <f t="shared" ref="R578:R582" si="618">Q578*(1+R584)</f>
        <v>19889.543699999991</v>
      </c>
      <c r="S578" s="30">
        <f t="shared" ref="S578:S582" si="619">R578*(1+S584)</f>
        <v>23867.45243999999</v>
      </c>
      <c r="AC578" s="20"/>
      <c r="AD578" s="20"/>
      <c r="AE578" s="20"/>
      <c r="AF578" s="20"/>
      <c r="AG578" s="20"/>
      <c r="AH578" s="20"/>
    </row>
    <row r="579" spans="1:43" outlineLevel="3">
      <c r="D579" s="31" t="s">
        <v>842</v>
      </c>
      <c r="E579" s="1133"/>
      <c r="F579" s="1133"/>
      <c r="G579" s="1133"/>
      <c r="H579" s="1345"/>
      <c r="I579" s="1345"/>
      <c r="J579" s="1345"/>
      <c r="K579" s="1345"/>
      <c r="L579" s="1345"/>
      <c r="M579" s="1345"/>
      <c r="N579" s="1346"/>
      <c r="O579" s="162">
        <v>49805.022749999887</v>
      </c>
      <c r="P579" s="1188">
        <f t="shared" si="616"/>
        <v>109571.05004999976</v>
      </c>
      <c r="Q579" s="1188">
        <f t="shared" si="617"/>
        <v>197227.89008999956</v>
      </c>
      <c r="R579" s="1188">
        <f t="shared" si="618"/>
        <v>276119.04612599936</v>
      </c>
      <c r="S579" s="32">
        <f t="shared" si="619"/>
        <v>358954.75996379921</v>
      </c>
      <c r="AC579" s="20"/>
      <c r="AD579" s="20"/>
      <c r="AE579" s="20"/>
      <c r="AF579" s="20"/>
      <c r="AG579" s="20"/>
      <c r="AH579" s="20"/>
    </row>
    <row r="580" spans="1:43" outlineLevel="3">
      <c r="D580" s="31" t="s">
        <v>843</v>
      </c>
      <c r="E580" s="1133"/>
      <c r="F580" s="1133"/>
      <c r="G580" s="1133"/>
      <c r="H580" s="1345"/>
      <c r="I580" s="1345"/>
      <c r="J580" s="1345"/>
      <c r="K580" s="1345"/>
      <c r="L580" s="1345"/>
      <c r="M580" s="1345"/>
      <c r="N580" s="1346"/>
      <c r="O580" s="162">
        <v>10038.994919999997</v>
      </c>
      <c r="P580" s="1188">
        <f t="shared" si="616"/>
        <v>25097.487299999993</v>
      </c>
      <c r="Q580" s="1188">
        <f t="shared" si="617"/>
        <v>47685.225869999987</v>
      </c>
      <c r="R580" s="1188">
        <f t="shared" si="618"/>
        <v>85833.406565999976</v>
      </c>
      <c r="S580" s="32">
        <f t="shared" si="619"/>
        <v>128750.10984899997</v>
      </c>
      <c r="AC580" s="20"/>
      <c r="AD580" s="20"/>
      <c r="AE580" s="20"/>
      <c r="AF580" s="20"/>
      <c r="AG580" s="20"/>
      <c r="AH580" s="20"/>
    </row>
    <row r="581" spans="1:43" outlineLevel="3">
      <c r="D581" s="31" t="s">
        <v>844</v>
      </c>
      <c r="E581" s="1133"/>
      <c r="F581" s="1133"/>
      <c r="G581" s="1133"/>
      <c r="H581" s="1345"/>
      <c r="I581" s="1345"/>
      <c r="J581" s="1345"/>
      <c r="K581" s="1345"/>
      <c r="L581" s="1345"/>
      <c r="M581" s="1345"/>
      <c r="N581" s="1346"/>
      <c r="O581" s="162">
        <v>0</v>
      </c>
      <c r="P581" s="1188">
        <f t="shared" si="616"/>
        <v>0</v>
      </c>
      <c r="Q581" s="1188">
        <f t="shared" si="617"/>
        <v>0</v>
      </c>
      <c r="R581" s="1188">
        <f t="shared" si="618"/>
        <v>0</v>
      </c>
      <c r="S581" s="32">
        <f t="shared" si="619"/>
        <v>0</v>
      </c>
      <c r="AC581" s="20"/>
      <c r="AD581" s="20"/>
      <c r="AE581" s="20"/>
      <c r="AF581" s="20"/>
      <c r="AG581" s="20"/>
      <c r="AH581" s="20"/>
    </row>
    <row r="582" spans="1:43" outlineLevel="3">
      <c r="D582" s="33" t="s">
        <v>665</v>
      </c>
      <c r="E582" s="34"/>
      <c r="F582" s="34"/>
      <c r="G582" s="34"/>
      <c r="H582" s="1327"/>
      <c r="I582" s="1327"/>
      <c r="J582" s="1327"/>
      <c r="K582" s="1327"/>
      <c r="L582" s="1353"/>
      <c r="M582" s="1353"/>
      <c r="N582" s="1353"/>
      <c r="O582" s="163">
        <v>0</v>
      </c>
      <c r="P582" s="35">
        <f t="shared" si="616"/>
        <v>0</v>
      </c>
      <c r="Q582" s="35">
        <f t="shared" si="617"/>
        <v>0</v>
      </c>
      <c r="R582" s="35">
        <f t="shared" si="618"/>
        <v>0</v>
      </c>
      <c r="S582" s="36">
        <f t="shared" si="619"/>
        <v>0</v>
      </c>
      <c r="AC582" s="20"/>
      <c r="AD582" s="20"/>
      <c r="AE582" s="20"/>
      <c r="AF582" s="20"/>
      <c r="AG582" s="20"/>
      <c r="AH582" s="20"/>
    </row>
    <row r="583" spans="1:43" s="1365" customFormat="1" outlineLevel="3">
      <c r="A583" s="22"/>
      <c r="B583" s="22"/>
      <c r="C583" s="22" t="s">
        <v>847</v>
      </c>
      <c r="D583" s="22"/>
      <c r="E583" s="22"/>
      <c r="F583" s="22"/>
      <c r="G583" s="22"/>
      <c r="H583" s="1347"/>
      <c r="I583" s="175"/>
      <c r="J583" s="175"/>
      <c r="K583" s="175"/>
      <c r="L583" s="175"/>
      <c r="M583" s="175"/>
      <c r="N583" s="175"/>
      <c r="O583" s="24"/>
      <c r="P583" s="24">
        <f t="shared" ref="P583" si="620">P577/O577-1</f>
        <v>1.2306683438391017</v>
      </c>
      <c r="Q583" s="24">
        <f t="shared" ref="Q583" si="621">Q577/P577-1</f>
        <v>0.79620219842935014</v>
      </c>
      <c r="R583" s="24">
        <f t="shared" ref="R583" si="622">R577/Q577-1</f>
        <v>0.46742223215181933</v>
      </c>
      <c r="S583" s="24">
        <f t="shared" ref="S583" si="623">S577/R577-1</f>
        <v>0.33974871042633725</v>
      </c>
      <c r="T583" s="726"/>
      <c r="U583" s="1521"/>
      <c r="V583" s="1521"/>
      <c r="W583" s="1521"/>
      <c r="X583" s="1521"/>
      <c r="Y583" s="1521"/>
      <c r="Z583" s="1521"/>
      <c r="AA583" s="1522"/>
      <c r="AC583" s="219"/>
      <c r="AD583" s="219"/>
      <c r="AE583" s="219"/>
      <c r="AF583" s="219"/>
      <c r="AG583" s="219"/>
      <c r="AH583" s="219"/>
      <c r="AI583" s="706"/>
      <c r="AK583" s="1521"/>
      <c r="AL583" s="1521"/>
      <c r="AM583" s="1521"/>
      <c r="AN583" s="1521"/>
      <c r="AO583" s="1521"/>
      <c r="AP583" s="1521"/>
      <c r="AQ583" s="1522"/>
    </row>
    <row r="584" spans="1:43" s="1365" customFormat="1" outlineLevel="3">
      <c r="A584" s="22"/>
      <c r="B584" s="22"/>
      <c r="C584" s="22"/>
      <c r="D584" s="707" t="s">
        <v>841</v>
      </c>
      <c r="E584" s="708"/>
      <c r="F584" s="708"/>
      <c r="G584" s="708"/>
      <c r="H584" s="1333"/>
      <c r="I584" s="710"/>
      <c r="J584" s="710"/>
      <c r="K584" s="710"/>
      <c r="L584" s="710"/>
      <c r="M584" s="710"/>
      <c r="N584" s="710"/>
      <c r="O584" s="1177"/>
      <c r="P584" s="712">
        <f t="shared" ref="P584:P588" si="624">CHOOSE(case,W584,AE584,AM584)</f>
        <v>1</v>
      </c>
      <c r="Q584" s="712">
        <f t="shared" ref="Q584:Q588" si="625">CHOOSE(case,X584,AF584,AN584)</f>
        <v>0.5</v>
      </c>
      <c r="R584" s="712">
        <f t="shared" ref="R584:R588" si="626">CHOOSE(case,Y584,AG584,AO584)</f>
        <v>0.3</v>
      </c>
      <c r="S584" s="713">
        <f t="shared" ref="S584:S588" si="627">CHOOSE(case,Z584,AH584,AP584)</f>
        <v>0.2</v>
      </c>
      <c r="T584" s="726"/>
      <c r="U584" s="1521"/>
      <c r="V584" s="1521"/>
      <c r="W584" s="1521"/>
      <c r="X584" s="1521"/>
      <c r="Y584" s="1521"/>
      <c r="Z584" s="1521"/>
      <c r="AA584" s="1523"/>
      <c r="AC584" s="728"/>
      <c r="AD584" s="728"/>
      <c r="AE584" s="714">
        <v>1</v>
      </c>
      <c r="AF584" s="714">
        <v>0.5</v>
      </c>
      <c r="AG584" s="714">
        <v>0.3</v>
      </c>
      <c r="AH584" s="714">
        <v>0.2</v>
      </c>
      <c r="AI584" s="22"/>
      <c r="AK584" s="1521"/>
      <c r="AL584" s="1521"/>
      <c r="AM584" s="1521"/>
      <c r="AN584" s="1521"/>
      <c r="AO584" s="1521"/>
      <c r="AP584" s="1521"/>
      <c r="AQ584" s="1523"/>
    </row>
    <row r="585" spans="1:43" s="1365" customFormat="1" outlineLevel="3">
      <c r="A585" s="22"/>
      <c r="B585" s="22"/>
      <c r="C585" s="22"/>
      <c r="D585" s="715" t="s">
        <v>842</v>
      </c>
      <c r="E585" s="1141"/>
      <c r="F585" s="1141"/>
      <c r="G585" s="1141"/>
      <c r="H585" s="1347"/>
      <c r="I585" s="175"/>
      <c r="J585" s="175"/>
      <c r="K585" s="175"/>
      <c r="L585" s="175"/>
      <c r="M585" s="175"/>
      <c r="N585" s="175"/>
      <c r="O585" s="1334"/>
      <c r="P585" s="717">
        <f t="shared" si="624"/>
        <v>1.2</v>
      </c>
      <c r="Q585" s="717">
        <f t="shared" si="625"/>
        <v>0.8</v>
      </c>
      <c r="R585" s="717">
        <f t="shared" si="626"/>
        <v>0.4</v>
      </c>
      <c r="S585" s="718">
        <f t="shared" si="627"/>
        <v>0.3</v>
      </c>
      <c r="T585" s="726"/>
      <c r="U585" s="1521"/>
      <c r="V585" s="1521"/>
      <c r="W585" s="1521"/>
      <c r="X585" s="1521"/>
      <c r="Y585" s="1521"/>
      <c r="Z585" s="1521"/>
      <c r="AA585" s="1523"/>
      <c r="AC585" s="728"/>
      <c r="AD585" s="728"/>
      <c r="AE585" s="714">
        <v>1.2</v>
      </c>
      <c r="AF585" s="714">
        <v>0.8</v>
      </c>
      <c r="AG585" s="714">
        <v>0.4</v>
      </c>
      <c r="AH585" s="714">
        <v>0.3</v>
      </c>
      <c r="AI585" s="22"/>
      <c r="AK585" s="1521"/>
      <c r="AL585" s="1521"/>
      <c r="AM585" s="1521"/>
      <c r="AN585" s="1521"/>
      <c r="AO585" s="1521"/>
      <c r="AP585" s="1521"/>
      <c r="AQ585" s="1523"/>
    </row>
    <row r="586" spans="1:43" s="1365" customFormat="1" outlineLevel="3">
      <c r="A586" s="22"/>
      <c r="B586" s="22"/>
      <c r="C586" s="22"/>
      <c r="D586" s="715" t="s">
        <v>843</v>
      </c>
      <c r="E586" s="1141"/>
      <c r="F586" s="1141"/>
      <c r="G586" s="1141"/>
      <c r="H586" s="1347"/>
      <c r="I586" s="175"/>
      <c r="J586" s="175"/>
      <c r="K586" s="175"/>
      <c r="L586" s="175"/>
      <c r="M586" s="175"/>
      <c r="N586" s="175"/>
      <c r="O586" s="1334"/>
      <c r="P586" s="717">
        <f t="shared" si="624"/>
        <v>1.5</v>
      </c>
      <c r="Q586" s="717">
        <f t="shared" si="625"/>
        <v>0.9</v>
      </c>
      <c r="R586" s="717">
        <f t="shared" si="626"/>
        <v>0.8</v>
      </c>
      <c r="S586" s="718">
        <f t="shared" si="627"/>
        <v>0.5</v>
      </c>
      <c r="T586" s="726"/>
      <c r="U586" s="1521"/>
      <c r="V586" s="1521"/>
      <c r="W586" s="1521"/>
      <c r="X586" s="1521"/>
      <c r="Y586" s="1521"/>
      <c r="Z586" s="1521"/>
      <c r="AA586" s="1523"/>
      <c r="AC586" s="728"/>
      <c r="AD586" s="728"/>
      <c r="AE586" s="714">
        <v>1.5</v>
      </c>
      <c r="AF586" s="714">
        <v>0.9</v>
      </c>
      <c r="AG586" s="714">
        <v>0.8</v>
      </c>
      <c r="AH586" s="714">
        <v>0.5</v>
      </c>
      <c r="AI586" s="22"/>
      <c r="AK586" s="1521"/>
      <c r="AL586" s="1521"/>
      <c r="AM586" s="1521"/>
      <c r="AN586" s="1521"/>
      <c r="AO586" s="1521"/>
      <c r="AP586" s="1521"/>
      <c r="AQ586" s="1523"/>
    </row>
    <row r="587" spans="1:43" s="1365" customFormat="1" outlineLevel="3">
      <c r="A587" s="22"/>
      <c r="B587" s="22"/>
      <c r="C587" s="22"/>
      <c r="D587" s="715" t="s">
        <v>844</v>
      </c>
      <c r="E587" s="1141"/>
      <c r="F587" s="1141"/>
      <c r="G587" s="1141"/>
      <c r="H587" s="1347"/>
      <c r="I587" s="175"/>
      <c r="J587" s="175"/>
      <c r="K587" s="175"/>
      <c r="L587" s="175"/>
      <c r="M587" s="175"/>
      <c r="N587" s="175"/>
      <c r="O587" s="1334"/>
      <c r="P587" s="717">
        <f t="shared" si="624"/>
        <v>0</v>
      </c>
      <c r="Q587" s="717">
        <f t="shared" si="625"/>
        <v>0</v>
      </c>
      <c r="R587" s="717">
        <f t="shared" si="626"/>
        <v>0</v>
      </c>
      <c r="S587" s="718">
        <f t="shared" si="627"/>
        <v>0</v>
      </c>
      <c r="T587" s="726"/>
      <c r="U587" s="1521"/>
      <c r="V587" s="1521"/>
      <c r="W587" s="1521"/>
      <c r="X587" s="1521"/>
      <c r="Y587" s="1521"/>
      <c r="Z587" s="1521"/>
      <c r="AA587" s="1523"/>
      <c r="AC587" s="728"/>
      <c r="AD587" s="728"/>
      <c r="AE587" s="714"/>
      <c r="AF587" s="714"/>
      <c r="AG587" s="714"/>
      <c r="AH587" s="714"/>
      <c r="AI587" s="22"/>
      <c r="AK587" s="1521"/>
      <c r="AL587" s="1521"/>
      <c r="AM587" s="1521"/>
      <c r="AN587" s="1521"/>
      <c r="AO587" s="1521"/>
      <c r="AP587" s="1521"/>
      <c r="AQ587" s="1523"/>
    </row>
    <row r="588" spans="1:43" s="1365" customFormat="1" outlineLevel="3">
      <c r="A588" s="22"/>
      <c r="B588" s="22"/>
      <c r="C588" s="22"/>
      <c r="D588" s="719" t="s">
        <v>665</v>
      </c>
      <c r="E588" s="720"/>
      <c r="F588" s="720"/>
      <c r="G588" s="720"/>
      <c r="H588" s="1335"/>
      <c r="I588" s="722"/>
      <c r="J588" s="722"/>
      <c r="K588" s="722"/>
      <c r="L588" s="722"/>
      <c r="M588" s="722"/>
      <c r="N588" s="722"/>
      <c r="O588" s="1336"/>
      <c r="P588" s="724">
        <f t="shared" si="624"/>
        <v>0</v>
      </c>
      <c r="Q588" s="724">
        <f t="shared" si="625"/>
        <v>0</v>
      </c>
      <c r="R588" s="724">
        <f t="shared" si="626"/>
        <v>0</v>
      </c>
      <c r="S588" s="725">
        <f t="shared" si="627"/>
        <v>0</v>
      </c>
      <c r="T588" s="726"/>
      <c r="U588" s="1521"/>
      <c r="V588" s="1521"/>
      <c r="W588" s="1521"/>
      <c r="X588" s="1521"/>
      <c r="Y588" s="1521"/>
      <c r="Z588" s="1521"/>
      <c r="AA588" s="1523"/>
      <c r="AC588" s="728"/>
      <c r="AD588" s="728"/>
      <c r="AE588" s="714"/>
      <c r="AF588" s="714"/>
      <c r="AG588" s="714"/>
      <c r="AH588" s="714"/>
      <c r="AI588" s="22"/>
      <c r="AK588" s="1521"/>
      <c r="AL588" s="1521"/>
      <c r="AM588" s="1521"/>
      <c r="AN588" s="1521"/>
      <c r="AO588" s="1521"/>
      <c r="AP588" s="1521"/>
      <c r="AQ588" s="1523"/>
    </row>
    <row r="589" spans="1:43" s="1365" customFormat="1" outlineLevel="3">
      <c r="A589" s="22"/>
      <c r="B589" s="22"/>
      <c r="C589" s="22" t="s">
        <v>848</v>
      </c>
      <c r="D589" s="22"/>
      <c r="E589" s="22"/>
      <c r="F589" s="22"/>
      <c r="G589" s="22"/>
      <c r="H589" s="175"/>
      <c r="I589" s="175"/>
      <c r="J589" s="175"/>
      <c r="K589" s="175"/>
      <c r="L589" s="175"/>
      <c r="M589" s="175"/>
      <c r="N589" s="175"/>
      <c r="O589" s="24">
        <f>O577/O$577</f>
        <v>1</v>
      </c>
      <c r="P589" s="24">
        <f t="shared" ref="P589:S589" si="628">P577/P$577</f>
        <v>1</v>
      </c>
      <c r="Q589" s="24">
        <f t="shared" si="628"/>
        <v>1</v>
      </c>
      <c r="R589" s="24">
        <f t="shared" si="628"/>
        <v>1</v>
      </c>
      <c r="S589" s="24">
        <f t="shared" si="628"/>
        <v>1</v>
      </c>
      <c r="T589" s="726"/>
      <c r="U589" s="1521"/>
      <c r="V589" s="1521"/>
      <c r="W589" s="1521"/>
      <c r="X589" s="1521"/>
      <c r="Y589" s="1521"/>
      <c r="Z589" s="1521"/>
      <c r="AA589" s="1522"/>
      <c r="AC589" s="219"/>
      <c r="AD589" s="219"/>
      <c r="AE589" s="219"/>
      <c r="AF589" s="219"/>
      <c r="AG589" s="219"/>
      <c r="AH589" s="219"/>
      <c r="AI589" s="706"/>
      <c r="AK589" s="1521"/>
      <c r="AL589" s="1521"/>
      <c r="AM589" s="1521"/>
      <c r="AN589" s="1521"/>
      <c r="AO589" s="1521"/>
      <c r="AP589" s="1521"/>
      <c r="AQ589" s="1522"/>
    </row>
    <row r="590" spans="1:43" s="1365" customFormat="1" outlineLevel="3">
      <c r="A590" s="22"/>
      <c r="B590" s="22"/>
      <c r="C590" s="22"/>
      <c r="D590" s="707" t="s">
        <v>841</v>
      </c>
      <c r="E590" s="708"/>
      <c r="F590" s="708"/>
      <c r="G590" s="708"/>
      <c r="H590" s="710"/>
      <c r="I590" s="710"/>
      <c r="J590" s="710"/>
      <c r="K590" s="710"/>
      <c r="L590" s="710"/>
      <c r="M590" s="710"/>
      <c r="N590" s="710"/>
      <c r="O590" s="1357">
        <f>O578/O$577</f>
        <v>7.8527512936343108E-2</v>
      </c>
      <c r="P590" s="793">
        <f t="shared" ref="P590:S590" si="629">P578/P$577</f>
        <v>7.0407161291573261E-2</v>
      </c>
      <c r="Q590" s="793">
        <f t="shared" si="629"/>
        <v>5.8796688941650833E-2</v>
      </c>
      <c r="R590" s="793">
        <f t="shared" si="629"/>
        <v>5.2088413238813497E-2</v>
      </c>
      <c r="S590" s="803">
        <f t="shared" si="629"/>
        <v>4.665508942097462E-2</v>
      </c>
      <c r="T590" s="726"/>
      <c r="U590" s="1521"/>
      <c r="V590" s="1521"/>
      <c r="W590" s="1521"/>
      <c r="X590" s="1521"/>
      <c r="Y590" s="1521"/>
      <c r="Z590" s="1521"/>
      <c r="AA590" s="1523"/>
      <c r="AC590" s="728"/>
      <c r="AD590" s="728"/>
      <c r="AE590" s="728"/>
      <c r="AF590" s="728"/>
      <c r="AG590" s="728"/>
      <c r="AH590" s="728"/>
      <c r="AI590" s="22"/>
      <c r="AK590" s="1521"/>
      <c r="AL590" s="1521"/>
      <c r="AM590" s="1521"/>
      <c r="AN590" s="1521"/>
      <c r="AO590" s="1521"/>
      <c r="AP590" s="1521"/>
      <c r="AQ590" s="1523"/>
    </row>
    <row r="591" spans="1:43" s="1365" customFormat="1" outlineLevel="3">
      <c r="A591" s="22"/>
      <c r="B591" s="22"/>
      <c r="C591" s="22"/>
      <c r="D591" s="715" t="s">
        <v>842</v>
      </c>
      <c r="E591" s="1141"/>
      <c r="F591" s="1141"/>
      <c r="G591" s="1141"/>
      <c r="H591" s="175"/>
      <c r="I591" s="175"/>
      <c r="J591" s="175"/>
      <c r="K591" s="175"/>
      <c r="L591" s="175"/>
      <c r="M591" s="175"/>
      <c r="N591" s="175"/>
      <c r="O591" s="1358">
        <f t="shared" ref="O591:S591" si="630">O579/O$577</f>
        <v>0.76689299897575702</v>
      </c>
      <c r="P591" s="91">
        <f t="shared" si="630"/>
        <v>0.75634937054020468</v>
      </c>
      <c r="Q591" s="91">
        <f t="shared" si="630"/>
        <v>0.75794855844338704</v>
      </c>
      <c r="R591" s="91">
        <f t="shared" si="630"/>
        <v>0.72312382801009489</v>
      </c>
      <c r="S591" s="804">
        <f t="shared" si="630"/>
        <v>0.70166962587631487</v>
      </c>
      <c r="T591" s="726"/>
      <c r="U591" s="1521"/>
      <c r="V591" s="1521"/>
      <c r="W591" s="1521"/>
      <c r="X591" s="1521"/>
      <c r="Y591" s="1521"/>
      <c r="Z591" s="1521"/>
      <c r="AA591" s="1523"/>
      <c r="AC591" s="728"/>
      <c r="AD591" s="728"/>
      <c r="AE591" s="728"/>
      <c r="AF591" s="728"/>
      <c r="AG591" s="728"/>
      <c r="AH591" s="728"/>
      <c r="AI591" s="22"/>
      <c r="AK591" s="1521"/>
      <c r="AL591" s="1521"/>
      <c r="AM591" s="1521"/>
      <c r="AN591" s="1521"/>
      <c r="AO591" s="1521"/>
      <c r="AP591" s="1521"/>
      <c r="AQ591" s="1523"/>
    </row>
    <row r="592" spans="1:43" s="1365" customFormat="1" outlineLevel="3">
      <c r="A592" s="22"/>
      <c r="B592" s="22"/>
      <c r="C592" s="22"/>
      <c r="D592" s="715" t="s">
        <v>843</v>
      </c>
      <c r="E592" s="1141"/>
      <c r="F592" s="1141"/>
      <c r="G592" s="1141"/>
      <c r="H592" s="175"/>
      <c r="I592" s="175"/>
      <c r="J592" s="175"/>
      <c r="K592" s="175"/>
      <c r="L592" s="175"/>
      <c r="M592" s="175"/>
      <c r="N592" s="175"/>
      <c r="O592" s="1358">
        <f t="shared" ref="O592:S592" si="631">O580/O$577</f>
        <v>0.15457948808789984</v>
      </c>
      <c r="P592" s="91">
        <f t="shared" si="631"/>
        <v>0.17324346816822186</v>
      </c>
      <c r="Q592" s="91">
        <f t="shared" si="631"/>
        <v>0.18325475261496205</v>
      </c>
      <c r="R592" s="91">
        <f t="shared" si="631"/>
        <v>0.22478775875109172</v>
      </c>
      <c r="S592" s="804">
        <f t="shared" si="631"/>
        <v>0.25167528470271044</v>
      </c>
      <c r="T592" s="726"/>
      <c r="U592" s="1521"/>
      <c r="V592" s="1521"/>
      <c r="W592" s="1521"/>
      <c r="X592" s="1521"/>
      <c r="Y592" s="1521"/>
      <c r="Z592" s="1521"/>
      <c r="AA592" s="1523"/>
      <c r="AC592" s="728"/>
      <c r="AD592" s="728"/>
      <c r="AE592" s="728"/>
      <c r="AF592" s="728"/>
      <c r="AG592" s="728"/>
      <c r="AH592" s="728"/>
      <c r="AI592" s="22"/>
      <c r="AK592" s="1521"/>
      <c r="AL592" s="1521"/>
      <c r="AM592" s="1521"/>
      <c r="AN592" s="1521"/>
      <c r="AO592" s="1521"/>
      <c r="AP592" s="1521"/>
      <c r="AQ592" s="1523"/>
    </row>
    <row r="593" spans="1:43" s="1365" customFormat="1" outlineLevel="3">
      <c r="A593" s="22"/>
      <c r="B593" s="22"/>
      <c r="C593" s="22"/>
      <c r="D593" s="715" t="s">
        <v>844</v>
      </c>
      <c r="E593" s="1141"/>
      <c r="F593" s="1141"/>
      <c r="G593" s="1141"/>
      <c r="H593" s="175"/>
      <c r="I593" s="175"/>
      <c r="J593" s="175"/>
      <c r="K593" s="175"/>
      <c r="L593" s="175"/>
      <c r="M593" s="175"/>
      <c r="N593" s="175"/>
      <c r="O593" s="1358">
        <f t="shared" ref="O593:S593" si="632">O581/O$577</f>
        <v>0</v>
      </c>
      <c r="P593" s="91">
        <f t="shared" si="632"/>
        <v>0</v>
      </c>
      <c r="Q593" s="91">
        <f t="shared" si="632"/>
        <v>0</v>
      </c>
      <c r="R593" s="91">
        <f t="shared" si="632"/>
        <v>0</v>
      </c>
      <c r="S593" s="804">
        <f t="shared" si="632"/>
        <v>0</v>
      </c>
      <c r="T593" s="726"/>
      <c r="U593" s="1521"/>
      <c r="V593" s="1521"/>
      <c r="W593" s="1521"/>
      <c r="X593" s="1521"/>
      <c r="Y593" s="1521"/>
      <c r="Z593" s="1521"/>
      <c r="AA593" s="1523"/>
      <c r="AC593" s="728"/>
      <c r="AD593" s="728"/>
      <c r="AE593" s="728"/>
      <c r="AF593" s="728"/>
      <c r="AG593" s="728"/>
      <c r="AH593" s="728"/>
      <c r="AI593" s="22"/>
      <c r="AK593" s="1521"/>
      <c r="AL593" s="1521"/>
      <c r="AM593" s="1521"/>
      <c r="AN593" s="1521"/>
      <c r="AO593" s="1521"/>
      <c r="AP593" s="1521"/>
      <c r="AQ593" s="1523"/>
    </row>
    <row r="594" spans="1:43" s="1365" customFormat="1" outlineLevel="3">
      <c r="A594" s="22"/>
      <c r="B594" s="22"/>
      <c r="C594" s="22"/>
      <c r="D594" s="719" t="s">
        <v>665</v>
      </c>
      <c r="E594" s="720"/>
      <c r="F594" s="720"/>
      <c r="G594" s="720"/>
      <c r="H594" s="722"/>
      <c r="I594" s="722"/>
      <c r="J594" s="722"/>
      <c r="K594" s="722"/>
      <c r="L594" s="722"/>
      <c r="M594" s="722"/>
      <c r="N594" s="722"/>
      <c r="O594" s="1359">
        <f t="shared" ref="O594:S594" si="633">O582/O$577</f>
        <v>0</v>
      </c>
      <c r="P594" s="794">
        <f t="shared" si="633"/>
        <v>0</v>
      </c>
      <c r="Q594" s="794">
        <f t="shared" si="633"/>
        <v>0</v>
      </c>
      <c r="R594" s="794">
        <f t="shared" si="633"/>
        <v>0</v>
      </c>
      <c r="S594" s="805">
        <f t="shared" si="633"/>
        <v>0</v>
      </c>
      <c r="T594" s="726"/>
      <c r="U594" s="1521"/>
      <c r="V594" s="1521"/>
      <c r="W594" s="1521"/>
      <c r="X594" s="1521"/>
      <c r="Y594" s="1521"/>
      <c r="Z594" s="1521"/>
      <c r="AA594" s="1523"/>
      <c r="AC594" s="728"/>
      <c r="AD594" s="728"/>
      <c r="AE594" s="728"/>
      <c r="AF594" s="728"/>
      <c r="AG594" s="728"/>
      <c r="AH594" s="728"/>
      <c r="AI594" s="22"/>
      <c r="AK594" s="1521"/>
      <c r="AL594" s="1521"/>
      <c r="AM594" s="1521"/>
      <c r="AN594" s="1521"/>
      <c r="AO594" s="1521"/>
      <c r="AP594" s="1521"/>
      <c r="AQ594" s="1523"/>
    </row>
    <row r="595" spans="1:43" outlineLevel="3">
      <c r="C595" s="1" t="s">
        <v>31</v>
      </c>
      <c r="H595" s="1348"/>
      <c r="I595" s="1348"/>
      <c r="J595" s="1348"/>
      <c r="K595" s="1348"/>
      <c r="L595" s="1348"/>
      <c r="M595" s="1348"/>
      <c r="N595" s="1348"/>
      <c r="O595" s="806">
        <f t="shared" ref="O595:S595" si="634">IFERROR(O601/O577,"NA")</f>
        <v>0.29260176109781261</v>
      </c>
      <c r="P595" s="806">
        <f t="shared" si="634"/>
        <v>0.29327676989198442</v>
      </c>
      <c r="Q595" s="806">
        <f t="shared" si="634"/>
        <v>0.29326491928556569</v>
      </c>
      <c r="R595" s="806">
        <f t="shared" si="634"/>
        <v>0.29535263411315155</v>
      </c>
      <c r="S595" s="806">
        <f t="shared" si="634"/>
        <v>0.29664796504493934</v>
      </c>
      <c r="U595" s="1529">
        <f>$L595*(1+$AA595)</f>
        <v>0</v>
      </c>
      <c r="V595" s="1529">
        <f>U595*(1+$AA595)</f>
        <v>0</v>
      </c>
      <c r="W595" s="1529">
        <f t="shared" ref="W595" si="635">V595*(1+$AA595)</f>
        <v>0</v>
      </c>
      <c r="X595" s="1529">
        <f t="shared" ref="X595" si="636">W595*(1+$AA595)</f>
        <v>0</v>
      </c>
      <c r="Y595" s="1529">
        <f t="shared" ref="Y595" si="637">X595*(1+$AA595)</f>
        <v>0</v>
      </c>
      <c r="Z595" s="1529">
        <f t="shared" ref="Z595" si="638">Y595*(1+$AA595)</f>
        <v>0</v>
      </c>
      <c r="AA595" s="1520">
        <v>0.02</v>
      </c>
      <c r="AC595" s="1360"/>
      <c r="AD595" s="448"/>
      <c r="AE595" s="448"/>
      <c r="AF595" s="448"/>
      <c r="AG595" s="448"/>
      <c r="AH595" s="448"/>
      <c r="AI595" s="702"/>
      <c r="AK595" s="1529">
        <f>$L595*(1+$AQ595)</f>
        <v>0</v>
      </c>
      <c r="AL595" s="1529">
        <f>AK595*(1+$AQ595)</f>
        <v>0</v>
      </c>
      <c r="AM595" s="1529">
        <f t="shared" ref="AM595" si="639">AL595*(1+$AQ595)</f>
        <v>0</v>
      </c>
      <c r="AN595" s="1529">
        <f t="shared" ref="AN595" si="640">AM595*(1+$AQ595)</f>
        <v>0</v>
      </c>
      <c r="AO595" s="1529">
        <f>AN595*(1+$AQ595)</f>
        <v>0</v>
      </c>
      <c r="AP595" s="1529">
        <f t="shared" ref="AP595" si="641">AO595*(1+$AQ595)</f>
        <v>0</v>
      </c>
      <c r="AQ595" s="1520">
        <v>0</v>
      </c>
    </row>
    <row r="596" spans="1:43" outlineLevel="3">
      <c r="D596" s="27" t="s">
        <v>841</v>
      </c>
      <c r="E596" s="28"/>
      <c r="F596" s="28"/>
      <c r="G596" s="28"/>
      <c r="H596" s="1338"/>
      <c r="I596" s="1338"/>
      <c r="J596" s="1338"/>
      <c r="K596" s="1338"/>
      <c r="L596" s="1338"/>
      <c r="M596" s="1338"/>
      <c r="N596" s="1354"/>
      <c r="O596" s="780">
        <f t="shared" ref="O596:O600" si="642">CHOOSE(case,V596,AD596,AL596)</f>
        <v>0.33103908561999401</v>
      </c>
      <c r="P596" s="781">
        <f t="shared" ref="P596:P600" si="643">CHOOSE(case,W596,AE596,AM596)</f>
        <v>0.33103908561999401</v>
      </c>
      <c r="Q596" s="781">
        <f t="shared" ref="Q596:Q600" si="644">CHOOSE(case,X596,AF596,AN596)</f>
        <v>0.33103908561999401</v>
      </c>
      <c r="R596" s="781">
        <f t="shared" ref="R596:R600" si="645">CHOOSE(case,Y596,AG596,AO596)</f>
        <v>0.33103908561999401</v>
      </c>
      <c r="S596" s="782">
        <f t="shared" ref="S596:S600" si="646">CHOOSE(case,Z596,AH596,AP596)</f>
        <v>0.33103908561999401</v>
      </c>
      <c r="T596" s="993"/>
      <c r="U596" s="1530"/>
      <c r="V596" s="1530"/>
      <c r="W596" s="1530"/>
      <c r="X596" s="1530"/>
      <c r="Y596" s="1530"/>
      <c r="Z596" s="1530"/>
      <c r="AA596" s="1530"/>
      <c r="AB596" s="1371"/>
      <c r="AC596" s="1361"/>
      <c r="AD596" s="783">
        <f>AD557</f>
        <v>0.33103908561999401</v>
      </c>
      <c r="AE596" s="783">
        <f t="shared" ref="AE596:AH596" si="647">AE557</f>
        <v>0.33103908561999401</v>
      </c>
      <c r="AF596" s="783">
        <f t="shared" si="647"/>
        <v>0.33103908561999401</v>
      </c>
      <c r="AG596" s="783">
        <f t="shared" si="647"/>
        <v>0.33103908561999401</v>
      </c>
      <c r="AH596" s="783">
        <f t="shared" si="647"/>
        <v>0.33103908561999401</v>
      </c>
    </row>
    <row r="597" spans="1:43" outlineLevel="3">
      <c r="D597" s="31" t="s">
        <v>842</v>
      </c>
      <c r="E597" s="1133"/>
      <c r="F597" s="1133"/>
      <c r="G597" s="1133"/>
      <c r="H597" s="1349"/>
      <c r="I597" s="1349"/>
      <c r="J597" s="1349"/>
      <c r="K597" s="1349"/>
      <c r="L597" s="1349"/>
      <c r="M597" s="1349"/>
      <c r="N597" s="1350"/>
      <c r="O597" s="785">
        <f t="shared" si="642"/>
        <v>0.27949730583775262</v>
      </c>
      <c r="P597" s="786">
        <f t="shared" si="643"/>
        <v>0.27949730583775262</v>
      </c>
      <c r="Q597" s="786">
        <f t="shared" si="644"/>
        <v>0.27949730583775262</v>
      </c>
      <c r="R597" s="786">
        <f t="shared" si="645"/>
        <v>0.27949730583775262</v>
      </c>
      <c r="S597" s="787">
        <f t="shared" si="646"/>
        <v>0.27949730583775262</v>
      </c>
      <c r="T597" s="993"/>
      <c r="U597" s="1530"/>
      <c r="V597" s="1530"/>
      <c r="W597" s="1530"/>
      <c r="X597" s="1530"/>
      <c r="Y597" s="1530"/>
      <c r="Z597" s="1530"/>
      <c r="AA597" s="1530"/>
      <c r="AB597" s="1371"/>
      <c r="AC597" s="1361"/>
      <c r="AD597" s="783">
        <f t="shared" ref="AD597:AH600" si="648">AD558</f>
        <v>0.27949730583775262</v>
      </c>
      <c r="AE597" s="783">
        <f t="shared" si="648"/>
        <v>0.27949730583775262</v>
      </c>
      <c r="AF597" s="783">
        <f t="shared" si="648"/>
        <v>0.27949730583775262</v>
      </c>
      <c r="AG597" s="783">
        <f t="shared" si="648"/>
        <v>0.27949730583775262</v>
      </c>
      <c r="AH597" s="783">
        <f t="shared" si="648"/>
        <v>0.27949730583775262</v>
      </c>
    </row>
    <row r="598" spans="1:43" outlineLevel="3">
      <c r="D598" s="31" t="s">
        <v>843</v>
      </c>
      <c r="E598" s="1133"/>
      <c r="F598" s="1133"/>
      <c r="G598" s="1133"/>
      <c r="H598" s="1349"/>
      <c r="I598" s="1349"/>
      <c r="J598" s="1349"/>
      <c r="K598" s="1349"/>
      <c r="L598" s="1349"/>
      <c r="M598" s="1349"/>
      <c r="N598" s="1350"/>
      <c r="O598" s="785">
        <f t="shared" si="642"/>
        <v>0.3380885690996524</v>
      </c>
      <c r="P598" s="786">
        <f t="shared" si="643"/>
        <v>0.3380885690996524</v>
      </c>
      <c r="Q598" s="786">
        <f t="shared" si="644"/>
        <v>0.3380885690996524</v>
      </c>
      <c r="R598" s="786">
        <f t="shared" si="645"/>
        <v>0.3380885690996524</v>
      </c>
      <c r="S598" s="787">
        <f t="shared" si="646"/>
        <v>0.3380885690996524</v>
      </c>
      <c r="T598" s="993"/>
      <c r="U598" s="1530"/>
      <c r="V598" s="1530"/>
      <c r="W598" s="1530"/>
      <c r="X598" s="1530"/>
      <c r="Y598" s="1530"/>
      <c r="Z598" s="1530"/>
      <c r="AA598" s="1530"/>
      <c r="AB598" s="1371"/>
      <c r="AC598" s="1361"/>
      <c r="AD598" s="783">
        <f t="shared" si="648"/>
        <v>0.3380885690996524</v>
      </c>
      <c r="AE598" s="783">
        <f t="shared" si="648"/>
        <v>0.3380885690996524</v>
      </c>
      <c r="AF598" s="783">
        <f t="shared" si="648"/>
        <v>0.3380885690996524</v>
      </c>
      <c r="AG598" s="783">
        <f t="shared" si="648"/>
        <v>0.3380885690996524</v>
      </c>
      <c r="AH598" s="783">
        <f t="shared" si="648"/>
        <v>0.3380885690996524</v>
      </c>
    </row>
    <row r="599" spans="1:43" outlineLevel="3">
      <c r="D599" s="31" t="s">
        <v>844</v>
      </c>
      <c r="E599" s="1133"/>
      <c r="F599" s="1133"/>
      <c r="G599" s="1133"/>
      <c r="H599" s="1349"/>
      <c r="I599" s="1349"/>
      <c r="J599" s="1349"/>
      <c r="K599" s="1349"/>
      <c r="L599" s="1349"/>
      <c r="M599" s="1349"/>
      <c r="N599" s="1350"/>
      <c r="O599" s="785">
        <f t="shared" si="642"/>
        <v>0.18836889643362617</v>
      </c>
      <c r="P599" s="786">
        <f t="shared" si="643"/>
        <v>0.18836889643362617</v>
      </c>
      <c r="Q599" s="786">
        <f t="shared" si="644"/>
        <v>0.18836889643362617</v>
      </c>
      <c r="R599" s="786">
        <f t="shared" si="645"/>
        <v>0.18836889643362617</v>
      </c>
      <c r="S599" s="787">
        <f t="shared" si="646"/>
        <v>0.18836889643362617</v>
      </c>
      <c r="T599" s="993"/>
      <c r="U599" s="1530"/>
      <c r="V599" s="1530"/>
      <c r="W599" s="1530"/>
      <c r="X599" s="1530"/>
      <c r="Y599" s="1530"/>
      <c r="Z599" s="1530"/>
      <c r="AA599" s="1530"/>
      <c r="AB599" s="1371"/>
      <c r="AC599" s="1361"/>
      <c r="AD599" s="783">
        <f t="shared" si="648"/>
        <v>0.18836889643362617</v>
      </c>
      <c r="AE599" s="783">
        <f t="shared" si="648"/>
        <v>0.18836889643362617</v>
      </c>
      <c r="AF599" s="783">
        <f t="shared" si="648"/>
        <v>0.18836889643362617</v>
      </c>
      <c r="AG599" s="783">
        <f t="shared" si="648"/>
        <v>0.18836889643362617</v>
      </c>
      <c r="AH599" s="783">
        <f t="shared" si="648"/>
        <v>0.18836889643362617</v>
      </c>
    </row>
    <row r="600" spans="1:43" ht="15" outlineLevel="3" thickBot="1">
      <c r="C600" s="37"/>
      <c r="D600" s="33" t="s">
        <v>665</v>
      </c>
      <c r="E600" s="34"/>
      <c r="F600" s="34"/>
      <c r="G600" s="34"/>
      <c r="H600" s="1355"/>
      <c r="I600" s="1355"/>
      <c r="J600" s="1355"/>
      <c r="K600" s="1355"/>
      <c r="L600" s="1356"/>
      <c r="M600" s="1356"/>
      <c r="N600" s="1356"/>
      <c r="O600" s="807">
        <f t="shared" si="642"/>
        <v>0.12512067776573738</v>
      </c>
      <c r="P600" s="808">
        <f t="shared" si="643"/>
        <v>0.12512067776573738</v>
      </c>
      <c r="Q600" s="808">
        <f t="shared" si="644"/>
        <v>0.12512067776573738</v>
      </c>
      <c r="R600" s="808">
        <f t="shared" si="645"/>
        <v>0.12512067776573738</v>
      </c>
      <c r="S600" s="809">
        <f t="shared" si="646"/>
        <v>0.12512067776573738</v>
      </c>
      <c r="T600" s="1205"/>
      <c r="U600" s="1530"/>
      <c r="V600" s="1530"/>
      <c r="W600" s="1530"/>
      <c r="X600" s="1530"/>
      <c r="Y600" s="1530"/>
      <c r="Z600" s="1530"/>
      <c r="AA600" s="1530"/>
      <c r="AB600" s="1371"/>
      <c r="AC600" s="1361"/>
      <c r="AD600" s="783">
        <f t="shared" si="648"/>
        <v>0.12512067776573738</v>
      </c>
      <c r="AE600" s="783">
        <f t="shared" si="648"/>
        <v>0.12512067776573738</v>
      </c>
      <c r="AF600" s="783">
        <f t="shared" si="648"/>
        <v>0.12512067776573738</v>
      </c>
      <c r="AG600" s="783">
        <f t="shared" si="648"/>
        <v>0.12512067776573738</v>
      </c>
      <c r="AH600" s="783">
        <f t="shared" si="648"/>
        <v>0.12512067776573738</v>
      </c>
    </row>
    <row r="601" spans="1:43" outlineLevel="3">
      <c r="C601" s="18" t="s">
        <v>845</v>
      </c>
      <c r="H601" s="1344"/>
      <c r="I601" s="1344"/>
      <c r="J601" s="1344"/>
      <c r="K601" s="1344"/>
      <c r="L601" s="1351"/>
      <c r="M601" s="1351"/>
      <c r="N601" s="1344"/>
      <c r="O601" s="23">
        <f t="shared" ref="O601:S601" si="649">SUM(O602:O606)</f>
        <v>19002.699708603377</v>
      </c>
      <c r="P601" s="23">
        <f t="shared" si="649"/>
        <v>42486.508066220078</v>
      </c>
      <c r="Q601" s="23">
        <f t="shared" si="649"/>
        <v>76311.275513068147</v>
      </c>
      <c r="R601" s="23">
        <f t="shared" si="649"/>
        <v>112778.03944940151</v>
      </c>
      <c r="S601" s="23">
        <f t="shared" si="649"/>
        <v>151756.88836960681</v>
      </c>
      <c r="T601" s="1205"/>
      <c r="AC601" s="1321"/>
    </row>
    <row r="602" spans="1:43" outlineLevel="3">
      <c r="D602" s="27" t="s">
        <v>841</v>
      </c>
      <c r="E602" s="28"/>
      <c r="F602" s="28"/>
      <c r="G602" s="28"/>
      <c r="H602" s="1323"/>
      <c r="I602" s="1323"/>
      <c r="J602" s="1323"/>
      <c r="K602" s="1323"/>
      <c r="L602" s="1352"/>
      <c r="M602" s="1352"/>
      <c r="N602" s="1352"/>
      <c r="O602" s="29">
        <f t="shared" ref="O602:S602" si="650">O596*O578</f>
        <v>1688.2606050889513</v>
      </c>
      <c r="P602" s="29">
        <f t="shared" si="650"/>
        <v>3376.5212101779025</v>
      </c>
      <c r="Q602" s="29">
        <f t="shared" si="650"/>
        <v>5064.7818152668542</v>
      </c>
      <c r="R602" s="29">
        <f t="shared" si="650"/>
        <v>6584.2163598469097</v>
      </c>
      <c r="S602" s="30">
        <f t="shared" si="650"/>
        <v>7901.0596318162916</v>
      </c>
      <c r="AC602" s="1321"/>
    </row>
    <row r="603" spans="1:43" outlineLevel="3">
      <c r="D603" s="31" t="s">
        <v>842</v>
      </c>
      <c r="E603" s="1133"/>
      <c r="F603" s="1133"/>
      <c r="G603" s="1133"/>
      <c r="H603" s="1345"/>
      <c r="I603" s="1345"/>
      <c r="J603" s="1345"/>
      <c r="K603" s="1345"/>
      <c r="L603" s="1346"/>
      <c r="M603" s="1346"/>
      <c r="N603" s="1346"/>
      <c r="O603" s="1188">
        <f t="shared" ref="O603:S603" si="651">O597*O579</f>
        <v>13920.369675812946</v>
      </c>
      <c r="P603" s="1188">
        <f t="shared" si="651"/>
        <v>30624.813286788481</v>
      </c>
      <c r="Q603" s="1188">
        <f t="shared" si="651"/>
        <v>55124.663916219266</v>
      </c>
      <c r="R603" s="1188">
        <f t="shared" si="651"/>
        <v>77174.529482706959</v>
      </c>
      <c r="S603" s="32">
        <f t="shared" si="651"/>
        <v>100326.88832751906</v>
      </c>
      <c r="AC603" s="1321"/>
    </row>
    <row r="604" spans="1:43" outlineLevel="3">
      <c r="D604" s="31" t="s">
        <v>843</v>
      </c>
      <c r="E604" s="1133"/>
      <c r="F604" s="1133"/>
      <c r="G604" s="1133"/>
      <c r="H604" s="1345"/>
      <c r="I604" s="1345"/>
      <c r="J604" s="1345"/>
      <c r="K604" s="1345"/>
      <c r="L604" s="1346"/>
      <c r="M604" s="1346"/>
      <c r="N604" s="1346"/>
      <c r="O604" s="1188">
        <f t="shared" ref="O604:S604" si="652">O598*O580</f>
        <v>3394.0694277014786</v>
      </c>
      <c r="P604" s="1188">
        <f t="shared" si="652"/>
        <v>8485.1735692536968</v>
      </c>
      <c r="Q604" s="1188">
        <f t="shared" si="652"/>
        <v>16121.829781582022</v>
      </c>
      <c r="R604" s="1188">
        <f t="shared" si="652"/>
        <v>29019.293606847641</v>
      </c>
      <c r="S604" s="32">
        <f t="shared" si="652"/>
        <v>43528.940410271462</v>
      </c>
    </row>
    <row r="605" spans="1:43" outlineLevel="3">
      <c r="D605" s="31" t="s">
        <v>844</v>
      </c>
      <c r="E605" s="1133"/>
      <c r="F605" s="1133"/>
      <c r="G605" s="1133"/>
      <c r="H605" s="1345"/>
      <c r="I605" s="1345"/>
      <c r="J605" s="1345"/>
      <c r="K605" s="1345"/>
      <c r="L605" s="1346"/>
      <c r="M605" s="1346"/>
      <c r="N605" s="1346"/>
      <c r="O605" s="1188">
        <f t="shared" ref="O605:S605" si="653">O599*O581</f>
        <v>0</v>
      </c>
      <c r="P605" s="1188">
        <f t="shared" si="653"/>
        <v>0</v>
      </c>
      <c r="Q605" s="1188">
        <f t="shared" si="653"/>
        <v>0</v>
      </c>
      <c r="R605" s="1188">
        <f t="shared" si="653"/>
        <v>0</v>
      </c>
      <c r="S605" s="32">
        <f t="shared" si="653"/>
        <v>0</v>
      </c>
    </row>
    <row r="606" spans="1:43" outlineLevel="3">
      <c r="D606" s="33" t="s">
        <v>665</v>
      </c>
      <c r="E606" s="34"/>
      <c r="F606" s="34"/>
      <c r="G606" s="34"/>
      <c r="H606" s="1327"/>
      <c r="I606" s="1327"/>
      <c r="J606" s="1327"/>
      <c r="K606" s="1327"/>
      <c r="L606" s="1353"/>
      <c r="M606" s="1353"/>
      <c r="N606" s="1353"/>
      <c r="O606" s="35">
        <f t="shared" ref="O606:S606" si="654">O600*O582</f>
        <v>0</v>
      </c>
      <c r="P606" s="35">
        <f t="shared" si="654"/>
        <v>0</v>
      </c>
      <c r="Q606" s="35">
        <f t="shared" si="654"/>
        <v>0</v>
      </c>
      <c r="R606" s="35">
        <f t="shared" si="654"/>
        <v>0</v>
      </c>
      <c r="S606" s="36">
        <f t="shared" si="654"/>
        <v>0</v>
      </c>
    </row>
    <row r="607" spans="1:43" outlineLevel="3">
      <c r="H607" s="43"/>
      <c r="I607" s="43"/>
      <c r="J607" s="43"/>
      <c r="K607" s="43"/>
    </row>
    <row r="608" spans="1:43" outlineLevel="3">
      <c r="C608" s="1" t="s">
        <v>659</v>
      </c>
      <c r="H608" s="394"/>
      <c r="I608" s="394"/>
      <c r="J608" s="394"/>
      <c r="K608" s="394"/>
      <c r="L608" s="394"/>
      <c r="M608" s="394"/>
      <c r="N608" s="20"/>
      <c r="O608" s="20">
        <f>O611-O601</f>
        <v>-13658.006802155012</v>
      </c>
      <c r="P608" s="20">
        <f t="shared" ref="P608:S608" si="655">P611-P601</f>
        <v>-29993.778162822957</v>
      </c>
      <c r="Q608" s="20">
        <f t="shared" si="655"/>
        <v>-53213.273591651465</v>
      </c>
      <c r="R608" s="20">
        <f t="shared" si="655"/>
        <v>-78411.274169746393</v>
      </c>
      <c r="S608" s="20">
        <f t="shared" si="655"/>
        <v>-105199.54741818196</v>
      </c>
    </row>
    <row r="609" spans="1:43" outlineLevel="3">
      <c r="D609" s="1" t="s">
        <v>849</v>
      </c>
      <c r="H609" s="744"/>
      <c r="I609" s="744"/>
      <c r="J609" s="744"/>
      <c r="K609" s="744"/>
      <c r="L609" s="744"/>
      <c r="M609" s="744"/>
      <c r="N609" s="1350"/>
      <c r="O609" s="1364">
        <f>O608/O577</f>
        <v>-0.21030468852734274</v>
      </c>
      <c r="P609" s="1364">
        <f t="shared" ref="P609:S609" si="656">P608/P577</f>
        <v>-0.20704168868712719</v>
      </c>
      <c r="Q609" s="1364">
        <f t="shared" si="656"/>
        <v>-0.20449908981149145</v>
      </c>
      <c r="R609" s="1364">
        <f t="shared" si="656"/>
        <v>-0.20535005292935174</v>
      </c>
      <c r="S609" s="1364">
        <f t="shared" si="656"/>
        <v>-0.20563963850686282</v>
      </c>
    </row>
    <row r="610" spans="1:43" ht="15" outlineLevel="3" thickBot="1">
      <c r="C610" s="37"/>
      <c r="D610" s="74"/>
      <c r="E610" s="74" t="s">
        <v>151</v>
      </c>
      <c r="F610" s="37"/>
      <c r="G610" s="37"/>
      <c r="H610" s="747"/>
      <c r="I610" s="75"/>
      <c r="J610" s="75"/>
      <c r="K610" s="75"/>
      <c r="L610" s="75"/>
      <c r="M610" s="75"/>
      <c r="N610" s="172"/>
      <c r="O610" s="172"/>
      <c r="P610" s="172">
        <f>P609/O609-1</f>
        <v>-1.5515582952832285E-2</v>
      </c>
      <c r="Q610" s="172">
        <f t="shared" ref="Q610:S610" si="657">Q609/P609-1</f>
        <v>-1.2280613106271598E-2</v>
      </c>
      <c r="R610" s="172">
        <f t="shared" si="657"/>
        <v>4.1612073610923783E-3</v>
      </c>
      <c r="S610" s="172">
        <f t="shared" si="657"/>
        <v>1.4102045428285859E-3</v>
      </c>
      <c r="AC610" s="752"/>
      <c r="AD610" s="1362"/>
      <c r="AE610" s="1362"/>
      <c r="AF610" s="1362"/>
      <c r="AG610" s="1362"/>
      <c r="AH610" s="1362"/>
    </row>
    <row r="611" spans="1:43" outlineLevel="3">
      <c r="C611" s="18" t="s">
        <v>846</v>
      </c>
      <c r="D611" s="18"/>
      <c r="E611" s="18"/>
      <c r="F611" s="18"/>
      <c r="G611" s="18"/>
      <c r="H611" s="23"/>
      <c r="I611" s="23"/>
      <c r="J611" s="23"/>
      <c r="K611" s="23"/>
      <c r="L611" s="23"/>
      <c r="M611" s="23"/>
      <c r="N611" s="23"/>
      <c r="O611" s="23">
        <f>O612*O601</f>
        <v>5344.6929064483647</v>
      </c>
      <c r="P611" s="23">
        <f t="shared" ref="P611:S611" si="658">P612*P601</f>
        <v>12492.729903397119</v>
      </c>
      <c r="Q611" s="23">
        <f t="shared" si="658"/>
        <v>23098.001921416686</v>
      </c>
      <c r="R611" s="23">
        <f t="shared" si="658"/>
        <v>34366.765279655112</v>
      </c>
      <c r="S611" s="23">
        <f t="shared" si="658"/>
        <v>46557.340951424849</v>
      </c>
    </row>
    <row r="612" spans="1:43" outlineLevel="3">
      <c r="C612" s="22" t="s">
        <v>660</v>
      </c>
      <c r="D612" s="22"/>
      <c r="E612" s="22"/>
      <c r="F612" s="22"/>
      <c r="G612" s="22"/>
      <c r="H612" s="56"/>
      <c r="I612" s="56"/>
      <c r="J612" s="56"/>
      <c r="K612" s="56"/>
      <c r="L612" s="56"/>
      <c r="M612" s="56"/>
      <c r="N612" s="56"/>
      <c r="O612" s="1363">
        <f>O573-3%</f>
        <v>0.28125966249040824</v>
      </c>
      <c r="P612" s="1363">
        <f t="shared" ref="P612:S612" si="659">P573-3%</f>
        <v>0.29403993107472548</v>
      </c>
      <c r="Q612" s="1363">
        <f t="shared" si="659"/>
        <v>0.30268137658714933</v>
      </c>
      <c r="R612" s="1363">
        <f t="shared" si="659"/>
        <v>0.30472923139503549</v>
      </c>
      <c r="S612" s="1363">
        <f t="shared" si="659"/>
        <v>0.30678897973997432</v>
      </c>
      <c r="U612" s="1526">
        <f>AC612+1%</f>
        <v>0.01</v>
      </c>
      <c r="V612" s="1526">
        <f t="shared" ref="V612" si="660">U612</f>
        <v>0.01</v>
      </c>
      <c r="W612" s="1526">
        <f t="shared" ref="W612" si="661">V612</f>
        <v>0.01</v>
      </c>
      <c r="X612" s="1526">
        <f t="shared" ref="X612" si="662">W612</f>
        <v>0.01</v>
      </c>
      <c r="Y612" s="1526">
        <f t="shared" ref="Y612" si="663">X612</f>
        <v>0.01</v>
      </c>
      <c r="Z612" s="1526">
        <f t="shared" ref="Z612" si="664">Y612</f>
        <v>0.01</v>
      </c>
      <c r="AC612" s="1175"/>
      <c r="AD612" s="1176"/>
      <c r="AE612" s="1176"/>
      <c r="AF612" s="1176"/>
      <c r="AG612" s="1176"/>
      <c r="AH612" s="1176"/>
      <c r="AK612" s="1526">
        <f>AC612-1%</f>
        <v>-0.01</v>
      </c>
      <c r="AL612" s="1526">
        <f t="shared" ref="AL612" si="665">AK612</f>
        <v>-0.01</v>
      </c>
      <c r="AM612" s="1526">
        <f t="shared" ref="AM612" si="666">AL612</f>
        <v>-0.01</v>
      </c>
      <c r="AN612" s="1526">
        <f t="shared" ref="AN612" si="667">AM612</f>
        <v>-0.01</v>
      </c>
      <c r="AO612" s="1526">
        <f t="shared" ref="AO612" si="668">AN612</f>
        <v>-0.01</v>
      </c>
      <c r="AP612" s="1526">
        <f t="shared" ref="AP612" si="669">AO612</f>
        <v>-0.01</v>
      </c>
    </row>
    <row r="613" spans="1:43" outlineLevel="2"/>
    <row r="614" spans="1:43" s="1125" customFormat="1" outlineLevel="2">
      <c r="A614" s="15" t="s">
        <v>8</v>
      </c>
      <c r="B614" s="15" t="s">
        <v>52</v>
      </c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103"/>
      <c r="U614" s="1515"/>
      <c r="V614" s="1515"/>
      <c r="W614" s="1515"/>
      <c r="X614" s="1515"/>
      <c r="Y614" s="1515"/>
      <c r="Z614" s="1515"/>
      <c r="AA614" s="1515"/>
      <c r="AC614" s="16"/>
      <c r="AD614" s="16"/>
      <c r="AE614" s="16"/>
      <c r="AF614" s="16"/>
      <c r="AG614" s="16"/>
      <c r="AH614" s="16"/>
      <c r="AI614" s="96"/>
      <c r="AK614" s="1515"/>
      <c r="AL614" s="1515"/>
      <c r="AM614" s="1515"/>
      <c r="AN614" s="1515"/>
      <c r="AO614" s="1515"/>
      <c r="AP614" s="1515"/>
      <c r="AQ614" s="1515"/>
    </row>
    <row r="615" spans="1:43" outlineLevel="2"/>
    <row r="616" spans="1:43" s="1126" customFormat="1" outlineLevel="2">
      <c r="A616" s="26" t="s">
        <v>8</v>
      </c>
      <c r="B616" s="26"/>
      <c r="C616" s="26" t="s">
        <v>53</v>
      </c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408"/>
      <c r="U616" s="1518"/>
      <c r="V616" s="1518"/>
      <c r="W616" s="1518"/>
      <c r="X616" s="1518"/>
      <c r="Y616" s="1518"/>
      <c r="Z616" s="1518"/>
      <c r="AA616" s="1518"/>
      <c r="AC616" s="26"/>
      <c r="AD616" s="26"/>
      <c r="AE616" s="26"/>
      <c r="AF616" s="26"/>
      <c r="AG616" s="26"/>
      <c r="AH616" s="26"/>
      <c r="AI616" s="18"/>
      <c r="AK616" s="1518"/>
      <c r="AL616" s="1518"/>
      <c r="AM616" s="1518"/>
      <c r="AN616" s="1518"/>
      <c r="AO616" s="1518"/>
      <c r="AP616" s="1518"/>
      <c r="AQ616" s="1518"/>
    </row>
    <row r="617" spans="1:43" outlineLevel="2">
      <c r="L617" s="20"/>
      <c r="M617" s="20"/>
      <c r="N617" s="20"/>
      <c r="S617" s="20"/>
    </row>
    <row r="618" spans="1:43" s="1126" customFormat="1" outlineLevel="2">
      <c r="A618" s="18"/>
      <c r="B618" s="18"/>
      <c r="C618" s="18" t="s">
        <v>840</v>
      </c>
      <c r="D618" s="18"/>
      <c r="E618" s="18"/>
      <c r="F618" s="18"/>
      <c r="G618" s="18"/>
      <c r="H618" s="23">
        <f>SUM(H619:H623)</f>
        <v>5697199.1430000011</v>
      </c>
      <c r="I618" s="23">
        <f t="shared" ref="I618:S618" si="670">SUM(I619:I623)</f>
        <v>4167407.8309994992</v>
      </c>
      <c r="J618" s="23">
        <f t="shared" si="670"/>
        <v>3583086.7999999975</v>
      </c>
      <c r="K618" s="23">
        <f t="shared" si="670"/>
        <v>4503813</v>
      </c>
      <c r="L618" s="23">
        <f t="shared" si="670"/>
        <v>5441406.0212614546</v>
      </c>
      <c r="M618" s="23">
        <f t="shared" si="670"/>
        <v>3948551.1911466224</v>
      </c>
      <c r="N618" s="23">
        <f t="shared" si="670"/>
        <v>6733869.1569862785</v>
      </c>
      <c r="O618" s="23">
        <f t="shared" si="670"/>
        <v>8351370.644557083</v>
      </c>
      <c r="P618" s="23">
        <f t="shared" si="670"/>
        <v>9985862.4980081003</v>
      </c>
      <c r="Q618" s="23">
        <f t="shared" si="670"/>
        <v>11602098.300819943</v>
      </c>
      <c r="R618" s="23">
        <f t="shared" si="670"/>
        <v>13237713.409769937</v>
      </c>
      <c r="S618" s="23">
        <f t="shared" si="670"/>
        <v>14916983.271062309</v>
      </c>
      <c r="T618" s="675"/>
      <c r="U618" s="1518"/>
      <c r="V618" s="1518"/>
      <c r="W618" s="1518"/>
      <c r="X618" s="1518"/>
      <c r="Y618" s="1518"/>
      <c r="Z618" s="1518"/>
      <c r="AA618" s="1518"/>
      <c r="AC618" s="18"/>
      <c r="AD618" s="18"/>
      <c r="AE618" s="18"/>
      <c r="AF618" s="18"/>
      <c r="AG618" s="18"/>
      <c r="AH618" s="18"/>
      <c r="AI618" s="18"/>
      <c r="AK618" s="1518"/>
      <c r="AL618" s="1518"/>
      <c r="AM618" s="1518"/>
      <c r="AN618" s="1518"/>
      <c r="AO618" s="1518"/>
      <c r="AP618" s="1518"/>
      <c r="AQ618" s="1518"/>
    </row>
    <row r="619" spans="1:43" outlineLevel="2">
      <c r="D619" s="27" t="s">
        <v>841</v>
      </c>
      <c r="E619" s="28"/>
      <c r="F619" s="28"/>
      <c r="G619" s="28"/>
      <c r="H619" s="29">
        <f t="shared" ref="H619:J623" si="671">H644+H683+H708+H747+H786</f>
        <v>248285.72999999995</v>
      </c>
      <c r="I619" s="29">
        <f t="shared" si="671"/>
        <v>269089.45000000013</v>
      </c>
      <c r="J619" s="29">
        <f t="shared" si="671"/>
        <v>211617.32</v>
      </c>
      <c r="K619" s="29">
        <f t="shared" ref="K619:S623" si="672">K644+K683+K708+K747+K786</f>
        <v>556225</v>
      </c>
      <c r="L619" s="29">
        <f t="shared" si="672"/>
        <v>654866.67000000004</v>
      </c>
      <c r="M619" s="29">
        <f t="shared" si="672"/>
        <v>410619.83399999974</v>
      </c>
      <c r="N619" s="29">
        <f t="shared" si="672"/>
        <v>853563.16000000015</v>
      </c>
      <c r="O619" s="29">
        <f t="shared" si="672"/>
        <v>1137785.7034000002</v>
      </c>
      <c r="P619" s="29">
        <f t="shared" si="672"/>
        <v>1449803.6302800004</v>
      </c>
      <c r="Q619" s="29">
        <f t="shared" si="672"/>
        <v>1724853.6040560007</v>
      </c>
      <c r="R619" s="29">
        <f t="shared" si="672"/>
        <v>2010124.3457064009</v>
      </c>
      <c r="S619" s="29">
        <f t="shared" si="672"/>
        <v>2289425.6649818411</v>
      </c>
    </row>
    <row r="620" spans="1:43" outlineLevel="2">
      <c r="D620" s="31" t="s">
        <v>842</v>
      </c>
      <c r="H620" s="20">
        <f t="shared" si="671"/>
        <v>15267.880000000001</v>
      </c>
      <c r="I620" s="20">
        <f t="shared" si="671"/>
        <v>27360.128999499997</v>
      </c>
      <c r="J620" s="20">
        <f t="shared" si="671"/>
        <v>51235.560000000012</v>
      </c>
      <c r="K620" s="20">
        <f t="shared" si="672"/>
        <v>60201</v>
      </c>
      <c r="L620" s="20">
        <f t="shared" si="672"/>
        <v>69376.06799999997</v>
      </c>
      <c r="M620" s="20">
        <f t="shared" si="672"/>
        <v>24688.980000000003</v>
      </c>
      <c r="N620" s="20">
        <f t="shared" si="672"/>
        <v>76881.304799999969</v>
      </c>
      <c r="O620" s="20">
        <f t="shared" si="672"/>
        <v>92635.985759999967</v>
      </c>
      <c r="P620" s="20">
        <f t="shared" si="672"/>
        <v>115133.38815199996</v>
      </c>
      <c r="Q620" s="20">
        <f t="shared" si="672"/>
        <v>143150.97949919995</v>
      </c>
      <c r="R620" s="20">
        <f>R645+R684+R709+R748+R787</f>
        <v>169716.50202671991</v>
      </c>
      <c r="S620" s="20">
        <f t="shared" si="672"/>
        <v>198380.50190956789</v>
      </c>
    </row>
    <row r="621" spans="1:43" outlineLevel="2">
      <c r="D621" s="31" t="s">
        <v>843</v>
      </c>
      <c r="H621" s="20">
        <f t="shared" si="671"/>
        <v>1174375.9080000017</v>
      </c>
      <c r="I621" s="20">
        <f t="shared" si="671"/>
        <v>1028608.6670000001</v>
      </c>
      <c r="J621" s="20">
        <f t="shared" si="671"/>
        <v>1062611.7349999999</v>
      </c>
      <c r="K621" s="20">
        <f t="shared" si="672"/>
        <v>1145919</v>
      </c>
      <c r="L621" s="20">
        <f t="shared" si="672"/>
        <v>1372936.6239999998</v>
      </c>
      <c r="M621" s="20">
        <f t="shared" si="672"/>
        <v>892952.18199999933</v>
      </c>
      <c r="N621" s="20">
        <f t="shared" si="672"/>
        <v>1621925.9203117508</v>
      </c>
      <c r="O621" s="20">
        <f t="shared" si="672"/>
        <v>2173247.1467741011</v>
      </c>
      <c r="P621" s="20">
        <f t="shared" si="672"/>
        <v>2750643.4267165828</v>
      </c>
      <c r="Q621" s="20">
        <f t="shared" si="672"/>
        <v>3280347.6173403608</v>
      </c>
      <c r="R621" s="20">
        <f t="shared" si="672"/>
        <v>3802091.0885386188</v>
      </c>
      <c r="S621" s="20">
        <f t="shared" si="672"/>
        <v>4315341.1208146196</v>
      </c>
    </row>
    <row r="622" spans="1:43" outlineLevel="2">
      <c r="D622" s="31" t="s">
        <v>844</v>
      </c>
      <c r="H622" s="20">
        <f t="shared" si="671"/>
        <v>3256979.625</v>
      </c>
      <c r="I622" s="20">
        <f t="shared" si="671"/>
        <v>2828179.584999999</v>
      </c>
      <c r="J622" s="20">
        <f t="shared" si="671"/>
        <v>2188256.1849999977</v>
      </c>
      <c r="K622" s="20">
        <f t="shared" si="672"/>
        <v>2730078</v>
      </c>
      <c r="L622" s="20">
        <f t="shared" si="672"/>
        <v>3330781.5930000031</v>
      </c>
      <c r="M622" s="20">
        <f t="shared" si="672"/>
        <v>2602529.6009999979</v>
      </c>
      <c r="N622" s="20">
        <f t="shared" si="672"/>
        <v>4152694.5723000038</v>
      </c>
      <c r="O622" s="20">
        <f t="shared" si="672"/>
        <v>4901870.6290910048</v>
      </c>
      <c r="P622" s="20">
        <f t="shared" si="672"/>
        <v>5607260.3208754063</v>
      </c>
      <c r="Q622" s="20">
        <f t="shared" si="672"/>
        <v>6379420.422876168</v>
      </c>
      <c r="R622" s="20">
        <f t="shared" si="672"/>
        <v>7173744.2558554821</v>
      </c>
      <c r="S622" s="20">
        <f t="shared" si="672"/>
        <v>8023613.0410130201</v>
      </c>
    </row>
    <row r="623" spans="1:43" outlineLevel="2">
      <c r="D623" s="33" t="s">
        <v>665</v>
      </c>
      <c r="E623" s="34"/>
      <c r="F623" s="34"/>
      <c r="G623" s="34"/>
      <c r="H623" s="35">
        <f t="shared" si="671"/>
        <v>1002290</v>
      </c>
      <c r="I623" s="35">
        <f t="shared" si="671"/>
        <v>14170</v>
      </c>
      <c r="J623" s="35">
        <f t="shared" si="671"/>
        <v>69366</v>
      </c>
      <c r="K623" s="35">
        <f t="shared" si="672"/>
        <v>11390</v>
      </c>
      <c r="L623" s="35">
        <f t="shared" si="672"/>
        <v>13445.066261451489</v>
      </c>
      <c r="M623" s="35">
        <f t="shared" si="672"/>
        <v>17760.594146625193</v>
      </c>
      <c r="N623" s="35">
        <f t="shared" si="672"/>
        <v>28804.199574524064</v>
      </c>
      <c r="O623" s="35">
        <f t="shared" si="672"/>
        <v>45831.179531976479</v>
      </c>
      <c r="P623" s="35">
        <f t="shared" si="672"/>
        <v>63021.731984110433</v>
      </c>
      <c r="Q623" s="35">
        <f t="shared" si="672"/>
        <v>74325.677048214202</v>
      </c>
      <c r="R623" s="35">
        <f t="shared" si="672"/>
        <v>82037.217642715012</v>
      </c>
      <c r="S623" s="35">
        <f t="shared" si="672"/>
        <v>90222.942343259172</v>
      </c>
    </row>
    <row r="624" spans="1:43" outlineLevel="2">
      <c r="C624" s="1" t="s">
        <v>31</v>
      </c>
      <c r="H624" s="692">
        <f>H630/H618</f>
        <v>5.5940992099878913E-2</v>
      </c>
      <c r="I624" s="692">
        <f>I630/I618</f>
        <v>8.0994091341198643E-2</v>
      </c>
      <c r="J624" s="692">
        <f>J630/J618</f>
        <v>9.8040326569816913E-2</v>
      </c>
      <c r="K624" s="692">
        <f>K630/K618</f>
        <v>8.7400609217123351E-2</v>
      </c>
      <c r="L624" s="692">
        <f t="shared" ref="L624:S624" si="673">L630/L618</f>
        <v>8.787844361745413E-2</v>
      </c>
      <c r="M624" s="692">
        <f t="shared" si="673"/>
        <v>8.0402224282119267E-2</v>
      </c>
      <c r="N624" s="692">
        <f t="shared" si="673"/>
        <v>8.3275740578336074E-2</v>
      </c>
      <c r="O624" s="692">
        <f t="shared" si="673"/>
        <v>8.3762793343152536E-2</v>
      </c>
      <c r="P624" s="692">
        <f t="shared" si="673"/>
        <v>8.432603437910792E-2</v>
      </c>
      <c r="Q624" s="692">
        <f t="shared" si="673"/>
        <v>8.4658880083120377E-2</v>
      </c>
      <c r="R624" s="692">
        <f t="shared" si="673"/>
        <v>8.5014299380043359E-2</v>
      </c>
      <c r="S624" s="692">
        <f t="shared" si="673"/>
        <v>8.5337572403344344E-2</v>
      </c>
    </row>
    <row r="625" spans="2:19" outlineLevel="2">
      <c r="D625" s="27" t="s">
        <v>841</v>
      </c>
      <c r="E625" s="28"/>
      <c r="F625" s="28"/>
      <c r="G625" s="28"/>
      <c r="H625" s="693">
        <f t="shared" ref="H625:K629" si="674">IFERROR(H631/H619,"NA")</f>
        <v>0.10300288808382183</v>
      </c>
      <c r="I625" s="693">
        <f t="shared" si="674"/>
        <v>0.13639094873470509</v>
      </c>
      <c r="J625" s="693">
        <f t="shared" si="674"/>
        <v>0.14905679743038044</v>
      </c>
      <c r="K625" s="693">
        <f t="shared" si="674"/>
        <v>8.6918063733201489E-2</v>
      </c>
      <c r="L625" s="693">
        <f t="shared" ref="L625:S629" si="675">IFERROR(L631/L619,"NA")</f>
        <v>9.4080647037558612E-2</v>
      </c>
      <c r="M625" s="693">
        <f t="shared" si="675"/>
        <v>0.10621150931480028</v>
      </c>
      <c r="N625" s="693">
        <f t="shared" si="675"/>
        <v>0.10324318939638152</v>
      </c>
      <c r="O625" s="693">
        <f t="shared" si="675"/>
        <v>0.102800430713973</v>
      </c>
      <c r="P625" s="693">
        <f t="shared" si="675"/>
        <v>0.10178381182883181</v>
      </c>
      <c r="Q625" s="693">
        <f t="shared" si="675"/>
        <v>0.10054453487932782</v>
      </c>
      <c r="R625" s="693">
        <f t="shared" si="675"/>
        <v>9.9154529235738462E-2</v>
      </c>
      <c r="S625" s="693">
        <f t="shared" si="675"/>
        <v>9.8186988628542818E-2</v>
      </c>
    </row>
    <row r="626" spans="2:19" outlineLevel="2">
      <c r="D626" s="31" t="s">
        <v>842</v>
      </c>
      <c r="H626" s="695">
        <f t="shared" si="674"/>
        <v>0.1269331433047679</v>
      </c>
      <c r="I626" s="695">
        <f t="shared" si="674"/>
        <v>0.22613143454524892</v>
      </c>
      <c r="J626" s="695">
        <f t="shared" si="674"/>
        <v>0.21051785127360759</v>
      </c>
      <c r="K626" s="695">
        <f t="shared" si="674"/>
        <v>0.13632663909237389</v>
      </c>
      <c r="L626" s="695">
        <f t="shared" si="675"/>
        <v>0.14061908591618275</v>
      </c>
      <c r="M626" s="695">
        <f t="shared" si="675"/>
        <v>0.25745191792135169</v>
      </c>
      <c r="N626" s="695">
        <f t="shared" si="675"/>
        <v>0.24932502376383384</v>
      </c>
      <c r="O626" s="695">
        <f t="shared" si="675"/>
        <v>0.25088280327293494</v>
      </c>
      <c r="P626" s="695">
        <f t="shared" si="675"/>
        <v>0.25124688048034149</v>
      </c>
      <c r="Q626" s="695">
        <f t="shared" si="675"/>
        <v>0.25095809979518185</v>
      </c>
      <c r="R626" s="695">
        <f t="shared" si="675"/>
        <v>0.25038107074137694</v>
      </c>
      <c r="S626" s="695">
        <f t="shared" si="675"/>
        <v>0.24994391482585598</v>
      </c>
    </row>
    <row r="627" spans="2:19" outlineLevel="2">
      <c r="D627" s="31" t="s">
        <v>843</v>
      </c>
      <c r="H627" s="695">
        <f t="shared" si="674"/>
        <v>8.3726511417841404E-2</v>
      </c>
      <c r="I627" s="695">
        <f t="shared" si="674"/>
        <v>0.1076216718870015</v>
      </c>
      <c r="J627" s="695">
        <f t="shared" si="674"/>
        <v>0.13262040626720542</v>
      </c>
      <c r="K627" s="695">
        <f t="shared" si="674"/>
        <v>0.13455750362809238</v>
      </c>
      <c r="L627" s="695">
        <f t="shared" si="675"/>
        <v>0.13172919949694775</v>
      </c>
      <c r="M627" s="695">
        <f t="shared" si="675"/>
        <v>0.11783254485075091</v>
      </c>
      <c r="N627" s="695">
        <f t="shared" si="675"/>
        <v>0.11872543280375136</v>
      </c>
      <c r="O627" s="695">
        <f t="shared" si="675"/>
        <v>0.11517486603079921</v>
      </c>
      <c r="P627" s="695">
        <f t="shared" si="675"/>
        <v>0.11313258298545954</v>
      </c>
      <c r="Q627" s="695">
        <f t="shared" si="675"/>
        <v>0.11300348054287879</v>
      </c>
      <c r="R627" s="695">
        <f t="shared" si="675"/>
        <v>0.11363264601964548</v>
      </c>
      <c r="S627" s="695">
        <f t="shared" si="675"/>
        <v>0.11453465758873974</v>
      </c>
    </row>
    <row r="628" spans="2:19" outlineLevel="2">
      <c r="D628" s="31" t="s">
        <v>844</v>
      </c>
      <c r="H628" s="695">
        <f t="shared" si="674"/>
        <v>5.8867554972807053E-2</v>
      </c>
      <c r="I628" s="695">
        <f t="shared" si="674"/>
        <v>6.4084500298802652E-2</v>
      </c>
      <c r="J628" s="695">
        <f t="shared" si="674"/>
        <v>7.4049373702558582E-2</v>
      </c>
      <c r="K628" s="695">
        <f t="shared" si="674"/>
        <v>6.5809841330540741E-2</v>
      </c>
      <c r="L628" s="695">
        <f t="shared" si="675"/>
        <v>6.6712291279223387E-2</v>
      </c>
      <c r="M628" s="695">
        <f t="shared" si="675"/>
        <v>6.1070871264275295E-2</v>
      </c>
      <c r="N628" s="695">
        <f t="shared" si="675"/>
        <v>6.1502816372203471E-2</v>
      </c>
      <c r="O628" s="695">
        <f t="shared" si="675"/>
        <v>6.1416352018695664E-2</v>
      </c>
      <c r="P628" s="695">
        <f t="shared" si="675"/>
        <v>6.1333625516874865E-2</v>
      </c>
      <c r="Q628" s="695">
        <f t="shared" si="675"/>
        <v>6.1125996792719239E-2</v>
      </c>
      <c r="R628" s="695">
        <f t="shared" si="675"/>
        <v>6.1058648116980065E-2</v>
      </c>
      <c r="S628" s="695">
        <f t="shared" si="675"/>
        <v>6.1003904855311639E-2</v>
      </c>
    </row>
    <row r="629" spans="2:19" ht="15" outlineLevel="2" thickBot="1">
      <c r="B629" s="37"/>
      <c r="C629" s="37"/>
      <c r="D629" s="38" t="s">
        <v>665</v>
      </c>
      <c r="E629" s="37"/>
      <c r="F629" s="37"/>
      <c r="G629" s="37"/>
      <c r="H629" s="697">
        <f t="shared" si="674"/>
        <v>1.1353999341507947E-3</v>
      </c>
      <c r="I629" s="697">
        <f t="shared" si="674"/>
        <v>0.19082568807339451</v>
      </c>
      <c r="J629" s="697">
        <f t="shared" si="674"/>
        <v>8.64256263875674E-2</v>
      </c>
      <c r="K629" s="697">
        <f t="shared" si="674"/>
        <v>0.28314310798946446</v>
      </c>
      <c r="L629" s="697">
        <f t="shared" si="675"/>
        <v>0.27939607014554563</v>
      </c>
      <c r="M629" s="697">
        <f t="shared" si="675"/>
        <v>0.18839136781657842</v>
      </c>
      <c r="N629" s="697">
        <f t="shared" si="675"/>
        <v>0.19124490027360949</v>
      </c>
      <c r="O629" s="697">
        <f t="shared" si="675"/>
        <v>0.17389987044783706</v>
      </c>
      <c r="P629" s="697">
        <f t="shared" si="675"/>
        <v>0.16619250287489171</v>
      </c>
      <c r="Q629" s="697">
        <f t="shared" si="675"/>
        <v>0.16457323546394181</v>
      </c>
      <c r="R629" s="697">
        <f t="shared" si="675"/>
        <v>0.16489346680087999</v>
      </c>
      <c r="S629" s="697">
        <f t="shared" si="675"/>
        <v>0.16487474627454413</v>
      </c>
    </row>
    <row r="630" spans="2:19" outlineLevel="2">
      <c r="C630" s="18" t="s">
        <v>845</v>
      </c>
      <c r="H630" s="23">
        <f>SUM(H631:H635)</f>
        <v>318706.97224999999</v>
      </c>
      <c r="I630" s="23">
        <f t="shared" ref="I630:S630" si="676">SUM(I631:I635)</f>
        <v>337535.41051999998</v>
      </c>
      <c r="J630" s="23">
        <f t="shared" si="676"/>
        <v>351287</v>
      </c>
      <c r="K630" s="23">
        <f t="shared" si="676"/>
        <v>393636</v>
      </c>
      <c r="L630" s="23">
        <f t="shared" si="676"/>
        <v>478182.29223910015</v>
      </c>
      <c r="M630" s="23">
        <f t="shared" si="676"/>
        <v>317472.2984599999</v>
      </c>
      <c r="N630" s="23">
        <f t="shared" si="676"/>
        <v>560767.941005648</v>
      </c>
      <c r="O630" s="23">
        <f t="shared" si="676"/>
        <v>699534.13343210553</v>
      </c>
      <c r="P630" s="23">
        <f t="shared" si="676"/>
        <v>842068.18431207549</v>
      </c>
      <c r="Q630" s="23">
        <f t="shared" si="676"/>
        <v>982220.64876169025</v>
      </c>
      <c r="R630" s="23">
        <f t="shared" si="676"/>
        <v>1125394.930925396</v>
      </c>
      <c r="S630" s="23">
        <f t="shared" si="676"/>
        <v>1272979.1399337561</v>
      </c>
    </row>
    <row r="631" spans="2:19" outlineLevel="2">
      <c r="D631" s="27" t="s">
        <v>841</v>
      </c>
      <c r="E631" s="28"/>
      <c r="F631" s="28"/>
      <c r="G631" s="28"/>
      <c r="H631" s="29">
        <f t="shared" ref="H631:J635" si="677">H668+H695+H732+H771+H810</f>
        <v>25574.147259999998</v>
      </c>
      <c r="I631" s="29">
        <f t="shared" si="677"/>
        <v>36701.365380000003</v>
      </c>
      <c r="J631" s="29">
        <f t="shared" si="677"/>
        <v>31543</v>
      </c>
      <c r="K631" s="29">
        <f t="shared" ref="K631:S635" si="678">K668+K695+K732+K771+K810</f>
        <v>48346</v>
      </c>
      <c r="L631" s="29">
        <f>L668+L695+L732+L771+L810</f>
        <v>61610.280036931377</v>
      </c>
      <c r="M631" s="29">
        <f t="shared" ref="M631:S631" si="679">M668+M695+M732+M771+M810</f>
        <v>43612.552323732714</v>
      </c>
      <c r="N631" s="29">
        <f t="shared" si="679"/>
        <v>88124.582989653922</v>
      </c>
      <c r="O631" s="29">
        <f t="shared" si="679"/>
        <v>116964.86036972076</v>
      </c>
      <c r="P631" s="29">
        <f t="shared" si="679"/>
        <v>147566.53989317681</v>
      </c>
      <c r="Q631" s="29">
        <f t="shared" si="679"/>
        <v>173424.60335474287</v>
      </c>
      <c r="R631" s="29">
        <f t="shared" si="679"/>
        <v>199312.93320381499</v>
      </c>
      <c r="S631" s="29">
        <f t="shared" si="679"/>
        <v>224791.81173346611</v>
      </c>
    </row>
    <row r="632" spans="2:19" outlineLevel="2">
      <c r="D632" s="31" t="s">
        <v>842</v>
      </c>
      <c r="H632" s="20">
        <f t="shared" si="677"/>
        <v>1938</v>
      </c>
      <c r="I632" s="20">
        <f t="shared" si="677"/>
        <v>6186.9852200000005</v>
      </c>
      <c r="J632" s="20">
        <f t="shared" si="677"/>
        <v>10786</v>
      </c>
      <c r="K632" s="20">
        <f t="shared" si="678"/>
        <v>8207</v>
      </c>
      <c r="L632" s="20">
        <f t="shared" si="678"/>
        <v>9755.5992666189322</v>
      </c>
      <c r="M632" s="20">
        <f t="shared" si="678"/>
        <v>6356.2252525218946</v>
      </c>
      <c r="N632" s="20">
        <f t="shared" si="678"/>
        <v>19168.433146254545</v>
      </c>
      <c r="O632" s="20">
        <f t="shared" si="678"/>
        <v>23240.775791420474</v>
      </c>
      <c r="P632" s="20">
        <f t="shared" si="678"/>
        <v>28926.904612322302</v>
      </c>
      <c r="Q632" s="20">
        <f t="shared" si="678"/>
        <v>35924.897798938255</v>
      </c>
      <c r="R632" s="20">
        <f t="shared" si="678"/>
        <v>42493.7994999312</v>
      </c>
      <c r="S632" s="20">
        <f t="shared" si="678"/>
        <v>49583.999272395595</v>
      </c>
    </row>
    <row r="633" spans="2:19" outlineLevel="2">
      <c r="D633" s="31" t="s">
        <v>843</v>
      </c>
      <c r="H633" s="20">
        <f t="shared" si="677"/>
        <v>98326.397870000001</v>
      </c>
      <c r="I633" s="20">
        <f t="shared" si="677"/>
        <v>110700.58446</v>
      </c>
      <c r="J633" s="20">
        <f t="shared" si="677"/>
        <v>140924</v>
      </c>
      <c r="K633" s="20">
        <f t="shared" si="678"/>
        <v>154192</v>
      </c>
      <c r="L633" s="20">
        <f t="shared" si="678"/>
        <v>180855.84243956194</v>
      </c>
      <c r="M633" s="20">
        <f t="shared" si="678"/>
        <v>105218.82803509082</v>
      </c>
      <c r="N633" s="20">
        <f t="shared" si="678"/>
        <v>192563.85686463537</v>
      </c>
      <c r="O633" s="20">
        <f t="shared" si="678"/>
        <v>250303.44898152372</v>
      </c>
      <c r="P633" s="20">
        <f t="shared" si="678"/>
        <v>311187.39573642262</v>
      </c>
      <c r="Q633" s="20">
        <f t="shared" si="678"/>
        <v>370690.69815000024</v>
      </c>
      <c r="R633" s="20">
        <f t="shared" si="678"/>
        <v>432041.67079835746</v>
      </c>
      <c r="S633" s="20">
        <f t="shared" si="678"/>
        <v>494256.11765111081</v>
      </c>
    </row>
    <row r="634" spans="2:19" outlineLevel="2">
      <c r="D634" s="31" t="s">
        <v>844</v>
      </c>
      <c r="H634" s="20">
        <f t="shared" si="677"/>
        <v>191730.42712000001</v>
      </c>
      <c r="I634" s="20">
        <f t="shared" si="677"/>
        <v>181242.47545999999</v>
      </c>
      <c r="J634" s="20">
        <f t="shared" si="677"/>
        <v>162039</v>
      </c>
      <c r="K634" s="20">
        <f t="shared" si="678"/>
        <v>179666</v>
      </c>
      <c r="L634" s="20">
        <f t="shared" si="678"/>
        <v>222204.07181969189</v>
      </c>
      <c r="M634" s="20">
        <f t="shared" si="678"/>
        <v>158938.75022413663</v>
      </c>
      <c r="N634" s="20">
        <f t="shared" si="678"/>
        <v>255402.41173001318</v>
      </c>
      <c r="O634" s="20">
        <f t="shared" si="678"/>
        <v>301055.01210635831</v>
      </c>
      <c r="P634" s="20">
        <f t="shared" si="678"/>
        <v>343913.60469620378</v>
      </c>
      <c r="Q634" s="20">
        <f t="shared" si="678"/>
        <v>389948.43230813625</v>
      </c>
      <c r="R634" s="20">
        <f t="shared" si="678"/>
        <v>438019.1261994869</v>
      </c>
      <c r="S634" s="20">
        <f t="shared" si="678"/>
        <v>489471.72654979595</v>
      </c>
    </row>
    <row r="635" spans="2:19" outlineLevel="2">
      <c r="D635" s="33" t="s">
        <v>665</v>
      </c>
      <c r="E635" s="34"/>
      <c r="F635" s="34"/>
      <c r="G635" s="34"/>
      <c r="H635" s="35">
        <f t="shared" si="677"/>
        <v>1138</v>
      </c>
      <c r="I635" s="35">
        <f t="shared" si="677"/>
        <v>2704</v>
      </c>
      <c r="J635" s="35">
        <f t="shared" si="677"/>
        <v>5995</v>
      </c>
      <c r="K635" s="35">
        <f t="shared" si="678"/>
        <v>3225</v>
      </c>
      <c r="L635" s="35">
        <f t="shared" si="678"/>
        <v>3756.4986762960093</v>
      </c>
      <c r="M635" s="35">
        <f t="shared" si="678"/>
        <v>3345.9426245178365</v>
      </c>
      <c r="N635" s="35">
        <f t="shared" si="678"/>
        <v>5508.6562750909998</v>
      </c>
      <c r="O635" s="35">
        <f t="shared" si="678"/>
        <v>7970.0361830822712</v>
      </c>
      <c r="P635" s="35">
        <f t="shared" si="678"/>
        <v>10473.739373949928</v>
      </c>
      <c r="Q635" s="35">
        <f t="shared" si="678"/>
        <v>12232.017149872652</v>
      </c>
      <c r="R635" s="35">
        <f t="shared" si="678"/>
        <v>13527.401223805595</v>
      </c>
      <c r="S635" s="35">
        <f t="shared" si="678"/>
        <v>14875.484726987681</v>
      </c>
    </row>
    <row r="636" spans="2:19" outlineLevel="2"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</row>
    <row r="637" spans="2:19" ht="15" outlineLevel="2" thickBot="1">
      <c r="C637" s="37" t="s">
        <v>659</v>
      </c>
      <c r="D637" s="37"/>
      <c r="E637" s="37"/>
      <c r="F637" s="37"/>
      <c r="G637" s="37"/>
      <c r="H637" s="39">
        <f>H674+H701+H738+H777+H816</f>
        <v>-245468</v>
      </c>
      <c r="I637" s="39">
        <f>I674+I701+I738+I777+I816</f>
        <v>-245771</v>
      </c>
      <c r="J637" s="39">
        <f>J674+J701+J738+J777+J816</f>
        <v>-239592</v>
      </c>
      <c r="K637" s="39">
        <f t="shared" ref="K637:S637" si="680">K674+K701+K738+K777+K816</f>
        <v>-270243</v>
      </c>
      <c r="L637" s="39">
        <f t="shared" si="680"/>
        <v>-326415.08079990483</v>
      </c>
      <c r="M637" s="39">
        <f t="shared" si="680"/>
        <v>-200612.45639208052</v>
      </c>
      <c r="N637" s="39">
        <f t="shared" si="680"/>
        <v>-355262.03320288303</v>
      </c>
      <c r="O637" s="39">
        <f t="shared" si="680"/>
        <v>-445762.85139158164</v>
      </c>
      <c r="P637" s="39">
        <f t="shared" si="680"/>
        <v>-539535.28819343611</v>
      </c>
      <c r="Q637" s="39">
        <f t="shared" si="680"/>
        <v>-628992.87308126595</v>
      </c>
      <c r="R637" s="39">
        <f t="shared" si="680"/>
        <v>-720059.86611918453</v>
      </c>
      <c r="S637" s="39">
        <f t="shared" si="680"/>
        <v>-812267.93919176271</v>
      </c>
    </row>
    <row r="638" spans="2:19" outlineLevel="2">
      <c r="C638" s="18" t="s">
        <v>846</v>
      </c>
      <c r="D638" s="18"/>
      <c r="E638" s="18"/>
      <c r="F638" s="18"/>
      <c r="G638" s="18"/>
      <c r="H638" s="23">
        <f>H637+H630</f>
        <v>73238.972249999992</v>
      </c>
      <c r="I638" s="23">
        <f t="shared" ref="I638:S638" si="681">I637+I630</f>
        <v>91764.410519999976</v>
      </c>
      <c r="J638" s="23">
        <f t="shared" si="681"/>
        <v>111695</v>
      </c>
      <c r="K638" s="23">
        <f t="shared" si="681"/>
        <v>123393</v>
      </c>
      <c r="L638" s="23">
        <f t="shared" si="681"/>
        <v>151767.21143919532</v>
      </c>
      <c r="M638" s="23">
        <f t="shared" si="681"/>
        <v>116859.84206791938</v>
      </c>
      <c r="N638" s="23">
        <f t="shared" si="681"/>
        <v>205505.90780276497</v>
      </c>
      <c r="O638" s="23">
        <f t="shared" si="681"/>
        <v>253771.28204052389</v>
      </c>
      <c r="P638" s="23">
        <f t="shared" si="681"/>
        <v>302532.89611863939</v>
      </c>
      <c r="Q638" s="23">
        <f t="shared" si="681"/>
        <v>353227.7756804243</v>
      </c>
      <c r="R638" s="23">
        <f t="shared" si="681"/>
        <v>405335.06480621151</v>
      </c>
      <c r="S638" s="23">
        <f t="shared" si="681"/>
        <v>460711.20074199338</v>
      </c>
    </row>
    <row r="639" spans="2:19" outlineLevel="2">
      <c r="C639" s="22" t="s">
        <v>660</v>
      </c>
      <c r="D639" s="22"/>
      <c r="E639" s="22"/>
      <c r="F639" s="22"/>
      <c r="G639" s="22"/>
      <c r="H639" s="56">
        <f>IFERROR(H638/H630,"NA")</f>
        <v>0.22980034522919038</v>
      </c>
      <c r="I639" s="56">
        <f t="shared" ref="I639:S639" si="682">IFERROR(I638/I630,"NA")</f>
        <v>0.27186602548938393</v>
      </c>
      <c r="J639" s="56">
        <f t="shared" si="682"/>
        <v>0.31795938933123058</v>
      </c>
      <c r="K639" s="56">
        <f t="shared" si="682"/>
        <v>0.31346980459104351</v>
      </c>
      <c r="L639" s="56">
        <f t="shared" si="682"/>
        <v>0.31738358760325835</v>
      </c>
      <c r="M639" s="56">
        <f t="shared" si="682"/>
        <v>0.36809461056849718</v>
      </c>
      <c r="N639" s="56">
        <f t="shared" si="682"/>
        <v>0.36647228340875343</v>
      </c>
      <c r="O639" s="56">
        <f t="shared" si="682"/>
        <v>0.36277183615823383</v>
      </c>
      <c r="P639" s="56">
        <f t="shared" si="682"/>
        <v>0.35927363336472867</v>
      </c>
      <c r="Q639" s="56">
        <f t="shared" si="682"/>
        <v>0.3596216146807209</v>
      </c>
      <c r="R639" s="56">
        <f t="shared" si="682"/>
        <v>0.36017139731819331</v>
      </c>
      <c r="S639" s="56">
        <f t="shared" si="682"/>
        <v>0.36191575045445606</v>
      </c>
    </row>
    <row r="640" spans="2:19" outlineLevel="2"/>
    <row r="641" spans="1:43" s="1126" customFormat="1" outlineLevel="3">
      <c r="A641" s="26" t="s">
        <v>8</v>
      </c>
      <c r="B641" s="26"/>
      <c r="C641" s="26" t="s">
        <v>54</v>
      </c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408"/>
      <c r="U641" s="1518"/>
      <c r="V641" s="1518"/>
      <c r="W641" s="1518"/>
      <c r="X641" s="1518"/>
      <c r="Y641" s="1518"/>
      <c r="Z641" s="1518"/>
      <c r="AA641" s="1518"/>
      <c r="AC641" s="26"/>
      <c r="AD641" s="26"/>
      <c r="AE641" s="26"/>
      <c r="AF641" s="26"/>
      <c r="AG641" s="26"/>
      <c r="AH641" s="26"/>
      <c r="AI641" s="18"/>
      <c r="AK641" s="1518"/>
      <c r="AL641" s="1518"/>
      <c r="AM641" s="1518"/>
      <c r="AN641" s="1518"/>
      <c r="AO641" s="1518"/>
      <c r="AP641" s="1518"/>
      <c r="AQ641" s="1518"/>
    </row>
    <row r="642" spans="1:43" outlineLevel="3"/>
    <row r="643" spans="1:43" s="1126" customFormat="1" outlineLevel="3">
      <c r="A643" s="18"/>
      <c r="B643" s="18"/>
      <c r="C643" s="18" t="s">
        <v>840</v>
      </c>
      <c r="D643" s="18"/>
      <c r="E643" s="18"/>
      <c r="F643" s="18"/>
      <c r="G643" s="18"/>
      <c r="H643" s="23">
        <f>SUM(H644:H648)</f>
        <v>646612</v>
      </c>
      <c r="I643" s="23">
        <f t="shared" ref="I643:S643" si="683">SUM(I644:I648)</f>
        <v>800311.14999999991</v>
      </c>
      <c r="J643" s="23">
        <f t="shared" si="683"/>
        <v>615425</v>
      </c>
      <c r="K643" s="23">
        <f t="shared" si="683"/>
        <v>642520</v>
      </c>
      <c r="L643" s="23">
        <f t="shared" si="683"/>
        <v>894999.34000000032</v>
      </c>
      <c r="M643" s="23">
        <f t="shared" si="683"/>
        <v>831517.10000000009</v>
      </c>
      <c r="N643" s="23">
        <f t="shared" si="683"/>
        <v>1448374.7800000005</v>
      </c>
      <c r="O643" s="23">
        <f t="shared" si="683"/>
        <v>1965332.6960000007</v>
      </c>
      <c r="P643" s="23">
        <f t="shared" si="683"/>
        <v>2396491.7592000007</v>
      </c>
      <c r="Q643" s="23">
        <f t="shared" si="683"/>
        <v>2649486.5665200008</v>
      </c>
      <c r="R643" s="23">
        <f t="shared" si="683"/>
        <v>2827592.4356460012</v>
      </c>
      <c r="S643" s="23">
        <f t="shared" si="683"/>
        <v>2968972.0574283013</v>
      </c>
      <c r="T643" s="408"/>
      <c r="U643" s="1519">
        <f>$L643*(1+$AA643)</f>
        <v>1029249.2410000003</v>
      </c>
      <c r="V643" s="1519">
        <f>U643*(1+$AA643)</f>
        <v>1183636.6271500003</v>
      </c>
      <c r="W643" s="1519">
        <f t="shared" ref="W643" si="684">V643*(1+$AA643)</f>
        <v>1361182.1212225002</v>
      </c>
      <c r="X643" s="1519">
        <f>W643*(1+$AA643)</f>
        <v>1565359.439405875</v>
      </c>
      <c r="Y643" s="1519">
        <f>X643*(1+$AA643)</f>
        <v>1800163.3553167561</v>
      </c>
      <c r="Z643" s="1519">
        <f t="shared" ref="Z643" si="685">Y643*(1+$AA643)</f>
        <v>2070187.8586142694</v>
      </c>
      <c r="AA643" s="1520">
        <v>0.15</v>
      </c>
      <c r="AB643" s="1321"/>
      <c r="AC643" s="20"/>
      <c r="AD643" s="20"/>
      <c r="AE643" s="20"/>
      <c r="AF643" s="20"/>
      <c r="AG643" s="20"/>
      <c r="AH643" s="20"/>
      <c r="AI643" s="702"/>
      <c r="AJ643" s="1321"/>
      <c r="AK643" s="1519">
        <f>$L643*(1+$AQ643)</f>
        <v>939749.30700000038</v>
      </c>
      <c r="AL643" s="1519">
        <f>AK643*(1+$AQ643)</f>
        <v>986736.77235000045</v>
      </c>
      <c r="AM643" s="1519">
        <f t="shared" ref="AM643:AN643" si="686">AL643*(1+$AQ643)</f>
        <v>1036073.6109675005</v>
      </c>
      <c r="AN643" s="1519">
        <f t="shared" si="686"/>
        <v>1087877.2915158756</v>
      </c>
      <c r="AO643" s="1519">
        <f>AN643*(1+$AQ643)</f>
        <v>1142271.1560916693</v>
      </c>
      <c r="AP643" s="1519">
        <f t="shared" ref="AP643" si="687">AO643*(1+$AQ643)</f>
        <v>1199384.7138962529</v>
      </c>
      <c r="AQ643" s="1520">
        <v>0.05</v>
      </c>
    </row>
    <row r="644" spans="1:43" outlineLevel="3">
      <c r="D644" s="27" t="s">
        <v>841</v>
      </c>
      <c r="E644" s="28"/>
      <c r="F644" s="28"/>
      <c r="G644" s="28"/>
      <c r="H644" s="398">
        <v>127055</v>
      </c>
      <c r="I644" s="398">
        <v>151505.10000000003</v>
      </c>
      <c r="J644" s="398">
        <v>108770</v>
      </c>
      <c r="K644" s="398">
        <v>101800</v>
      </c>
      <c r="L644" s="398">
        <v>152975.70000000001</v>
      </c>
      <c r="M644" s="398">
        <v>140054.79999999999</v>
      </c>
      <c r="N644" s="703">
        <f>L644*(1+N650)</f>
        <v>244761.12000000002</v>
      </c>
      <c r="O644" s="29">
        <f>N644*(1+O650)</f>
        <v>318189.45600000006</v>
      </c>
      <c r="P644" s="29">
        <f t="shared" ref="P644:S644" si="688">O644*(1+P650)</f>
        <v>381827.34720000008</v>
      </c>
      <c r="Q644" s="29">
        <f t="shared" si="688"/>
        <v>420010.08192000014</v>
      </c>
      <c r="R644" s="29">
        <f t="shared" si="688"/>
        <v>441010.58601600019</v>
      </c>
      <c r="S644" s="30">
        <f t="shared" si="688"/>
        <v>463061.11531680019</v>
      </c>
    </row>
    <row r="645" spans="1:43" outlineLevel="3">
      <c r="D645" s="31" t="s">
        <v>842</v>
      </c>
      <c r="H645" s="400"/>
      <c r="I645" s="400"/>
      <c r="J645" s="400"/>
      <c r="K645" s="400"/>
      <c r="L645" s="400"/>
      <c r="M645" s="400"/>
      <c r="N645" s="704">
        <f t="shared" ref="N645:N648" si="689">L645*(1+N651)</f>
        <v>0</v>
      </c>
      <c r="O645" s="20">
        <f t="shared" ref="O645:S648" si="690">N645*(1+O651)</f>
        <v>0</v>
      </c>
      <c r="P645" s="20">
        <f t="shared" si="690"/>
        <v>0</v>
      </c>
      <c r="Q645" s="20">
        <f t="shared" si="690"/>
        <v>0</v>
      </c>
      <c r="R645" s="20">
        <f t="shared" si="690"/>
        <v>0</v>
      </c>
      <c r="S645" s="32">
        <f t="shared" si="690"/>
        <v>0</v>
      </c>
    </row>
    <row r="646" spans="1:43" outlineLevel="3">
      <c r="D646" s="31" t="s">
        <v>843</v>
      </c>
      <c r="H646" s="400">
        <v>13813</v>
      </c>
      <c r="I646" s="400">
        <v>20093.749999999996</v>
      </c>
      <c r="J646" s="400">
        <v>19272</v>
      </c>
      <c r="K646" s="400">
        <v>22960</v>
      </c>
      <c r="L646" s="400">
        <v>63377.14</v>
      </c>
      <c r="M646" s="400">
        <v>156957</v>
      </c>
      <c r="N646" s="704">
        <f t="shared" si="689"/>
        <v>253508.56</v>
      </c>
      <c r="O646" s="20">
        <f t="shared" si="690"/>
        <v>507017.12</v>
      </c>
      <c r="P646" s="20">
        <f t="shared" si="690"/>
        <v>760525.67999999993</v>
      </c>
      <c r="Q646" s="20">
        <f t="shared" si="690"/>
        <v>912630.81599999988</v>
      </c>
      <c r="R646" s="20">
        <f t="shared" si="690"/>
        <v>1003893.8975999999</v>
      </c>
      <c r="S646" s="32">
        <f t="shared" si="690"/>
        <v>1054088.5924799999</v>
      </c>
    </row>
    <row r="647" spans="1:43" outlineLevel="3">
      <c r="D647" s="31" t="s">
        <v>844</v>
      </c>
      <c r="H647" s="400">
        <v>505744</v>
      </c>
      <c r="I647" s="400">
        <v>628712.29999999993</v>
      </c>
      <c r="J647" s="400">
        <v>487383</v>
      </c>
      <c r="K647" s="400">
        <v>517760</v>
      </c>
      <c r="L647" s="400">
        <v>678646.50000000035</v>
      </c>
      <c r="M647" s="400">
        <v>534505.30000000005</v>
      </c>
      <c r="N647" s="704">
        <f t="shared" si="689"/>
        <v>950105.10000000044</v>
      </c>
      <c r="O647" s="20">
        <f t="shared" si="690"/>
        <v>1140126.1200000006</v>
      </c>
      <c r="P647" s="20">
        <f t="shared" si="690"/>
        <v>1254138.7320000008</v>
      </c>
      <c r="Q647" s="20">
        <f t="shared" si="690"/>
        <v>1316845.6686000009</v>
      </c>
      <c r="R647" s="20">
        <f t="shared" si="690"/>
        <v>1382687.952030001</v>
      </c>
      <c r="S647" s="32">
        <f t="shared" si="690"/>
        <v>1451822.3496315011</v>
      </c>
    </row>
    <row r="648" spans="1:43" outlineLevel="3">
      <c r="D648" s="33" t="s">
        <v>665</v>
      </c>
      <c r="E648" s="34"/>
      <c r="F648" s="34"/>
      <c r="G648" s="34"/>
      <c r="H648" s="402"/>
      <c r="I648" s="402"/>
      <c r="J648" s="402"/>
      <c r="K648" s="402"/>
      <c r="L648" s="402"/>
      <c r="M648" s="402"/>
      <c r="N648" s="705">
        <f t="shared" si="689"/>
        <v>0</v>
      </c>
      <c r="O648" s="35">
        <f t="shared" si="690"/>
        <v>0</v>
      </c>
      <c r="P648" s="35">
        <f t="shared" si="690"/>
        <v>0</v>
      </c>
      <c r="Q648" s="35">
        <f t="shared" si="690"/>
        <v>0</v>
      </c>
      <c r="R648" s="35">
        <f t="shared" si="690"/>
        <v>0</v>
      </c>
      <c r="S648" s="36">
        <f t="shared" si="690"/>
        <v>0</v>
      </c>
      <c r="AC648" s="448"/>
      <c r="AD648" s="448"/>
      <c r="AE648" s="448"/>
      <c r="AF648" s="448"/>
      <c r="AG648" s="448"/>
      <c r="AH648" s="448"/>
    </row>
    <row r="649" spans="1:43" s="1365" customFormat="1" outlineLevel="3">
      <c r="A649" s="22"/>
      <c r="B649" s="22"/>
      <c r="C649" s="22" t="s">
        <v>847</v>
      </c>
      <c r="D649" s="22"/>
      <c r="E649" s="22"/>
      <c r="F649" s="22"/>
      <c r="G649" s="22"/>
      <c r="H649" s="219"/>
      <c r="I649" s="24">
        <f>I643/H643-1</f>
        <v>0.23769919209665136</v>
      </c>
      <c r="J649" s="24">
        <f>J643/I643-1</f>
        <v>-0.23101783600041048</v>
      </c>
      <c r="K649" s="24"/>
      <c r="L649" s="793">
        <f>L643/J643-1</f>
        <v>0.4542784904740631</v>
      </c>
      <c r="M649" s="24"/>
      <c r="N649" s="24">
        <f>N643/L643-1</f>
        <v>0.6182970369564742</v>
      </c>
      <c r="O649" s="24">
        <f>O643/N643-1</f>
        <v>0.35692275448209609</v>
      </c>
      <c r="P649" s="24">
        <f t="shared" ref="P649:S649" si="691">P643/O643-1</f>
        <v>0.21938222677388342</v>
      </c>
      <c r="Q649" s="24">
        <f t="shared" si="691"/>
        <v>0.10556882006740342</v>
      </c>
      <c r="R649" s="24">
        <f t="shared" si="691"/>
        <v>6.7222786247199462E-2</v>
      </c>
      <c r="S649" s="24">
        <f t="shared" si="691"/>
        <v>5.0000000000000044E-2</v>
      </c>
      <c r="T649" s="726"/>
      <c r="U649" s="1521"/>
      <c r="V649" s="1521"/>
      <c r="W649" s="1521"/>
      <c r="X649" s="1521"/>
      <c r="Y649" s="1521"/>
      <c r="Z649" s="1521"/>
      <c r="AA649" s="1522"/>
      <c r="AC649" s="219"/>
      <c r="AD649" s="219"/>
      <c r="AE649" s="219"/>
      <c r="AF649" s="219"/>
      <c r="AG649" s="219"/>
      <c r="AH649" s="219"/>
      <c r="AI649" s="706"/>
      <c r="AK649" s="1521"/>
      <c r="AL649" s="1521"/>
      <c r="AM649" s="1521"/>
      <c r="AN649" s="1521"/>
      <c r="AO649" s="1521"/>
      <c r="AP649" s="1521"/>
      <c r="AQ649" s="1522"/>
    </row>
    <row r="650" spans="1:43" s="1365" customFormat="1" outlineLevel="3">
      <c r="A650" s="22"/>
      <c r="B650" s="22"/>
      <c r="C650" s="22"/>
      <c r="D650" s="707" t="s">
        <v>841</v>
      </c>
      <c r="E650" s="708"/>
      <c r="F650" s="708"/>
      <c r="G650" s="708"/>
      <c r="H650" s="709"/>
      <c r="I650" s="710">
        <f t="shared" ref="I650:J650" si="692">I644/H644-1</f>
        <v>0.19243713352485181</v>
      </c>
      <c r="J650" s="710">
        <f t="shared" si="692"/>
        <v>-0.28207037254851508</v>
      </c>
      <c r="K650" s="710"/>
      <c r="L650" s="710">
        <f t="shared" ref="L650:L653" si="693">L644/J644-1</f>
        <v>0.40641445251448016</v>
      </c>
      <c r="M650" s="727"/>
      <c r="N650" s="711">
        <f t="shared" ref="N650:S654" si="694">CHOOSE(case,U650,AC650,AK650)</f>
        <v>0.6</v>
      </c>
      <c r="O650" s="712">
        <f t="shared" si="694"/>
        <v>0.3</v>
      </c>
      <c r="P650" s="712">
        <f t="shared" si="694"/>
        <v>0.2</v>
      </c>
      <c r="Q650" s="712">
        <f t="shared" si="694"/>
        <v>0.1</v>
      </c>
      <c r="R650" s="712">
        <f t="shared" si="694"/>
        <v>0.05</v>
      </c>
      <c r="S650" s="713">
        <f t="shared" si="694"/>
        <v>0.05</v>
      </c>
      <c r="T650" s="726"/>
      <c r="U650" s="1521"/>
      <c r="V650" s="1521"/>
      <c r="W650" s="1521"/>
      <c r="X650" s="1521"/>
      <c r="Y650" s="1521"/>
      <c r="Z650" s="1521"/>
      <c r="AA650" s="1523"/>
      <c r="AC650" s="714">
        <v>0.6</v>
      </c>
      <c r="AD650" s="714">
        <v>0.3</v>
      </c>
      <c r="AE650" s="714">
        <v>0.2</v>
      </c>
      <c r="AF650" s="714">
        <v>0.1</v>
      </c>
      <c r="AG650" s="714">
        <v>0.05</v>
      </c>
      <c r="AH650" s="714">
        <v>0.05</v>
      </c>
      <c r="AI650" s="22"/>
      <c r="AK650" s="1521"/>
      <c r="AL650" s="1521"/>
      <c r="AM650" s="1521"/>
      <c r="AN650" s="1521"/>
      <c r="AO650" s="1521"/>
      <c r="AP650" s="1521"/>
      <c r="AQ650" s="1523"/>
    </row>
    <row r="651" spans="1:43" s="1365" customFormat="1" outlineLevel="3">
      <c r="A651" s="22"/>
      <c r="B651" s="22"/>
      <c r="C651" s="22"/>
      <c r="D651" s="715" t="s">
        <v>842</v>
      </c>
      <c r="E651" s="22"/>
      <c r="F651" s="22"/>
      <c r="G651" s="22"/>
      <c r="H651" s="219"/>
      <c r="I651" s="175"/>
      <c r="J651" s="175"/>
      <c r="K651" s="175"/>
      <c r="L651" s="175"/>
      <c r="M651" s="729"/>
      <c r="N651" s="716">
        <f t="shared" si="694"/>
        <v>0</v>
      </c>
      <c r="O651" s="717">
        <f t="shared" si="694"/>
        <v>0</v>
      </c>
      <c r="P651" s="717">
        <f t="shared" si="694"/>
        <v>0</v>
      </c>
      <c r="Q651" s="717">
        <f t="shared" si="694"/>
        <v>0</v>
      </c>
      <c r="R651" s="717">
        <f t="shared" si="694"/>
        <v>0</v>
      </c>
      <c r="S651" s="718">
        <f t="shared" si="694"/>
        <v>0</v>
      </c>
      <c r="T651" s="726"/>
      <c r="U651" s="1521"/>
      <c r="V651" s="1521"/>
      <c r="W651" s="1521"/>
      <c r="X651" s="1521"/>
      <c r="Y651" s="1521"/>
      <c r="Z651" s="1521"/>
      <c r="AA651" s="1523"/>
      <c r="AC651" s="714"/>
      <c r="AD651" s="714"/>
      <c r="AE651" s="714"/>
      <c r="AF651" s="714"/>
      <c r="AG651" s="714"/>
      <c r="AH651" s="714"/>
      <c r="AI651" s="22"/>
      <c r="AK651" s="1521"/>
      <c r="AL651" s="1521"/>
      <c r="AM651" s="1521"/>
      <c r="AN651" s="1521"/>
      <c r="AO651" s="1521"/>
      <c r="AP651" s="1521"/>
      <c r="AQ651" s="1523"/>
    </row>
    <row r="652" spans="1:43" s="1365" customFormat="1" outlineLevel="3">
      <c r="A652" s="22"/>
      <c r="B652" s="22"/>
      <c r="C652" s="22"/>
      <c r="D652" s="715" t="s">
        <v>843</v>
      </c>
      <c r="E652" s="22"/>
      <c r="F652" s="22"/>
      <c r="G652" s="22"/>
      <c r="H652" s="219"/>
      <c r="I652" s="175">
        <f>I646/H646-1</f>
        <v>0.45469847245348549</v>
      </c>
      <c r="J652" s="175">
        <f>J646/I646-1</f>
        <v>-4.0895800933125837E-2</v>
      </c>
      <c r="K652" s="175"/>
      <c r="L652" s="175">
        <f t="shared" si="693"/>
        <v>2.2885606060606061</v>
      </c>
      <c r="M652" s="729"/>
      <c r="N652" s="716">
        <f t="shared" si="694"/>
        <v>3</v>
      </c>
      <c r="O652" s="717">
        <f t="shared" si="694"/>
        <v>1</v>
      </c>
      <c r="P652" s="717">
        <f t="shared" si="694"/>
        <v>0.5</v>
      </c>
      <c r="Q652" s="717">
        <f t="shared" si="694"/>
        <v>0.2</v>
      </c>
      <c r="R652" s="717">
        <f t="shared" si="694"/>
        <v>0.1</v>
      </c>
      <c r="S652" s="718">
        <f t="shared" si="694"/>
        <v>0.05</v>
      </c>
      <c r="T652" s="726"/>
      <c r="U652" s="1521"/>
      <c r="V652" s="1521"/>
      <c r="W652" s="1521"/>
      <c r="X652" s="1521"/>
      <c r="Y652" s="1521"/>
      <c r="Z652" s="1521"/>
      <c r="AA652" s="1523"/>
      <c r="AC652" s="714">
        <v>3</v>
      </c>
      <c r="AD652" s="714">
        <v>1</v>
      </c>
      <c r="AE652" s="714">
        <v>0.5</v>
      </c>
      <c r="AF652" s="714">
        <v>0.2</v>
      </c>
      <c r="AG652" s="714">
        <v>0.1</v>
      </c>
      <c r="AH652" s="714">
        <v>0.05</v>
      </c>
      <c r="AI652" s="22"/>
      <c r="AK652" s="1521"/>
      <c r="AL652" s="1521"/>
      <c r="AM652" s="1521"/>
      <c r="AN652" s="1521"/>
      <c r="AO652" s="1521"/>
      <c r="AP652" s="1521"/>
      <c r="AQ652" s="1523"/>
    </row>
    <row r="653" spans="1:43" s="1365" customFormat="1" outlineLevel="3">
      <c r="A653" s="22"/>
      <c r="B653" s="22"/>
      <c r="C653" s="22"/>
      <c r="D653" s="715" t="s">
        <v>844</v>
      </c>
      <c r="E653" s="22"/>
      <c r="F653" s="22"/>
      <c r="G653" s="22"/>
      <c r="H653" s="219"/>
      <c r="I653" s="175">
        <f>I647/H647-1</f>
        <v>0.2431433689771898</v>
      </c>
      <c r="J653" s="175">
        <f>J647/I647-1</f>
        <v>-0.22479168929890503</v>
      </c>
      <c r="K653" s="175"/>
      <c r="L653" s="175">
        <f t="shared" si="693"/>
        <v>0.39242956771163606</v>
      </c>
      <c r="M653" s="729"/>
      <c r="N653" s="716">
        <f t="shared" si="694"/>
        <v>0.4</v>
      </c>
      <c r="O653" s="717">
        <f t="shared" si="694"/>
        <v>0.2</v>
      </c>
      <c r="P653" s="717">
        <f t="shared" si="694"/>
        <v>0.1</v>
      </c>
      <c r="Q653" s="717">
        <f t="shared" si="694"/>
        <v>0.05</v>
      </c>
      <c r="R653" s="717">
        <f t="shared" si="694"/>
        <v>0.05</v>
      </c>
      <c r="S653" s="718">
        <f t="shared" si="694"/>
        <v>0.05</v>
      </c>
      <c r="T653" s="726"/>
      <c r="U653" s="1521"/>
      <c r="V653" s="1521"/>
      <c r="W653" s="1521"/>
      <c r="X653" s="1521"/>
      <c r="Y653" s="1521"/>
      <c r="Z653" s="1521"/>
      <c r="AA653" s="1523"/>
      <c r="AC653" s="714">
        <v>0.4</v>
      </c>
      <c r="AD653" s="714">
        <v>0.2</v>
      </c>
      <c r="AE653" s="714">
        <v>0.1</v>
      </c>
      <c r="AF653" s="714">
        <v>0.05</v>
      </c>
      <c r="AG653" s="714">
        <v>0.05</v>
      </c>
      <c r="AH653" s="714">
        <v>0.05</v>
      </c>
      <c r="AI653" s="22"/>
      <c r="AK653" s="1521"/>
      <c r="AL653" s="1521"/>
      <c r="AM653" s="1521"/>
      <c r="AN653" s="1521"/>
      <c r="AO653" s="1521"/>
      <c r="AP653" s="1521"/>
      <c r="AQ653" s="1523"/>
    </row>
    <row r="654" spans="1:43" s="1365" customFormat="1" outlineLevel="3">
      <c r="A654" s="22"/>
      <c r="B654" s="22"/>
      <c r="C654" s="22"/>
      <c r="D654" s="719" t="s">
        <v>665</v>
      </c>
      <c r="E654" s="720"/>
      <c r="F654" s="720"/>
      <c r="G654" s="720"/>
      <c r="H654" s="721"/>
      <c r="I654" s="722"/>
      <c r="J654" s="722"/>
      <c r="K654" s="722"/>
      <c r="L654" s="722"/>
      <c r="M654" s="730"/>
      <c r="N654" s="723">
        <f t="shared" si="694"/>
        <v>0</v>
      </c>
      <c r="O654" s="724">
        <f t="shared" si="694"/>
        <v>0</v>
      </c>
      <c r="P654" s="724">
        <f t="shared" si="694"/>
        <v>0</v>
      </c>
      <c r="Q654" s="724">
        <f t="shared" si="694"/>
        <v>0</v>
      </c>
      <c r="R654" s="724">
        <f t="shared" si="694"/>
        <v>0</v>
      </c>
      <c r="S654" s="725">
        <f t="shared" si="694"/>
        <v>0</v>
      </c>
      <c r="T654" s="726"/>
      <c r="U654" s="1521"/>
      <c r="V654" s="1521"/>
      <c r="W654" s="1521"/>
      <c r="X654" s="1521"/>
      <c r="Y654" s="1521"/>
      <c r="Z654" s="1521"/>
      <c r="AA654" s="1523"/>
      <c r="AC654" s="714"/>
      <c r="AD654" s="714"/>
      <c r="AE654" s="714"/>
      <c r="AF654" s="714"/>
      <c r="AG654" s="714"/>
      <c r="AH654" s="714"/>
      <c r="AI654" s="22"/>
      <c r="AK654" s="1521"/>
      <c r="AL654" s="1521"/>
      <c r="AM654" s="1521"/>
      <c r="AN654" s="1521"/>
      <c r="AO654" s="1521"/>
      <c r="AP654" s="1521"/>
      <c r="AQ654" s="1523"/>
    </row>
    <row r="655" spans="1:43" s="1365" customFormat="1" outlineLevel="3">
      <c r="A655" s="22"/>
      <c r="B655" s="22"/>
      <c r="C655" s="22" t="s">
        <v>848</v>
      </c>
      <c r="D655" s="22"/>
      <c r="E655" s="22"/>
      <c r="F655" s="22"/>
      <c r="G655" s="22"/>
      <c r="H655" s="24">
        <f>H643/H$643</f>
        <v>1</v>
      </c>
      <c r="I655" s="24">
        <f t="shared" ref="I655:S657" si="695">I643/I$643</f>
        <v>1</v>
      </c>
      <c r="J655" s="24">
        <f t="shared" si="695"/>
        <v>1</v>
      </c>
      <c r="K655" s="24">
        <f t="shared" si="695"/>
        <v>1</v>
      </c>
      <c r="L655" s="24">
        <f t="shared" si="695"/>
        <v>1</v>
      </c>
      <c r="M655" s="24">
        <f t="shared" si="695"/>
        <v>1</v>
      </c>
      <c r="N655" s="24">
        <f t="shared" si="695"/>
        <v>1</v>
      </c>
      <c r="O655" s="24">
        <f t="shared" si="695"/>
        <v>1</v>
      </c>
      <c r="P655" s="24">
        <f t="shared" si="695"/>
        <v>1</v>
      </c>
      <c r="Q655" s="24">
        <f t="shared" si="695"/>
        <v>1</v>
      </c>
      <c r="R655" s="24">
        <f t="shared" si="695"/>
        <v>1</v>
      </c>
      <c r="S655" s="24">
        <f t="shared" si="695"/>
        <v>1</v>
      </c>
      <c r="T655" s="726"/>
      <c r="U655" s="1521"/>
      <c r="V655" s="1521"/>
      <c r="W655" s="1521"/>
      <c r="X655" s="1521"/>
      <c r="Y655" s="1521"/>
      <c r="Z655" s="1521"/>
      <c r="AA655" s="1522"/>
      <c r="AC655" s="219"/>
      <c r="AD655" s="219"/>
      <c r="AE655" s="219"/>
      <c r="AF655" s="219"/>
      <c r="AG655" s="219"/>
      <c r="AH655" s="219"/>
      <c r="AI655" s="706"/>
      <c r="AK655" s="1521"/>
      <c r="AL655" s="1521"/>
      <c r="AM655" s="1521"/>
      <c r="AN655" s="1521"/>
      <c r="AO655" s="1521"/>
      <c r="AP655" s="1521"/>
      <c r="AQ655" s="1522"/>
    </row>
    <row r="656" spans="1:43" s="1365" customFormat="1" outlineLevel="3">
      <c r="A656" s="22"/>
      <c r="B656" s="22"/>
      <c r="C656" s="22"/>
      <c r="D656" s="707" t="s">
        <v>841</v>
      </c>
      <c r="E656" s="708"/>
      <c r="F656" s="708"/>
      <c r="G656" s="708"/>
      <c r="H656" s="793">
        <f>H644/H$643</f>
        <v>0.19649341490723959</v>
      </c>
      <c r="I656" s="793">
        <f t="shared" si="695"/>
        <v>0.1893077461184941</v>
      </c>
      <c r="J656" s="793">
        <f t="shared" si="695"/>
        <v>0.1767396514603729</v>
      </c>
      <c r="K656" s="793">
        <f t="shared" si="695"/>
        <v>0.15843864782419223</v>
      </c>
      <c r="L656" s="793">
        <f t="shared" si="695"/>
        <v>0.17092269587595446</v>
      </c>
      <c r="M656" s="793">
        <f t="shared" si="695"/>
        <v>0.16843285604108438</v>
      </c>
      <c r="N656" s="793">
        <f t="shared" si="695"/>
        <v>0.16899018360427398</v>
      </c>
      <c r="O656" s="793">
        <f t="shared" si="695"/>
        <v>0.16190106471418514</v>
      </c>
      <c r="P656" s="793">
        <f t="shared" si="695"/>
        <v>0.1593276278686066</v>
      </c>
      <c r="Q656" s="793">
        <f t="shared" si="695"/>
        <v>0.1585250845304973</v>
      </c>
      <c r="R656" s="793">
        <f t="shared" si="695"/>
        <v>0.1559668148975103</v>
      </c>
      <c r="S656" s="803">
        <f t="shared" si="695"/>
        <v>0.1559668148975103</v>
      </c>
      <c r="T656" s="726"/>
      <c r="U656" s="1521"/>
      <c r="V656" s="1521"/>
      <c r="W656" s="1521"/>
      <c r="X656" s="1521"/>
      <c r="Y656" s="1521"/>
      <c r="Z656" s="1521"/>
      <c r="AA656" s="1523"/>
      <c r="AC656" s="728"/>
      <c r="AD656" s="728"/>
      <c r="AE656" s="728"/>
      <c r="AF656" s="728"/>
      <c r="AG656" s="728"/>
      <c r="AH656" s="728"/>
      <c r="AI656" s="22"/>
      <c r="AK656" s="1521"/>
      <c r="AL656" s="1521"/>
      <c r="AM656" s="1521"/>
      <c r="AN656" s="1521"/>
      <c r="AO656" s="1521"/>
      <c r="AP656" s="1521"/>
      <c r="AQ656" s="1523"/>
    </row>
    <row r="657" spans="1:43" s="1365" customFormat="1" outlineLevel="3">
      <c r="A657" s="22"/>
      <c r="B657" s="22"/>
      <c r="C657" s="22"/>
      <c r="D657" s="715" t="s">
        <v>842</v>
      </c>
      <c r="E657" s="22"/>
      <c r="F657" s="22"/>
      <c r="G657" s="22"/>
      <c r="H657" s="91">
        <f>H645/H$643</f>
        <v>0</v>
      </c>
      <c r="I657" s="91">
        <f t="shared" si="695"/>
        <v>0</v>
      </c>
      <c r="J657" s="91">
        <f t="shared" si="695"/>
        <v>0</v>
      </c>
      <c r="K657" s="91">
        <f t="shared" si="695"/>
        <v>0</v>
      </c>
      <c r="L657" s="91">
        <f t="shared" si="695"/>
        <v>0</v>
      </c>
      <c r="M657" s="91">
        <f t="shared" si="695"/>
        <v>0</v>
      </c>
      <c r="N657" s="91">
        <f t="shared" si="695"/>
        <v>0</v>
      </c>
      <c r="O657" s="91">
        <f t="shared" si="695"/>
        <v>0</v>
      </c>
      <c r="P657" s="91">
        <f t="shared" si="695"/>
        <v>0</v>
      </c>
      <c r="Q657" s="91">
        <f t="shared" si="695"/>
        <v>0</v>
      </c>
      <c r="R657" s="91">
        <f t="shared" si="695"/>
        <v>0</v>
      </c>
      <c r="S657" s="804">
        <f t="shared" si="695"/>
        <v>0</v>
      </c>
      <c r="T657" s="726"/>
      <c r="U657" s="1521"/>
      <c r="V657" s="1521"/>
      <c r="W657" s="1521"/>
      <c r="X657" s="1521"/>
      <c r="Y657" s="1521"/>
      <c r="Z657" s="1521"/>
      <c r="AA657" s="1523"/>
      <c r="AC657" s="728"/>
      <c r="AD657" s="728"/>
      <c r="AE657" s="728"/>
      <c r="AF657" s="728"/>
      <c r="AG657" s="728"/>
      <c r="AH657" s="728"/>
      <c r="AI657" s="22"/>
      <c r="AK657" s="1521"/>
      <c r="AL657" s="1521"/>
      <c r="AM657" s="1521"/>
      <c r="AN657" s="1521"/>
      <c r="AO657" s="1521"/>
      <c r="AP657" s="1521"/>
      <c r="AQ657" s="1523"/>
    </row>
    <row r="658" spans="1:43" s="1365" customFormat="1" outlineLevel="3">
      <c r="A658" s="22"/>
      <c r="B658" s="22"/>
      <c r="C658" s="22"/>
      <c r="D658" s="715" t="s">
        <v>843</v>
      </c>
      <c r="E658" s="22"/>
      <c r="F658" s="22"/>
      <c r="G658" s="22"/>
      <c r="H658" s="91">
        <f t="shared" ref="H658:S660" si="696">H646/H$643</f>
        <v>2.1362115147878481E-2</v>
      </c>
      <c r="I658" s="91">
        <f t="shared" si="696"/>
        <v>2.5107422281946214E-2</v>
      </c>
      <c r="J658" s="91">
        <f t="shared" si="696"/>
        <v>3.1314944956737215E-2</v>
      </c>
      <c r="K658" s="91">
        <f t="shared" si="696"/>
        <v>3.573429620867833E-2</v>
      </c>
      <c r="L658" s="91">
        <f t="shared" si="696"/>
        <v>7.081249914664739E-2</v>
      </c>
      <c r="M658" s="91">
        <f t="shared" si="696"/>
        <v>0.18875979820499181</v>
      </c>
      <c r="N658" s="91">
        <f t="shared" si="696"/>
        <v>0.17502967015208584</v>
      </c>
      <c r="O658" s="91">
        <f t="shared" si="696"/>
        <v>0.25798030075616257</v>
      </c>
      <c r="P658" s="91">
        <f t="shared" si="696"/>
        <v>0.31734959115982081</v>
      </c>
      <c r="Q658" s="91">
        <f t="shared" si="696"/>
        <v>0.34445572494398624</v>
      </c>
      <c r="R658" s="91">
        <f t="shared" si="696"/>
        <v>0.3550348646234962</v>
      </c>
      <c r="S658" s="804">
        <f t="shared" si="696"/>
        <v>0.3550348646234962</v>
      </c>
      <c r="T658" s="726"/>
      <c r="U658" s="1521"/>
      <c r="V658" s="1521"/>
      <c r="W658" s="1521"/>
      <c r="X658" s="1521"/>
      <c r="Y658" s="1521"/>
      <c r="Z658" s="1521"/>
      <c r="AA658" s="1523"/>
      <c r="AC658" s="728"/>
      <c r="AD658" s="728"/>
      <c r="AE658" s="728"/>
      <c r="AF658" s="728"/>
      <c r="AG658" s="728"/>
      <c r="AH658" s="728"/>
      <c r="AI658" s="22"/>
      <c r="AK658" s="1521"/>
      <c r="AL658" s="1521"/>
      <c r="AM658" s="1521"/>
      <c r="AN658" s="1521"/>
      <c r="AO658" s="1521"/>
      <c r="AP658" s="1521"/>
      <c r="AQ658" s="1523"/>
    </row>
    <row r="659" spans="1:43" s="1365" customFormat="1" outlineLevel="3">
      <c r="A659" s="22"/>
      <c r="B659" s="22"/>
      <c r="C659" s="22"/>
      <c r="D659" s="715" t="s">
        <v>844</v>
      </c>
      <c r="E659" s="22"/>
      <c r="F659" s="22"/>
      <c r="G659" s="22"/>
      <c r="H659" s="91">
        <f t="shared" si="696"/>
        <v>0.78214446994488196</v>
      </c>
      <c r="I659" s="91">
        <f t="shared" si="696"/>
        <v>0.78558483159955972</v>
      </c>
      <c r="J659" s="91">
        <f t="shared" si="696"/>
        <v>0.7919454035828899</v>
      </c>
      <c r="K659" s="91">
        <f t="shared" si="696"/>
        <v>0.80582705596712945</v>
      </c>
      <c r="L659" s="91">
        <f t="shared" si="696"/>
        <v>0.75826480497739823</v>
      </c>
      <c r="M659" s="91">
        <f t="shared" si="696"/>
        <v>0.64280734575392373</v>
      </c>
      <c r="N659" s="91">
        <f t="shared" si="696"/>
        <v>0.65598014624364009</v>
      </c>
      <c r="O659" s="91">
        <f t="shared" si="696"/>
        <v>0.58011863452965229</v>
      </c>
      <c r="P659" s="91">
        <f t="shared" si="696"/>
        <v>0.5233227809715727</v>
      </c>
      <c r="Q659" s="91">
        <f t="shared" si="696"/>
        <v>0.49701919052551652</v>
      </c>
      <c r="R659" s="91">
        <f t="shared" si="696"/>
        <v>0.48899832047899344</v>
      </c>
      <c r="S659" s="804">
        <f t="shared" si="696"/>
        <v>0.4889983204789935</v>
      </c>
      <c r="T659" s="726"/>
      <c r="U659" s="1521"/>
      <c r="V659" s="1521"/>
      <c r="W659" s="1521"/>
      <c r="X659" s="1521"/>
      <c r="Y659" s="1521"/>
      <c r="Z659" s="1521"/>
      <c r="AA659" s="1523"/>
      <c r="AC659" s="728"/>
      <c r="AD659" s="728"/>
      <c r="AE659" s="728"/>
      <c r="AF659" s="728"/>
      <c r="AG659" s="728"/>
      <c r="AH659" s="728"/>
      <c r="AI659" s="22"/>
      <c r="AK659" s="1521"/>
      <c r="AL659" s="1521"/>
      <c r="AM659" s="1521"/>
      <c r="AN659" s="1521"/>
      <c r="AO659" s="1521"/>
      <c r="AP659" s="1521"/>
      <c r="AQ659" s="1523"/>
    </row>
    <row r="660" spans="1:43" s="1365" customFormat="1" outlineLevel="3">
      <c r="A660" s="22"/>
      <c r="B660" s="22"/>
      <c r="C660" s="22"/>
      <c r="D660" s="719" t="s">
        <v>665</v>
      </c>
      <c r="E660" s="720"/>
      <c r="F660" s="720"/>
      <c r="G660" s="720"/>
      <c r="H660" s="794">
        <f t="shared" si="696"/>
        <v>0</v>
      </c>
      <c r="I660" s="794">
        <f t="shared" si="696"/>
        <v>0</v>
      </c>
      <c r="J660" s="794">
        <f t="shared" si="696"/>
        <v>0</v>
      </c>
      <c r="K660" s="794">
        <f t="shared" si="696"/>
        <v>0</v>
      </c>
      <c r="L660" s="794">
        <f t="shared" si="696"/>
        <v>0</v>
      </c>
      <c r="M660" s="794">
        <f t="shared" si="696"/>
        <v>0</v>
      </c>
      <c r="N660" s="794">
        <f t="shared" si="696"/>
        <v>0</v>
      </c>
      <c r="O660" s="794">
        <f t="shared" si="696"/>
        <v>0</v>
      </c>
      <c r="P660" s="794">
        <f t="shared" si="696"/>
        <v>0</v>
      </c>
      <c r="Q660" s="794">
        <f t="shared" si="696"/>
        <v>0</v>
      </c>
      <c r="R660" s="794">
        <f t="shared" si="696"/>
        <v>0</v>
      </c>
      <c r="S660" s="805">
        <f t="shared" si="696"/>
        <v>0</v>
      </c>
      <c r="T660" s="726"/>
      <c r="U660" s="1521"/>
      <c r="V660" s="1521"/>
      <c r="W660" s="1521"/>
      <c r="X660" s="1521"/>
      <c r="Y660" s="1521"/>
      <c r="Z660" s="1521"/>
      <c r="AA660" s="1523"/>
      <c r="AC660" s="728"/>
      <c r="AD660" s="728"/>
      <c r="AE660" s="728"/>
      <c r="AF660" s="728"/>
      <c r="AG660" s="728"/>
      <c r="AH660" s="728"/>
      <c r="AI660" s="22"/>
      <c r="AK660" s="1521"/>
      <c r="AL660" s="1521"/>
      <c r="AM660" s="1521"/>
      <c r="AN660" s="1521"/>
      <c r="AO660" s="1521"/>
      <c r="AP660" s="1521"/>
      <c r="AQ660" s="1523"/>
    </row>
    <row r="661" spans="1:43" outlineLevel="3">
      <c r="C661" s="1" t="s">
        <v>31</v>
      </c>
      <c r="H661" s="806">
        <f t="shared" ref="H661:K666" si="697">IFERROR(H667/H643,"NA")</f>
        <v>6.6747575965184686E-2</v>
      </c>
      <c r="I661" s="806">
        <f t="shared" si="697"/>
        <v>7.8405755061640728E-2</v>
      </c>
      <c r="J661" s="806">
        <f t="shared" si="697"/>
        <v>9.563147418450664E-2</v>
      </c>
      <c r="K661" s="806">
        <f t="shared" si="697"/>
        <v>8.6400423333125823E-2</v>
      </c>
      <c r="L661" s="806">
        <f t="shared" ref="L661:M666" si="698">IFERROR(L667/L643,"NA")</f>
        <v>8.5074894245173421E-2</v>
      </c>
      <c r="M661" s="806">
        <f t="shared" si="698"/>
        <v>8.5106408912095713E-2</v>
      </c>
      <c r="N661" s="806">
        <f>IFERROR(N667/N643,"NA")</f>
        <v>8.5066584317866137E-2</v>
      </c>
      <c r="O661" s="806">
        <f t="shared" ref="O661:S661" si="699">IFERROR(O667/O643,"NA")</f>
        <v>8.5071215077105217E-2</v>
      </c>
      <c r="P661" s="806">
        <f t="shared" si="699"/>
        <v>8.5233048867495553E-2</v>
      </c>
      <c r="Q661" s="806">
        <f t="shared" si="699"/>
        <v>8.5330546947856051E-2</v>
      </c>
      <c r="R661" s="806">
        <f t="shared" si="699"/>
        <v>8.5226266910793241E-2</v>
      </c>
      <c r="S661" s="806">
        <f t="shared" si="699"/>
        <v>8.5226266910793227E-2</v>
      </c>
      <c r="U661" s="1529">
        <f>$L661*(1+$AA661)</f>
        <v>8.6776392130076888E-2</v>
      </c>
      <c r="V661" s="1529">
        <f>U661*(1+$AA661)</f>
        <v>8.8511919972678432E-2</v>
      </c>
      <c r="W661" s="1529">
        <f t="shared" ref="W661:Z661" si="700">V661*(1+$AA661)</f>
        <v>9.0282158372132007E-2</v>
      </c>
      <c r="X661" s="1529">
        <f t="shared" si="700"/>
        <v>9.2087801539574646E-2</v>
      </c>
      <c r="Y661" s="1529">
        <f t="shared" si="700"/>
        <v>9.392955757036614E-2</v>
      </c>
      <c r="Z661" s="1529">
        <f t="shared" si="700"/>
        <v>9.580814872177347E-2</v>
      </c>
      <c r="AA661" s="1520">
        <v>0.02</v>
      </c>
      <c r="AC661" s="448"/>
      <c r="AD661" s="448"/>
      <c r="AE661" s="448"/>
      <c r="AF661" s="448"/>
      <c r="AG661" s="448"/>
      <c r="AH661" s="448"/>
      <c r="AI661" s="702"/>
      <c r="AK661" s="1529">
        <f>$L661*(1+$AQ661)</f>
        <v>8.5074894245173421E-2</v>
      </c>
      <c r="AL661" s="1529">
        <f>AK661*(1+$AQ661)</f>
        <v>8.5074894245173421E-2</v>
      </c>
      <c r="AM661" s="1529">
        <f t="shared" ref="AM661:AN661" si="701">AL661*(1+$AQ661)</f>
        <v>8.5074894245173421E-2</v>
      </c>
      <c r="AN661" s="1529">
        <f t="shared" si="701"/>
        <v>8.5074894245173421E-2</v>
      </c>
      <c r="AO661" s="1529">
        <f>AN661*(1+$AQ661)</f>
        <v>8.5074894245173421E-2</v>
      </c>
      <c r="AP661" s="1529">
        <f t="shared" ref="AP661" si="702">AO661*(1+$AQ661)</f>
        <v>8.5074894245173421E-2</v>
      </c>
      <c r="AQ661" s="1520">
        <v>0</v>
      </c>
    </row>
    <row r="662" spans="1:43" outlineLevel="3">
      <c r="D662" s="27" t="s">
        <v>841</v>
      </c>
      <c r="E662" s="28"/>
      <c r="F662" s="28"/>
      <c r="G662" s="28"/>
      <c r="H662" s="693">
        <f t="shared" si="697"/>
        <v>8.7917656054464596E-2</v>
      </c>
      <c r="I662" s="693">
        <f t="shared" si="697"/>
        <v>0.11907849966766793</v>
      </c>
      <c r="J662" s="693">
        <f t="shared" si="697"/>
        <v>0.1488186080720787</v>
      </c>
      <c r="K662" s="693">
        <f t="shared" si="697"/>
        <v>0.13650294695481335</v>
      </c>
      <c r="L662" s="693">
        <f t="shared" si="698"/>
        <v>0.13613456339797758</v>
      </c>
      <c r="M662" s="693">
        <f t="shared" si="698"/>
        <v>0.13679305379037349</v>
      </c>
      <c r="N662" s="819">
        <f>CHOOSE(case,U662,AC662,AK662)</f>
        <v>0.13679305379037349</v>
      </c>
      <c r="O662" s="820">
        <f t="shared" ref="O662:O666" si="703">CHOOSE(case,V662,AD662,AL662)</f>
        <v>0.13679305379037349</v>
      </c>
      <c r="P662" s="820">
        <f t="shared" ref="P662:P666" si="704">CHOOSE(case,W662,AE662,AM662)</f>
        <v>0.13679305379037349</v>
      </c>
      <c r="Q662" s="820">
        <f t="shared" ref="Q662:Q666" si="705">CHOOSE(case,X662,AF662,AN662)</f>
        <v>0.13679305379037349</v>
      </c>
      <c r="R662" s="820">
        <f t="shared" ref="R662:R666" si="706">CHOOSE(case,Y662,AG662,AO662)</f>
        <v>0.13679305379037349</v>
      </c>
      <c r="S662" s="821">
        <f t="shared" ref="S662:S666" si="707">CHOOSE(case,Z662,AH662,AP662)</f>
        <v>0.13679305379037349</v>
      </c>
      <c r="T662" s="993"/>
      <c r="U662" s="1530"/>
      <c r="V662" s="1530"/>
      <c r="W662" s="1530"/>
      <c r="X662" s="1530"/>
      <c r="Y662" s="1530"/>
      <c r="Z662" s="1530"/>
      <c r="AA662" s="1530"/>
      <c r="AB662" s="1371"/>
      <c r="AC662" s="783">
        <f t="shared" ref="AC662:AC665" si="708">M662</f>
        <v>0.13679305379037349</v>
      </c>
      <c r="AD662" s="783">
        <f t="shared" ref="AD662:AH662" si="709">AC662</f>
        <v>0.13679305379037349</v>
      </c>
      <c r="AE662" s="783">
        <f t="shared" si="709"/>
        <v>0.13679305379037349</v>
      </c>
      <c r="AF662" s="783">
        <f t="shared" si="709"/>
        <v>0.13679305379037349</v>
      </c>
      <c r="AG662" s="783">
        <f t="shared" si="709"/>
        <v>0.13679305379037349</v>
      </c>
      <c r="AH662" s="783">
        <f t="shared" si="709"/>
        <v>0.13679305379037349</v>
      </c>
    </row>
    <row r="663" spans="1:43" outlineLevel="3">
      <c r="D663" s="31" t="s">
        <v>842</v>
      </c>
      <c r="H663" s="695" t="str">
        <f t="shared" si="697"/>
        <v>NA</v>
      </c>
      <c r="I663" s="695" t="str">
        <f t="shared" si="697"/>
        <v>NA</v>
      </c>
      <c r="J663" s="695" t="str">
        <f t="shared" si="697"/>
        <v>NA</v>
      </c>
      <c r="K663" s="695" t="str">
        <f t="shared" si="697"/>
        <v>NA</v>
      </c>
      <c r="L663" s="695" t="str">
        <f t="shared" si="698"/>
        <v>NA</v>
      </c>
      <c r="M663" s="695" t="str">
        <f t="shared" si="698"/>
        <v>NA</v>
      </c>
      <c r="N663" s="822">
        <f>CHOOSE(case,U663,AC663,AK663)</f>
        <v>0</v>
      </c>
      <c r="O663" s="823">
        <f t="shared" si="703"/>
        <v>0</v>
      </c>
      <c r="P663" s="823">
        <f t="shared" si="704"/>
        <v>0</v>
      </c>
      <c r="Q663" s="823">
        <f t="shared" si="705"/>
        <v>0</v>
      </c>
      <c r="R663" s="823">
        <f t="shared" si="706"/>
        <v>0</v>
      </c>
      <c r="S663" s="824">
        <f t="shared" si="707"/>
        <v>0</v>
      </c>
      <c r="T663" s="993"/>
      <c r="U663" s="1530"/>
      <c r="V663" s="1530"/>
      <c r="W663" s="1530"/>
      <c r="X663" s="1530"/>
      <c r="Y663" s="1530"/>
      <c r="Z663" s="1530"/>
      <c r="AA663" s="1530"/>
      <c r="AB663" s="1371"/>
      <c r="AC663" s="783"/>
      <c r="AD663" s="783"/>
      <c r="AE663" s="783"/>
      <c r="AF663" s="783"/>
      <c r="AG663" s="783"/>
      <c r="AH663" s="783"/>
    </row>
    <row r="664" spans="1:43" outlineLevel="3">
      <c r="D664" s="31" t="s">
        <v>843</v>
      </c>
      <c r="H664" s="695">
        <f t="shared" si="697"/>
        <v>0.35699417360457536</v>
      </c>
      <c r="I664" s="695">
        <f t="shared" si="697"/>
        <v>0.34199688958009339</v>
      </c>
      <c r="J664" s="695">
        <f t="shared" si="697"/>
        <v>0.29213366542133667</v>
      </c>
      <c r="K664" s="695">
        <f t="shared" si="697"/>
        <v>0.23101045296167247</v>
      </c>
      <c r="L664" s="695">
        <f t="shared" si="698"/>
        <v>0.11398843352666277</v>
      </c>
      <c r="M664" s="695">
        <f t="shared" si="698"/>
        <v>7.8868756729550127E-2</v>
      </c>
      <c r="N664" s="822">
        <f>CHOOSE(case,U664,AC664,AK664)</f>
        <v>7.8868756729550127E-2</v>
      </c>
      <c r="O664" s="823">
        <f t="shared" si="703"/>
        <v>7.8868756729550127E-2</v>
      </c>
      <c r="P664" s="823">
        <f t="shared" si="704"/>
        <v>7.8868756729550127E-2</v>
      </c>
      <c r="Q664" s="823">
        <f t="shared" si="705"/>
        <v>7.8868756729550127E-2</v>
      </c>
      <c r="R664" s="823">
        <f t="shared" si="706"/>
        <v>7.8868756729550127E-2</v>
      </c>
      <c r="S664" s="824">
        <f t="shared" si="707"/>
        <v>7.8868756729550127E-2</v>
      </c>
      <c r="T664" s="993"/>
      <c r="U664" s="1530"/>
      <c r="V664" s="1530"/>
      <c r="W664" s="1530"/>
      <c r="X664" s="1530"/>
      <c r="Y664" s="1530"/>
      <c r="Z664" s="1530"/>
      <c r="AA664" s="1530"/>
      <c r="AB664" s="1371"/>
      <c r="AC664" s="783">
        <f t="shared" si="708"/>
        <v>7.8868756729550127E-2</v>
      </c>
      <c r="AD664" s="783">
        <f t="shared" ref="AD664:AH665" si="710">AC664</f>
        <v>7.8868756729550127E-2</v>
      </c>
      <c r="AE664" s="783">
        <f t="shared" si="710"/>
        <v>7.8868756729550127E-2</v>
      </c>
      <c r="AF664" s="783">
        <f t="shared" si="710"/>
        <v>7.8868756729550127E-2</v>
      </c>
      <c r="AG664" s="783">
        <f t="shared" si="710"/>
        <v>7.8868756729550127E-2</v>
      </c>
      <c r="AH664" s="783">
        <f t="shared" si="710"/>
        <v>7.8868756729550127E-2</v>
      </c>
    </row>
    <row r="665" spans="1:43" outlineLevel="3">
      <c r="D665" s="31" t="s">
        <v>844</v>
      </c>
      <c r="H665" s="695">
        <f t="shared" si="697"/>
        <v>5.3501861178778198E-2</v>
      </c>
      <c r="I665" s="695">
        <f t="shared" si="697"/>
        <v>6.0180149171568623E-2</v>
      </c>
      <c r="J665" s="695">
        <f t="shared" si="697"/>
        <v>7.5991571310447842E-2</v>
      </c>
      <c r="K665" s="695">
        <f t="shared" si="697"/>
        <v>7.013674289245983E-2</v>
      </c>
      <c r="L665" s="695">
        <f t="shared" si="698"/>
        <v>7.0865219462562634E-2</v>
      </c>
      <c r="M665" s="695">
        <f t="shared" si="698"/>
        <v>7.3394795318212913E-2</v>
      </c>
      <c r="N665" s="822">
        <f>CHOOSE(case,U665,AC665,AK665)</f>
        <v>7.3394795318212913E-2</v>
      </c>
      <c r="O665" s="823">
        <f t="shared" si="703"/>
        <v>7.3394795318212913E-2</v>
      </c>
      <c r="P665" s="823">
        <f t="shared" si="704"/>
        <v>7.3394795318212913E-2</v>
      </c>
      <c r="Q665" s="823">
        <f t="shared" si="705"/>
        <v>7.3394795318212913E-2</v>
      </c>
      <c r="R665" s="823">
        <f t="shared" si="706"/>
        <v>7.3394795318212913E-2</v>
      </c>
      <c r="S665" s="824">
        <f t="shared" si="707"/>
        <v>7.3394795318212913E-2</v>
      </c>
      <c r="T665" s="993"/>
      <c r="U665" s="1530"/>
      <c r="V665" s="1530"/>
      <c r="W665" s="1530"/>
      <c r="X665" s="1530"/>
      <c r="Y665" s="1530"/>
      <c r="Z665" s="1530"/>
      <c r="AA665" s="1530"/>
      <c r="AB665" s="1371"/>
      <c r="AC665" s="783">
        <f t="shared" si="708"/>
        <v>7.3394795318212913E-2</v>
      </c>
      <c r="AD665" s="783">
        <f t="shared" si="710"/>
        <v>7.3394795318212913E-2</v>
      </c>
      <c r="AE665" s="783">
        <f t="shared" si="710"/>
        <v>7.3394795318212913E-2</v>
      </c>
      <c r="AF665" s="783">
        <f t="shared" si="710"/>
        <v>7.3394795318212913E-2</v>
      </c>
      <c r="AG665" s="783">
        <f t="shared" si="710"/>
        <v>7.3394795318212913E-2</v>
      </c>
      <c r="AH665" s="783">
        <f t="shared" si="710"/>
        <v>7.3394795318212913E-2</v>
      </c>
    </row>
    <row r="666" spans="1:43" ht="15" outlineLevel="3" thickBot="1">
      <c r="C666" s="37"/>
      <c r="D666" s="38" t="s">
        <v>665</v>
      </c>
      <c r="E666" s="37"/>
      <c r="F666" s="37"/>
      <c r="G666" s="37"/>
      <c r="H666" s="697" t="str">
        <f t="shared" si="697"/>
        <v>NA</v>
      </c>
      <c r="I666" s="697" t="str">
        <f t="shared" si="697"/>
        <v>NA</v>
      </c>
      <c r="J666" s="697" t="str">
        <f t="shared" si="697"/>
        <v>NA</v>
      </c>
      <c r="K666" s="697" t="str">
        <f t="shared" si="697"/>
        <v>NA</v>
      </c>
      <c r="L666" s="697" t="str">
        <f t="shared" si="698"/>
        <v>NA</v>
      </c>
      <c r="M666" s="697" t="str">
        <f t="shared" si="698"/>
        <v>NA</v>
      </c>
      <c r="N666" s="825">
        <f>CHOOSE(case,U666,AC666,AK666)</f>
        <v>0</v>
      </c>
      <c r="O666" s="826">
        <f t="shared" si="703"/>
        <v>0</v>
      </c>
      <c r="P666" s="826">
        <f t="shared" si="704"/>
        <v>0</v>
      </c>
      <c r="Q666" s="826">
        <f t="shared" si="705"/>
        <v>0</v>
      </c>
      <c r="R666" s="826">
        <f t="shared" si="706"/>
        <v>0</v>
      </c>
      <c r="S666" s="827">
        <f t="shared" si="707"/>
        <v>0</v>
      </c>
      <c r="T666" s="993"/>
      <c r="U666" s="1530"/>
      <c r="V666" s="1530"/>
      <c r="W666" s="1530"/>
      <c r="X666" s="1530"/>
      <c r="Y666" s="1530"/>
      <c r="Z666" s="1530"/>
      <c r="AA666" s="1530"/>
      <c r="AB666" s="1371"/>
      <c r="AC666" s="783"/>
      <c r="AD666" s="783"/>
      <c r="AE666" s="783"/>
      <c r="AF666" s="783"/>
      <c r="AG666" s="783"/>
      <c r="AH666" s="783"/>
    </row>
    <row r="667" spans="1:43" outlineLevel="3">
      <c r="C667" s="18" t="s">
        <v>845</v>
      </c>
      <c r="H667" s="23">
        <v>43159.783589999999</v>
      </c>
      <c r="I667" s="23">
        <f t="shared" ref="I667:S667" si="711">SUM(I668:I672)</f>
        <v>62749</v>
      </c>
      <c r="J667" s="23">
        <f t="shared" si="711"/>
        <v>58854</v>
      </c>
      <c r="K667" s="23">
        <f t="shared" si="711"/>
        <v>55514</v>
      </c>
      <c r="L667" s="23">
        <f t="shared" si="711"/>
        <v>76141.974200000041</v>
      </c>
      <c r="M667" s="23">
        <f t="shared" si="711"/>
        <v>70767.434329999989</v>
      </c>
      <c r="N667" s="23">
        <f t="shared" si="711"/>
        <v>123208.29534674087</v>
      </c>
      <c r="O667" s="23">
        <f t="shared" si="711"/>
        <v>167193.24047948309</v>
      </c>
      <c r="P667" s="23">
        <f t="shared" si="711"/>
        <v>204260.29922244404</v>
      </c>
      <c r="Q667" s="23">
        <f t="shared" si="711"/>
        <v>226082.13785214885</v>
      </c>
      <c r="R667" s="23">
        <f t="shared" si="711"/>
        <v>240985.14763530606</v>
      </c>
      <c r="S667" s="23">
        <f t="shared" si="711"/>
        <v>253034.40501707135</v>
      </c>
      <c r="T667" s="1205"/>
    </row>
    <row r="668" spans="1:43" outlineLevel="3">
      <c r="D668" s="27" t="s">
        <v>841</v>
      </c>
      <c r="E668" s="28"/>
      <c r="F668" s="28"/>
      <c r="G668" s="28"/>
      <c r="H668" s="398">
        <v>11170.377789999999</v>
      </c>
      <c r="I668" s="398">
        <v>18041</v>
      </c>
      <c r="J668" s="398">
        <v>16187</v>
      </c>
      <c r="K668" s="398">
        <v>13896</v>
      </c>
      <c r="L668" s="398">
        <v>20825.280129999999</v>
      </c>
      <c r="M668" s="398">
        <v>19158.523789999999</v>
      </c>
      <c r="N668" s="703">
        <f>N662*N644</f>
        <v>33481.621053952062</v>
      </c>
      <c r="O668" s="29">
        <f t="shared" ref="O668:S668" si="712">O662*O644</f>
        <v>43526.107370137688</v>
      </c>
      <c r="P668" s="29">
        <f t="shared" si="712"/>
        <v>52231.328844165226</v>
      </c>
      <c r="Q668" s="29">
        <f t="shared" si="712"/>
        <v>57454.461728581751</v>
      </c>
      <c r="R668" s="29">
        <f t="shared" si="712"/>
        <v>60327.184815010849</v>
      </c>
      <c r="S668" s="30">
        <f t="shared" si="712"/>
        <v>63343.544055761391</v>
      </c>
    </row>
    <row r="669" spans="1:43" outlineLevel="3">
      <c r="D669" s="31" t="s">
        <v>842</v>
      </c>
      <c r="H669" s="400"/>
      <c r="I669" s="400"/>
      <c r="J669" s="400"/>
      <c r="K669" s="400"/>
      <c r="L669" s="400"/>
      <c r="M669" s="400"/>
      <c r="N669" s="704">
        <f>N663*N645</f>
        <v>0</v>
      </c>
      <c r="O669" s="20">
        <f t="shared" ref="O669:S672" si="713">O663*O645</f>
        <v>0</v>
      </c>
      <c r="P669" s="20">
        <f t="shared" si="713"/>
        <v>0</v>
      </c>
      <c r="Q669" s="20">
        <f t="shared" si="713"/>
        <v>0</v>
      </c>
      <c r="R669" s="20">
        <f t="shared" si="713"/>
        <v>0</v>
      </c>
      <c r="S669" s="32">
        <f t="shared" si="713"/>
        <v>0</v>
      </c>
    </row>
    <row r="670" spans="1:43" outlineLevel="3">
      <c r="D670" s="31" t="s">
        <v>843</v>
      </c>
      <c r="H670" s="400">
        <v>4931.1605199999995</v>
      </c>
      <c r="I670" s="400">
        <v>6872</v>
      </c>
      <c r="J670" s="400">
        <v>5630</v>
      </c>
      <c r="K670" s="400">
        <v>5304</v>
      </c>
      <c r="L670" s="400">
        <v>7224.26091</v>
      </c>
      <c r="M670" s="400">
        <v>12379.00345</v>
      </c>
      <c r="N670" s="704">
        <f>N664*N646</f>
        <v>19993.904947498562</v>
      </c>
      <c r="O670" s="20">
        <f t="shared" si="713"/>
        <v>39987.809894997125</v>
      </c>
      <c r="P670" s="20">
        <f t="shared" si="713"/>
        <v>59981.714842495683</v>
      </c>
      <c r="Q670" s="20">
        <f t="shared" si="713"/>
        <v>71978.057810994811</v>
      </c>
      <c r="R670" s="20">
        <f t="shared" si="713"/>
        <v>79175.863592094305</v>
      </c>
      <c r="S670" s="32">
        <f t="shared" si="713"/>
        <v>83134.65677169901</v>
      </c>
    </row>
    <row r="671" spans="1:43" outlineLevel="3">
      <c r="D671" s="31" t="s">
        <v>844</v>
      </c>
      <c r="H671" s="400">
        <f>H667-SUM(H668:H670)</f>
        <v>27058.245280000003</v>
      </c>
      <c r="I671" s="400">
        <v>37836</v>
      </c>
      <c r="J671" s="400">
        <v>37037</v>
      </c>
      <c r="K671" s="400">
        <v>36314</v>
      </c>
      <c r="L671" s="400">
        <v>48092.433160000037</v>
      </c>
      <c r="M671" s="400">
        <v>39229.907089999993</v>
      </c>
      <c r="N671" s="704">
        <f>N665*N647</f>
        <v>69732.769345290246</v>
      </c>
      <c r="O671" s="20">
        <f t="shared" si="713"/>
        <v>83679.323214348289</v>
      </c>
      <c r="P671" s="20">
        <f t="shared" si="713"/>
        <v>92047.25553578313</v>
      </c>
      <c r="Q671" s="20">
        <f t="shared" si="713"/>
        <v>96649.618312572304</v>
      </c>
      <c r="R671" s="20">
        <f t="shared" si="713"/>
        <v>101482.09922820091</v>
      </c>
      <c r="S671" s="32">
        <f t="shared" si="713"/>
        <v>106556.20418961097</v>
      </c>
    </row>
    <row r="672" spans="1:43" outlineLevel="3">
      <c r="D672" s="33" t="s">
        <v>665</v>
      </c>
      <c r="E672" s="34"/>
      <c r="F672" s="34"/>
      <c r="G672" s="34"/>
      <c r="H672" s="402"/>
      <c r="I672" s="402"/>
      <c r="J672" s="402"/>
      <c r="K672" s="402"/>
      <c r="L672" s="402"/>
      <c r="M672" s="402"/>
      <c r="N672" s="705">
        <f>N666*N648</f>
        <v>0</v>
      </c>
      <c r="O672" s="35">
        <f t="shared" si="713"/>
        <v>0</v>
      </c>
      <c r="P672" s="35">
        <f t="shared" si="713"/>
        <v>0</v>
      </c>
      <c r="Q672" s="35">
        <f t="shared" si="713"/>
        <v>0</v>
      </c>
      <c r="R672" s="35">
        <f t="shared" si="713"/>
        <v>0</v>
      </c>
      <c r="S672" s="36">
        <f t="shared" si="713"/>
        <v>0</v>
      </c>
    </row>
    <row r="673" spans="1:43" outlineLevel="3">
      <c r="H673" s="43"/>
      <c r="I673" s="43"/>
      <c r="J673" s="43"/>
      <c r="K673" s="43"/>
      <c r="L673" s="144"/>
      <c r="M673" s="144"/>
    </row>
    <row r="674" spans="1:43" outlineLevel="3">
      <c r="C674" s="1" t="s">
        <v>659</v>
      </c>
      <c r="H674" s="394">
        <v>-33903</v>
      </c>
      <c r="I674" s="394">
        <v>-44306</v>
      </c>
      <c r="J674" s="394">
        <v>-37977</v>
      </c>
      <c r="K674" s="394">
        <v>-33918</v>
      </c>
      <c r="L674" s="394">
        <v>-46515.988214434452</v>
      </c>
      <c r="M674" s="20">
        <v>-41482.881545939177</v>
      </c>
      <c r="N674" s="20">
        <f>N675*N643</f>
        <v>-72222.981795727639</v>
      </c>
      <c r="O674" s="20">
        <f t="shared" ref="O674:S674" si="714">O675*O643</f>
        <v>-101770.34731958814</v>
      </c>
      <c r="P674" s="20">
        <f>P675*P643</f>
        <v>-127451.49581127339</v>
      </c>
      <c r="Q674" s="20">
        <f t="shared" si="714"/>
        <v>-142360.87028497914</v>
      </c>
      <c r="R674" s="20">
        <f t="shared" si="714"/>
        <v>-151993.60662066759</v>
      </c>
      <c r="S674" s="20">
        <f t="shared" si="714"/>
        <v>-159052.48620226214</v>
      </c>
    </row>
    <row r="675" spans="1:43" outlineLevel="3">
      <c r="D675" s="1" t="s">
        <v>849</v>
      </c>
      <c r="H675" s="744">
        <f>H674/H643</f>
        <v>-5.2431751962537042E-2</v>
      </c>
      <c r="I675" s="744">
        <f>I674/I643</f>
        <v>-5.5360968043491589E-2</v>
      </c>
      <c r="J675" s="744">
        <f t="shared" ref="J675:M675" si="715">J674/J643</f>
        <v>-6.1708575374741031E-2</v>
      </c>
      <c r="K675" s="744">
        <f t="shared" si="715"/>
        <v>-5.2789018240677332E-2</v>
      </c>
      <c r="L675" s="744">
        <f t="shared" si="715"/>
        <v>-5.1973209515924823E-2</v>
      </c>
      <c r="M675" s="744">
        <f t="shared" si="715"/>
        <v>-4.9888188163465519E-2</v>
      </c>
      <c r="N675" s="746">
        <f>N661/M661*M675</f>
        <v>-4.9864843542586135E-2</v>
      </c>
      <c r="O675" s="744">
        <f>N675*(1+O676)</f>
        <v>-5.1782757965976513E-2</v>
      </c>
      <c r="P675" s="744">
        <f t="shared" ref="P675:S675" si="716">O675*(1+P676)</f>
        <v>-5.3182530389263419E-2</v>
      </c>
      <c r="Q675" s="744">
        <f t="shared" si="716"/>
        <v>-5.3731493521767391E-2</v>
      </c>
      <c r="R675" s="744">
        <f t="shared" si="716"/>
        <v>-5.3753718076396895E-2</v>
      </c>
      <c r="S675" s="744">
        <f t="shared" si="716"/>
        <v>-5.3571567237999558E-2</v>
      </c>
    </row>
    <row r="676" spans="1:43" ht="15" outlineLevel="3" thickBot="1">
      <c r="C676" s="37"/>
      <c r="D676" s="74"/>
      <c r="E676" s="74" t="s">
        <v>151</v>
      </c>
      <c r="F676" s="37"/>
      <c r="G676" s="37"/>
      <c r="H676" s="747"/>
      <c r="I676" s="75">
        <f>I675/H675-1</f>
        <v>5.5867217312278505E-2</v>
      </c>
      <c r="J676" s="75">
        <f>J675/I675-1</f>
        <v>0.11465853209544252</v>
      </c>
      <c r="K676" s="75"/>
      <c r="L676" s="75">
        <f>L675/J675-1</f>
        <v>-0.15776358147462843</v>
      </c>
      <c r="M676" s="75"/>
      <c r="N676" s="748">
        <f>N675/L675-1</f>
        <v>-4.0566399361822714E-2</v>
      </c>
      <c r="O676" s="749">
        <f>CHOOSE(case,V676,AD676,AL676)</f>
        <v>3.8462256915584581E-2</v>
      </c>
      <c r="P676" s="750">
        <f>CHOOSE(case,W676,AE676,AM676)</f>
        <v>2.7031631343518159E-2</v>
      </c>
      <c r="Q676" s="750">
        <f>CHOOSE(case,X676,AF676,AN676)</f>
        <v>1.0322245453270096E-2</v>
      </c>
      <c r="R676" s="750">
        <f>CHOOSE(case,Y676,AG676,AO676)</f>
        <v>4.1362249907495041E-4</v>
      </c>
      <c r="S676" s="751">
        <f>CHOOSE(case,Z676,AH676,AP676)</f>
        <v>-3.3886184047484669E-3</v>
      </c>
      <c r="AC676" s="752"/>
      <c r="AD676" s="753">
        <f>(SUMPRODUCT(O656:O659,各区域分剂型成本优化!K$87:K$90)+O660*O666)/(SUMPRODUCT(N656:N659,各区域分剂型成本优化!J$87:J$90)+N660*N666)-1</f>
        <v>3.8462256915584581E-2</v>
      </c>
      <c r="AE676" s="753">
        <f>(SUMPRODUCT(P656:P659,各区域分剂型成本优化!L$87:L$90)+P660*P666)/(SUMPRODUCT(O656:O659,各区域分剂型成本优化!K$87:K$90)+O660*O666)-1</f>
        <v>2.7031631343518159E-2</v>
      </c>
      <c r="AF676" s="753">
        <f>(SUMPRODUCT(Q656:Q659,各区域分剂型成本优化!M$87:M$90)+Q660*Q666)/(SUMPRODUCT(P656:P659,各区域分剂型成本优化!L$87:L$90)+P660*P666)-1</f>
        <v>1.0322245453270096E-2</v>
      </c>
      <c r="AG676" s="753">
        <f>(SUMPRODUCT(R656:R659,各区域分剂型成本优化!N$87:N$90)+R660*R666)/(SUMPRODUCT(Q656:Q659,各区域分剂型成本优化!M$87:M$90)+Q660*Q666)-1</f>
        <v>4.1362249907495041E-4</v>
      </c>
      <c r="AH676" s="753">
        <f>(SUMPRODUCT(S656:S659,各区域分剂型成本优化!O$87:O$90)+S660*S666)/(SUMPRODUCT(R656:R659,各区域分剂型成本优化!N$87:N$90)+R660*R666)-1</f>
        <v>-3.3886184047484669E-3</v>
      </c>
    </row>
    <row r="677" spans="1:43" outlineLevel="3">
      <c r="C677" s="18" t="s">
        <v>846</v>
      </c>
      <c r="D677" s="18"/>
      <c r="E677" s="18"/>
      <c r="F677" s="18"/>
      <c r="G677" s="18"/>
      <c r="H677" s="23">
        <f>H674+H667</f>
        <v>9256.7835899999991</v>
      </c>
      <c r="I677" s="23">
        <f>I674+I667</f>
        <v>18443</v>
      </c>
      <c r="J677" s="23">
        <f>J674+J667</f>
        <v>20877</v>
      </c>
      <c r="K677" s="23">
        <f>K674+K667</f>
        <v>21596</v>
      </c>
      <c r="L677" s="23">
        <f t="shared" ref="L677:S677" si="717">L674+L667</f>
        <v>29625.985985565589</v>
      </c>
      <c r="M677" s="23">
        <f t="shared" si="717"/>
        <v>29284.552784060812</v>
      </c>
      <c r="N677" s="23">
        <f t="shared" si="717"/>
        <v>50985.313551013227</v>
      </c>
      <c r="O677" s="23">
        <f t="shared" si="717"/>
        <v>65422.893159894957</v>
      </c>
      <c r="P677" s="23">
        <f t="shared" si="717"/>
        <v>76808.803411170651</v>
      </c>
      <c r="Q677" s="23">
        <f t="shared" si="717"/>
        <v>83721.267567169707</v>
      </c>
      <c r="R677" s="23">
        <f t="shared" si="717"/>
        <v>88991.541014638467</v>
      </c>
      <c r="S677" s="23">
        <f t="shared" si="717"/>
        <v>93981.918814809207</v>
      </c>
    </row>
    <row r="678" spans="1:43" outlineLevel="3">
      <c r="C678" s="22" t="s">
        <v>660</v>
      </c>
      <c r="D678" s="22"/>
      <c r="E678" s="22"/>
      <c r="F678" s="22"/>
      <c r="G678" s="22"/>
      <c r="H678" s="56">
        <f>IFERROR(H677/H667,"NA")</f>
        <v>0.21447706220994051</v>
      </c>
      <c r="I678" s="56">
        <f t="shared" ref="I678:S678" si="718">IFERROR(I677/I667,"NA")</f>
        <v>0.29391703453441487</v>
      </c>
      <c r="J678" s="56">
        <f t="shared" si="718"/>
        <v>0.35472525231929858</v>
      </c>
      <c r="K678" s="56">
        <f t="shared" si="718"/>
        <v>0.38901898620167885</v>
      </c>
      <c r="L678" s="56">
        <f t="shared" si="718"/>
        <v>0.38908875553643807</v>
      </c>
      <c r="M678" s="56">
        <f t="shared" si="718"/>
        <v>0.4138139677002024</v>
      </c>
      <c r="N678" s="56">
        <f t="shared" si="718"/>
        <v>0.41381396770020246</v>
      </c>
      <c r="O678" s="56">
        <f t="shared" si="718"/>
        <v>0.39130106559495292</v>
      </c>
      <c r="P678" s="56">
        <f t="shared" si="718"/>
        <v>0.37603393172123056</v>
      </c>
      <c r="Q678" s="56">
        <f t="shared" si="718"/>
        <v>0.37031349916693101</v>
      </c>
      <c r="R678" s="56">
        <f t="shared" si="718"/>
        <v>0.36928226443777967</v>
      </c>
      <c r="S678" s="56">
        <f t="shared" si="718"/>
        <v>0.37141952616470703</v>
      </c>
      <c r="U678" s="1526">
        <f>AC678+1%</f>
        <v>0.01</v>
      </c>
      <c r="V678" s="1526">
        <f t="shared" ref="V678:Z678" si="719">U678</f>
        <v>0.01</v>
      </c>
      <c r="W678" s="1526">
        <f t="shared" si="719"/>
        <v>0.01</v>
      </c>
      <c r="X678" s="1526">
        <f t="shared" si="719"/>
        <v>0.01</v>
      </c>
      <c r="Y678" s="1526">
        <f t="shared" si="719"/>
        <v>0.01</v>
      </c>
      <c r="Z678" s="1526">
        <f t="shared" si="719"/>
        <v>0.01</v>
      </c>
      <c r="AC678" s="828"/>
      <c r="AD678" s="829"/>
      <c r="AE678" s="829"/>
      <c r="AF678" s="829"/>
      <c r="AG678" s="829"/>
      <c r="AH678" s="829"/>
      <c r="AK678" s="1526">
        <f>AC678-1%</f>
        <v>-0.01</v>
      </c>
      <c r="AL678" s="1526">
        <f t="shared" ref="AL678:AP678" si="720">AK678</f>
        <v>-0.01</v>
      </c>
      <c r="AM678" s="1526">
        <f t="shared" si="720"/>
        <v>-0.01</v>
      </c>
      <c r="AN678" s="1526">
        <f t="shared" si="720"/>
        <v>-0.01</v>
      </c>
      <c r="AO678" s="1526">
        <f t="shared" si="720"/>
        <v>-0.01</v>
      </c>
      <c r="AP678" s="1526">
        <f t="shared" si="720"/>
        <v>-0.01</v>
      </c>
    </row>
    <row r="679" spans="1:43" outlineLevel="3"/>
    <row r="680" spans="1:43" s="1126" customFormat="1" outlineLevel="4">
      <c r="A680" s="26" t="s">
        <v>8</v>
      </c>
      <c r="B680" s="26"/>
      <c r="C680" s="26" t="s">
        <v>55</v>
      </c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408"/>
      <c r="U680" s="1518"/>
      <c r="V680" s="1518"/>
      <c r="W680" s="1518"/>
      <c r="X680" s="1518"/>
      <c r="Y680" s="1518"/>
      <c r="Z680" s="1518"/>
      <c r="AA680" s="1518"/>
      <c r="AC680" s="26"/>
      <c r="AD680" s="26"/>
      <c r="AE680" s="26"/>
      <c r="AF680" s="26"/>
      <c r="AG680" s="26"/>
      <c r="AH680" s="26"/>
      <c r="AI680" s="18"/>
      <c r="AK680" s="1518"/>
      <c r="AL680" s="1518"/>
      <c r="AM680" s="1518"/>
      <c r="AN680" s="1518"/>
      <c r="AO680" s="1518"/>
      <c r="AP680" s="1518"/>
      <c r="AQ680" s="1518"/>
    </row>
    <row r="681" spans="1:43" outlineLevel="4"/>
    <row r="682" spans="1:43" s="1126" customFormat="1" outlineLevel="4">
      <c r="A682" s="18"/>
      <c r="B682" s="18"/>
      <c r="C682" s="18" t="s">
        <v>840</v>
      </c>
      <c r="D682" s="18"/>
      <c r="E682" s="18"/>
      <c r="F682" s="18"/>
      <c r="G682" s="18"/>
      <c r="H682" s="23">
        <f>SUM(H683:H687)</f>
        <v>69853</v>
      </c>
      <c r="I682" s="23">
        <f t="shared" ref="I682:K682" si="721">SUM(I683:I687)</f>
        <v>134406</v>
      </c>
      <c r="J682" s="23">
        <f t="shared" si="721"/>
        <v>158133</v>
      </c>
      <c r="K682" s="23">
        <f t="shared" si="721"/>
        <v>108197</v>
      </c>
      <c r="L682" s="23">
        <f>SUM(L683:L687)</f>
        <v>108196.31826204447</v>
      </c>
      <c r="M682" s="23">
        <f>SUM(M683:M687)</f>
        <v>0</v>
      </c>
      <c r="N682" s="165">
        <f>M682</f>
        <v>0</v>
      </c>
      <c r="O682" s="165">
        <f t="shared" ref="O682:S682" si="722">N682</f>
        <v>0</v>
      </c>
      <c r="P682" s="165">
        <f t="shared" si="722"/>
        <v>0</v>
      </c>
      <c r="Q682" s="165">
        <f t="shared" si="722"/>
        <v>0</v>
      </c>
      <c r="R682" s="165">
        <f t="shared" si="722"/>
        <v>0</v>
      </c>
      <c r="S682" s="165">
        <f t="shared" si="722"/>
        <v>0</v>
      </c>
      <c r="T682" s="408"/>
      <c r="U682" s="1519">
        <f>$L682*(1+$AA682)</f>
        <v>124425.76600135113</v>
      </c>
      <c r="V682" s="1519">
        <f>U682*(1+$AA682)</f>
        <v>143089.63090155378</v>
      </c>
      <c r="W682" s="1519">
        <f t="shared" ref="W682" si="723">V682*(1+$AA682)</f>
        <v>164553.07553678684</v>
      </c>
      <c r="X682" s="1519">
        <f>W682*(1+$AA682)</f>
        <v>189236.03686730485</v>
      </c>
      <c r="Y682" s="1519">
        <f>X682*(1+$AA682)</f>
        <v>217621.44239740056</v>
      </c>
      <c r="Z682" s="1519">
        <f t="shared" ref="Z682" si="724">Y682*(1+$AA682)</f>
        <v>250264.65875701062</v>
      </c>
      <c r="AA682" s="1520">
        <v>0.15</v>
      </c>
      <c r="AB682" s="1321"/>
      <c r="AC682" s="20"/>
      <c r="AD682" s="20"/>
      <c r="AE682" s="20"/>
      <c r="AF682" s="20"/>
      <c r="AG682" s="20"/>
      <c r="AH682" s="20"/>
      <c r="AI682" s="702"/>
      <c r="AJ682" s="1321"/>
      <c r="AK682" s="1519">
        <f>$L682*(1+$AQ682)</f>
        <v>113606.1341751467</v>
      </c>
      <c r="AL682" s="1519">
        <f>AK682*(1+$AQ682)</f>
        <v>119286.44088390404</v>
      </c>
      <c r="AM682" s="1519">
        <f t="shared" ref="AM682:AN682" si="725">AL682*(1+$AQ682)</f>
        <v>125250.76292809926</v>
      </c>
      <c r="AN682" s="1519">
        <f t="shared" si="725"/>
        <v>131513.30107450421</v>
      </c>
      <c r="AO682" s="1519">
        <f>AN682*(1+$AQ682)</f>
        <v>138088.96612822943</v>
      </c>
      <c r="AP682" s="1519">
        <f t="shared" ref="AP682" si="726">AO682*(1+$AQ682)</f>
        <v>144993.4144346409</v>
      </c>
      <c r="AQ682" s="1520">
        <v>0.05</v>
      </c>
    </row>
    <row r="683" spans="1:43" outlineLevel="4">
      <c r="D683" s="27" t="s">
        <v>841</v>
      </c>
      <c r="E683" s="28"/>
      <c r="F683" s="28"/>
      <c r="G683" s="28"/>
      <c r="H683" s="398"/>
      <c r="I683" s="398"/>
      <c r="J683" s="398"/>
      <c r="K683" s="398"/>
      <c r="L683" s="398"/>
      <c r="M683" s="398"/>
      <c r="N683" s="436"/>
      <c r="O683" s="436"/>
      <c r="P683" s="436"/>
      <c r="Q683" s="436"/>
      <c r="R683" s="436"/>
      <c r="S683" s="437"/>
    </row>
    <row r="684" spans="1:43" outlineLevel="4">
      <c r="D684" s="31" t="s">
        <v>842</v>
      </c>
      <c r="H684" s="400"/>
      <c r="I684" s="400">
        <v>908</v>
      </c>
      <c r="J684" s="400"/>
      <c r="K684" s="400"/>
      <c r="L684" s="400"/>
      <c r="M684" s="400"/>
      <c r="N684" s="438"/>
      <c r="O684" s="438"/>
      <c r="P684" s="438"/>
      <c r="Q684" s="438"/>
      <c r="R684" s="438"/>
      <c r="S684" s="439"/>
    </row>
    <row r="685" spans="1:43" outlineLevel="4">
      <c r="D685" s="31" t="s">
        <v>843</v>
      </c>
      <c r="H685" s="400">
        <v>69853</v>
      </c>
      <c r="I685" s="400">
        <v>133498</v>
      </c>
      <c r="J685" s="400">
        <v>158133</v>
      </c>
      <c r="K685" s="400">
        <v>108197</v>
      </c>
      <c r="L685" s="400">
        <f>L694/L691</f>
        <v>108196.31826204447</v>
      </c>
      <c r="M685" s="400">
        <f>M694/M691</f>
        <v>0</v>
      </c>
      <c r="N685" s="438"/>
      <c r="O685" s="438"/>
      <c r="P685" s="438"/>
      <c r="Q685" s="438"/>
      <c r="R685" s="438"/>
      <c r="S685" s="439"/>
    </row>
    <row r="686" spans="1:43" outlineLevel="4">
      <c r="D686" s="31" t="s">
        <v>844</v>
      </c>
      <c r="H686" s="400"/>
      <c r="I686" s="400"/>
      <c r="J686" s="400"/>
      <c r="K686" s="400"/>
      <c r="L686" s="400"/>
      <c r="M686" s="400"/>
      <c r="N686" s="438"/>
      <c r="O686" s="438"/>
      <c r="P686" s="438"/>
      <c r="Q686" s="438"/>
      <c r="R686" s="438"/>
      <c r="S686" s="439"/>
    </row>
    <row r="687" spans="1:43" outlineLevel="4">
      <c r="D687" s="33" t="s">
        <v>665</v>
      </c>
      <c r="E687" s="34"/>
      <c r="F687" s="34"/>
      <c r="G687" s="34"/>
      <c r="H687" s="402"/>
      <c r="I687" s="402"/>
      <c r="J687" s="402"/>
      <c r="K687" s="402"/>
      <c r="L687" s="402"/>
      <c r="M687" s="402"/>
      <c r="N687" s="440"/>
      <c r="O687" s="440"/>
      <c r="P687" s="440"/>
      <c r="Q687" s="440"/>
      <c r="R687" s="440"/>
      <c r="S687" s="441"/>
      <c r="AC687" s="448"/>
      <c r="AD687" s="448"/>
      <c r="AE687" s="448"/>
      <c r="AF687" s="448"/>
      <c r="AG687" s="448"/>
      <c r="AH687" s="448"/>
    </row>
    <row r="688" spans="1:43" outlineLevel="4">
      <c r="C688" s="1" t="s">
        <v>31</v>
      </c>
      <c r="H688" s="57">
        <f>IFERROR(H694/H682,"NA")</f>
        <v>7.8378881365152531E-2</v>
      </c>
      <c r="I688" s="57">
        <f t="shared" ref="I688:K689" si="727">IFERROR(I694/I682,"NA")</f>
        <v>0.10669166555064506</v>
      </c>
      <c r="J688" s="57">
        <f t="shared" si="727"/>
        <v>0.11813473468535979</v>
      </c>
      <c r="K688" s="57">
        <f t="shared" si="727"/>
        <v>0.25605146168562898</v>
      </c>
      <c r="L688" s="57">
        <f>IFERROR(L694/L682,"NA")</f>
        <v>0.25605146168562898</v>
      </c>
      <c r="M688" s="57"/>
      <c r="N688" s="57">
        <f t="shared" ref="N688:S688" si="728">CHOOSE(case,U688,AC688,AK688)</f>
        <v>0</v>
      </c>
      <c r="O688" s="57">
        <f t="shared" si="728"/>
        <v>0</v>
      </c>
      <c r="P688" s="57">
        <f t="shared" si="728"/>
        <v>0</v>
      </c>
      <c r="Q688" s="57">
        <f t="shared" si="728"/>
        <v>0</v>
      </c>
      <c r="R688" s="57">
        <f t="shared" si="728"/>
        <v>0</v>
      </c>
      <c r="S688" s="57">
        <f t="shared" si="728"/>
        <v>0</v>
      </c>
      <c r="U688" s="1529">
        <f>$L688*(1+$AA688)</f>
        <v>0.26117249091934158</v>
      </c>
      <c r="V688" s="1529">
        <f>U688*(1+$AA688)</f>
        <v>0.26639594073772843</v>
      </c>
      <c r="W688" s="1529">
        <f t="shared" ref="W688" si="729">V688*(1+$AA688)</f>
        <v>0.27172385955248302</v>
      </c>
      <c r="X688" s="1529">
        <f>W688*(1+$AA688)</f>
        <v>0.27715833674353269</v>
      </c>
      <c r="Y688" s="1529">
        <f t="shared" ref="Y688:Z688" si="730">X688*(1+$AA688)</f>
        <v>0.28270150347840334</v>
      </c>
      <c r="Z688" s="1529">
        <f t="shared" si="730"/>
        <v>0.28835553354797139</v>
      </c>
      <c r="AA688" s="1520">
        <v>0.02</v>
      </c>
      <c r="AC688" s="448"/>
      <c r="AD688" s="448"/>
      <c r="AE688" s="448"/>
      <c r="AF688" s="448"/>
      <c r="AG688" s="448"/>
      <c r="AH688" s="448"/>
      <c r="AI688" s="702"/>
      <c r="AK688" s="1529">
        <f>$L688*(1+$AQ688)</f>
        <v>0.25605146168562898</v>
      </c>
      <c r="AL688" s="1529">
        <f>AK688*(1+$AQ688)</f>
        <v>0.25605146168562898</v>
      </c>
      <c r="AM688" s="1529">
        <f t="shared" ref="AM688:AN688" si="731">AL688*(1+$AQ688)</f>
        <v>0.25605146168562898</v>
      </c>
      <c r="AN688" s="1529">
        <f t="shared" si="731"/>
        <v>0.25605146168562898</v>
      </c>
      <c r="AO688" s="1529">
        <f>AN688*(1+$AQ688)</f>
        <v>0.25605146168562898</v>
      </c>
      <c r="AP688" s="1529">
        <f t="shared" ref="AP688" si="732">AO688*(1+$AQ688)</f>
        <v>0.25605146168562898</v>
      </c>
      <c r="AQ688" s="1520">
        <v>0</v>
      </c>
    </row>
    <row r="689" spans="3:42" outlineLevel="4">
      <c r="D689" s="27" t="s">
        <v>841</v>
      </c>
      <c r="E689" s="28"/>
      <c r="F689" s="28"/>
      <c r="G689" s="28"/>
      <c r="H689" s="50" t="str">
        <f>IFERROR(H695/H683,"NA")</f>
        <v>NA</v>
      </c>
      <c r="I689" s="50" t="str">
        <f t="shared" si="727"/>
        <v>NA</v>
      </c>
      <c r="J689" s="50" t="str">
        <f t="shared" si="727"/>
        <v>NA</v>
      </c>
      <c r="K689" s="51" t="str">
        <f t="shared" si="727"/>
        <v>NA</v>
      </c>
      <c r="L689" s="81"/>
      <c r="M689" s="81"/>
      <c r="N689" s="442"/>
      <c r="O689" s="442"/>
      <c r="P689" s="442"/>
      <c r="Q689" s="442"/>
      <c r="R689" s="442"/>
      <c r="S689" s="443"/>
    </row>
    <row r="690" spans="3:42" outlineLevel="4">
      <c r="D690" s="31" t="s">
        <v>842</v>
      </c>
      <c r="H690" s="52" t="str">
        <f t="shared" ref="H690:K693" si="733">IFERROR(H696/H684,"NA")</f>
        <v>NA</v>
      </c>
      <c r="I690" s="52">
        <f t="shared" si="733"/>
        <v>0.32268722466960353</v>
      </c>
      <c r="J690" s="52" t="str">
        <f t="shared" si="733"/>
        <v>NA</v>
      </c>
      <c r="K690" s="53" t="str">
        <f t="shared" si="733"/>
        <v>NA</v>
      </c>
      <c r="L690" s="82"/>
      <c r="M690" s="82"/>
      <c r="N690" s="444"/>
      <c r="O690" s="444"/>
      <c r="P690" s="444"/>
      <c r="Q690" s="444"/>
      <c r="R690" s="444"/>
      <c r="S690" s="445"/>
    </row>
    <row r="691" spans="3:42" outlineLevel="4">
      <c r="D691" s="31" t="s">
        <v>843</v>
      </c>
      <c r="H691" s="52">
        <f t="shared" si="733"/>
        <v>7.8378881365152531E-2</v>
      </c>
      <c r="I691" s="52">
        <f t="shared" si="733"/>
        <v>0.10522255015056406</v>
      </c>
      <c r="J691" s="52">
        <f t="shared" si="733"/>
        <v>0.11813473468535979</v>
      </c>
      <c r="K691" s="53">
        <f t="shared" si="733"/>
        <v>0.25605146168562898</v>
      </c>
      <c r="L691" s="82">
        <f t="shared" ref="L691:M691" si="734">K691</f>
        <v>0.25605146168562898</v>
      </c>
      <c r="M691" s="82">
        <f t="shared" si="734"/>
        <v>0.25605146168562898</v>
      </c>
      <c r="N691" s="444"/>
      <c r="O691" s="444"/>
      <c r="P691" s="444"/>
      <c r="Q691" s="444"/>
      <c r="R691" s="444"/>
      <c r="S691" s="445"/>
    </row>
    <row r="692" spans="3:42" outlineLevel="4">
      <c r="D692" s="31" t="s">
        <v>844</v>
      </c>
      <c r="H692" s="52" t="str">
        <f t="shared" si="733"/>
        <v>NA</v>
      </c>
      <c r="I692" s="52" t="str">
        <f t="shared" si="733"/>
        <v>NA</v>
      </c>
      <c r="J692" s="52" t="str">
        <f t="shared" si="733"/>
        <v>NA</v>
      </c>
      <c r="K692" s="53" t="str">
        <f t="shared" si="733"/>
        <v>NA</v>
      </c>
      <c r="L692" s="82"/>
      <c r="M692" s="82"/>
      <c r="N692" s="444"/>
      <c r="O692" s="444"/>
      <c r="P692" s="444"/>
      <c r="Q692" s="444"/>
      <c r="R692" s="444"/>
      <c r="S692" s="445"/>
    </row>
    <row r="693" spans="3:42" ht="15" outlineLevel="4" thickBot="1">
      <c r="C693" s="37"/>
      <c r="D693" s="38" t="s">
        <v>665</v>
      </c>
      <c r="E693" s="37"/>
      <c r="F693" s="37"/>
      <c r="G693" s="37"/>
      <c r="H693" s="54" t="str">
        <f t="shared" si="733"/>
        <v>NA</v>
      </c>
      <c r="I693" s="54" t="str">
        <f t="shared" si="733"/>
        <v>NA</v>
      </c>
      <c r="J693" s="54" t="str">
        <f t="shared" si="733"/>
        <v>NA</v>
      </c>
      <c r="K693" s="55" t="str">
        <f t="shared" si="733"/>
        <v>NA</v>
      </c>
      <c r="L693" s="86"/>
      <c r="M693" s="86"/>
      <c r="N693" s="446"/>
      <c r="O693" s="446"/>
      <c r="P693" s="446"/>
      <c r="Q693" s="446"/>
      <c r="R693" s="446"/>
      <c r="S693" s="447"/>
    </row>
    <row r="694" spans="3:42" outlineLevel="4">
      <c r="C694" s="18" t="s">
        <v>845</v>
      </c>
      <c r="H694" s="23">
        <f>SUM(H695:H699)</f>
        <v>5475</v>
      </c>
      <c r="I694" s="23">
        <f t="shared" ref="I694:K694" si="735">SUM(I695:I699)</f>
        <v>14340</v>
      </c>
      <c r="J694" s="23">
        <f t="shared" si="735"/>
        <v>18681</v>
      </c>
      <c r="K694" s="23">
        <f t="shared" si="735"/>
        <v>27704</v>
      </c>
      <c r="L694" s="405">
        <v>27703.825440000001</v>
      </c>
      <c r="M694" s="405">
        <v>0</v>
      </c>
      <c r="N694" s="23">
        <f>N682*N688</f>
        <v>0</v>
      </c>
      <c r="O694" s="23">
        <f t="shared" ref="O694:S694" si="736">O682*O688</f>
        <v>0</v>
      </c>
      <c r="P694" s="23">
        <f t="shared" si="736"/>
        <v>0</v>
      </c>
      <c r="Q694" s="23">
        <f t="shared" si="736"/>
        <v>0</v>
      </c>
      <c r="R694" s="23">
        <f t="shared" si="736"/>
        <v>0</v>
      </c>
      <c r="S694" s="23">
        <f t="shared" si="736"/>
        <v>0</v>
      </c>
    </row>
    <row r="695" spans="3:42" outlineLevel="4">
      <c r="D695" s="27" t="s">
        <v>841</v>
      </c>
      <c r="E695" s="28"/>
      <c r="F695" s="28"/>
      <c r="G695" s="28"/>
      <c r="H695" s="398"/>
      <c r="I695" s="398"/>
      <c r="J695" s="398"/>
      <c r="K695" s="398"/>
      <c r="L695" s="776"/>
      <c r="M695" s="776"/>
      <c r="N695" s="436"/>
      <c r="O695" s="436"/>
      <c r="P695" s="436"/>
      <c r="Q695" s="436"/>
      <c r="R695" s="436"/>
      <c r="S695" s="437"/>
    </row>
    <row r="696" spans="3:42" outlineLevel="4">
      <c r="D696" s="31" t="s">
        <v>842</v>
      </c>
      <c r="H696" s="400"/>
      <c r="I696" s="400">
        <v>293</v>
      </c>
      <c r="J696" s="400"/>
      <c r="K696" s="400"/>
      <c r="L696" s="429"/>
      <c r="M696" s="429"/>
      <c r="N696" s="438"/>
      <c r="O696" s="438"/>
      <c r="P696" s="438"/>
      <c r="Q696" s="438"/>
      <c r="R696" s="438"/>
      <c r="S696" s="439"/>
    </row>
    <row r="697" spans="3:42" outlineLevel="4">
      <c r="D697" s="31" t="s">
        <v>843</v>
      </c>
      <c r="H697" s="400">
        <v>5475</v>
      </c>
      <c r="I697" s="400">
        <v>14047</v>
      </c>
      <c r="J697" s="400">
        <v>18681</v>
      </c>
      <c r="K697" s="400">
        <v>27704</v>
      </c>
      <c r="L697" s="429">
        <f>L694</f>
        <v>27703.825440000001</v>
      </c>
      <c r="M697" s="429">
        <f>M694</f>
        <v>0</v>
      </c>
      <c r="N697" s="438"/>
      <c r="O697" s="438"/>
      <c r="P697" s="438"/>
      <c r="Q697" s="438"/>
      <c r="R697" s="438"/>
      <c r="S697" s="439"/>
    </row>
    <row r="698" spans="3:42" outlineLevel="4">
      <c r="D698" s="31" t="s">
        <v>844</v>
      </c>
      <c r="H698" s="400"/>
      <c r="I698" s="400"/>
      <c r="J698" s="400"/>
      <c r="K698" s="400"/>
      <c r="L698" s="429"/>
      <c r="M698" s="429"/>
      <c r="N698" s="438"/>
      <c r="O698" s="438"/>
      <c r="P698" s="438"/>
      <c r="Q698" s="438"/>
      <c r="R698" s="438"/>
      <c r="S698" s="439"/>
    </row>
    <row r="699" spans="3:42" outlineLevel="4">
      <c r="D699" s="33" t="s">
        <v>665</v>
      </c>
      <c r="E699" s="34"/>
      <c r="F699" s="34"/>
      <c r="G699" s="34"/>
      <c r="H699" s="402"/>
      <c r="I699" s="402"/>
      <c r="J699" s="402"/>
      <c r="K699" s="402"/>
      <c r="L699" s="777"/>
      <c r="M699" s="777"/>
      <c r="N699" s="440"/>
      <c r="O699" s="440"/>
      <c r="P699" s="440"/>
      <c r="Q699" s="440"/>
      <c r="R699" s="440"/>
      <c r="S699" s="441"/>
    </row>
    <row r="700" spans="3:42" outlineLevel="4">
      <c r="H700" s="43"/>
      <c r="I700" s="43"/>
      <c r="J700" s="43"/>
      <c r="K700" s="43"/>
      <c r="L700" s="144"/>
      <c r="M700" s="144"/>
      <c r="N700" s="144"/>
      <c r="S700" s="144"/>
    </row>
    <row r="701" spans="3:42" ht="15" outlineLevel="4" thickBot="1">
      <c r="C701" s="37" t="s">
        <v>659</v>
      </c>
      <c r="D701" s="37"/>
      <c r="E701" s="37"/>
      <c r="F701" s="37"/>
      <c r="G701" s="37"/>
      <c r="H701" s="404">
        <v>-5099</v>
      </c>
      <c r="I701" s="404">
        <v>-12186</v>
      </c>
      <c r="J701" s="404">
        <v>-18076</v>
      </c>
      <c r="K701" s="404">
        <v>-24470</v>
      </c>
      <c r="L701" s="39">
        <v>-24470.093107860128</v>
      </c>
      <c r="M701" s="39">
        <v>0</v>
      </c>
      <c r="N701" s="147">
        <f>M701</f>
        <v>0</v>
      </c>
      <c r="O701" s="147">
        <f t="shared" ref="O701:S701" si="737">N701</f>
        <v>0</v>
      </c>
      <c r="P701" s="147">
        <f t="shared" si="737"/>
        <v>0</v>
      </c>
      <c r="Q701" s="147">
        <f t="shared" si="737"/>
        <v>0</v>
      </c>
      <c r="R701" s="147">
        <f t="shared" si="737"/>
        <v>0</v>
      </c>
      <c r="S701" s="147">
        <f t="shared" si="737"/>
        <v>0</v>
      </c>
    </row>
    <row r="702" spans="3:42" outlineLevel="4">
      <c r="C702" s="18" t="s">
        <v>846</v>
      </c>
      <c r="D702" s="18"/>
      <c r="E702" s="18"/>
      <c r="F702" s="18"/>
      <c r="G702" s="18"/>
      <c r="H702" s="23">
        <f>H701+H694</f>
        <v>376</v>
      </c>
      <c r="I702" s="23">
        <f>I701+I694</f>
        <v>2154</v>
      </c>
      <c r="J702" s="23">
        <f>J701+J694</f>
        <v>605</v>
      </c>
      <c r="K702" s="23">
        <f>K701+K694</f>
        <v>3234</v>
      </c>
      <c r="L702" s="23">
        <f t="shared" ref="L702:S702" si="738">L701+L694</f>
        <v>3233.7323321398726</v>
      </c>
      <c r="M702" s="23">
        <f t="shared" si="738"/>
        <v>0</v>
      </c>
      <c r="N702" s="23">
        <f t="shared" si="738"/>
        <v>0</v>
      </c>
      <c r="O702" s="23">
        <f t="shared" si="738"/>
        <v>0</v>
      </c>
      <c r="P702" s="23">
        <f t="shared" si="738"/>
        <v>0</v>
      </c>
      <c r="Q702" s="23">
        <f t="shared" si="738"/>
        <v>0</v>
      </c>
      <c r="R702" s="23">
        <f t="shared" si="738"/>
        <v>0</v>
      </c>
      <c r="S702" s="23">
        <f t="shared" si="738"/>
        <v>0</v>
      </c>
    </row>
    <row r="703" spans="3:42" outlineLevel="4">
      <c r="C703" s="22" t="s">
        <v>660</v>
      </c>
      <c r="D703" s="22"/>
      <c r="E703" s="22"/>
      <c r="F703" s="22"/>
      <c r="G703" s="22"/>
      <c r="H703" s="56">
        <f>IFERROR(H702/H694,"NA")</f>
        <v>6.8675799086757985E-2</v>
      </c>
      <c r="I703" s="56">
        <f t="shared" ref="I703:S703" si="739">IFERROR(I702/I694,"NA")</f>
        <v>0.1502092050209205</v>
      </c>
      <c r="J703" s="56">
        <f t="shared" si="739"/>
        <v>3.2385846582088755E-2</v>
      </c>
      <c r="K703" s="56">
        <f t="shared" si="739"/>
        <v>0.11673404562518049</v>
      </c>
      <c r="L703" s="56">
        <f t="shared" si="739"/>
        <v>0.11672511939347076</v>
      </c>
      <c r="M703" s="56" t="str">
        <f t="shared" si="739"/>
        <v>NA</v>
      </c>
      <c r="N703" s="56" t="str">
        <f t="shared" si="739"/>
        <v>NA</v>
      </c>
      <c r="O703" s="56" t="str">
        <f t="shared" si="739"/>
        <v>NA</v>
      </c>
      <c r="P703" s="56" t="str">
        <f t="shared" si="739"/>
        <v>NA</v>
      </c>
      <c r="Q703" s="56" t="str">
        <f t="shared" si="739"/>
        <v>NA</v>
      </c>
      <c r="R703" s="56" t="str">
        <f t="shared" si="739"/>
        <v>NA</v>
      </c>
      <c r="S703" s="56" t="str">
        <f t="shared" si="739"/>
        <v>NA</v>
      </c>
      <c r="U703" s="1526">
        <f>AC703+1%</f>
        <v>0.01</v>
      </c>
      <c r="V703" s="1526">
        <f t="shared" ref="V703:Z703" si="740">U703</f>
        <v>0.01</v>
      </c>
      <c r="W703" s="1526">
        <f t="shared" si="740"/>
        <v>0.01</v>
      </c>
      <c r="X703" s="1526">
        <f t="shared" si="740"/>
        <v>0.01</v>
      </c>
      <c r="Y703" s="1526">
        <f t="shared" si="740"/>
        <v>0.01</v>
      </c>
      <c r="Z703" s="1526">
        <f t="shared" si="740"/>
        <v>0.01</v>
      </c>
      <c r="AC703" s="416"/>
      <c r="AD703" s="65"/>
      <c r="AE703" s="65"/>
      <c r="AF703" s="65"/>
      <c r="AG703" s="65"/>
      <c r="AH703" s="65"/>
      <c r="AK703" s="1526">
        <f>AC703-1%</f>
        <v>-0.01</v>
      </c>
      <c r="AL703" s="1526">
        <f t="shared" ref="AL703:AP703" si="741">AK703</f>
        <v>-0.01</v>
      </c>
      <c r="AM703" s="1526">
        <f t="shared" si="741"/>
        <v>-0.01</v>
      </c>
      <c r="AN703" s="1526">
        <f t="shared" si="741"/>
        <v>-0.01</v>
      </c>
      <c r="AO703" s="1526">
        <f t="shared" si="741"/>
        <v>-0.01</v>
      </c>
      <c r="AP703" s="1526">
        <f t="shared" si="741"/>
        <v>-0.01</v>
      </c>
    </row>
    <row r="704" spans="3:42" outlineLevel="4"/>
    <row r="705" spans="1:43" s="1126" customFormat="1" outlineLevel="3">
      <c r="A705" s="26" t="s">
        <v>8</v>
      </c>
      <c r="B705" s="26"/>
      <c r="C705" s="26" t="s">
        <v>56</v>
      </c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408"/>
      <c r="U705" s="1518"/>
      <c r="V705" s="1518"/>
      <c r="W705" s="1518"/>
      <c r="X705" s="1518"/>
      <c r="Y705" s="1518"/>
      <c r="Z705" s="1518"/>
      <c r="AA705" s="1518"/>
      <c r="AC705" s="26"/>
      <c r="AD705" s="26"/>
      <c r="AE705" s="26"/>
      <c r="AF705" s="26"/>
      <c r="AG705" s="26"/>
      <c r="AH705" s="26"/>
      <c r="AI705" s="18"/>
      <c r="AK705" s="1518"/>
      <c r="AL705" s="1518"/>
      <c r="AM705" s="1518"/>
      <c r="AN705" s="1518"/>
      <c r="AO705" s="1518"/>
      <c r="AP705" s="1518"/>
      <c r="AQ705" s="1518"/>
    </row>
    <row r="706" spans="1:43" outlineLevel="3"/>
    <row r="707" spans="1:43" s="1126" customFormat="1" outlineLevel="3">
      <c r="A707" s="18"/>
      <c r="B707" s="18"/>
      <c r="C707" s="18" t="s">
        <v>840</v>
      </c>
      <c r="D707" s="18"/>
      <c r="E707" s="18"/>
      <c r="F707" s="18"/>
      <c r="G707" s="18"/>
      <c r="H707" s="23">
        <f>SUM(H708:H712)</f>
        <v>260201</v>
      </c>
      <c r="I707" s="23">
        <f t="shared" ref="I707:M707" si="742">SUM(I708:I712)</f>
        <v>248464.91999999998</v>
      </c>
      <c r="J707" s="23">
        <f t="shared" si="742"/>
        <v>192942</v>
      </c>
      <c r="K707" s="23">
        <f t="shared" si="742"/>
        <v>248303</v>
      </c>
      <c r="L707" s="23">
        <f t="shared" si="742"/>
        <v>303042.0199999999</v>
      </c>
      <c r="M707" s="23">
        <f t="shared" si="742"/>
        <v>240770.45200000002</v>
      </c>
      <c r="N707" s="23">
        <f t="shared" ref="N707:S707" si="743">SUM(N708:N712)</f>
        <v>415355.7539999999</v>
      </c>
      <c r="O707" s="23">
        <f t="shared" si="743"/>
        <v>516882.2673999999</v>
      </c>
      <c r="P707" s="23">
        <f t="shared" si="743"/>
        <v>604358.98737999983</v>
      </c>
      <c r="Q707" s="23">
        <f t="shared" si="743"/>
        <v>669756.37911799992</v>
      </c>
      <c r="R707" s="23">
        <f t="shared" si="743"/>
        <v>736732.0170298001</v>
      </c>
      <c r="S707" s="23">
        <f t="shared" si="743"/>
        <v>810405.21873278008</v>
      </c>
      <c r="T707" s="408"/>
      <c r="U707" s="1519">
        <f>$L707*(1+$AA707)</f>
        <v>348498.32299999986</v>
      </c>
      <c r="V707" s="1519">
        <f>U707*(1+$AA707)</f>
        <v>400773.07144999981</v>
      </c>
      <c r="W707" s="1519">
        <f>V707*(1+$AA707)</f>
        <v>460889.03216749977</v>
      </c>
      <c r="X707" s="1519">
        <f>W707*(1+$AA707)</f>
        <v>530022.38699262473</v>
      </c>
      <c r="Y707" s="1519">
        <f>X707*(1+$AA707)</f>
        <v>609525.74504151836</v>
      </c>
      <c r="Z707" s="1519">
        <f t="shared" ref="Z707" si="744">Y707*(1+$AA707)</f>
        <v>700954.60679774603</v>
      </c>
      <c r="AA707" s="1520">
        <v>0.15</v>
      </c>
      <c r="AB707" s="1321"/>
      <c r="AC707" s="20"/>
      <c r="AD707" s="20"/>
      <c r="AE707" s="20"/>
      <c r="AF707" s="20"/>
      <c r="AG707" s="20"/>
      <c r="AH707" s="20"/>
      <c r="AI707" s="702"/>
      <c r="AJ707" s="1321"/>
      <c r="AK707" s="1519">
        <f>$L707*(1+$AQ707)</f>
        <v>318194.12099999993</v>
      </c>
      <c r="AL707" s="1519">
        <f>AK707*(1+$AQ707)</f>
        <v>334103.82704999996</v>
      </c>
      <c r="AM707" s="1519">
        <f t="shared" ref="AM707:AN707" si="745">AL707*(1+$AQ707)</f>
        <v>350809.01840249996</v>
      </c>
      <c r="AN707" s="1519">
        <f t="shared" si="745"/>
        <v>368349.46932262497</v>
      </c>
      <c r="AO707" s="1519">
        <f>AN707*(1+$AQ707)</f>
        <v>386766.94278875622</v>
      </c>
      <c r="AP707" s="1519">
        <f t="shared" ref="AP707" si="746">AO707*(1+$AQ707)</f>
        <v>406105.28992819402</v>
      </c>
      <c r="AQ707" s="1520">
        <v>0.05</v>
      </c>
    </row>
    <row r="708" spans="1:43" outlineLevel="3">
      <c r="D708" s="27" t="s">
        <v>841</v>
      </c>
      <c r="E708" s="28"/>
      <c r="F708" s="28"/>
      <c r="G708" s="28"/>
      <c r="H708" s="398">
        <v>9216</v>
      </c>
      <c r="I708" s="398">
        <v>28120.400000000001</v>
      </c>
      <c r="J708" s="398">
        <v>27228</v>
      </c>
      <c r="K708" s="398">
        <v>30926</v>
      </c>
      <c r="L708" s="398">
        <v>32664.38</v>
      </c>
      <c r="M708" s="398">
        <v>23213.613999999998</v>
      </c>
      <c r="N708" s="703">
        <f>L708*(1+N714)</f>
        <v>45730.131999999998</v>
      </c>
      <c r="O708" s="29">
        <f>N708*(1+O714)</f>
        <v>59449.171600000001</v>
      </c>
      <c r="P708" s="29">
        <f t="shared" ref="P708:S708" si="747">O708*(1+P714)</f>
        <v>71339.005919999996</v>
      </c>
      <c r="Q708" s="29">
        <f t="shared" si="747"/>
        <v>78472.906512000001</v>
      </c>
      <c r="R708" s="29">
        <f t="shared" si="747"/>
        <v>86320.197163200006</v>
      </c>
      <c r="S708" s="30">
        <f t="shared" si="747"/>
        <v>94952.216879520012</v>
      </c>
    </row>
    <row r="709" spans="1:43" outlineLevel="3">
      <c r="D709" s="31" t="s">
        <v>842</v>
      </c>
      <c r="H709" s="400">
        <v>0</v>
      </c>
      <c r="I709" s="400">
        <v>885.84</v>
      </c>
      <c r="J709" s="400">
        <v>716</v>
      </c>
      <c r="K709" s="400">
        <v>631</v>
      </c>
      <c r="L709" s="400">
        <v>630.70000000000005</v>
      </c>
      <c r="M709" s="400">
        <v>922.6</v>
      </c>
      <c r="N709" s="704">
        <f t="shared" ref="N709:N712" si="748">L709*(1+N715)</f>
        <v>1261.4000000000001</v>
      </c>
      <c r="O709" s="20">
        <f t="shared" ref="O709:S712" si="749">N709*(1+O715)</f>
        <v>1892.1000000000001</v>
      </c>
      <c r="P709" s="20">
        <f t="shared" si="749"/>
        <v>2459.7300000000005</v>
      </c>
      <c r="Q709" s="20">
        <f t="shared" si="749"/>
        <v>2951.6760000000004</v>
      </c>
      <c r="R709" s="20">
        <f t="shared" si="749"/>
        <v>3246.8436000000006</v>
      </c>
      <c r="S709" s="32">
        <f t="shared" si="749"/>
        <v>3571.5279600000008</v>
      </c>
    </row>
    <row r="710" spans="1:43" outlineLevel="3">
      <c r="D710" s="31" t="s">
        <v>843</v>
      </c>
      <c r="H710" s="400">
        <v>58163</v>
      </c>
      <c r="I710" s="400">
        <v>29087.68</v>
      </c>
      <c r="J710" s="400">
        <v>36620</v>
      </c>
      <c r="K710" s="400">
        <v>52754</v>
      </c>
      <c r="L710" s="400">
        <v>67025.540000000008</v>
      </c>
      <c r="M710" s="400">
        <v>67697.082000000024</v>
      </c>
      <c r="N710" s="704">
        <f t="shared" si="748"/>
        <v>120645.97200000002</v>
      </c>
      <c r="O710" s="20">
        <f t="shared" si="749"/>
        <v>168904.36080000002</v>
      </c>
      <c r="P710" s="20">
        <f t="shared" si="749"/>
        <v>202685.23296000002</v>
      </c>
      <c r="Q710" s="20">
        <f t="shared" si="749"/>
        <v>222953.75625600005</v>
      </c>
      <c r="R710" s="20">
        <f t="shared" si="749"/>
        <v>245249.13188160007</v>
      </c>
      <c r="S710" s="32">
        <f t="shared" si="749"/>
        <v>269774.04506976012</v>
      </c>
    </row>
    <row r="711" spans="1:43" outlineLevel="3">
      <c r="D711" s="31" t="s">
        <v>844</v>
      </c>
      <c r="H711" s="400">
        <v>192822</v>
      </c>
      <c r="I711" s="400">
        <v>190371</v>
      </c>
      <c r="J711" s="400">
        <v>128378</v>
      </c>
      <c r="K711" s="400">
        <v>163010</v>
      </c>
      <c r="L711" s="400">
        <v>201738.99999999988</v>
      </c>
      <c r="M711" s="400">
        <v>138835.50000000003</v>
      </c>
      <c r="N711" s="704">
        <f t="shared" si="748"/>
        <v>231999.84999999986</v>
      </c>
      <c r="O711" s="20">
        <f t="shared" si="749"/>
        <v>255199.83499999988</v>
      </c>
      <c r="P711" s="20">
        <f t="shared" si="749"/>
        <v>280719.81849999988</v>
      </c>
      <c r="Q711" s="20">
        <f t="shared" si="749"/>
        <v>308791.80034999992</v>
      </c>
      <c r="R711" s="20">
        <f t="shared" si="749"/>
        <v>339670.98038499994</v>
      </c>
      <c r="S711" s="32">
        <f t="shared" si="749"/>
        <v>373638.07842349994</v>
      </c>
    </row>
    <row r="712" spans="1:43" outlineLevel="3">
      <c r="D712" s="33" t="s">
        <v>665</v>
      </c>
      <c r="E712" s="34"/>
      <c r="F712" s="34"/>
      <c r="G712" s="34"/>
      <c r="H712" s="402">
        <v>0</v>
      </c>
      <c r="I712" s="402">
        <v>0</v>
      </c>
      <c r="J712" s="402">
        <v>0</v>
      </c>
      <c r="K712" s="402">
        <v>982</v>
      </c>
      <c r="L712" s="402">
        <v>982.40000000000009</v>
      </c>
      <c r="M712" s="402">
        <v>10101.656000000001</v>
      </c>
      <c r="N712" s="705">
        <f t="shared" si="748"/>
        <v>15718.400000000001</v>
      </c>
      <c r="O712" s="35">
        <f t="shared" si="749"/>
        <v>31436.800000000003</v>
      </c>
      <c r="P712" s="35">
        <f t="shared" si="749"/>
        <v>47155.200000000004</v>
      </c>
      <c r="Q712" s="35">
        <f t="shared" si="749"/>
        <v>56586.240000000005</v>
      </c>
      <c r="R712" s="35">
        <f t="shared" si="749"/>
        <v>62244.864000000009</v>
      </c>
      <c r="S712" s="36">
        <f t="shared" si="749"/>
        <v>68469.35040000001</v>
      </c>
      <c r="AC712" s="448"/>
      <c r="AD712" s="448"/>
      <c r="AE712" s="448"/>
      <c r="AF712" s="448"/>
      <c r="AG712" s="448"/>
      <c r="AH712" s="448"/>
    </row>
    <row r="713" spans="1:43" s="1365" customFormat="1" outlineLevel="3">
      <c r="A713" s="22"/>
      <c r="B713" s="22"/>
      <c r="C713" s="22" t="s">
        <v>847</v>
      </c>
      <c r="D713" s="22"/>
      <c r="E713" s="22"/>
      <c r="F713" s="22"/>
      <c r="G713" s="22"/>
      <c r="H713" s="219"/>
      <c r="I713" s="24">
        <f>I707/H707-1</f>
        <v>-4.5103900446193612E-2</v>
      </c>
      <c r="J713" s="24">
        <f>J707/I707-1</f>
        <v>-0.22346381935928816</v>
      </c>
      <c r="K713" s="24"/>
      <c r="L713" s="793">
        <f>L707/J707-1</f>
        <v>0.57063791191135116</v>
      </c>
      <c r="M713" s="24"/>
      <c r="N713" s="24">
        <f>N707/L707-1</f>
        <v>0.37062099176873242</v>
      </c>
      <c r="O713" s="24">
        <f>O707/N707-1</f>
        <v>0.24443266386048434</v>
      </c>
      <c r="P713" s="24">
        <f t="shared" ref="P713:S713" si="750">P707/O707-1</f>
        <v>0.16923915850319604</v>
      </c>
      <c r="Q713" s="24">
        <f t="shared" si="750"/>
        <v>0.1082095130602907</v>
      </c>
      <c r="R713" s="24">
        <f t="shared" si="750"/>
        <v>0.10000000000000031</v>
      </c>
      <c r="S713" s="24">
        <f t="shared" si="750"/>
        <v>9.9999999999999867E-2</v>
      </c>
      <c r="T713" s="726"/>
      <c r="U713" s="1521"/>
      <c r="V713" s="1521"/>
      <c r="W713" s="1521"/>
      <c r="X713" s="1521"/>
      <c r="Y713" s="1521"/>
      <c r="Z713" s="1521"/>
      <c r="AA713" s="1522"/>
      <c r="AC713" s="219"/>
      <c r="AD713" s="219"/>
      <c r="AE713" s="219"/>
      <c r="AF713" s="219"/>
      <c r="AG713" s="219"/>
      <c r="AH713" s="219"/>
      <c r="AI713" s="706"/>
      <c r="AK713" s="1521"/>
      <c r="AL713" s="1521"/>
      <c r="AM713" s="1521"/>
      <c r="AN713" s="1521"/>
      <c r="AO713" s="1521"/>
      <c r="AP713" s="1521"/>
      <c r="AQ713" s="1522"/>
    </row>
    <row r="714" spans="1:43" s="1365" customFormat="1" outlineLevel="3">
      <c r="A714" s="22"/>
      <c r="B714" s="22"/>
      <c r="C714" s="22"/>
      <c r="D714" s="707" t="s">
        <v>841</v>
      </c>
      <c r="E714" s="708"/>
      <c r="F714" s="708"/>
      <c r="G714" s="708"/>
      <c r="H714" s="709"/>
      <c r="I714" s="710">
        <f t="shared" ref="I714:J714" si="751">I708/H708-1</f>
        <v>2.0512586805555557</v>
      </c>
      <c r="J714" s="710">
        <f t="shared" si="751"/>
        <v>-3.1734968208133596E-2</v>
      </c>
      <c r="K714" s="710"/>
      <c r="L714" s="710">
        <f t="shared" ref="L714:L717" si="752">L708/J708-1</f>
        <v>0.19966137799324235</v>
      </c>
      <c r="M714" s="727"/>
      <c r="N714" s="711">
        <f t="shared" ref="N714:S718" si="753">CHOOSE(case,U714,AC714,AK714)</f>
        <v>0.4</v>
      </c>
      <c r="O714" s="712">
        <f t="shared" si="753"/>
        <v>0.3</v>
      </c>
      <c r="P714" s="712">
        <f t="shared" si="753"/>
        <v>0.2</v>
      </c>
      <c r="Q714" s="712">
        <f t="shared" si="753"/>
        <v>0.1</v>
      </c>
      <c r="R714" s="712">
        <f t="shared" si="753"/>
        <v>0.1</v>
      </c>
      <c r="S714" s="713">
        <f t="shared" si="753"/>
        <v>0.1</v>
      </c>
      <c r="T714" s="726"/>
      <c r="U714" s="1521"/>
      <c r="V714" s="1521"/>
      <c r="W714" s="1521"/>
      <c r="X714" s="1521"/>
      <c r="Y714" s="1521"/>
      <c r="Z714" s="1521"/>
      <c r="AA714" s="1523"/>
      <c r="AC714" s="714">
        <v>0.4</v>
      </c>
      <c r="AD714" s="714">
        <v>0.3</v>
      </c>
      <c r="AE714" s="714">
        <v>0.2</v>
      </c>
      <c r="AF714" s="714">
        <v>0.1</v>
      </c>
      <c r="AG714" s="714">
        <v>0.1</v>
      </c>
      <c r="AH714" s="714">
        <v>0.1</v>
      </c>
      <c r="AI714" s="22"/>
      <c r="AK714" s="1521"/>
      <c r="AL714" s="1521"/>
      <c r="AM714" s="1521"/>
      <c r="AN714" s="1521"/>
      <c r="AO714" s="1521"/>
      <c r="AP714" s="1521"/>
      <c r="AQ714" s="1523"/>
    </row>
    <row r="715" spans="1:43" s="1365" customFormat="1" outlineLevel="3">
      <c r="A715" s="22"/>
      <c r="B715" s="22"/>
      <c r="C715" s="22"/>
      <c r="D715" s="715" t="s">
        <v>842</v>
      </c>
      <c r="E715" s="22"/>
      <c r="F715" s="22"/>
      <c r="G715" s="22"/>
      <c r="H715" s="219"/>
      <c r="I715" s="175"/>
      <c r="J715" s="175">
        <f>J709/I709-1</f>
        <v>-0.19172762575634428</v>
      </c>
      <c r="K715" s="175"/>
      <c r="L715" s="175">
        <f t="shared" si="752"/>
        <v>-0.11913407821229038</v>
      </c>
      <c r="M715" s="729"/>
      <c r="N715" s="716">
        <f t="shared" si="753"/>
        <v>1</v>
      </c>
      <c r="O715" s="717">
        <f t="shared" si="753"/>
        <v>0.5</v>
      </c>
      <c r="P715" s="717">
        <f t="shared" si="753"/>
        <v>0.3</v>
      </c>
      <c r="Q715" s="717">
        <f t="shared" si="753"/>
        <v>0.2</v>
      </c>
      <c r="R715" s="717">
        <f t="shared" si="753"/>
        <v>0.1</v>
      </c>
      <c r="S715" s="718">
        <f t="shared" si="753"/>
        <v>0.1</v>
      </c>
      <c r="T715" s="726"/>
      <c r="U715" s="1521"/>
      <c r="V715" s="1521"/>
      <c r="W715" s="1521"/>
      <c r="X715" s="1521"/>
      <c r="Y715" s="1521"/>
      <c r="Z715" s="1521"/>
      <c r="AA715" s="1523"/>
      <c r="AC715" s="714">
        <v>1</v>
      </c>
      <c r="AD715" s="714">
        <v>0.5</v>
      </c>
      <c r="AE715" s="714">
        <v>0.3</v>
      </c>
      <c r="AF715" s="714">
        <v>0.2</v>
      </c>
      <c r="AG715" s="714">
        <v>0.1</v>
      </c>
      <c r="AH715" s="714">
        <v>0.1</v>
      </c>
      <c r="AI715" s="22"/>
      <c r="AK715" s="1521"/>
      <c r="AL715" s="1521"/>
      <c r="AM715" s="1521"/>
      <c r="AN715" s="1521"/>
      <c r="AO715" s="1521"/>
      <c r="AP715" s="1521"/>
      <c r="AQ715" s="1523"/>
    </row>
    <row r="716" spans="1:43" s="1365" customFormat="1" outlineLevel="3">
      <c r="A716" s="22"/>
      <c r="B716" s="22"/>
      <c r="C716" s="22"/>
      <c r="D716" s="715" t="s">
        <v>843</v>
      </c>
      <c r="E716" s="22"/>
      <c r="F716" s="22"/>
      <c r="G716" s="22"/>
      <c r="H716" s="219"/>
      <c r="I716" s="175">
        <f>I710/H710-1</f>
        <v>-0.49989374688375776</v>
      </c>
      <c r="J716" s="175">
        <f>J710/I710-1</f>
        <v>0.25895224369905057</v>
      </c>
      <c r="K716" s="175"/>
      <c r="L716" s="175">
        <f t="shared" si="752"/>
        <v>0.8302987438558167</v>
      </c>
      <c r="M716" s="729"/>
      <c r="N716" s="716">
        <f t="shared" si="753"/>
        <v>0.8</v>
      </c>
      <c r="O716" s="717">
        <f t="shared" si="753"/>
        <v>0.4</v>
      </c>
      <c r="P716" s="717">
        <f t="shared" si="753"/>
        <v>0.2</v>
      </c>
      <c r="Q716" s="717">
        <f t="shared" si="753"/>
        <v>0.1</v>
      </c>
      <c r="R716" s="717">
        <f t="shared" si="753"/>
        <v>0.1</v>
      </c>
      <c r="S716" s="718">
        <f t="shared" si="753"/>
        <v>0.1</v>
      </c>
      <c r="T716" s="726"/>
      <c r="U716" s="1521"/>
      <c r="V716" s="1521"/>
      <c r="W716" s="1521"/>
      <c r="X716" s="1521"/>
      <c r="Y716" s="1521"/>
      <c r="Z716" s="1521"/>
      <c r="AA716" s="1523"/>
      <c r="AC716" s="714">
        <v>0.8</v>
      </c>
      <c r="AD716" s="714">
        <v>0.4</v>
      </c>
      <c r="AE716" s="714">
        <v>0.2</v>
      </c>
      <c r="AF716" s="714">
        <v>0.1</v>
      </c>
      <c r="AG716" s="714">
        <v>0.1</v>
      </c>
      <c r="AH716" s="714">
        <v>0.1</v>
      </c>
      <c r="AI716" s="22"/>
      <c r="AK716" s="1521"/>
      <c r="AL716" s="1521"/>
      <c r="AM716" s="1521"/>
      <c r="AN716" s="1521"/>
      <c r="AO716" s="1521"/>
      <c r="AP716" s="1521"/>
      <c r="AQ716" s="1523"/>
    </row>
    <row r="717" spans="1:43" s="1365" customFormat="1" outlineLevel="3">
      <c r="A717" s="22"/>
      <c r="B717" s="22"/>
      <c r="C717" s="22"/>
      <c r="D717" s="715" t="s">
        <v>844</v>
      </c>
      <c r="E717" s="22"/>
      <c r="F717" s="22"/>
      <c r="G717" s="22"/>
      <c r="H717" s="219"/>
      <c r="I717" s="175">
        <f>I711/H711-1</f>
        <v>-1.2711205152938998E-2</v>
      </c>
      <c r="J717" s="175">
        <f>J711/I711-1</f>
        <v>-0.32564308639446138</v>
      </c>
      <c r="K717" s="175"/>
      <c r="L717" s="175">
        <f t="shared" si="752"/>
        <v>0.57144526320709055</v>
      </c>
      <c r="M717" s="729"/>
      <c r="N717" s="716">
        <f t="shared" si="753"/>
        <v>0.15</v>
      </c>
      <c r="O717" s="717">
        <f t="shared" si="753"/>
        <v>0.1</v>
      </c>
      <c r="P717" s="717">
        <f t="shared" si="753"/>
        <v>0.1</v>
      </c>
      <c r="Q717" s="717">
        <f t="shared" si="753"/>
        <v>0.1</v>
      </c>
      <c r="R717" s="717">
        <f t="shared" si="753"/>
        <v>0.1</v>
      </c>
      <c r="S717" s="718">
        <f t="shared" si="753"/>
        <v>0.1</v>
      </c>
      <c r="T717" s="726"/>
      <c r="U717" s="1521"/>
      <c r="V717" s="1521"/>
      <c r="W717" s="1521"/>
      <c r="X717" s="1521"/>
      <c r="Y717" s="1521"/>
      <c r="Z717" s="1521"/>
      <c r="AA717" s="1523"/>
      <c r="AC717" s="714">
        <v>0.15</v>
      </c>
      <c r="AD717" s="714">
        <v>0.1</v>
      </c>
      <c r="AE717" s="714">
        <v>0.1</v>
      </c>
      <c r="AF717" s="714">
        <v>0.1</v>
      </c>
      <c r="AG717" s="714">
        <v>0.1</v>
      </c>
      <c r="AH717" s="714">
        <v>0.1</v>
      </c>
      <c r="AI717" s="22"/>
      <c r="AK717" s="1521"/>
      <c r="AL717" s="1521"/>
      <c r="AM717" s="1521"/>
      <c r="AN717" s="1521"/>
      <c r="AO717" s="1521"/>
      <c r="AP717" s="1521"/>
      <c r="AQ717" s="1523"/>
    </row>
    <row r="718" spans="1:43" s="1365" customFormat="1" outlineLevel="3">
      <c r="A718" s="22"/>
      <c r="B718" s="22"/>
      <c r="C718" s="22"/>
      <c r="D718" s="719" t="s">
        <v>665</v>
      </c>
      <c r="E718" s="720"/>
      <c r="F718" s="720"/>
      <c r="G718" s="720"/>
      <c r="H718" s="721"/>
      <c r="I718" s="722"/>
      <c r="J718" s="722"/>
      <c r="K718" s="722"/>
      <c r="L718" s="722"/>
      <c r="M718" s="730"/>
      <c r="N718" s="723">
        <f t="shared" si="753"/>
        <v>15</v>
      </c>
      <c r="O718" s="724">
        <f t="shared" si="753"/>
        <v>1</v>
      </c>
      <c r="P718" s="724">
        <f t="shared" si="753"/>
        <v>0.5</v>
      </c>
      <c r="Q718" s="724">
        <f t="shared" si="753"/>
        <v>0.2</v>
      </c>
      <c r="R718" s="724">
        <f t="shared" si="753"/>
        <v>0.1</v>
      </c>
      <c r="S718" s="725">
        <f t="shared" si="753"/>
        <v>0.1</v>
      </c>
      <c r="T718" s="726"/>
      <c r="U718" s="1521"/>
      <c r="V718" s="1521"/>
      <c r="W718" s="1521"/>
      <c r="X718" s="1521"/>
      <c r="Y718" s="1521"/>
      <c r="Z718" s="1521"/>
      <c r="AA718" s="1523"/>
      <c r="AC718" s="714">
        <v>15</v>
      </c>
      <c r="AD718" s="714">
        <v>1</v>
      </c>
      <c r="AE718" s="714">
        <v>0.5</v>
      </c>
      <c r="AF718" s="714">
        <v>0.2</v>
      </c>
      <c r="AG718" s="714">
        <v>0.1</v>
      </c>
      <c r="AH718" s="714">
        <v>0.1</v>
      </c>
      <c r="AI718" s="22"/>
      <c r="AK718" s="1521"/>
      <c r="AL718" s="1521"/>
      <c r="AM718" s="1521"/>
      <c r="AN718" s="1521"/>
      <c r="AO718" s="1521"/>
      <c r="AP718" s="1521"/>
      <c r="AQ718" s="1523"/>
    </row>
    <row r="719" spans="1:43" s="1365" customFormat="1" outlineLevel="3">
      <c r="A719" s="22"/>
      <c r="B719" s="22"/>
      <c r="C719" s="22" t="s">
        <v>848</v>
      </c>
      <c r="D719" s="22"/>
      <c r="E719" s="22"/>
      <c r="F719" s="22"/>
      <c r="G719" s="22"/>
      <c r="H719" s="24">
        <f>H707/H$707</f>
        <v>1</v>
      </c>
      <c r="I719" s="24">
        <f t="shared" ref="I719:S721" si="754">I707/I$707</f>
        <v>1</v>
      </c>
      <c r="J719" s="24">
        <f t="shared" si="754"/>
        <v>1</v>
      </c>
      <c r="K719" s="24">
        <f t="shared" si="754"/>
        <v>1</v>
      </c>
      <c r="L719" s="24">
        <f t="shared" si="754"/>
        <v>1</v>
      </c>
      <c r="M719" s="24">
        <f t="shared" si="754"/>
        <v>1</v>
      </c>
      <c r="N719" s="24">
        <f t="shared" si="754"/>
        <v>1</v>
      </c>
      <c r="O719" s="24">
        <f t="shared" si="754"/>
        <v>1</v>
      </c>
      <c r="P719" s="24">
        <f t="shared" si="754"/>
        <v>1</v>
      </c>
      <c r="Q719" s="24">
        <f t="shared" si="754"/>
        <v>1</v>
      </c>
      <c r="R719" s="24">
        <f t="shared" si="754"/>
        <v>1</v>
      </c>
      <c r="S719" s="24">
        <f t="shared" si="754"/>
        <v>1</v>
      </c>
      <c r="T719" s="726"/>
      <c r="U719" s="1521"/>
      <c r="V719" s="1521"/>
      <c r="W719" s="1521"/>
      <c r="X719" s="1521"/>
      <c r="Y719" s="1521"/>
      <c r="Z719" s="1521"/>
      <c r="AA719" s="1522"/>
      <c r="AC719" s="219"/>
      <c r="AD719" s="219"/>
      <c r="AE719" s="219"/>
      <c r="AF719" s="219"/>
      <c r="AG719" s="219"/>
      <c r="AH719" s="219"/>
      <c r="AI719" s="706"/>
      <c r="AK719" s="1521"/>
      <c r="AL719" s="1521"/>
      <c r="AM719" s="1521"/>
      <c r="AN719" s="1521"/>
      <c r="AO719" s="1521"/>
      <c r="AP719" s="1521"/>
      <c r="AQ719" s="1522"/>
    </row>
    <row r="720" spans="1:43" s="1365" customFormat="1" outlineLevel="3">
      <c r="A720" s="22"/>
      <c r="B720" s="22"/>
      <c r="C720" s="22"/>
      <c r="D720" s="707" t="s">
        <v>841</v>
      </c>
      <c r="E720" s="708"/>
      <c r="F720" s="708"/>
      <c r="G720" s="708"/>
      <c r="H720" s="793">
        <f>H708/H$707</f>
        <v>3.5418772410559532E-2</v>
      </c>
      <c r="I720" s="793">
        <f t="shared" si="754"/>
        <v>0.11317654017315605</v>
      </c>
      <c r="J720" s="793">
        <f t="shared" si="754"/>
        <v>0.14112012936530149</v>
      </c>
      <c r="K720" s="793">
        <f t="shared" si="754"/>
        <v>0.12454944160964627</v>
      </c>
      <c r="L720" s="793">
        <f t="shared" si="754"/>
        <v>0.10778828625812358</v>
      </c>
      <c r="M720" s="793">
        <f t="shared" si="754"/>
        <v>9.641388221508175E-2</v>
      </c>
      <c r="N720" s="793">
        <f t="shared" si="754"/>
        <v>0.11009870829910307</v>
      </c>
      <c r="O720" s="793">
        <f t="shared" si="754"/>
        <v>0.11501491799871333</v>
      </c>
      <c r="P720" s="793">
        <f t="shared" si="754"/>
        <v>0.11804077942030258</v>
      </c>
      <c r="Q720" s="793">
        <f t="shared" si="754"/>
        <v>0.1171663442987146</v>
      </c>
      <c r="R720" s="793">
        <f t="shared" si="754"/>
        <v>0.11716634429871457</v>
      </c>
      <c r="S720" s="803">
        <f t="shared" si="754"/>
        <v>0.11716634429871459</v>
      </c>
      <c r="T720" s="726"/>
      <c r="U720" s="1521"/>
      <c r="V720" s="1521"/>
      <c r="W720" s="1521"/>
      <c r="X720" s="1521"/>
      <c r="Y720" s="1521"/>
      <c r="Z720" s="1521"/>
      <c r="AA720" s="1523"/>
      <c r="AC720" s="728"/>
      <c r="AD720" s="728"/>
      <c r="AE720" s="728"/>
      <c r="AF720" s="728"/>
      <c r="AG720" s="728"/>
      <c r="AH720" s="728"/>
      <c r="AI720" s="22"/>
      <c r="AK720" s="1521"/>
      <c r="AL720" s="1521"/>
      <c r="AM720" s="1521"/>
      <c r="AN720" s="1521"/>
      <c r="AO720" s="1521"/>
      <c r="AP720" s="1521"/>
      <c r="AQ720" s="1523"/>
    </row>
    <row r="721" spans="1:43" s="1365" customFormat="1" outlineLevel="3">
      <c r="A721" s="22"/>
      <c r="B721" s="22"/>
      <c r="C721" s="22"/>
      <c r="D721" s="715" t="s">
        <v>842</v>
      </c>
      <c r="E721" s="22"/>
      <c r="F721" s="22"/>
      <c r="G721" s="22"/>
      <c r="H721" s="91">
        <f>H709/H$707</f>
        <v>0</v>
      </c>
      <c r="I721" s="91">
        <f t="shared" si="754"/>
        <v>3.5652517868518425E-3</v>
      </c>
      <c r="J721" s="91">
        <f t="shared" si="754"/>
        <v>3.7109597702936633E-3</v>
      </c>
      <c r="K721" s="91">
        <f t="shared" si="754"/>
        <v>2.541250005034172E-3</v>
      </c>
      <c r="L721" s="91">
        <f t="shared" si="754"/>
        <v>2.0812295271791029E-3</v>
      </c>
      <c r="M721" s="91">
        <f t="shared" si="754"/>
        <v>3.8318655480199869E-3</v>
      </c>
      <c r="N721" s="91">
        <f t="shared" si="754"/>
        <v>3.0369147119122379E-3</v>
      </c>
      <c r="O721" s="91">
        <f t="shared" si="754"/>
        <v>3.660601493484318E-3</v>
      </c>
      <c r="P721" s="91">
        <f t="shared" si="754"/>
        <v>4.0699816687815851E-3</v>
      </c>
      <c r="Q721" s="91">
        <f t="shared" si="754"/>
        <v>4.4070890431638044E-3</v>
      </c>
      <c r="R721" s="91">
        <f t="shared" si="754"/>
        <v>4.4070890431638036E-3</v>
      </c>
      <c r="S721" s="804">
        <f t="shared" si="754"/>
        <v>4.4070890431638036E-3</v>
      </c>
      <c r="T721" s="726"/>
      <c r="U721" s="1521"/>
      <c r="V721" s="1521"/>
      <c r="W721" s="1521"/>
      <c r="X721" s="1521"/>
      <c r="Y721" s="1521"/>
      <c r="Z721" s="1521"/>
      <c r="AA721" s="1523"/>
      <c r="AC721" s="728"/>
      <c r="AD721" s="728"/>
      <c r="AE721" s="728"/>
      <c r="AF721" s="728"/>
      <c r="AG721" s="728"/>
      <c r="AH721" s="728"/>
      <c r="AI721" s="22"/>
      <c r="AK721" s="1521"/>
      <c r="AL721" s="1521"/>
      <c r="AM721" s="1521"/>
      <c r="AN721" s="1521"/>
      <c r="AO721" s="1521"/>
      <c r="AP721" s="1521"/>
      <c r="AQ721" s="1523"/>
    </row>
    <row r="722" spans="1:43" s="1365" customFormat="1" outlineLevel="3">
      <c r="A722" s="22"/>
      <c r="B722" s="22"/>
      <c r="C722" s="22"/>
      <c r="D722" s="715" t="s">
        <v>843</v>
      </c>
      <c r="E722" s="22"/>
      <c r="F722" s="22"/>
      <c r="G722" s="22"/>
      <c r="H722" s="91">
        <f t="shared" ref="H722:S724" si="755">H710/H$707</f>
        <v>0.22353103946564387</v>
      </c>
      <c r="I722" s="91">
        <f t="shared" si="755"/>
        <v>0.11706956458883613</v>
      </c>
      <c r="J722" s="91">
        <f t="shared" si="755"/>
        <v>0.18979797037451671</v>
      </c>
      <c r="K722" s="91">
        <f t="shared" si="755"/>
        <v>0.21245816603101855</v>
      </c>
      <c r="L722" s="91">
        <f t="shared" si="755"/>
        <v>0.22117573001922317</v>
      </c>
      <c r="M722" s="91">
        <f t="shared" si="755"/>
        <v>0.28116856299293741</v>
      </c>
      <c r="N722" s="91">
        <f t="shared" si="755"/>
        <v>0.29046418844121769</v>
      </c>
      <c r="O722" s="91">
        <f t="shared" si="755"/>
        <v>0.32677530542809263</v>
      </c>
      <c r="P722" s="91">
        <f t="shared" si="755"/>
        <v>0.3353722492631</v>
      </c>
      <c r="Q722" s="91">
        <f t="shared" si="755"/>
        <v>0.33288784281473682</v>
      </c>
      <c r="R722" s="91">
        <f t="shared" si="755"/>
        <v>0.33288784281473677</v>
      </c>
      <c r="S722" s="804">
        <f t="shared" si="755"/>
        <v>0.33288784281473682</v>
      </c>
      <c r="T722" s="726"/>
      <c r="U722" s="1521"/>
      <c r="V722" s="1521"/>
      <c r="W722" s="1521"/>
      <c r="X722" s="1521"/>
      <c r="Y722" s="1521"/>
      <c r="Z722" s="1521"/>
      <c r="AA722" s="1523"/>
      <c r="AC722" s="728"/>
      <c r="AD722" s="728"/>
      <c r="AE722" s="728"/>
      <c r="AF722" s="728"/>
      <c r="AG722" s="728"/>
      <c r="AH722" s="728"/>
      <c r="AI722" s="22"/>
      <c r="AK722" s="1521"/>
      <c r="AL722" s="1521"/>
      <c r="AM722" s="1521"/>
      <c r="AN722" s="1521"/>
      <c r="AO722" s="1521"/>
      <c r="AP722" s="1521"/>
      <c r="AQ722" s="1523"/>
    </row>
    <row r="723" spans="1:43" s="1365" customFormat="1" outlineLevel="3">
      <c r="A723" s="22"/>
      <c r="B723" s="22"/>
      <c r="C723" s="22"/>
      <c r="D723" s="715" t="s">
        <v>844</v>
      </c>
      <c r="E723" s="22"/>
      <c r="F723" s="22"/>
      <c r="G723" s="22"/>
      <c r="H723" s="91">
        <f t="shared" si="755"/>
        <v>0.74105018812379664</v>
      </c>
      <c r="I723" s="91">
        <f t="shared" si="755"/>
        <v>0.766188643451156</v>
      </c>
      <c r="J723" s="91">
        <f t="shared" si="755"/>
        <v>0.66537094048988821</v>
      </c>
      <c r="K723" s="91">
        <f t="shared" si="755"/>
        <v>0.65649629686310673</v>
      </c>
      <c r="L723" s="91">
        <f t="shared" si="755"/>
        <v>0.66571295954270615</v>
      </c>
      <c r="M723" s="91">
        <f t="shared" si="755"/>
        <v>0.57663014230666487</v>
      </c>
      <c r="N723" s="91">
        <f t="shared" si="755"/>
        <v>0.55855696656606302</v>
      </c>
      <c r="O723" s="91">
        <f t="shared" si="755"/>
        <v>0.493729135425163</v>
      </c>
      <c r="P723" s="91">
        <f t="shared" si="755"/>
        <v>0.46449184071369332</v>
      </c>
      <c r="Q723" s="91">
        <f t="shared" si="755"/>
        <v>0.46105092833404121</v>
      </c>
      <c r="R723" s="91">
        <f t="shared" si="755"/>
        <v>0.46105092833404115</v>
      </c>
      <c r="S723" s="804">
        <f t="shared" si="755"/>
        <v>0.46105092833404115</v>
      </c>
      <c r="T723" s="726"/>
      <c r="U723" s="1521"/>
      <c r="V723" s="1521"/>
      <c r="W723" s="1521"/>
      <c r="X723" s="1521"/>
      <c r="Y723" s="1521"/>
      <c r="Z723" s="1521"/>
      <c r="AA723" s="1523"/>
      <c r="AC723" s="728"/>
      <c r="AD723" s="728"/>
      <c r="AE723" s="728"/>
      <c r="AF723" s="728"/>
      <c r="AG723" s="728"/>
      <c r="AH723" s="728"/>
      <c r="AI723" s="22"/>
      <c r="AK723" s="1521"/>
      <c r="AL723" s="1521"/>
      <c r="AM723" s="1521"/>
      <c r="AN723" s="1521"/>
      <c r="AO723" s="1521"/>
      <c r="AP723" s="1521"/>
      <c r="AQ723" s="1523"/>
    </row>
    <row r="724" spans="1:43" s="1365" customFormat="1" outlineLevel="3">
      <c r="A724" s="22"/>
      <c r="B724" s="22"/>
      <c r="C724" s="22"/>
      <c r="D724" s="719" t="s">
        <v>665</v>
      </c>
      <c r="E724" s="720"/>
      <c r="F724" s="720"/>
      <c r="G724" s="720"/>
      <c r="H724" s="794">
        <f t="shared" si="755"/>
        <v>0</v>
      </c>
      <c r="I724" s="794">
        <f t="shared" si="755"/>
        <v>0</v>
      </c>
      <c r="J724" s="794">
        <f t="shared" si="755"/>
        <v>0</v>
      </c>
      <c r="K724" s="794">
        <f t="shared" si="755"/>
        <v>3.9548454911942262E-3</v>
      </c>
      <c r="L724" s="794">
        <f t="shared" si="755"/>
        <v>3.2417946527679574E-3</v>
      </c>
      <c r="M724" s="794">
        <f t="shared" si="755"/>
        <v>4.1955546937296112E-2</v>
      </c>
      <c r="N724" s="794">
        <f t="shared" si="755"/>
        <v>3.7843221981703916E-2</v>
      </c>
      <c r="O724" s="794">
        <f t="shared" si="755"/>
        <v>6.0820039654546694E-2</v>
      </c>
      <c r="P724" s="794">
        <f t="shared" si="755"/>
        <v>7.8025148934122601E-2</v>
      </c>
      <c r="Q724" s="794">
        <f t="shared" si="755"/>
        <v>8.4487795509343627E-2</v>
      </c>
      <c r="R724" s="794">
        <f t="shared" si="755"/>
        <v>8.4487795509343613E-2</v>
      </c>
      <c r="S724" s="805">
        <f t="shared" si="755"/>
        <v>8.4487795509343613E-2</v>
      </c>
      <c r="T724" s="726"/>
      <c r="U724" s="1521"/>
      <c r="V724" s="1521"/>
      <c r="W724" s="1521"/>
      <c r="X724" s="1521"/>
      <c r="Y724" s="1521"/>
      <c r="Z724" s="1521"/>
      <c r="AA724" s="1523"/>
      <c r="AC724" s="728"/>
      <c r="AD724" s="728"/>
      <c r="AE724" s="728"/>
      <c r="AF724" s="728"/>
      <c r="AG724" s="728"/>
      <c r="AH724" s="728"/>
      <c r="AI724" s="22"/>
      <c r="AK724" s="1521"/>
      <c r="AL724" s="1521"/>
      <c r="AM724" s="1521"/>
      <c r="AN724" s="1521"/>
      <c r="AO724" s="1521"/>
      <c r="AP724" s="1521"/>
      <c r="AQ724" s="1523"/>
    </row>
    <row r="725" spans="1:43" outlineLevel="3">
      <c r="C725" s="1" t="s">
        <v>31</v>
      </c>
      <c r="G725" s="830"/>
      <c r="H725" s="806">
        <f t="shared" ref="H725:H730" si="756">IFERROR(H731/H707,"NA")</f>
        <v>5.7864486493134172E-2</v>
      </c>
      <c r="I725" s="806">
        <f t="shared" ref="I725:M730" si="757">IFERROR(I731/I707,"NA")</f>
        <v>9.0201222289247096E-2</v>
      </c>
      <c r="J725" s="806">
        <f t="shared" si="757"/>
        <v>0.11146354863119487</v>
      </c>
      <c r="K725" s="806">
        <f t="shared" si="757"/>
        <v>0.11140018445206058</v>
      </c>
      <c r="L725" s="806">
        <f t="shared" si="757"/>
        <v>0.11506642359366537</v>
      </c>
      <c r="M725" s="806">
        <f t="shared" si="757"/>
        <v>0.10886345239738969</v>
      </c>
      <c r="N725" s="806">
        <f>IFERROR(N731/N707,"NA")</f>
        <v>0.10947895778591349</v>
      </c>
      <c r="O725" s="806">
        <f t="shared" ref="O725:S725" si="758">IFERROR(O731/O707,"NA")</f>
        <v>0.11301071865565063</v>
      </c>
      <c r="P725" s="806">
        <f t="shared" si="758"/>
        <v>0.11468295975393633</v>
      </c>
      <c r="Q725" s="806">
        <f t="shared" si="758"/>
        <v>0.11501586558171509</v>
      </c>
      <c r="R725" s="806">
        <f t="shared" si="758"/>
        <v>0.1150158655817151</v>
      </c>
      <c r="S725" s="806">
        <f t="shared" si="758"/>
        <v>0.11501586558171509</v>
      </c>
      <c r="U725" s="1529">
        <f>$L725*(1+$AA725)</f>
        <v>0.11736775206553868</v>
      </c>
      <c r="V725" s="1529">
        <f>U725*(1+$AA725)</f>
        <v>0.11971510710684945</v>
      </c>
      <c r="W725" s="1529">
        <f t="shared" ref="W725:Z725" si="759">V725*(1+$AA725)</f>
        <v>0.12210940924898644</v>
      </c>
      <c r="X725" s="1529">
        <f t="shared" si="759"/>
        <v>0.12455159743396618</v>
      </c>
      <c r="Y725" s="1529">
        <f t="shared" si="759"/>
        <v>0.12704262938264552</v>
      </c>
      <c r="Z725" s="1529">
        <f t="shared" si="759"/>
        <v>0.12958348197029843</v>
      </c>
      <c r="AA725" s="1520">
        <v>0.02</v>
      </c>
      <c r="AC725" s="448"/>
      <c r="AD725" s="448"/>
      <c r="AE725" s="448"/>
      <c r="AF725" s="448"/>
      <c r="AG725" s="448"/>
      <c r="AH725" s="448"/>
      <c r="AI725" s="702"/>
      <c r="AK725" s="1529">
        <f>$L725*(1+$AQ725)</f>
        <v>0.11506642359366537</v>
      </c>
      <c r="AL725" s="1529">
        <f>AK725*(1+$AQ725)</f>
        <v>0.11506642359366537</v>
      </c>
      <c r="AM725" s="1529">
        <f t="shared" ref="AM725:AN725" si="760">AL725*(1+$AQ725)</f>
        <v>0.11506642359366537</v>
      </c>
      <c r="AN725" s="1529">
        <f t="shared" si="760"/>
        <v>0.11506642359366537</v>
      </c>
      <c r="AO725" s="1529">
        <f>AN725*(1+$AQ725)</f>
        <v>0.11506642359366537</v>
      </c>
      <c r="AP725" s="1529">
        <f t="shared" ref="AP725" si="761">AO725*(1+$AQ725)</f>
        <v>0.11506642359366537</v>
      </c>
      <c r="AQ725" s="1520">
        <v>0</v>
      </c>
    </row>
    <row r="726" spans="1:43" outlineLevel="3">
      <c r="D726" s="27" t="s">
        <v>841</v>
      </c>
      <c r="E726" s="28"/>
      <c r="F726" s="28"/>
      <c r="G726" s="831"/>
      <c r="H726" s="693">
        <f t="shared" si="756"/>
        <v>0.13365554144965278</v>
      </c>
      <c r="I726" s="693">
        <f t="shared" si="757"/>
        <v>0.17753536151690588</v>
      </c>
      <c r="J726" s="693">
        <f t="shared" si="757"/>
        <v>0.18400176289114148</v>
      </c>
      <c r="K726" s="693">
        <f t="shared" si="757"/>
        <v>0.18628338614757808</v>
      </c>
      <c r="L726" s="693">
        <f t="shared" si="757"/>
        <v>0.19692524609375714</v>
      </c>
      <c r="M726" s="693">
        <f t="shared" si="757"/>
        <v>0.14399504187499632</v>
      </c>
      <c r="N726" s="819">
        <f>CHOOSE(case,U726,AC726,AK726)</f>
        <v>0.14399504187499632</v>
      </c>
      <c r="O726" s="820">
        <f t="shared" ref="O726:O730" si="762">CHOOSE(case,V726,AD726,AL726)</f>
        <v>0.14399504187499632</v>
      </c>
      <c r="P726" s="820">
        <f t="shared" ref="P726:P730" si="763">CHOOSE(case,W726,AE726,AM726)</f>
        <v>0.14399504187499632</v>
      </c>
      <c r="Q726" s="820">
        <f t="shared" ref="Q726:Q730" si="764">CHOOSE(case,X726,AF726,AN726)</f>
        <v>0.14399504187499632</v>
      </c>
      <c r="R726" s="820">
        <f t="shared" ref="R726:R730" si="765">CHOOSE(case,Y726,AG726,AO726)</f>
        <v>0.14399504187499632</v>
      </c>
      <c r="S726" s="821">
        <f t="shared" ref="S726:S730" si="766">CHOOSE(case,Z726,AH726,AP726)</f>
        <v>0.14399504187499632</v>
      </c>
      <c r="T726" s="993"/>
      <c r="U726" s="1530"/>
      <c r="V726" s="1530"/>
      <c r="W726" s="1530"/>
      <c r="X726" s="1530"/>
      <c r="Y726" s="1530"/>
      <c r="Z726" s="1530"/>
      <c r="AA726" s="1530"/>
      <c r="AB726" s="1371"/>
      <c r="AC726" s="783">
        <f t="shared" ref="AC726:AC730" si="767">M726</f>
        <v>0.14399504187499632</v>
      </c>
      <c r="AD726" s="783">
        <f t="shared" ref="AD726:AH730" si="768">AC726</f>
        <v>0.14399504187499632</v>
      </c>
      <c r="AE726" s="783">
        <f t="shared" si="768"/>
        <v>0.14399504187499632</v>
      </c>
      <c r="AF726" s="783">
        <f t="shared" si="768"/>
        <v>0.14399504187499632</v>
      </c>
      <c r="AG726" s="783">
        <f t="shared" si="768"/>
        <v>0.14399504187499632</v>
      </c>
      <c r="AH726" s="783">
        <f t="shared" si="768"/>
        <v>0.14399504187499632</v>
      </c>
    </row>
    <row r="727" spans="1:43" outlineLevel="3">
      <c r="D727" s="31" t="s">
        <v>842</v>
      </c>
      <c r="G727" s="830"/>
      <c r="H727" s="695" t="str">
        <f t="shared" si="756"/>
        <v>NA</v>
      </c>
      <c r="I727" s="695">
        <f t="shared" si="757"/>
        <v>0.5486151223697282</v>
      </c>
      <c r="J727" s="695">
        <f t="shared" si="757"/>
        <v>0.48603351955307261</v>
      </c>
      <c r="K727" s="695">
        <f t="shared" si="757"/>
        <v>0.57052297939778129</v>
      </c>
      <c r="L727" s="695">
        <f t="shared" si="757"/>
        <v>0.57001057555097512</v>
      </c>
      <c r="M727" s="695">
        <f t="shared" si="757"/>
        <v>0.63066438326468677</v>
      </c>
      <c r="N727" s="822">
        <f>CHOOSE(case,U727,AC727,AK727)</f>
        <v>0.63066438326468677</v>
      </c>
      <c r="O727" s="823">
        <f t="shared" si="762"/>
        <v>0.63066438326468677</v>
      </c>
      <c r="P727" s="823">
        <f t="shared" si="763"/>
        <v>0.63066438326468677</v>
      </c>
      <c r="Q727" s="823">
        <f t="shared" si="764"/>
        <v>0.63066438326468677</v>
      </c>
      <c r="R727" s="823">
        <f t="shared" si="765"/>
        <v>0.63066438326468677</v>
      </c>
      <c r="S727" s="824">
        <f t="shared" si="766"/>
        <v>0.63066438326468677</v>
      </c>
      <c r="T727" s="993"/>
      <c r="U727" s="1530"/>
      <c r="V727" s="1530"/>
      <c r="W727" s="1530"/>
      <c r="X727" s="1530"/>
      <c r="Y727" s="1530"/>
      <c r="Z727" s="1530"/>
      <c r="AA727" s="1530"/>
      <c r="AB727" s="1371"/>
      <c r="AC727" s="783">
        <f t="shared" si="767"/>
        <v>0.63066438326468677</v>
      </c>
      <c r="AD727" s="783">
        <f t="shared" si="768"/>
        <v>0.63066438326468677</v>
      </c>
      <c r="AE727" s="783">
        <f t="shared" si="768"/>
        <v>0.63066438326468677</v>
      </c>
      <c r="AF727" s="783">
        <f t="shared" si="768"/>
        <v>0.63066438326468677</v>
      </c>
      <c r="AG727" s="783">
        <f t="shared" si="768"/>
        <v>0.63066438326468677</v>
      </c>
      <c r="AH727" s="783">
        <f t="shared" si="768"/>
        <v>0.63066438326468677</v>
      </c>
    </row>
    <row r="728" spans="1:43" outlineLevel="3">
      <c r="D728" s="31" t="s">
        <v>843</v>
      </c>
      <c r="G728" s="830"/>
      <c r="H728" s="695">
        <f t="shared" si="756"/>
        <v>5.947487835909427E-2</v>
      </c>
      <c r="I728" s="695">
        <f t="shared" si="757"/>
        <v>0.10343157171696059</v>
      </c>
      <c r="J728" s="695">
        <f t="shared" si="757"/>
        <v>0.14492080830147461</v>
      </c>
      <c r="K728" s="695">
        <f t="shared" si="757"/>
        <v>0.13917428062327028</v>
      </c>
      <c r="L728" s="695">
        <f t="shared" si="757"/>
        <v>0.14340735635997867</v>
      </c>
      <c r="M728" s="695">
        <f t="shared" si="757"/>
        <v>0.13393305770550043</v>
      </c>
      <c r="N728" s="822">
        <f>CHOOSE(case,U728,AC728,AK728)</f>
        <v>0.13393305770550043</v>
      </c>
      <c r="O728" s="823">
        <f t="shared" si="762"/>
        <v>0.13393305770550043</v>
      </c>
      <c r="P728" s="823">
        <f t="shared" si="763"/>
        <v>0.13393305770550043</v>
      </c>
      <c r="Q728" s="823">
        <f t="shared" si="764"/>
        <v>0.13393305770550043</v>
      </c>
      <c r="R728" s="823">
        <f t="shared" si="765"/>
        <v>0.13393305770550043</v>
      </c>
      <c r="S728" s="824">
        <f t="shared" si="766"/>
        <v>0.13393305770550043</v>
      </c>
      <c r="T728" s="993"/>
      <c r="U728" s="1530"/>
      <c r="V728" s="1530"/>
      <c r="W728" s="1530"/>
      <c r="X728" s="1530"/>
      <c r="Y728" s="1530"/>
      <c r="Z728" s="1530"/>
      <c r="AA728" s="1530"/>
      <c r="AB728" s="1371"/>
      <c r="AC728" s="783">
        <f t="shared" si="767"/>
        <v>0.13393305770550043</v>
      </c>
      <c r="AD728" s="783">
        <f t="shared" si="768"/>
        <v>0.13393305770550043</v>
      </c>
      <c r="AE728" s="783">
        <f t="shared" si="768"/>
        <v>0.13393305770550043</v>
      </c>
      <c r="AF728" s="783">
        <f t="shared" si="768"/>
        <v>0.13393305770550043</v>
      </c>
      <c r="AG728" s="783">
        <f t="shared" si="768"/>
        <v>0.13393305770550043</v>
      </c>
      <c r="AH728" s="783">
        <f t="shared" si="768"/>
        <v>0.13393305770550043</v>
      </c>
    </row>
    <row r="729" spans="1:43" outlineLevel="3">
      <c r="D729" s="31" t="s">
        <v>844</v>
      </c>
      <c r="G729" s="830"/>
      <c r="H729" s="695">
        <f t="shared" si="756"/>
        <v>5.3756264482268654E-2</v>
      </c>
      <c r="I729" s="695">
        <f t="shared" si="757"/>
        <v>7.3146143162561489E-2</v>
      </c>
      <c r="J729" s="695">
        <f t="shared" si="757"/>
        <v>8.4445933103802828E-2</v>
      </c>
      <c r="K729" s="695">
        <f t="shared" si="757"/>
        <v>8.3835347524691739E-2</v>
      </c>
      <c r="L729" s="695">
        <f t="shared" si="757"/>
        <v>8.889798997714872E-2</v>
      </c>
      <c r="M729" s="695">
        <f t="shared" si="757"/>
        <v>8.5392318823355698E-2</v>
      </c>
      <c r="N729" s="822">
        <f>CHOOSE(case,U729,AC729,AK729)</f>
        <v>8.5392318823355698E-2</v>
      </c>
      <c r="O729" s="823">
        <f t="shared" si="762"/>
        <v>8.5392318823355698E-2</v>
      </c>
      <c r="P729" s="823">
        <f t="shared" si="763"/>
        <v>8.5392318823355698E-2</v>
      </c>
      <c r="Q729" s="823">
        <f t="shared" si="764"/>
        <v>8.5392318823355698E-2</v>
      </c>
      <c r="R729" s="823">
        <f t="shared" si="765"/>
        <v>8.5392318823355698E-2</v>
      </c>
      <c r="S729" s="824">
        <f t="shared" si="766"/>
        <v>8.5392318823355698E-2</v>
      </c>
      <c r="T729" s="993"/>
      <c r="U729" s="1530"/>
      <c r="V729" s="1530"/>
      <c r="W729" s="1530"/>
      <c r="X729" s="1530"/>
      <c r="Y729" s="1530"/>
      <c r="Z729" s="1530"/>
      <c r="AA729" s="1530"/>
      <c r="AB729" s="1371"/>
      <c r="AC729" s="783">
        <f t="shared" si="767"/>
        <v>8.5392318823355698E-2</v>
      </c>
      <c r="AD729" s="783">
        <f t="shared" si="768"/>
        <v>8.5392318823355698E-2</v>
      </c>
      <c r="AE729" s="783">
        <f t="shared" si="768"/>
        <v>8.5392318823355698E-2</v>
      </c>
      <c r="AF729" s="783">
        <f t="shared" si="768"/>
        <v>8.5392318823355698E-2</v>
      </c>
      <c r="AG729" s="783">
        <f t="shared" si="768"/>
        <v>8.5392318823355698E-2</v>
      </c>
      <c r="AH729" s="783">
        <f t="shared" si="768"/>
        <v>8.5392318823355698E-2</v>
      </c>
    </row>
    <row r="730" spans="1:43" ht="15" outlineLevel="3" thickBot="1">
      <c r="C730" s="37"/>
      <c r="D730" s="38" t="s">
        <v>665</v>
      </c>
      <c r="E730" s="37"/>
      <c r="F730" s="37"/>
      <c r="G730" s="832"/>
      <c r="H730" s="697" t="str">
        <f t="shared" si="756"/>
        <v>NA</v>
      </c>
      <c r="I730" s="697" t="str">
        <f t="shared" si="757"/>
        <v>NA</v>
      </c>
      <c r="J730" s="697" t="str">
        <f t="shared" si="757"/>
        <v>NA</v>
      </c>
      <c r="K730" s="697">
        <f t="shared" si="757"/>
        <v>0.5417515274949084</v>
      </c>
      <c r="L730" s="697">
        <f t="shared" si="757"/>
        <v>0.54139617263843631</v>
      </c>
      <c r="M730" s="697">
        <f t="shared" si="757"/>
        <v>0.13505150937628446</v>
      </c>
      <c r="N730" s="825">
        <f>CHOOSE(case,U730,AC730,AK730)</f>
        <v>0.13505150937628446</v>
      </c>
      <c r="O730" s="826">
        <f t="shared" si="762"/>
        <v>0.13505150937628446</v>
      </c>
      <c r="P730" s="826">
        <f t="shared" si="763"/>
        <v>0.13505150937628446</v>
      </c>
      <c r="Q730" s="826">
        <f t="shared" si="764"/>
        <v>0.13505150937628446</v>
      </c>
      <c r="R730" s="826">
        <f t="shared" si="765"/>
        <v>0.13505150937628446</v>
      </c>
      <c r="S730" s="827">
        <f t="shared" si="766"/>
        <v>0.13505150937628446</v>
      </c>
      <c r="T730" s="993"/>
      <c r="U730" s="1530"/>
      <c r="V730" s="1530"/>
      <c r="W730" s="1530"/>
      <c r="X730" s="1530"/>
      <c r="Y730" s="1530"/>
      <c r="Z730" s="1530"/>
      <c r="AA730" s="1530"/>
      <c r="AB730" s="1371"/>
      <c r="AC730" s="783">
        <f t="shared" si="767"/>
        <v>0.13505150937628446</v>
      </c>
      <c r="AD730" s="783">
        <f t="shared" si="768"/>
        <v>0.13505150937628446</v>
      </c>
      <c r="AE730" s="783">
        <f t="shared" si="768"/>
        <v>0.13505150937628446</v>
      </c>
      <c r="AF730" s="783">
        <f t="shared" si="768"/>
        <v>0.13505150937628446</v>
      </c>
      <c r="AG730" s="783">
        <f t="shared" si="768"/>
        <v>0.13505150937628446</v>
      </c>
      <c r="AH730" s="783">
        <f t="shared" si="768"/>
        <v>0.13505150937628446</v>
      </c>
    </row>
    <row r="731" spans="1:43" outlineLevel="3">
      <c r="C731" s="18" t="s">
        <v>845</v>
      </c>
      <c r="H731" s="23">
        <v>15056.397250000005</v>
      </c>
      <c r="I731" s="23">
        <f t="shared" ref="I731:S731" si="769">SUM(I732:I736)</f>
        <v>22411.839479999995</v>
      </c>
      <c r="J731" s="23">
        <f t="shared" si="769"/>
        <v>21506</v>
      </c>
      <c r="K731" s="23">
        <f t="shared" si="769"/>
        <v>27661</v>
      </c>
      <c r="L731" s="23">
        <f t="shared" si="769"/>
        <v>34869.961439999999</v>
      </c>
      <c r="M731" s="23">
        <f t="shared" si="769"/>
        <v>26211.102640000001</v>
      </c>
      <c r="N731" s="23">
        <f t="shared" si="769"/>
        <v>45472.715058302259</v>
      </c>
      <c r="O731" s="23">
        <f t="shared" si="769"/>
        <v>58413.236499236162</v>
      </c>
      <c r="P731" s="23">
        <f t="shared" si="769"/>
        <v>69309.677426630238</v>
      </c>
      <c r="Q731" s="23">
        <f t="shared" si="769"/>
        <v>77032.609673132087</v>
      </c>
      <c r="R731" s="23">
        <f t="shared" si="769"/>
        <v>84735.870640445326</v>
      </c>
      <c r="S731" s="23">
        <f t="shared" si="769"/>
        <v>93209.457704489847</v>
      </c>
      <c r="T731" s="1205"/>
    </row>
    <row r="732" spans="1:43" outlineLevel="3">
      <c r="D732" s="27" t="s">
        <v>841</v>
      </c>
      <c r="E732" s="28"/>
      <c r="F732" s="28"/>
      <c r="G732" s="28"/>
      <c r="H732" s="398">
        <v>1231.76947</v>
      </c>
      <c r="I732" s="398">
        <v>4992.3653800000002</v>
      </c>
      <c r="J732" s="398">
        <v>5010</v>
      </c>
      <c r="K732" s="398">
        <v>5761</v>
      </c>
      <c r="L732" s="398">
        <v>6432.4410699999989</v>
      </c>
      <c r="M732" s="398">
        <v>3342.6453200000001</v>
      </c>
      <c r="N732" s="703">
        <f>N726*N708</f>
        <v>6584.9122722891088</v>
      </c>
      <c r="O732" s="29">
        <f t="shared" ref="O732:S732" si="770">O726*O708</f>
        <v>8560.3859539758414</v>
      </c>
      <c r="P732" s="29">
        <f t="shared" si="770"/>
        <v>10272.463144771009</v>
      </c>
      <c r="Q732" s="29">
        <f t="shared" si="770"/>
        <v>11299.709459248112</v>
      </c>
      <c r="R732" s="29">
        <f t="shared" si="770"/>
        <v>12429.680405172923</v>
      </c>
      <c r="S732" s="30">
        <f t="shared" si="770"/>
        <v>13672.648445690216</v>
      </c>
    </row>
    <row r="733" spans="1:43" outlineLevel="3">
      <c r="D733" s="31" t="s">
        <v>842</v>
      </c>
      <c r="H733" s="400">
        <v>0</v>
      </c>
      <c r="I733" s="400">
        <v>485.98522000000003</v>
      </c>
      <c r="J733" s="400">
        <v>348</v>
      </c>
      <c r="K733" s="400">
        <v>360</v>
      </c>
      <c r="L733" s="400">
        <v>359.50567000000001</v>
      </c>
      <c r="M733" s="400">
        <v>581.85095999999999</v>
      </c>
      <c r="N733" s="704">
        <f>N727*N709</f>
        <v>795.52005305007594</v>
      </c>
      <c r="O733" s="20">
        <f t="shared" ref="O733:S736" si="771">O727*O709</f>
        <v>1193.2800795751139</v>
      </c>
      <c r="P733" s="20">
        <f t="shared" si="771"/>
        <v>1551.2641034476483</v>
      </c>
      <c r="Q733" s="20">
        <f t="shared" si="771"/>
        <v>1861.5169241371777</v>
      </c>
      <c r="R733" s="20">
        <f t="shared" si="771"/>
        <v>2047.6686165508956</v>
      </c>
      <c r="S733" s="32">
        <f t="shared" si="771"/>
        <v>2252.4354782059854</v>
      </c>
    </row>
    <row r="734" spans="1:43" outlineLevel="3">
      <c r="D734" s="31" t="s">
        <v>843</v>
      </c>
      <c r="H734" s="400">
        <v>3459.2373499999999</v>
      </c>
      <c r="I734" s="400">
        <v>3008.58446</v>
      </c>
      <c r="J734" s="400">
        <v>5307</v>
      </c>
      <c r="K734" s="400">
        <v>7342</v>
      </c>
      <c r="L734" s="400">
        <v>9611.9555000000055</v>
      </c>
      <c r="M734" s="400">
        <v>9066.8771899999974</v>
      </c>
      <c r="N734" s="704">
        <f>N728*N710</f>
        <v>16158.483929812191</v>
      </c>
      <c r="O734" s="20">
        <f t="shared" si="771"/>
        <v>22621.877501737068</v>
      </c>
      <c r="P734" s="20">
        <f t="shared" si="771"/>
        <v>27146.253002084482</v>
      </c>
      <c r="Q734" s="20">
        <f t="shared" si="771"/>
        <v>29860.878302292931</v>
      </c>
      <c r="R734" s="20">
        <f t="shared" si="771"/>
        <v>32846.966132522226</v>
      </c>
      <c r="S734" s="32">
        <f t="shared" si="771"/>
        <v>36131.662745774454</v>
      </c>
    </row>
    <row r="735" spans="1:43" outlineLevel="3">
      <c r="D735" s="31" t="s">
        <v>844</v>
      </c>
      <c r="H735" s="400">
        <f>H731-SUM(H732:H734)</f>
        <v>10365.390430000007</v>
      </c>
      <c r="I735" s="400">
        <v>13924.904419999993</v>
      </c>
      <c r="J735" s="400">
        <v>10841</v>
      </c>
      <c r="K735" s="400">
        <v>13666</v>
      </c>
      <c r="L735" s="400">
        <v>17934.191599999995</v>
      </c>
      <c r="M735" s="400">
        <v>11855.485280000003</v>
      </c>
      <c r="N735" s="704">
        <f>N729*N711</f>
        <v>19811.005158170687</v>
      </c>
      <c r="O735" s="20">
        <f t="shared" si="771"/>
        <v>21792.105673987757</v>
      </c>
      <c r="P735" s="20">
        <f t="shared" si="771"/>
        <v>23971.316241386536</v>
      </c>
      <c r="Q735" s="20">
        <f t="shared" si="771"/>
        <v>26368.447865525191</v>
      </c>
      <c r="R735" s="20">
        <f t="shared" si="771"/>
        <v>29005.292652077715</v>
      </c>
      <c r="S735" s="32">
        <f t="shared" si="771"/>
        <v>31905.821917285488</v>
      </c>
    </row>
    <row r="736" spans="1:43" outlineLevel="3">
      <c r="D736" s="33" t="s">
        <v>665</v>
      </c>
      <c r="E736" s="34"/>
      <c r="F736" s="34"/>
      <c r="G736" s="34"/>
      <c r="H736" s="402">
        <v>0</v>
      </c>
      <c r="I736" s="402">
        <v>0</v>
      </c>
      <c r="J736" s="402">
        <v>0</v>
      </c>
      <c r="K736" s="402">
        <v>532</v>
      </c>
      <c r="L736" s="402">
        <v>531.86759999999992</v>
      </c>
      <c r="M736" s="402">
        <v>1364.2438900000002</v>
      </c>
      <c r="N736" s="705">
        <f>N730*N712</f>
        <v>2122.79364498019</v>
      </c>
      <c r="O736" s="35">
        <f t="shared" si="771"/>
        <v>4245.5872899603801</v>
      </c>
      <c r="P736" s="35">
        <f t="shared" si="771"/>
        <v>6368.3809349405692</v>
      </c>
      <c r="Q736" s="35">
        <f t="shared" si="771"/>
        <v>7642.057121928684</v>
      </c>
      <c r="R736" s="35">
        <f t="shared" si="771"/>
        <v>8406.2628341215532</v>
      </c>
      <c r="S736" s="36">
        <f t="shared" si="771"/>
        <v>9246.8891175337085</v>
      </c>
    </row>
    <row r="737" spans="1:43" outlineLevel="3">
      <c r="H737" s="43"/>
      <c r="I737" s="43"/>
      <c r="J737" s="43"/>
      <c r="K737" s="43"/>
      <c r="L737" s="144"/>
      <c r="M737" s="144"/>
      <c r="N737" s="144"/>
      <c r="S737" s="144"/>
    </row>
    <row r="738" spans="1:43" outlineLevel="3">
      <c r="C738" s="1" t="s">
        <v>659</v>
      </c>
      <c r="H738" s="394">
        <v>-10742</v>
      </c>
      <c r="I738" s="394">
        <v>-16986</v>
      </c>
      <c r="J738" s="394">
        <v>-15846</v>
      </c>
      <c r="K738" s="394">
        <v>-20495</v>
      </c>
      <c r="L738" s="394">
        <v>-26051.963018595878</v>
      </c>
      <c r="M738" s="394">
        <v>-20063.607532835405</v>
      </c>
      <c r="N738" s="20">
        <f>N739*N707</f>
        <v>-34807.643192771495</v>
      </c>
      <c r="O738" s="20">
        <f t="shared" ref="O738:S738" si="772">O739*O707</f>
        <v>-43474.275141939128</v>
      </c>
      <c r="P738" s="20">
        <f t="shared" si="772"/>
        <v>-50366.504604591762</v>
      </c>
      <c r="Q738" s="20">
        <f t="shared" si="772"/>
        <v>-55259.893226937696</v>
      </c>
      <c r="R738" s="20">
        <f t="shared" si="772"/>
        <v>-60579.410994830905</v>
      </c>
      <c r="S738" s="20">
        <f t="shared" si="772"/>
        <v>-66411.158009003484</v>
      </c>
    </row>
    <row r="739" spans="1:43" outlineLevel="3">
      <c r="D739" s="1" t="s">
        <v>849</v>
      </c>
      <c r="H739" s="744">
        <f>H738/H707</f>
        <v>-4.1283469317950357E-2</v>
      </c>
      <c r="I739" s="744">
        <f>I738/I707</f>
        <v>-6.8363775457718545E-2</v>
      </c>
      <c r="J739" s="744">
        <f t="shared" ref="J739:M739" si="773">J738/J707</f>
        <v>-8.2128307988929311E-2</v>
      </c>
      <c r="K739" s="744">
        <f t="shared" si="773"/>
        <v>-8.2540283444017995E-2</v>
      </c>
      <c r="L739" s="744">
        <f t="shared" si="773"/>
        <v>-8.5968153916727075E-2</v>
      </c>
      <c r="M739" s="744">
        <f t="shared" si="773"/>
        <v>-8.3330854621793057E-2</v>
      </c>
      <c r="N739" s="746">
        <f>N725/M725*M739</f>
        <v>-8.3802000712795005E-2</v>
      </c>
      <c r="O739" s="744">
        <f>N739*(1+O740)</f>
        <v>-8.4108660489789391E-2</v>
      </c>
      <c r="P739" s="744">
        <f t="shared" ref="P739:S739" si="774">O739*(1+P740)</f>
        <v>-8.3338720290963522E-2</v>
      </c>
      <c r="Q739" s="744">
        <f t="shared" si="774"/>
        <v>-8.2507453381346324E-2</v>
      </c>
      <c r="R739" s="744">
        <f t="shared" si="774"/>
        <v>-8.2227200114177376E-2</v>
      </c>
      <c r="S739" s="744">
        <f t="shared" si="774"/>
        <v>-8.1948087788538349E-2</v>
      </c>
    </row>
    <row r="740" spans="1:43" ht="15" outlineLevel="3" thickBot="1">
      <c r="C740" s="37"/>
      <c r="D740" s="74"/>
      <c r="E740" s="74" t="s">
        <v>151</v>
      </c>
      <c r="F740" s="37"/>
      <c r="G740" s="37"/>
      <c r="H740" s="747"/>
      <c r="I740" s="75">
        <f>I739/H739-1</f>
        <v>0.65596003890093302</v>
      </c>
      <c r="J740" s="75">
        <f>J739/I739-1</f>
        <v>0.20134248641261521</v>
      </c>
      <c r="K740" s="75"/>
      <c r="L740" s="75">
        <f>L739/J739-1</f>
        <v>4.6754231541155988E-2</v>
      </c>
      <c r="M740" s="75"/>
      <c r="N740" s="748">
        <f>N739/L739-1</f>
        <v>-2.5197158543503351E-2</v>
      </c>
      <c r="O740" s="749">
        <f>CHOOSE(case,V740,AD740,AL740)</f>
        <v>3.65933718033018E-3</v>
      </c>
      <c r="P740" s="750">
        <f>CHOOSE(case,W740,AE740,AM740)</f>
        <v>-9.1541131952677102E-3</v>
      </c>
      <c r="Q740" s="750">
        <f>CHOOSE(case,X740,AF740,AN740)</f>
        <v>-9.9745581251423632E-3</v>
      </c>
      <c r="R740" s="750">
        <f>CHOOSE(case,Y740,AG740,AO740)</f>
        <v>-3.3967024272780755E-3</v>
      </c>
      <c r="S740" s="751">
        <f>CHOOSE(case,Z740,AH740,AP740)</f>
        <v>-3.3944038621218642E-3</v>
      </c>
      <c r="AC740" s="752"/>
      <c r="AD740" s="753">
        <f>(SUMPRODUCT(O720:O723,各区域分剂型成本优化!K$87:K$90)+O724*O730)/(SUMPRODUCT(N720:N723,各区域分剂型成本优化!J$87:J$90)+N724*N730)-1</f>
        <v>3.65933718033018E-3</v>
      </c>
      <c r="AE740" s="753">
        <f>(SUMPRODUCT(P720:P723,各区域分剂型成本优化!L$87:L$90)+P724*P730)/(SUMPRODUCT(O720:O723,各区域分剂型成本优化!K$87:K$90)+O724*O730)-1</f>
        <v>-9.1541131952677102E-3</v>
      </c>
      <c r="AF740" s="753">
        <f>(SUMPRODUCT(Q720:Q723,各区域分剂型成本优化!M$87:M$90)+Q724*Q730)/(SUMPRODUCT(P720:P723,各区域分剂型成本优化!L$87:L$90)+P724*P730)-1</f>
        <v>-9.9745581251423632E-3</v>
      </c>
      <c r="AG740" s="753">
        <f>(SUMPRODUCT(R720:R723,各区域分剂型成本优化!N$87:N$90)+R724*R730)/(SUMPRODUCT(Q720:Q723,各区域分剂型成本优化!M$87:M$90)+Q724*Q730)-1</f>
        <v>-3.3967024272780755E-3</v>
      </c>
      <c r="AH740" s="753">
        <f>(SUMPRODUCT(S720:S723,各区域分剂型成本优化!O$87:O$90)+S724*S730)/(SUMPRODUCT(R720:R723,各区域分剂型成本优化!N$87:N$90)+R724*R730)-1</f>
        <v>-3.3944038621218642E-3</v>
      </c>
    </row>
    <row r="741" spans="1:43" outlineLevel="3">
      <c r="C741" s="18" t="s">
        <v>846</v>
      </c>
      <c r="D741" s="18"/>
      <c r="E741" s="18"/>
      <c r="F741" s="18"/>
      <c r="G741" s="18"/>
      <c r="H741" s="23">
        <f>H738+H731</f>
        <v>4314.3972500000054</v>
      </c>
      <c r="I741" s="23">
        <f>I738+I731</f>
        <v>5425.8394799999951</v>
      </c>
      <c r="J741" s="23">
        <f>J738+J731</f>
        <v>5660</v>
      </c>
      <c r="K741" s="23">
        <f>K738+K731</f>
        <v>7166</v>
      </c>
      <c r="L741" s="23">
        <f t="shared" ref="L741:S741" si="775">L738+L731</f>
        <v>8817.9984214041215</v>
      </c>
      <c r="M741" s="23">
        <f t="shared" si="775"/>
        <v>6147.4951071645955</v>
      </c>
      <c r="N741" s="23">
        <f t="shared" si="775"/>
        <v>10665.071865530765</v>
      </c>
      <c r="O741" s="23">
        <f t="shared" si="775"/>
        <v>14938.961357297034</v>
      </c>
      <c r="P741" s="23">
        <f t="shared" si="775"/>
        <v>18943.172822038476</v>
      </c>
      <c r="Q741" s="23">
        <f t="shared" si="775"/>
        <v>21772.71644619439</v>
      </c>
      <c r="R741" s="23">
        <f t="shared" si="775"/>
        <v>24156.459645614421</v>
      </c>
      <c r="S741" s="23">
        <f t="shared" si="775"/>
        <v>26798.299695486363</v>
      </c>
    </row>
    <row r="742" spans="1:43" outlineLevel="3">
      <c r="C742" s="22" t="s">
        <v>660</v>
      </c>
      <c r="D742" s="22"/>
      <c r="E742" s="22"/>
      <c r="F742" s="22"/>
      <c r="G742" s="22"/>
      <c r="H742" s="56">
        <f>IFERROR(H741/H731,"NA")</f>
        <v>0.28654911120919074</v>
      </c>
      <c r="I742" s="56">
        <f t="shared" ref="I742:S742" si="776">IFERROR(I741/I731,"NA")</f>
        <v>0.24209701683977955</v>
      </c>
      <c r="J742" s="56">
        <f t="shared" si="776"/>
        <v>0.26318236771133635</v>
      </c>
      <c r="K742" s="56">
        <f t="shared" si="776"/>
        <v>0.25906510972126823</v>
      </c>
      <c r="L742" s="56">
        <f t="shared" si="776"/>
        <v>0.25288236801113373</v>
      </c>
      <c r="M742" s="56">
        <f t="shared" si="776"/>
        <v>0.2345378289344868</v>
      </c>
      <c r="N742" s="56">
        <f t="shared" si="776"/>
        <v>0.23453782893448696</v>
      </c>
      <c r="O742" s="56">
        <f t="shared" si="776"/>
        <v>0.25574616735185324</v>
      </c>
      <c r="P742" s="56">
        <f t="shared" si="776"/>
        <v>0.27331209039446647</v>
      </c>
      <c r="Q742" s="56">
        <f t="shared" si="776"/>
        <v>0.28264285136621059</v>
      </c>
      <c r="R742" s="56">
        <f t="shared" si="776"/>
        <v>0.28507950013420041</v>
      </c>
      <c r="S742" s="56">
        <f t="shared" si="776"/>
        <v>0.28750622904005485</v>
      </c>
      <c r="U742" s="1526">
        <f>AC742+1%</f>
        <v>0.01</v>
      </c>
      <c r="V742" s="1526">
        <f t="shared" ref="V742:Z742" si="777">U742</f>
        <v>0.01</v>
      </c>
      <c r="W742" s="1526">
        <f t="shared" si="777"/>
        <v>0.01</v>
      </c>
      <c r="X742" s="1526">
        <f t="shared" si="777"/>
        <v>0.01</v>
      </c>
      <c r="Y742" s="1526">
        <f t="shared" si="777"/>
        <v>0.01</v>
      </c>
      <c r="Z742" s="1526">
        <f t="shared" si="777"/>
        <v>0.01</v>
      </c>
      <c r="AC742" s="416"/>
      <c r="AD742" s="65"/>
      <c r="AE742" s="65"/>
      <c r="AF742" s="65"/>
      <c r="AG742" s="65"/>
      <c r="AH742" s="65"/>
      <c r="AK742" s="1526">
        <f>AC742-1%</f>
        <v>-0.01</v>
      </c>
      <c r="AL742" s="1526">
        <f t="shared" ref="AL742:AP742" si="778">AK742</f>
        <v>-0.01</v>
      </c>
      <c r="AM742" s="1526">
        <f t="shared" si="778"/>
        <v>-0.01</v>
      </c>
      <c r="AN742" s="1526">
        <f t="shared" si="778"/>
        <v>-0.01</v>
      </c>
      <c r="AO742" s="1526">
        <f t="shared" si="778"/>
        <v>-0.01</v>
      </c>
      <c r="AP742" s="1526">
        <f t="shared" si="778"/>
        <v>-0.01</v>
      </c>
    </row>
    <row r="743" spans="1:43" outlineLevel="3"/>
    <row r="744" spans="1:43" s="1126" customFormat="1" outlineLevel="3">
      <c r="A744" s="26" t="s">
        <v>8</v>
      </c>
      <c r="B744" s="26"/>
      <c r="C744" s="26" t="s">
        <v>57</v>
      </c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408"/>
      <c r="U744" s="1518"/>
      <c r="V744" s="1518"/>
      <c r="W744" s="1518"/>
      <c r="X744" s="1518"/>
      <c r="Y744" s="1518"/>
      <c r="Z744" s="1518"/>
      <c r="AA744" s="1518"/>
      <c r="AC744" s="26"/>
      <c r="AD744" s="26"/>
      <c r="AE744" s="26"/>
      <c r="AF744" s="26"/>
      <c r="AG744" s="26"/>
      <c r="AH744" s="26"/>
      <c r="AI744" s="18"/>
      <c r="AK744" s="1518"/>
      <c r="AL744" s="1518"/>
      <c r="AM744" s="1518"/>
      <c r="AN744" s="1518"/>
      <c r="AO744" s="1518"/>
      <c r="AP744" s="1518"/>
      <c r="AQ744" s="1518"/>
    </row>
    <row r="745" spans="1:43" outlineLevel="3"/>
    <row r="746" spans="1:43" s="1126" customFormat="1" outlineLevel="3">
      <c r="A746" s="18"/>
      <c r="B746" s="18"/>
      <c r="C746" s="18" t="s">
        <v>840</v>
      </c>
      <c r="D746" s="18"/>
      <c r="E746" s="18"/>
      <c r="F746" s="18"/>
      <c r="G746" s="18"/>
      <c r="H746" s="23">
        <f>SUM(H747:H751)</f>
        <v>589377</v>
      </c>
      <c r="I746" s="23">
        <f t="shared" ref="I746:M746" si="779">SUM(I747:I751)</f>
        <v>717677</v>
      </c>
      <c r="J746" s="23">
        <f t="shared" si="779"/>
        <v>433262</v>
      </c>
      <c r="K746" s="23">
        <f t="shared" si="779"/>
        <v>561526</v>
      </c>
      <c r="L746" s="23">
        <f t="shared" si="779"/>
        <v>687884.80000000005</v>
      </c>
      <c r="M746" s="23">
        <f t="shared" si="779"/>
        <v>655925.5</v>
      </c>
      <c r="N746" s="23">
        <f t="shared" ref="N746:S746" si="780">SUM(N747:N751)</f>
        <v>1031827.2000000001</v>
      </c>
      <c r="O746" s="23">
        <f t="shared" si="780"/>
        <v>1238192.6400000001</v>
      </c>
      <c r="P746" s="23">
        <f t="shared" si="780"/>
        <v>1362011.9040000003</v>
      </c>
      <c r="Q746" s="23">
        <f t="shared" si="780"/>
        <v>1498213.0944000005</v>
      </c>
      <c r="R746" s="23">
        <f t="shared" si="780"/>
        <v>1573123.7491200005</v>
      </c>
      <c r="S746" s="23">
        <f t="shared" si="780"/>
        <v>1651779.9365760006</v>
      </c>
      <c r="T746" s="408"/>
      <c r="U746" s="1519"/>
      <c r="V746" s="1519"/>
      <c r="W746" s="1519"/>
      <c r="X746" s="1519"/>
      <c r="Y746" s="1519"/>
      <c r="Z746" s="1519"/>
      <c r="AA746" s="1520"/>
      <c r="AB746" s="1321"/>
      <c r="AC746" s="20"/>
      <c r="AD746" s="20"/>
      <c r="AE746" s="20"/>
      <c r="AF746" s="20"/>
      <c r="AG746" s="20"/>
      <c r="AH746" s="20"/>
      <c r="AI746" s="702"/>
      <c r="AJ746" s="1321"/>
      <c r="AK746" s="1519">
        <f>$L746*(1+$AQ746)</f>
        <v>715400.19200000004</v>
      </c>
      <c r="AL746" s="1519">
        <f>AK746*(1+$AQ746)</f>
        <v>744016.19968000008</v>
      </c>
      <c r="AM746" s="1519">
        <f t="shared" ref="AM746:AN746" si="781">AL746*(1+$AQ746)</f>
        <v>773776.84766720014</v>
      </c>
      <c r="AN746" s="1519">
        <f t="shared" si="781"/>
        <v>804727.92157388816</v>
      </c>
      <c r="AO746" s="1519">
        <f>AN746*(1+$AQ746)</f>
        <v>836917.03843684366</v>
      </c>
      <c r="AP746" s="1519">
        <f t="shared" ref="AP746" si="782">AO746*(1+$AQ746)</f>
        <v>870393.71997431747</v>
      </c>
      <c r="AQ746" s="1520">
        <v>0.04</v>
      </c>
    </row>
    <row r="747" spans="1:43" outlineLevel="3">
      <c r="D747" s="27" t="s">
        <v>841</v>
      </c>
      <c r="E747" s="28"/>
      <c r="F747" s="28"/>
      <c r="G747" s="28"/>
      <c r="H747" s="398"/>
      <c r="I747" s="398"/>
      <c r="J747" s="398"/>
      <c r="K747" s="398"/>
      <c r="L747" s="398"/>
      <c r="M747" s="398"/>
      <c r="N747" s="703">
        <f>L747*(1+N753)</f>
        <v>0</v>
      </c>
      <c r="O747" s="29">
        <f>N747*(1+O753)</f>
        <v>0</v>
      </c>
      <c r="P747" s="29">
        <f t="shared" ref="P747:S747" si="783">O747*(1+P753)</f>
        <v>0</v>
      </c>
      <c r="Q747" s="29">
        <f t="shared" si="783"/>
        <v>0</v>
      </c>
      <c r="R747" s="29">
        <f t="shared" si="783"/>
        <v>0</v>
      </c>
      <c r="S747" s="30">
        <f t="shared" si="783"/>
        <v>0</v>
      </c>
    </row>
    <row r="748" spans="1:43" outlineLevel="3">
      <c r="D748" s="31" t="s">
        <v>842</v>
      </c>
      <c r="H748" s="400"/>
      <c r="I748" s="400"/>
      <c r="J748" s="400"/>
      <c r="K748" s="400"/>
      <c r="L748" s="400"/>
      <c r="M748" s="400"/>
      <c r="N748" s="704">
        <f t="shared" ref="N748:N751" si="784">L748*(1+N754)</f>
        <v>0</v>
      </c>
      <c r="O748" s="20">
        <f t="shared" ref="O748:S751" si="785">N748*(1+O754)</f>
        <v>0</v>
      </c>
      <c r="P748" s="20">
        <f t="shared" si="785"/>
        <v>0</v>
      </c>
      <c r="Q748" s="20">
        <f t="shared" si="785"/>
        <v>0</v>
      </c>
      <c r="R748" s="20">
        <f t="shared" si="785"/>
        <v>0</v>
      </c>
      <c r="S748" s="32">
        <f t="shared" si="785"/>
        <v>0</v>
      </c>
    </row>
    <row r="749" spans="1:43" outlineLevel="3">
      <c r="D749" s="31" t="s">
        <v>843</v>
      </c>
      <c r="H749" s="400"/>
      <c r="I749" s="400"/>
      <c r="J749" s="400"/>
      <c r="K749" s="400"/>
      <c r="L749" s="400"/>
      <c r="M749" s="400"/>
      <c r="N749" s="704">
        <f t="shared" si="784"/>
        <v>0</v>
      </c>
      <c r="O749" s="20">
        <f t="shared" si="785"/>
        <v>0</v>
      </c>
      <c r="P749" s="20">
        <f t="shared" si="785"/>
        <v>0</v>
      </c>
      <c r="Q749" s="20">
        <f t="shared" si="785"/>
        <v>0</v>
      </c>
      <c r="R749" s="20">
        <f t="shared" si="785"/>
        <v>0</v>
      </c>
      <c r="S749" s="32">
        <f t="shared" si="785"/>
        <v>0</v>
      </c>
    </row>
    <row r="750" spans="1:43" outlineLevel="3">
      <c r="D750" s="31" t="s">
        <v>844</v>
      </c>
      <c r="H750" s="400">
        <v>589377</v>
      </c>
      <c r="I750" s="400">
        <v>717677</v>
      </c>
      <c r="J750" s="400">
        <v>433262</v>
      </c>
      <c r="K750" s="400">
        <v>561526</v>
      </c>
      <c r="L750" s="400">
        <v>687884.80000000005</v>
      </c>
      <c r="M750" s="400">
        <v>655925.5</v>
      </c>
      <c r="N750" s="704">
        <f t="shared" si="784"/>
        <v>1031827.2000000001</v>
      </c>
      <c r="O750" s="20">
        <f t="shared" si="785"/>
        <v>1238192.6400000001</v>
      </c>
      <c r="P750" s="20">
        <f t="shared" si="785"/>
        <v>1362011.9040000003</v>
      </c>
      <c r="Q750" s="20">
        <f t="shared" si="785"/>
        <v>1498213.0944000005</v>
      </c>
      <c r="R750" s="20">
        <f t="shared" si="785"/>
        <v>1573123.7491200005</v>
      </c>
      <c r="S750" s="32">
        <f t="shared" si="785"/>
        <v>1651779.9365760006</v>
      </c>
    </row>
    <row r="751" spans="1:43" outlineLevel="3">
      <c r="D751" s="33" t="s">
        <v>665</v>
      </c>
      <c r="E751" s="34"/>
      <c r="F751" s="34"/>
      <c r="G751" s="34"/>
      <c r="H751" s="402"/>
      <c r="I751" s="402"/>
      <c r="J751" s="402"/>
      <c r="K751" s="402"/>
      <c r="L751" s="402"/>
      <c r="M751" s="402"/>
      <c r="N751" s="705">
        <f t="shared" si="784"/>
        <v>0</v>
      </c>
      <c r="O751" s="35">
        <f t="shared" si="785"/>
        <v>0</v>
      </c>
      <c r="P751" s="35">
        <f t="shared" si="785"/>
        <v>0</v>
      </c>
      <c r="Q751" s="35">
        <f t="shared" si="785"/>
        <v>0</v>
      </c>
      <c r="R751" s="35">
        <f t="shared" si="785"/>
        <v>0</v>
      </c>
      <c r="S751" s="36">
        <f t="shared" si="785"/>
        <v>0</v>
      </c>
      <c r="AC751" s="448"/>
      <c r="AD751" s="448"/>
      <c r="AE751" s="448"/>
      <c r="AF751" s="448"/>
      <c r="AG751" s="448"/>
      <c r="AH751" s="448"/>
    </row>
    <row r="752" spans="1:43" s="1365" customFormat="1" outlineLevel="3">
      <c r="A752" s="22"/>
      <c r="B752" s="22"/>
      <c r="C752" s="22" t="s">
        <v>847</v>
      </c>
      <c r="D752" s="22"/>
      <c r="E752" s="22"/>
      <c r="F752" s="22"/>
      <c r="G752" s="22"/>
      <c r="H752" s="219"/>
      <c r="I752" s="24">
        <f>I746/H746-1</f>
        <v>0.2176874903499797</v>
      </c>
      <c r="J752" s="24">
        <f>J746/I746-1</f>
        <v>-0.39629944947378837</v>
      </c>
      <c r="K752" s="24"/>
      <c r="L752" s="793">
        <f>L746/J746-1</f>
        <v>0.58768781937949788</v>
      </c>
      <c r="M752" s="24"/>
      <c r="N752" s="24">
        <f>N746/L746-1</f>
        <v>0.5</v>
      </c>
      <c r="O752" s="24">
        <f>O746/N746-1</f>
        <v>0.19999999999999996</v>
      </c>
      <c r="P752" s="24">
        <f t="shared" ref="P752:S752" si="786">P746/O746-1</f>
        <v>0.10000000000000009</v>
      </c>
      <c r="Q752" s="24">
        <f t="shared" si="786"/>
        <v>0.10000000000000009</v>
      </c>
      <c r="R752" s="24">
        <f t="shared" si="786"/>
        <v>5.0000000000000044E-2</v>
      </c>
      <c r="S752" s="24">
        <f t="shared" si="786"/>
        <v>5.0000000000000044E-2</v>
      </c>
      <c r="T752" s="726"/>
      <c r="U752" s="1521"/>
      <c r="V752" s="1521"/>
      <c r="W752" s="1521"/>
      <c r="X752" s="1521"/>
      <c r="Y752" s="1521"/>
      <c r="Z752" s="1521"/>
      <c r="AA752" s="1522"/>
      <c r="AC752" s="219"/>
      <c r="AD752" s="219"/>
      <c r="AE752" s="219"/>
      <c r="AF752" s="219"/>
      <c r="AG752" s="219"/>
      <c r="AH752" s="219"/>
      <c r="AI752" s="706"/>
      <c r="AK752" s="1521"/>
      <c r="AL752" s="1521"/>
      <c r="AM752" s="1521"/>
      <c r="AN752" s="1521"/>
      <c r="AO752" s="1521"/>
      <c r="AP752" s="1521"/>
      <c r="AQ752" s="1522"/>
    </row>
    <row r="753" spans="1:43" s="1365" customFormat="1" outlineLevel="3">
      <c r="A753" s="22"/>
      <c r="B753" s="22"/>
      <c r="C753" s="22"/>
      <c r="D753" s="707" t="s">
        <v>841</v>
      </c>
      <c r="E753" s="708"/>
      <c r="F753" s="708"/>
      <c r="G753" s="708"/>
      <c r="H753" s="709"/>
      <c r="I753" s="710"/>
      <c r="J753" s="710"/>
      <c r="K753" s="710"/>
      <c r="L753" s="710"/>
      <c r="M753" s="727"/>
      <c r="N753" s="711">
        <f t="shared" ref="N753:S757" si="787">CHOOSE(case,U753,AC753,AK753)</f>
        <v>0</v>
      </c>
      <c r="O753" s="712">
        <f t="shared" si="787"/>
        <v>0</v>
      </c>
      <c r="P753" s="712">
        <f t="shared" si="787"/>
        <v>0</v>
      </c>
      <c r="Q753" s="712">
        <f t="shared" si="787"/>
        <v>0</v>
      </c>
      <c r="R753" s="712">
        <f t="shared" si="787"/>
        <v>0</v>
      </c>
      <c r="S753" s="713">
        <f t="shared" si="787"/>
        <v>0</v>
      </c>
      <c r="T753" s="726"/>
      <c r="U753" s="1521"/>
      <c r="V753" s="1521"/>
      <c r="W753" s="1521"/>
      <c r="X753" s="1521"/>
      <c r="Y753" s="1521"/>
      <c r="Z753" s="1521"/>
      <c r="AA753" s="1523"/>
      <c r="AC753" s="714"/>
      <c r="AD753" s="714"/>
      <c r="AE753" s="714"/>
      <c r="AF753" s="714"/>
      <c r="AG753" s="714"/>
      <c r="AH753" s="714"/>
      <c r="AI753" s="22"/>
      <c r="AK753" s="1521"/>
      <c r="AL753" s="1521"/>
      <c r="AM753" s="1521"/>
      <c r="AN753" s="1521"/>
      <c r="AO753" s="1521"/>
      <c r="AP753" s="1521"/>
      <c r="AQ753" s="1523"/>
    </row>
    <row r="754" spans="1:43" s="1365" customFormat="1" outlineLevel="3">
      <c r="A754" s="22"/>
      <c r="B754" s="22"/>
      <c r="C754" s="22"/>
      <c r="D754" s="715" t="s">
        <v>842</v>
      </c>
      <c r="E754" s="22"/>
      <c r="F754" s="22"/>
      <c r="G754" s="22"/>
      <c r="H754" s="219"/>
      <c r="I754" s="175"/>
      <c r="J754" s="175"/>
      <c r="K754" s="175"/>
      <c r="L754" s="175"/>
      <c r="M754" s="729"/>
      <c r="N754" s="716">
        <f t="shared" si="787"/>
        <v>0</v>
      </c>
      <c r="O754" s="717">
        <f t="shared" si="787"/>
        <v>0</v>
      </c>
      <c r="P754" s="717">
        <f t="shared" si="787"/>
        <v>0</v>
      </c>
      <c r="Q754" s="717">
        <f t="shared" si="787"/>
        <v>0</v>
      </c>
      <c r="R754" s="717">
        <f t="shared" si="787"/>
        <v>0</v>
      </c>
      <c r="S754" s="718">
        <f t="shared" si="787"/>
        <v>0</v>
      </c>
      <c r="T754" s="726"/>
      <c r="U754" s="1521"/>
      <c r="V754" s="1521"/>
      <c r="W754" s="1521"/>
      <c r="X754" s="1521"/>
      <c r="Y754" s="1521"/>
      <c r="Z754" s="1521"/>
      <c r="AA754" s="1523"/>
      <c r="AC754" s="714"/>
      <c r="AD754" s="714"/>
      <c r="AE754" s="714"/>
      <c r="AF754" s="714"/>
      <c r="AG754" s="714"/>
      <c r="AH754" s="714"/>
      <c r="AI754" s="22"/>
      <c r="AK754" s="1521"/>
      <c r="AL754" s="1521"/>
      <c r="AM754" s="1521"/>
      <c r="AN754" s="1521"/>
      <c r="AO754" s="1521"/>
      <c r="AP754" s="1521"/>
      <c r="AQ754" s="1523"/>
    </row>
    <row r="755" spans="1:43" s="1365" customFormat="1" outlineLevel="3">
      <c r="A755" s="22"/>
      <c r="B755" s="22"/>
      <c r="C755" s="22"/>
      <c r="D755" s="715" t="s">
        <v>843</v>
      </c>
      <c r="E755" s="22"/>
      <c r="F755" s="22"/>
      <c r="G755" s="22"/>
      <c r="H755" s="219"/>
      <c r="I755" s="175"/>
      <c r="J755" s="175"/>
      <c r="K755" s="175"/>
      <c r="L755" s="175"/>
      <c r="M755" s="729"/>
      <c r="N755" s="716">
        <f t="shared" si="787"/>
        <v>0</v>
      </c>
      <c r="O755" s="717">
        <f t="shared" si="787"/>
        <v>0</v>
      </c>
      <c r="P755" s="717">
        <f t="shared" si="787"/>
        <v>0</v>
      </c>
      <c r="Q755" s="717">
        <f t="shared" si="787"/>
        <v>0</v>
      </c>
      <c r="R755" s="717">
        <f t="shared" si="787"/>
        <v>0</v>
      </c>
      <c r="S755" s="718">
        <f t="shared" si="787"/>
        <v>0</v>
      </c>
      <c r="T755" s="726"/>
      <c r="U755" s="1521"/>
      <c r="V755" s="1521"/>
      <c r="W755" s="1521"/>
      <c r="X755" s="1521"/>
      <c r="Y755" s="1521"/>
      <c r="Z755" s="1521"/>
      <c r="AA755" s="1523"/>
      <c r="AC755" s="714"/>
      <c r="AD755" s="714"/>
      <c r="AE755" s="714"/>
      <c r="AF755" s="714"/>
      <c r="AG755" s="714"/>
      <c r="AH755" s="714"/>
      <c r="AI755" s="22"/>
      <c r="AK755" s="1521"/>
      <c r="AL755" s="1521"/>
      <c r="AM755" s="1521"/>
      <c r="AN755" s="1521"/>
      <c r="AO755" s="1521"/>
      <c r="AP755" s="1521"/>
      <c r="AQ755" s="1523"/>
    </row>
    <row r="756" spans="1:43" s="1365" customFormat="1" outlineLevel="3">
      <c r="A756" s="22"/>
      <c r="B756" s="22"/>
      <c r="C756" s="22"/>
      <c r="D756" s="715" t="s">
        <v>844</v>
      </c>
      <c r="E756" s="22"/>
      <c r="F756" s="22"/>
      <c r="G756" s="22"/>
      <c r="H756" s="219"/>
      <c r="I756" s="175">
        <f>I750/H750-1</f>
        <v>0.2176874903499797</v>
      </c>
      <c r="J756" s="175">
        <f>J750/I750-1</f>
        <v>-0.39629944947378837</v>
      </c>
      <c r="K756" s="175"/>
      <c r="L756" s="175">
        <f t="shared" ref="L756" si="788">L750/J750-1</f>
        <v>0.58768781937949788</v>
      </c>
      <c r="M756" s="729"/>
      <c r="N756" s="716">
        <f t="shared" si="787"/>
        <v>0.5</v>
      </c>
      <c r="O756" s="717">
        <f t="shared" si="787"/>
        <v>0.2</v>
      </c>
      <c r="P756" s="717">
        <f t="shared" si="787"/>
        <v>0.1</v>
      </c>
      <c r="Q756" s="717">
        <f t="shared" si="787"/>
        <v>0.1</v>
      </c>
      <c r="R756" s="717">
        <f t="shared" si="787"/>
        <v>0.05</v>
      </c>
      <c r="S756" s="718">
        <f t="shared" si="787"/>
        <v>0.05</v>
      </c>
      <c r="T756" s="726"/>
      <c r="U756" s="1521"/>
      <c r="V756" s="1521"/>
      <c r="W756" s="1521"/>
      <c r="X756" s="1521"/>
      <c r="Y756" s="1521"/>
      <c r="Z756" s="1521"/>
      <c r="AA756" s="1523"/>
      <c r="AC756" s="714">
        <v>0.5</v>
      </c>
      <c r="AD756" s="714">
        <v>0.2</v>
      </c>
      <c r="AE756" s="714">
        <v>0.1</v>
      </c>
      <c r="AF756" s="714">
        <v>0.1</v>
      </c>
      <c r="AG756" s="714">
        <v>0.05</v>
      </c>
      <c r="AH756" s="714">
        <v>0.05</v>
      </c>
      <c r="AI756" s="22"/>
      <c r="AK756" s="1521"/>
      <c r="AL756" s="1521"/>
      <c r="AM756" s="1521"/>
      <c r="AN756" s="1521"/>
      <c r="AO756" s="1521"/>
      <c r="AP756" s="1521"/>
      <c r="AQ756" s="1523"/>
    </row>
    <row r="757" spans="1:43" s="1365" customFormat="1" outlineLevel="3">
      <c r="A757" s="22"/>
      <c r="B757" s="22"/>
      <c r="C757" s="22"/>
      <c r="D757" s="719" t="s">
        <v>665</v>
      </c>
      <c r="E757" s="720"/>
      <c r="F757" s="720"/>
      <c r="G757" s="720"/>
      <c r="H757" s="721"/>
      <c r="I757" s="722"/>
      <c r="J757" s="722"/>
      <c r="K757" s="722"/>
      <c r="L757" s="722"/>
      <c r="M757" s="730"/>
      <c r="N757" s="723">
        <f t="shared" si="787"/>
        <v>0</v>
      </c>
      <c r="O757" s="724">
        <f t="shared" si="787"/>
        <v>0</v>
      </c>
      <c r="P757" s="724">
        <f t="shared" si="787"/>
        <v>0</v>
      </c>
      <c r="Q757" s="724">
        <f t="shared" si="787"/>
        <v>0</v>
      </c>
      <c r="R757" s="724">
        <f t="shared" si="787"/>
        <v>0</v>
      </c>
      <c r="S757" s="725">
        <f t="shared" si="787"/>
        <v>0</v>
      </c>
      <c r="T757" s="726"/>
      <c r="U757" s="1521"/>
      <c r="V757" s="1521"/>
      <c r="W757" s="1521"/>
      <c r="X757" s="1521"/>
      <c r="Y757" s="1521"/>
      <c r="Z757" s="1521"/>
      <c r="AA757" s="1523"/>
      <c r="AC757" s="714"/>
      <c r="AD757" s="714"/>
      <c r="AE757" s="714"/>
      <c r="AF757" s="714"/>
      <c r="AG757" s="714"/>
      <c r="AH757" s="714"/>
      <c r="AI757" s="22"/>
      <c r="AK757" s="1521"/>
      <c r="AL757" s="1521"/>
      <c r="AM757" s="1521"/>
      <c r="AN757" s="1521"/>
      <c r="AO757" s="1521"/>
      <c r="AP757" s="1521"/>
      <c r="AQ757" s="1523"/>
    </row>
    <row r="758" spans="1:43" s="1365" customFormat="1" outlineLevel="3">
      <c r="A758" s="22"/>
      <c r="B758" s="22"/>
      <c r="C758" s="22" t="s">
        <v>848</v>
      </c>
      <c r="D758" s="22"/>
      <c r="E758" s="22"/>
      <c r="F758" s="22"/>
      <c r="G758" s="22"/>
      <c r="H758" s="24">
        <f>H746/H$746</f>
        <v>1</v>
      </c>
      <c r="I758" s="24">
        <f t="shared" ref="I758:S760" si="789">I746/I$746</f>
        <v>1</v>
      </c>
      <c r="J758" s="24">
        <f t="shared" si="789"/>
        <v>1</v>
      </c>
      <c r="K758" s="24">
        <f t="shared" si="789"/>
        <v>1</v>
      </c>
      <c r="L758" s="24">
        <f t="shared" si="789"/>
        <v>1</v>
      </c>
      <c r="M758" s="24">
        <f t="shared" si="789"/>
        <v>1</v>
      </c>
      <c r="N758" s="24">
        <f t="shared" si="789"/>
        <v>1</v>
      </c>
      <c r="O758" s="24">
        <f t="shared" si="789"/>
        <v>1</v>
      </c>
      <c r="P758" s="24">
        <f t="shared" si="789"/>
        <v>1</v>
      </c>
      <c r="Q758" s="24">
        <f t="shared" si="789"/>
        <v>1</v>
      </c>
      <c r="R758" s="24">
        <f t="shared" si="789"/>
        <v>1</v>
      </c>
      <c r="S758" s="24">
        <f t="shared" si="789"/>
        <v>1</v>
      </c>
      <c r="T758" s="726"/>
      <c r="U758" s="1521"/>
      <c r="V758" s="1521"/>
      <c r="W758" s="1521"/>
      <c r="X758" s="1521"/>
      <c r="Y758" s="1521"/>
      <c r="Z758" s="1521"/>
      <c r="AA758" s="1522"/>
      <c r="AC758" s="219"/>
      <c r="AD758" s="219"/>
      <c r="AE758" s="219"/>
      <c r="AF758" s="219"/>
      <c r="AG758" s="219"/>
      <c r="AH758" s="219"/>
      <c r="AI758" s="706"/>
      <c r="AK758" s="1521"/>
      <c r="AL758" s="1521"/>
      <c r="AM758" s="1521"/>
      <c r="AN758" s="1521"/>
      <c r="AO758" s="1521"/>
      <c r="AP758" s="1521"/>
      <c r="AQ758" s="1522"/>
    </row>
    <row r="759" spans="1:43" s="1365" customFormat="1" outlineLevel="3">
      <c r="A759" s="22"/>
      <c r="B759" s="22"/>
      <c r="C759" s="22"/>
      <c r="D759" s="707" t="s">
        <v>841</v>
      </c>
      <c r="E759" s="708"/>
      <c r="F759" s="708"/>
      <c r="G759" s="708"/>
      <c r="H759" s="793">
        <f>H747/H$746</f>
        <v>0</v>
      </c>
      <c r="I759" s="793">
        <f t="shared" si="789"/>
        <v>0</v>
      </c>
      <c r="J759" s="793">
        <f t="shared" si="789"/>
        <v>0</v>
      </c>
      <c r="K759" s="793">
        <f t="shared" si="789"/>
        <v>0</v>
      </c>
      <c r="L759" s="793">
        <f t="shared" si="789"/>
        <v>0</v>
      </c>
      <c r="M759" s="793">
        <f t="shared" si="789"/>
        <v>0</v>
      </c>
      <c r="N759" s="793">
        <f t="shared" si="789"/>
        <v>0</v>
      </c>
      <c r="O759" s="793">
        <f t="shared" si="789"/>
        <v>0</v>
      </c>
      <c r="P759" s="793">
        <f t="shared" si="789"/>
        <v>0</v>
      </c>
      <c r="Q759" s="793">
        <f t="shared" si="789"/>
        <v>0</v>
      </c>
      <c r="R759" s="793">
        <f t="shared" si="789"/>
        <v>0</v>
      </c>
      <c r="S759" s="803">
        <f t="shared" si="789"/>
        <v>0</v>
      </c>
      <c r="T759" s="726"/>
      <c r="U759" s="1521"/>
      <c r="V759" s="1521"/>
      <c r="W759" s="1521"/>
      <c r="X759" s="1521"/>
      <c r="Y759" s="1521"/>
      <c r="Z759" s="1521"/>
      <c r="AA759" s="1523"/>
      <c r="AC759" s="728"/>
      <c r="AD759" s="728"/>
      <c r="AE759" s="728"/>
      <c r="AF759" s="728"/>
      <c r="AG759" s="728"/>
      <c r="AH759" s="728"/>
      <c r="AI759" s="22"/>
      <c r="AK759" s="1521"/>
      <c r="AL759" s="1521"/>
      <c r="AM759" s="1521"/>
      <c r="AN759" s="1521"/>
      <c r="AO759" s="1521"/>
      <c r="AP759" s="1521"/>
      <c r="AQ759" s="1523"/>
    </row>
    <row r="760" spans="1:43" s="1365" customFormat="1" outlineLevel="3">
      <c r="A760" s="22"/>
      <c r="B760" s="22"/>
      <c r="C760" s="22"/>
      <c r="D760" s="715" t="s">
        <v>842</v>
      </c>
      <c r="E760" s="22"/>
      <c r="F760" s="22"/>
      <c r="G760" s="22"/>
      <c r="H760" s="91">
        <f>H748/H$746</f>
        <v>0</v>
      </c>
      <c r="I760" s="91">
        <f t="shared" si="789"/>
        <v>0</v>
      </c>
      <c r="J760" s="91">
        <f t="shared" si="789"/>
        <v>0</v>
      </c>
      <c r="K760" s="91">
        <f t="shared" si="789"/>
        <v>0</v>
      </c>
      <c r="L760" s="91">
        <f t="shared" si="789"/>
        <v>0</v>
      </c>
      <c r="M760" s="91">
        <f t="shared" si="789"/>
        <v>0</v>
      </c>
      <c r="N760" s="91">
        <f t="shared" si="789"/>
        <v>0</v>
      </c>
      <c r="O760" s="91">
        <f t="shared" si="789"/>
        <v>0</v>
      </c>
      <c r="P760" s="91">
        <f t="shared" si="789"/>
        <v>0</v>
      </c>
      <c r="Q760" s="91">
        <f t="shared" si="789"/>
        <v>0</v>
      </c>
      <c r="R760" s="91">
        <f t="shared" si="789"/>
        <v>0</v>
      </c>
      <c r="S760" s="804">
        <f t="shared" si="789"/>
        <v>0</v>
      </c>
      <c r="T760" s="726"/>
      <c r="U760" s="1521"/>
      <c r="V760" s="1521"/>
      <c r="W760" s="1521"/>
      <c r="X760" s="1521"/>
      <c r="Y760" s="1521"/>
      <c r="Z760" s="1521"/>
      <c r="AA760" s="1523"/>
      <c r="AC760" s="728"/>
      <c r="AD760" s="728"/>
      <c r="AE760" s="728"/>
      <c r="AF760" s="728"/>
      <c r="AG760" s="728"/>
      <c r="AH760" s="728"/>
      <c r="AI760" s="22"/>
      <c r="AK760" s="1521"/>
      <c r="AL760" s="1521"/>
      <c r="AM760" s="1521"/>
      <c r="AN760" s="1521"/>
      <c r="AO760" s="1521"/>
      <c r="AP760" s="1521"/>
      <c r="AQ760" s="1523"/>
    </row>
    <row r="761" spans="1:43" s="1365" customFormat="1" outlineLevel="3">
      <c r="A761" s="22"/>
      <c r="B761" s="22"/>
      <c r="C761" s="22"/>
      <c r="D761" s="715" t="s">
        <v>843</v>
      </c>
      <c r="E761" s="22"/>
      <c r="F761" s="22"/>
      <c r="G761" s="22"/>
      <c r="H761" s="91">
        <f t="shared" ref="H761:S763" si="790">H749/H$746</f>
        <v>0</v>
      </c>
      <c r="I761" s="91">
        <f t="shared" si="790"/>
        <v>0</v>
      </c>
      <c r="J761" s="91">
        <f t="shared" si="790"/>
        <v>0</v>
      </c>
      <c r="K761" s="91">
        <f t="shared" si="790"/>
        <v>0</v>
      </c>
      <c r="L761" s="91">
        <f t="shared" si="790"/>
        <v>0</v>
      </c>
      <c r="M761" s="91">
        <f t="shared" si="790"/>
        <v>0</v>
      </c>
      <c r="N761" s="91">
        <f t="shared" si="790"/>
        <v>0</v>
      </c>
      <c r="O761" s="91">
        <f t="shared" si="790"/>
        <v>0</v>
      </c>
      <c r="P761" s="91">
        <f t="shared" si="790"/>
        <v>0</v>
      </c>
      <c r="Q761" s="91">
        <f t="shared" si="790"/>
        <v>0</v>
      </c>
      <c r="R761" s="91">
        <f t="shared" si="790"/>
        <v>0</v>
      </c>
      <c r="S761" s="804">
        <f t="shared" si="790"/>
        <v>0</v>
      </c>
      <c r="T761" s="726"/>
      <c r="U761" s="1521"/>
      <c r="V761" s="1521"/>
      <c r="W761" s="1521"/>
      <c r="X761" s="1521"/>
      <c r="Y761" s="1521"/>
      <c r="Z761" s="1521"/>
      <c r="AA761" s="1523"/>
      <c r="AC761" s="728"/>
      <c r="AD761" s="728"/>
      <c r="AE761" s="728"/>
      <c r="AF761" s="728"/>
      <c r="AG761" s="728"/>
      <c r="AH761" s="728"/>
      <c r="AI761" s="22"/>
      <c r="AK761" s="1521"/>
      <c r="AL761" s="1521"/>
      <c r="AM761" s="1521"/>
      <c r="AN761" s="1521"/>
      <c r="AO761" s="1521"/>
      <c r="AP761" s="1521"/>
      <c r="AQ761" s="1523"/>
    </row>
    <row r="762" spans="1:43" s="1365" customFormat="1" outlineLevel="3">
      <c r="A762" s="22"/>
      <c r="B762" s="22"/>
      <c r="C762" s="22"/>
      <c r="D762" s="715" t="s">
        <v>844</v>
      </c>
      <c r="E762" s="22"/>
      <c r="F762" s="22"/>
      <c r="G762" s="22"/>
      <c r="H762" s="91">
        <f t="shared" si="790"/>
        <v>1</v>
      </c>
      <c r="I762" s="91">
        <f t="shared" si="790"/>
        <v>1</v>
      </c>
      <c r="J762" s="91">
        <f t="shared" si="790"/>
        <v>1</v>
      </c>
      <c r="K762" s="91">
        <f t="shared" si="790"/>
        <v>1</v>
      </c>
      <c r="L762" s="91">
        <f t="shared" si="790"/>
        <v>1</v>
      </c>
      <c r="M762" s="91">
        <f t="shared" si="790"/>
        <v>1</v>
      </c>
      <c r="N762" s="91">
        <f t="shared" si="790"/>
        <v>1</v>
      </c>
      <c r="O762" s="91">
        <f t="shared" si="790"/>
        <v>1</v>
      </c>
      <c r="P762" s="91">
        <f t="shared" si="790"/>
        <v>1</v>
      </c>
      <c r="Q762" s="91">
        <f t="shared" si="790"/>
        <v>1</v>
      </c>
      <c r="R762" s="91">
        <f t="shared" si="790"/>
        <v>1</v>
      </c>
      <c r="S762" s="804">
        <f t="shared" si="790"/>
        <v>1</v>
      </c>
      <c r="T762" s="726"/>
      <c r="U762" s="1521"/>
      <c r="V762" s="1521"/>
      <c r="W762" s="1521"/>
      <c r="X762" s="1521"/>
      <c r="Y762" s="1521"/>
      <c r="Z762" s="1521"/>
      <c r="AA762" s="1523"/>
      <c r="AC762" s="728"/>
      <c r="AD762" s="728"/>
      <c r="AE762" s="728"/>
      <c r="AF762" s="728"/>
      <c r="AG762" s="728"/>
      <c r="AH762" s="728"/>
      <c r="AI762" s="22"/>
      <c r="AK762" s="1521"/>
      <c r="AL762" s="1521"/>
      <c r="AM762" s="1521"/>
      <c r="AN762" s="1521"/>
      <c r="AO762" s="1521"/>
      <c r="AP762" s="1521"/>
      <c r="AQ762" s="1523"/>
    </row>
    <row r="763" spans="1:43" s="1365" customFormat="1" outlineLevel="3">
      <c r="A763" s="22"/>
      <c r="B763" s="22"/>
      <c r="C763" s="22"/>
      <c r="D763" s="719" t="s">
        <v>665</v>
      </c>
      <c r="E763" s="720"/>
      <c r="F763" s="720"/>
      <c r="G763" s="720"/>
      <c r="H763" s="794">
        <f t="shared" si="790"/>
        <v>0</v>
      </c>
      <c r="I763" s="794">
        <f t="shared" si="790"/>
        <v>0</v>
      </c>
      <c r="J763" s="794">
        <f t="shared" si="790"/>
        <v>0</v>
      </c>
      <c r="K763" s="794">
        <f t="shared" si="790"/>
        <v>0</v>
      </c>
      <c r="L763" s="794">
        <f t="shared" si="790"/>
        <v>0</v>
      </c>
      <c r="M763" s="794">
        <f t="shared" si="790"/>
        <v>0</v>
      </c>
      <c r="N763" s="794">
        <f t="shared" si="790"/>
        <v>0</v>
      </c>
      <c r="O763" s="794">
        <f t="shared" si="790"/>
        <v>0</v>
      </c>
      <c r="P763" s="794">
        <f t="shared" si="790"/>
        <v>0</v>
      </c>
      <c r="Q763" s="794">
        <f t="shared" si="790"/>
        <v>0</v>
      </c>
      <c r="R763" s="794">
        <f t="shared" si="790"/>
        <v>0</v>
      </c>
      <c r="S763" s="805">
        <f t="shared" si="790"/>
        <v>0</v>
      </c>
      <c r="T763" s="726"/>
      <c r="U763" s="1521"/>
      <c r="V763" s="1521"/>
      <c r="W763" s="1521"/>
      <c r="X763" s="1521"/>
      <c r="Y763" s="1521"/>
      <c r="Z763" s="1521"/>
      <c r="AA763" s="1523"/>
      <c r="AC763" s="728"/>
      <c r="AD763" s="728"/>
      <c r="AE763" s="728"/>
      <c r="AF763" s="728"/>
      <c r="AG763" s="728"/>
      <c r="AH763" s="728"/>
      <c r="AI763" s="22"/>
      <c r="AK763" s="1521"/>
      <c r="AL763" s="1521"/>
      <c r="AM763" s="1521"/>
      <c r="AN763" s="1521"/>
      <c r="AO763" s="1521"/>
      <c r="AP763" s="1521"/>
      <c r="AQ763" s="1523"/>
    </row>
    <row r="764" spans="1:43" outlineLevel="3">
      <c r="C764" s="1" t="s">
        <v>31</v>
      </c>
      <c r="H764" s="806">
        <f t="shared" ref="H764:J769" si="791">IFERROR(H770/H746,"NA")</f>
        <v>4.4130991555489961E-2</v>
      </c>
      <c r="I764" s="806">
        <f t="shared" si="791"/>
        <v>4.9139893071674309E-2</v>
      </c>
      <c r="J764" s="806">
        <f t="shared" si="791"/>
        <v>4.8737253670988918E-2</v>
      </c>
      <c r="K764" s="806">
        <f t="shared" ref="K764:M769" si="792">IFERROR(K770/K746,"NA")</f>
        <v>4.8346826326830815E-2</v>
      </c>
      <c r="L764" s="806">
        <f t="shared" si="792"/>
        <v>4.8550562637813766E-2</v>
      </c>
      <c r="M764" s="806">
        <f t="shared" si="792"/>
        <v>4.9393854027629663E-2</v>
      </c>
      <c r="N764" s="806">
        <f>IFERROR(N770/N746,"NA")</f>
        <v>4.9393854027629663E-2</v>
      </c>
      <c r="O764" s="806">
        <f t="shared" ref="O764:S764" si="793">IFERROR(O770/O746,"NA")</f>
        <v>4.9393854027629663E-2</v>
      </c>
      <c r="P764" s="806">
        <f t="shared" si="793"/>
        <v>4.9393854027629656E-2</v>
      </c>
      <c r="Q764" s="806">
        <f t="shared" si="793"/>
        <v>4.9393854027629663E-2</v>
      </c>
      <c r="R764" s="806">
        <f t="shared" si="793"/>
        <v>4.9393854027629656E-2</v>
      </c>
      <c r="S764" s="806">
        <f t="shared" si="793"/>
        <v>4.9393854027629663E-2</v>
      </c>
      <c r="U764" s="1529">
        <f>$L764*(1+$AA764)</f>
        <v>4.9521573890570041E-2</v>
      </c>
      <c r="V764" s="1529">
        <f>U764*(1+$AA764)</f>
        <v>5.0512005368381442E-2</v>
      </c>
      <c r="W764" s="1529">
        <f t="shared" ref="W764:Z764" si="794">V764*(1+$AA764)</f>
        <v>5.1522245475749073E-2</v>
      </c>
      <c r="X764" s="1529">
        <f t="shared" si="794"/>
        <v>5.2552690385264056E-2</v>
      </c>
      <c r="Y764" s="1529">
        <f t="shared" si="794"/>
        <v>5.3603744192969337E-2</v>
      </c>
      <c r="Z764" s="1529">
        <f t="shared" si="794"/>
        <v>5.4675819076828724E-2</v>
      </c>
      <c r="AA764" s="1520">
        <v>0.02</v>
      </c>
      <c r="AC764" s="448"/>
      <c r="AD764" s="448"/>
      <c r="AE764" s="448"/>
      <c r="AF764" s="448"/>
      <c r="AG764" s="448"/>
      <c r="AH764" s="448"/>
      <c r="AI764" s="702"/>
      <c r="AK764" s="1529">
        <f>$L764*(1+$AQ764)</f>
        <v>4.8550562637813766E-2</v>
      </c>
      <c r="AL764" s="1529">
        <f>AK764*(1+$AQ764)</f>
        <v>4.8550562637813766E-2</v>
      </c>
      <c r="AM764" s="1529">
        <f t="shared" ref="AM764:AN764" si="795">AL764*(1+$AQ764)</f>
        <v>4.8550562637813766E-2</v>
      </c>
      <c r="AN764" s="1529">
        <f t="shared" si="795"/>
        <v>4.8550562637813766E-2</v>
      </c>
      <c r="AO764" s="1529">
        <f>AN764*(1+$AQ764)</f>
        <v>4.8550562637813766E-2</v>
      </c>
      <c r="AP764" s="1529">
        <f t="shared" ref="AP764" si="796">AO764*(1+$AQ764)</f>
        <v>4.8550562637813766E-2</v>
      </c>
      <c r="AQ764" s="1520">
        <v>0</v>
      </c>
    </row>
    <row r="765" spans="1:43" outlineLevel="3">
      <c r="D765" s="27" t="s">
        <v>841</v>
      </c>
      <c r="E765" s="28"/>
      <c r="F765" s="28"/>
      <c r="G765" s="28"/>
      <c r="H765" s="693" t="str">
        <f t="shared" si="791"/>
        <v>NA</v>
      </c>
      <c r="I765" s="693" t="str">
        <f t="shared" si="791"/>
        <v>NA</v>
      </c>
      <c r="J765" s="693" t="str">
        <f t="shared" si="791"/>
        <v>NA</v>
      </c>
      <c r="K765" s="693" t="str">
        <f t="shared" si="792"/>
        <v>NA</v>
      </c>
      <c r="L765" s="693" t="str">
        <f t="shared" si="792"/>
        <v>NA</v>
      </c>
      <c r="M765" s="693" t="str">
        <f t="shared" si="792"/>
        <v>NA</v>
      </c>
      <c r="N765" s="819">
        <f>CHOOSE(case,U765,AC765,AK765)</f>
        <v>0</v>
      </c>
      <c r="O765" s="820">
        <f t="shared" ref="O765:O769" si="797">CHOOSE(case,V765,AD765,AL765)</f>
        <v>0</v>
      </c>
      <c r="P765" s="820">
        <f t="shared" ref="P765:P769" si="798">CHOOSE(case,W765,AE765,AM765)</f>
        <v>0</v>
      </c>
      <c r="Q765" s="820">
        <f t="shared" ref="Q765:Q769" si="799">CHOOSE(case,X765,AF765,AN765)</f>
        <v>0</v>
      </c>
      <c r="R765" s="820">
        <f t="shared" ref="R765:R769" si="800">CHOOSE(case,Y765,AG765,AO765)</f>
        <v>0</v>
      </c>
      <c r="S765" s="821">
        <f t="shared" ref="S765:S769" si="801">CHOOSE(case,Z765,AH765,AP765)</f>
        <v>0</v>
      </c>
      <c r="T765" s="993"/>
      <c r="U765" s="1530"/>
      <c r="V765" s="1530"/>
      <c r="W765" s="1530"/>
      <c r="X765" s="1530"/>
      <c r="Y765" s="1530"/>
      <c r="Z765" s="1530"/>
      <c r="AA765" s="1530"/>
      <c r="AB765" s="1371"/>
      <c r="AC765" s="783"/>
      <c r="AD765" s="783"/>
      <c r="AE765" s="783"/>
      <c r="AF765" s="783"/>
      <c r="AG765" s="783"/>
      <c r="AH765" s="783"/>
    </row>
    <row r="766" spans="1:43" outlineLevel="3">
      <c r="D766" s="31" t="s">
        <v>842</v>
      </c>
      <c r="H766" s="695" t="str">
        <f t="shared" si="791"/>
        <v>NA</v>
      </c>
      <c r="I766" s="695" t="str">
        <f t="shared" si="791"/>
        <v>NA</v>
      </c>
      <c r="J766" s="695" t="str">
        <f t="shared" si="791"/>
        <v>NA</v>
      </c>
      <c r="K766" s="695" t="str">
        <f t="shared" si="792"/>
        <v>NA</v>
      </c>
      <c r="L766" s="695" t="str">
        <f t="shared" si="792"/>
        <v>NA</v>
      </c>
      <c r="M766" s="695" t="str">
        <f t="shared" si="792"/>
        <v>NA</v>
      </c>
      <c r="N766" s="822">
        <f>CHOOSE(case,U766,AC766,AK766)</f>
        <v>0</v>
      </c>
      <c r="O766" s="823">
        <f t="shared" si="797"/>
        <v>0</v>
      </c>
      <c r="P766" s="823">
        <f t="shared" si="798"/>
        <v>0</v>
      </c>
      <c r="Q766" s="823">
        <f t="shared" si="799"/>
        <v>0</v>
      </c>
      <c r="R766" s="823">
        <f t="shared" si="800"/>
        <v>0</v>
      </c>
      <c r="S766" s="824">
        <f t="shared" si="801"/>
        <v>0</v>
      </c>
      <c r="T766" s="993"/>
      <c r="U766" s="1530"/>
      <c r="V766" s="1530"/>
      <c r="W766" s="1530"/>
      <c r="X766" s="1530"/>
      <c r="Y766" s="1530"/>
      <c r="Z766" s="1530"/>
      <c r="AA766" s="1530"/>
      <c r="AB766" s="1371"/>
      <c r="AC766" s="783"/>
      <c r="AD766" s="783"/>
      <c r="AE766" s="783"/>
      <c r="AF766" s="783"/>
      <c r="AG766" s="783"/>
      <c r="AH766" s="783"/>
    </row>
    <row r="767" spans="1:43" outlineLevel="3">
      <c r="D767" s="31" t="s">
        <v>843</v>
      </c>
      <c r="H767" s="695" t="str">
        <f t="shared" si="791"/>
        <v>NA</v>
      </c>
      <c r="I767" s="695" t="str">
        <f t="shared" si="791"/>
        <v>NA</v>
      </c>
      <c r="J767" s="695" t="str">
        <f t="shared" si="791"/>
        <v>NA</v>
      </c>
      <c r="K767" s="695" t="str">
        <f t="shared" si="792"/>
        <v>NA</v>
      </c>
      <c r="L767" s="695" t="str">
        <f t="shared" si="792"/>
        <v>NA</v>
      </c>
      <c r="M767" s="695" t="str">
        <f t="shared" si="792"/>
        <v>NA</v>
      </c>
      <c r="N767" s="822">
        <f>CHOOSE(case,U767,AC767,AK767)</f>
        <v>0</v>
      </c>
      <c r="O767" s="823">
        <f t="shared" si="797"/>
        <v>0</v>
      </c>
      <c r="P767" s="823">
        <f t="shared" si="798"/>
        <v>0</v>
      </c>
      <c r="Q767" s="823">
        <f t="shared" si="799"/>
        <v>0</v>
      </c>
      <c r="R767" s="823">
        <f t="shared" si="800"/>
        <v>0</v>
      </c>
      <c r="S767" s="824">
        <f t="shared" si="801"/>
        <v>0</v>
      </c>
      <c r="T767" s="993"/>
      <c r="U767" s="1530"/>
      <c r="V767" s="1530"/>
      <c r="W767" s="1530"/>
      <c r="X767" s="1530"/>
      <c r="Y767" s="1530"/>
      <c r="Z767" s="1530"/>
      <c r="AA767" s="1530"/>
      <c r="AB767" s="1371"/>
      <c r="AC767" s="783"/>
      <c r="AD767" s="783"/>
      <c r="AE767" s="783"/>
      <c r="AF767" s="783"/>
      <c r="AG767" s="783"/>
      <c r="AH767" s="783"/>
    </row>
    <row r="768" spans="1:43" outlineLevel="3">
      <c r="D768" s="31" t="s">
        <v>844</v>
      </c>
      <c r="H768" s="695">
        <f t="shared" si="791"/>
        <v>4.4130991555489961E-2</v>
      </c>
      <c r="I768" s="695">
        <f t="shared" si="791"/>
        <v>4.9139893071674309E-2</v>
      </c>
      <c r="J768" s="695">
        <f t="shared" si="791"/>
        <v>4.8737253670988918E-2</v>
      </c>
      <c r="K768" s="695">
        <f t="shared" si="792"/>
        <v>4.8346826326830815E-2</v>
      </c>
      <c r="L768" s="695">
        <f t="shared" si="792"/>
        <v>4.8550562637813766E-2</v>
      </c>
      <c r="M768" s="695">
        <f t="shared" si="792"/>
        <v>4.9393854027629663E-2</v>
      </c>
      <c r="N768" s="822">
        <f>CHOOSE(case,U768,AC768,AK768)</f>
        <v>4.9393854027629663E-2</v>
      </c>
      <c r="O768" s="823">
        <f t="shared" si="797"/>
        <v>4.9393854027629663E-2</v>
      </c>
      <c r="P768" s="823">
        <f t="shared" si="798"/>
        <v>4.9393854027629663E-2</v>
      </c>
      <c r="Q768" s="823">
        <f t="shared" si="799"/>
        <v>4.9393854027629663E-2</v>
      </c>
      <c r="R768" s="823">
        <f t="shared" si="800"/>
        <v>4.9393854027629663E-2</v>
      </c>
      <c r="S768" s="824">
        <f t="shared" si="801"/>
        <v>4.9393854027629663E-2</v>
      </c>
      <c r="T768" s="993"/>
      <c r="U768" s="1530"/>
      <c r="V768" s="1530"/>
      <c r="W768" s="1530"/>
      <c r="X768" s="1530"/>
      <c r="Y768" s="1530"/>
      <c r="Z768" s="1530"/>
      <c r="AA768" s="1530"/>
      <c r="AB768" s="1371"/>
      <c r="AC768" s="783">
        <f t="shared" ref="AC768" si="802">M768</f>
        <v>4.9393854027629663E-2</v>
      </c>
      <c r="AD768" s="783">
        <f t="shared" ref="AD768:AH768" si="803">AC768</f>
        <v>4.9393854027629663E-2</v>
      </c>
      <c r="AE768" s="783">
        <f t="shared" si="803"/>
        <v>4.9393854027629663E-2</v>
      </c>
      <c r="AF768" s="783">
        <f t="shared" si="803"/>
        <v>4.9393854027629663E-2</v>
      </c>
      <c r="AG768" s="783">
        <f t="shared" si="803"/>
        <v>4.9393854027629663E-2</v>
      </c>
      <c r="AH768" s="783">
        <f t="shared" si="803"/>
        <v>4.9393854027629663E-2</v>
      </c>
    </row>
    <row r="769" spans="1:43" ht="15" outlineLevel="3" thickBot="1">
      <c r="C769" s="37"/>
      <c r="D769" s="38" t="s">
        <v>665</v>
      </c>
      <c r="E769" s="37"/>
      <c r="F769" s="37"/>
      <c r="G769" s="37"/>
      <c r="H769" s="697" t="str">
        <f t="shared" si="791"/>
        <v>NA</v>
      </c>
      <c r="I769" s="697" t="str">
        <f t="shared" si="791"/>
        <v>NA</v>
      </c>
      <c r="J769" s="697" t="str">
        <f t="shared" si="791"/>
        <v>NA</v>
      </c>
      <c r="K769" s="697" t="str">
        <f t="shared" si="792"/>
        <v>NA</v>
      </c>
      <c r="L769" s="697" t="str">
        <f t="shared" si="792"/>
        <v>NA</v>
      </c>
      <c r="M769" s="697" t="str">
        <f t="shared" si="792"/>
        <v>NA</v>
      </c>
      <c r="N769" s="833">
        <f>CHOOSE(case,U769,AC769,AK769)</f>
        <v>0</v>
      </c>
      <c r="O769" s="834">
        <f t="shared" si="797"/>
        <v>0</v>
      </c>
      <c r="P769" s="834">
        <f t="shared" si="798"/>
        <v>0</v>
      </c>
      <c r="Q769" s="834">
        <f t="shared" si="799"/>
        <v>0</v>
      </c>
      <c r="R769" s="834">
        <f t="shared" si="800"/>
        <v>0</v>
      </c>
      <c r="S769" s="835">
        <f t="shared" si="801"/>
        <v>0</v>
      </c>
      <c r="T769" s="993"/>
      <c r="U769" s="1530"/>
      <c r="V769" s="1530"/>
      <c r="W769" s="1530"/>
      <c r="X769" s="1530"/>
      <c r="Y769" s="1530"/>
      <c r="Z769" s="1530"/>
      <c r="AA769" s="1530"/>
      <c r="AB769" s="1371"/>
      <c r="AC769" s="783"/>
      <c r="AD769" s="783"/>
      <c r="AE769" s="783"/>
      <c r="AF769" s="783"/>
      <c r="AG769" s="783"/>
      <c r="AH769" s="783"/>
    </row>
    <row r="770" spans="1:43" outlineLevel="3">
      <c r="C770" s="18" t="s">
        <v>845</v>
      </c>
      <c r="H770" s="23">
        <v>26009.791410000005</v>
      </c>
      <c r="I770" s="23">
        <f t="shared" ref="I770:S770" si="804">SUM(I771:I775)</f>
        <v>35266.571040000003</v>
      </c>
      <c r="J770" s="23">
        <f t="shared" si="804"/>
        <v>21116</v>
      </c>
      <c r="K770" s="23">
        <f t="shared" si="804"/>
        <v>27148</v>
      </c>
      <c r="L770" s="23">
        <f t="shared" si="804"/>
        <v>33397.194069999998</v>
      </c>
      <c r="M770" s="23">
        <f t="shared" si="804"/>
        <v>32398.688399999999</v>
      </c>
      <c r="N770" s="23">
        <f t="shared" si="804"/>
        <v>50965.922098537842</v>
      </c>
      <c r="O770" s="23">
        <f t="shared" si="804"/>
        <v>61159.106518245411</v>
      </c>
      <c r="P770" s="23">
        <f t="shared" si="804"/>
        <v>67275.017170069958</v>
      </c>
      <c r="Q770" s="23">
        <f t="shared" si="804"/>
        <v>74002.518887076963</v>
      </c>
      <c r="R770" s="23">
        <f t="shared" si="804"/>
        <v>77702.644831430807</v>
      </c>
      <c r="S770" s="23">
        <f t="shared" si="804"/>
        <v>81587.777073002362</v>
      </c>
      <c r="T770" s="1205"/>
    </row>
    <row r="771" spans="1:43" outlineLevel="3">
      <c r="D771" s="27" t="s">
        <v>841</v>
      </c>
      <c r="E771" s="28"/>
      <c r="F771" s="28"/>
      <c r="G771" s="28"/>
      <c r="H771" s="398"/>
      <c r="I771" s="398"/>
      <c r="J771" s="398"/>
      <c r="K771" s="398"/>
      <c r="L771" s="398"/>
      <c r="M771" s="398"/>
      <c r="N771" s="703">
        <f>N765*N747</f>
        <v>0</v>
      </c>
      <c r="O771" s="29">
        <f t="shared" ref="O771:S771" si="805">O765*O747</f>
        <v>0</v>
      </c>
      <c r="P771" s="29">
        <f t="shared" si="805"/>
        <v>0</v>
      </c>
      <c r="Q771" s="29">
        <f t="shared" si="805"/>
        <v>0</v>
      </c>
      <c r="R771" s="29">
        <f t="shared" si="805"/>
        <v>0</v>
      </c>
      <c r="S771" s="30">
        <f t="shared" si="805"/>
        <v>0</v>
      </c>
    </row>
    <row r="772" spans="1:43" outlineLevel="3">
      <c r="D772" s="31" t="s">
        <v>842</v>
      </c>
      <c r="H772" s="400"/>
      <c r="I772" s="400"/>
      <c r="J772" s="400"/>
      <c r="K772" s="400"/>
      <c r="L772" s="400"/>
      <c r="M772" s="400"/>
      <c r="N772" s="704">
        <f>N766*N748</f>
        <v>0</v>
      </c>
      <c r="O772" s="20">
        <f t="shared" ref="O772:S775" si="806">O766*O748</f>
        <v>0</v>
      </c>
      <c r="P772" s="20">
        <f t="shared" si="806"/>
        <v>0</v>
      </c>
      <c r="Q772" s="20">
        <f t="shared" si="806"/>
        <v>0</v>
      </c>
      <c r="R772" s="20">
        <f t="shared" si="806"/>
        <v>0</v>
      </c>
      <c r="S772" s="32">
        <f t="shared" si="806"/>
        <v>0</v>
      </c>
    </row>
    <row r="773" spans="1:43" outlineLevel="3">
      <c r="D773" s="31" t="s">
        <v>843</v>
      </c>
      <c r="H773" s="400"/>
      <c r="I773" s="400"/>
      <c r="J773" s="400"/>
      <c r="K773" s="400"/>
      <c r="L773" s="400"/>
      <c r="M773" s="400"/>
      <c r="N773" s="704">
        <f>N767*N749</f>
        <v>0</v>
      </c>
      <c r="O773" s="20">
        <f t="shared" si="806"/>
        <v>0</v>
      </c>
      <c r="P773" s="20">
        <f t="shared" si="806"/>
        <v>0</v>
      </c>
      <c r="Q773" s="20">
        <f t="shared" si="806"/>
        <v>0</v>
      </c>
      <c r="R773" s="20">
        <f t="shared" si="806"/>
        <v>0</v>
      </c>
      <c r="S773" s="32">
        <f t="shared" si="806"/>
        <v>0</v>
      </c>
    </row>
    <row r="774" spans="1:43" outlineLevel="3">
      <c r="D774" s="31" t="s">
        <v>844</v>
      </c>
      <c r="H774" s="400">
        <f>H770</f>
        <v>26009.791410000005</v>
      </c>
      <c r="I774" s="400">
        <v>35266.571040000003</v>
      </c>
      <c r="J774" s="400">
        <v>21116</v>
      </c>
      <c r="K774" s="400">
        <v>27148</v>
      </c>
      <c r="L774" s="400">
        <v>33397.194069999998</v>
      </c>
      <c r="M774" s="400">
        <v>32398.688399999999</v>
      </c>
      <c r="N774" s="704">
        <f>N768*N750</f>
        <v>50965.922098537842</v>
      </c>
      <c r="O774" s="20">
        <f t="shared" si="806"/>
        <v>61159.106518245411</v>
      </c>
      <c r="P774" s="20">
        <f t="shared" si="806"/>
        <v>67275.017170069958</v>
      </c>
      <c r="Q774" s="20">
        <f t="shared" si="806"/>
        <v>74002.518887076963</v>
      </c>
      <c r="R774" s="20">
        <f t="shared" si="806"/>
        <v>77702.644831430807</v>
      </c>
      <c r="S774" s="32">
        <f t="shared" si="806"/>
        <v>81587.777073002362</v>
      </c>
    </row>
    <row r="775" spans="1:43" outlineLevel="3">
      <c r="D775" s="33" t="s">
        <v>665</v>
      </c>
      <c r="E775" s="34"/>
      <c r="F775" s="34"/>
      <c r="G775" s="34"/>
      <c r="H775" s="402"/>
      <c r="I775" s="402"/>
      <c r="J775" s="402"/>
      <c r="K775" s="402"/>
      <c r="L775" s="402"/>
      <c r="M775" s="402"/>
      <c r="N775" s="705">
        <f>N769*N751</f>
        <v>0</v>
      </c>
      <c r="O775" s="35">
        <f t="shared" si="806"/>
        <v>0</v>
      </c>
      <c r="P775" s="35">
        <f t="shared" si="806"/>
        <v>0</v>
      </c>
      <c r="Q775" s="35">
        <f t="shared" si="806"/>
        <v>0</v>
      </c>
      <c r="R775" s="35">
        <f t="shared" si="806"/>
        <v>0</v>
      </c>
      <c r="S775" s="36">
        <f t="shared" si="806"/>
        <v>0</v>
      </c>
    </row>
    <row r="776" spans="1:43" outlineLevel="3">
      <c r="H776" s="43"/>
      <c r="I776" s="43"/>
      <c r="J776" s="43"/>
      <c r="K776" s="43"/>
      <c r="L776" s="144"/>
      <c r="M776" s="144"/>
      <c r="N776" s="144"/>
      <c r="S776" s="144"/>
    </row>
    <row r="777" spans="1:43" outlineLevel="3">
      <c r="C777" s="1" t="s">
        <v>659</v>
      </c>
      <c r="H777" s="394">
        <v>-18050</v>
      </c>
      <c r="I777" s="394">
        <v>-22740</v>
      </c>
      <c r="J777" s="394">
        <v>-12853</v>
      </c>
      <c r="K777" s="394">
        <v>-15035</v>
      </c>
      <c r="L777" s="394">
        <v>-18309.936539756334</v>
      </c>
      <c r="M777" s="394">
        <v>-16519.939477289467</v>
      </c>
      <c r="N777" s="20">
        <f>N778*N746</f>
        <v>-25987.284981329518</v>
      </c>
      <c r="O777" s="20">
        <f t="shared" ref="O777:S777" si="807">O778*O746</f>
        <v>-31083.080146816294</v>
      </c>
      <c r="P777" s="20">
        <f t="shared" si="807"/>
        <v>-34080.039465044341</v>
      </c>
      <c r="Q777" s="20">
        <f t="shared" si="807"/>
        <v>-37366.084563546014</v>
      </c>
      <c r="R777" s="20">
        <f t="shared" si="807"/>
        <v>-39106.88031167478</v>
      </c>
      <c r="S777" s="20">
        <f t="shared" si="807"/>
        <v>-40928.913387820154</v>
      </c>
    </row>
    <row r="778" spans="1:43" outlineLevel="3">
      <c r="D778" s="1" t="s">
        <v>849</v>
      </c>
      <c r="H778" s="744">
        <f>H777/H746</f>
        <v>-3.0625558852822556E-2</v>
      </c>
      <c r="I778" s="744">
        <f>I777/I746</f>
        <v>-3.1685563282646649E-2</v>
      </c>
      <c r="J778" s="744">
        <f t="shared" ref="J778:L778" si="808">J777/J746</f>
        <v>-2.9665652653590668E-2</v>
      </c>
      <c r="K778" s="744">
        <f t="shared" si="808"/>
        <v>-2.6775251724764304E-2</v>
      </c>
      <c r="L778" s="744">
        <f t="shared" si="808"/>
        <v>-2.6617736777664418E-2</v>
      </c>
      <c r="M778" s="744">
        <f>M777/M746</f>
        <v>-2.5185694834686967E-2</v>
      </c>
      <c r="N778" s="746">
        <f>N764/M764*M778</f>
        <v>-2.5185694834686967E-2</v>
      </c>
      <c r="O778" s="744">
        <f>N778*(1+O779)</f>
        <v>-2.5103589815245783E-2</v>
      </c>
      <c r="P778" s="744">
        <f t="shared" ref="P778:S778" si="809">O778*(1+P779)</f>
        <v>-2.5021836714464087E-2</v>
      </c>
      <c r="Q778" s="744">
        <f t="shared" si="809"/>
        <v>-2.4940433842964283E-2</v>
      </c>
      <c r="R778" s="744">
        <f t="shared" si="809"/>
        <v>-2.4859379520238648E-2</v>
      </c>
      <c r="S778" s="744">
        <f t="shared" si="809"/>
        <v>-2.4778672074599908E-2</v>
      </c>
    </row>
    <row r="779" spans="1:43" ht="15" outlineLevel="3" thickBot="1">
      <c r="C779" s="37"/>
      <c r="D779" s="74"/>
      <c r="E779" s="74" t="s">
        <v>151</v>
      </c>
      <c r="F779" s="37"/>
      <c r="G779" s="37"/>
      <c r="H779" s="747"/>
      <c r="I779" s="75">
        <f>I778/H778-1</f>
        <v>3.4611757941076737E-2</v>
      </c>
      <c r="J779" s="75">
        <f>J778/I778-1</f>
        <v>-6.3748610401451633E-2</v>
      </c>
      <c r="K779" s="75"/>
      <c r="L779" s="75">
        <f>L778/J778-1</f>
        <v>-0.10274224914304508</v>
      </c>
      <c r="M779" s="75"/>
      <c r="N779" s="748">
        <f>N778/L778-1</f>
        <v>-5.3800289443808436E-2</v>
      </c>
      <c r="O779" s="749">
        <f>CHOOSE(case,V779,AD779,AL779)</f>
        <v>-3.2599862731642615E-3</v>
      </c>
      <c r="P779" s="750">
        <f>CHOOSE(case,W779,AE779,AM779)</f>
        <v>-3.2566298837486407E-3</v>
      </c>
      <c r="Q779" s="750">
        <f>CHOOSE(case,X779,AF779,AN779)</f>
        <v>-3.2532732280500243E-3</v>
      </c>
      <c r="R779" s="750">
        <f>CHOOSE(case,Y779,AG779,AO779)</f>
        <v>-3.2499163100364603E-3</v>
      </c>
      <c r="S779" s="751">
        <f>CHOOSE(case,Z779,AH779,AP779)</f>
        <v>-3.2465591336676702E-3</v>
      </c>
      <c r="AC779" s="752"/>
      <c r="AD779" s="753">
        <f>(SUMPRODUCT(O759:O762,各区域分剂型成本优化!K$87:K$90)+O763*O769)/(SUMPRODUCT(N759:N762,各区域分剂型成本优化!J$87:J$90)+N763*N769)-1</f>
        <v>-3.2599862731642615E-3</v>
      </c>
      <c r="AE779" s="753">
        <f>(SUMPRODUCT(P759:P762,各区域分剂型成本优化!L$87:L$90)+P763*P769)/(SUMPRODUCT(O759:O762,各区域分剂型成本优化!K$87:K$90)+O763*O769)-1</f>
        <v>-3.2566298837486407E-3</v>
      </c>
      <c r="AF779" s="753">
        <f>(SUMPRODUCT(Q759:Q762,各区域分剂型成本优化!M$87:M$90)+Q763*Q769)/(SUMPRODUCT(P759:P762,各区域分剂型成本优化!L$87:L$90)+P763*P769)-1</f>
        <v>-3.2532732280500243E-3</v>
      </c>
      <c r="AG779" s="753">
        <f>(SUMPRODUCT(R759:R762,各区域分剂型成本优化!N$87:N$90)+R763*R769)/(SUMPRODUCT(Q759:Q762,各区域分剂型成本优化!M$87:M$90)+Q763*Q769)-1</f>
        <v>-3.2499163100364603E-3</v>
      </c>
      <c r="AH779" s="753">
        <f>(SUMPRODUCT(S759:S762,各区域分剂型成本优化!O$87:O$90)+S763*S769)/(SUMPRODUCT(R759:R762,各区域分剂型成本优化!N$87:N$90)+R763*R769)-1</f>
        <v>-3.2465591336676702E-3</v>
      </c>
    </row>
    <row r="780" spans="1:43" outlineLevel="3">
      <c r="C780" s="18" t="s">
        <v>846</v>
      </c>
      <c r="D780" s="18"/>
      <c r="E780" s="18"/>
      <c r="F780" s="18"/>
      <c r="G780" s="18"/>
      <c r="H780" s="23">
        <f>H777+H770</f>
        <v>7959.7914100000053</v>
      </c>
      <c r="I780" s="23">
        <f>I777+I770</f>
        <v>12526.571040000003</v>
      </c>
      <c r="J780" s="23">
        <f>J777+J770</f>
        <v>8263</v>
      </c>
      <c r="K780" s="23">
        <f>K777+K770</f>
        <v>12113</v>
      </c>
      <c r="L780" s="23">
        <f t="shared" ref="L780:S780" si="810">L777+L770</f>
        <v>15087.257530243663</v>
      </c>
      <c r="M780" s="23">
        <f t="shared" si="810"/>
        <v>15878.748922710532</v>
      </c>
      <c r="N780" s="23">
        <f t="shared" si="810"/>
        <v>24978.637117208324</v>
      </c>
      <c r="O780" s="23">
        <f t="shared" si="810"/>
        <v>30076.026371429118</v>
      </c>
      <c r="P780" s="23">
        <f t="shared" si="810"/>
        <v>33194.977705025616</v>
      </c>
      <c r="Q780" s="23">
        <f t="shared" si="810"/>
        <v>36636.43432353095</v>
      </c>
      <c r="R780" s="23">
        <f t="shared" si="810"/>
        <v>38595.764519756027</v>
      </c>
      <c r="S780" s="23">
        <f t="shared" si="810"/>
        <v>40658.863685182208</v>
      </c>
    </row>
    <row r="781" spans="1:43" outlineLevel="3">
      <c r="C781" s="22" t="s">
        <v>660</v>
      </c>
      <c r="D781" s="22"/>
      <c r="E781" s="22"/>
      <c r="F781" s="22"/>
      <c r="G781" s="22"/>
      <c r="H781" s="56">
        <f>IFERROR(H780/H770,"NA")</f>
        <v>0.30603057458352773</v>
      </c>
      <c r="I781" s="56">
        <f t="shared" ref="I781:S781" si="811">IFERROR(I780/I770,"NA")</f>
        <v>0.35519673930851209</v>
      </c>
      <c r="J781" s="56">
        <f t="shared" si="811"/>
        <v>0.39131464292479634</v>
      </c>
      <c r="K781" s="56">
        <f t="shared" si="811"/>
        <v>0.44618388094887285</v>
      </c>
      <c r="L781" s="56">
        <f t="shared" si="811"/>
        <v>0.45175224896501803</v>
      </c>
      <c r="M781" s="56">
        <f t="shared" si="811"/>
        <v>0.49010468345720232</v>
      </c>
      <c r="N781" s="56">
        <f t="shared" si="811"/>
        <v>0.49010468345720237</v>
      </c>
      <c r="O781" s="56">
        <f t="shared" si="811"/>
        <v>0.49176693518988263</v>
      </c>
      <c r="P781" s="56">
        <f t="shared" si="811"/>
        <v>0.49342206217665241</v>
      </c>
      <c r="Q781" s="56">
        <f t="shared" si="811"/>
        <v>0.49507009861969387</v>
      </c>
      <c r="R781" s="56">
        <f t="shared" si="811"/>
        <v>0.49671107854161478</v>
      </c>
      <c r="S781" s="56">
        <f t="shared" si="811"/>
        <v>0.49834503578644929</v>
      </c>
      <c r="U781" s="1526">
        <f>AC781+1%</f>
        <v>0.01</v>
      </c>
      <c r="V781" s="1526">
        <f t="shared" ref="V781:Z781" si="812">U781</f>
        <v>0.01</v>
      </c>
      <c r="W781" s="1526">
        <f t="shared" si="812"/>
        <v>0.01</v>
      </c>
      <c r="X781" s="1526">
        <f t="shared" si="812"/>
        <v>0.01</v>
      </c>
      <c r="Y781" s="1526">
        <f t="shared" si="812"/>
        <v>0.01</v>
      </c>
      <c r="Z781" s="1526">
        <f t="shared" si="812"/>
        <v>0.01</v>
      </c>
      <c r="AC781" s="416"/>
      <c r="AD781" s="65"/>
      <c r="AE781" s="65"/>
      <c r="AF781" s="65"/>
      <c r="AG781" s="65"/>
      <c r="AH781" s="65"/>
      <c r="AK781" s="1526">
        <f>AC781-1%</f>
        <v>-0.01</v>
      </c>
      <c r="AL781" s="1526">
        <f t="shared" ref="AL781:AP781" si="813">AK781</f>
        <v>-0.01</v>
      </c>
      <c r="AM781" s="1526">
        <f t="shared" si="813"/>
        <v>-0.01</v>
      </c>
      <c r="AN781" s="1526">
        <f t="shared" si="813"/>
        <v>-0.01</v>
      </c>
      <c r="AO781" s="1526">
        <f t="shared" si="813"/>
        <v>-0.01</v>
      </c>
      <c r="AP781" s="1526">
        <f t="shared" si="813"/>
        <v>-0.01</v>
      </c>
    </row>
    <row r="782" spans="1:43" outlineLevel="3"/>
    <row r="783" spans="1:43" s="1126" customFormat="1" outlineLevel="3">
      <c r="A783" s="26" t="s">
        <v>8</v>
      </c>
      <c r="B783" s="26"/>
      <c r="C783" s="26" t="s">
        <v>1160</v>
      </c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408"/>
      <c r="U783" s="1518"/>
      <c r="V783" s="1518"/>
      <c r="W783" s="1518"/>
      <c r="X783" s="1518"/>
      <c r="Y783" s="1518"/>
      <c r="Z783" s="1518"/>
      <c r="AA783" s="1518"/>
      <c r="AC783" s="26"/>
      <c r="AD783" s="26"/>
      <c r="AE783" s="26"/>
      <c r="AF783" s="26"/>
      <c r="AG783" s="26"/>
      <c r="AH783" s="26"/>
      <c r="AI783" s="18"/>
      <c r="AK783" s="1518"/>
      <c r="AL783" s="1518"/>
      <c r="AM783" s="1518"/>
      <c r="AN783" s="1518"/>
      <c r="AO783" s="1518"/>
      <c r="AP783" s="1518"/>
      <c r="AQ783" s="1518"/>
    </row>
    <row r="784" spans="1:43" outlineLevel="3">
      <c r="L784" s="836"/>
      <c r="M784" s="836"/>
    </row>
    <row r="785" spans="1:43" s="1126" customFormat="1" outlineLevel="3">
      <c r="A785" s="18"/>
      <c r="B785" s="18"/>
      <c r="C785" s="18" t="s">
        <v>840</v>
      </c>
      <c r="D785" s="18"/>
      <c r="E785" s="18"/>
      <c r="F785" s="18"/>
      <c r="G785" s="18"/>
      <c r="H785" s="23">
        <f>SUM(H786:H790)</f>
        <v>4131156.1430000016</v>
      </c>
      <c r="I785" s="23">
        <f t="shared" ref="I785:K785" si="814">SUM(I786:I790)</f>
        <v>2266548.7609994994</v>
      </c>
      <c r="J785" s="23">
        <f t="shared" si="814"/>
        <v>2183324.799999998</v>
      </c>
      <c r="K785" s="23">
        <f t="shared" si="814"/>
        <v>2943267</v>
      </c>
      <c r="L785" s="23">
        <f>SUM(L786:L790)</f>
        <v>3447283.5429994096</v>
      </c>
      <c r="M785" s="23">
        <f>SUM(M786:M790)</f>
        <v>2220338.1391466218</v>
      </c>
      <c r="N785" s="23">
        <f t="shared" ref="N785:S785" si="815">SUM(N786:N790)</f>
        <v>3838311.4229862783</v>
      </c>
      <c r="O785" s="23">
        <f t="shared" si="815"/>
        <v>4630963.0411570827</v>
      </c>
      <c r="P785" s="23">
        <f t="shared" si="815"/>
        <v>5622999.8474280993</v>
      </c>
      <c r="Q785" s="23">
        <f t="shared" si="815"/>
        <v>6784642.260781941</v>
      </c>
      <c r="R785" s="23">
        <f t="shared" si="815"/>
        <v>8100265.2079741359</v>
      </c>
      <c r="S785" s="23">
        <f t="shared" si="815"/>
        <v>9485826.0583252255</v>
      </c>
      <c r="T785" s="408"/>
      <c r="U785" s="1519">
        <f>$L785*(1+$AA785)</f>
        <v>3964376.0744493208</v>
      </c>
      <c r="V785" s="1519">
        <f>U785*(1+$AA785)</f>
        <v>4559032.4856167184</v>
      </c>
      <c r="W785" s="1519">
        <f>V785*(1+$AA785)</f>
        <v>5242887.3584592259</v>
      </c>
      <c r="X785" s="1519">
        <f>W785*(1+$AA785)</f>
        <v>6029320.4622281091</v>
      </c>
      <c r="Y785" s="1519">
        <f>X785*(1+$AA785)</f>
        <v>6933718.5315623246</v>
      </c>
      <c r="Z785" s="1519">
        <f t="shared" ref="Z785" si="816">Y785*(1+$AA785)</f>
        <v>7973776.3112966726</v>
      </c>
      <c r="AA785" s="1520">
        <v>0.15</v>
      </c>
      <c r="AB785" s="1321"/>
      <c r="AC785" s="20"/>
      <c r="AD785" s="20"/>
      <c r="AE785" s="20"/>
      <c r="AF785" s="20"/>
      <c r="AG785" s="20"/>
      <c r="AH785" s="20"/>
      <c r="AI785" s="702"/>
      <c r="AJ785" s="1321"/>
      <c r="AK785" s="1519">
        <f>$L785*(1+$AQ785)</f>
        <v>3619647.7201493802</v>
      </c>
      <c r="AL785" s="1519">
        <f>AK785*(1+$AQ785)</f>
        <v>3800630.1061568493</v>
      </c>
      <c r="AM785" s="1519">
        <f t="shared" ref="AM785:AN785" si="817">AL785*(1+$AQ785)</f>
        <v>3990661.6114646918</v>
      </c>
      <c r="AN785" s="1519">
        <f t="shared" si="817"/>
        <v>4190194.6920379265</v>
      </c>
      <c r="AO785" s="1519">
        <f>AN785*(1+$AQ785)</f>
        <v>4399704.4266398232</v>
      </c>
      <c r="AP785" s="1519">
        <f t="shared" ref="AP785" si="818">AO785*(1+$AQ785)</f>
        <v>4619689.6479718145</v>
      </c>
      <c r="AQ785" s="1520">
        <v>0.05</v>
      </c>
    </row>
    <row r="786" spans="1:43" outlineLevel="3">
      <c r="D786" s="27" t="s">
        <v>841</v>
      </c>
      <c r="E786" s="28"/>
      <c r="F786" s="28"/>
      <c r="G786" s="28"/>
      <c r="H786" s="29">
        <f t="shared" ref="H786:M786" si="819">H825+H864</f>
        <v>112014.72999999995</v>
      </c>
      <c r="I786" s="29">
        <f t="shared" si="819"/>
        <v>89463.950000000099</v>
      </c>
      <c r="J786" s="29">
        <f t="shared" si="819"/>
        <v>75619.320000000022</v>
      </c>
      <c r="K786" s="29">
        <f t="shared" si="819"/>
        <v>423499</v>
      </c>
      <c r="L786" s="29">
        <f t="shared" si="819"/>
        <v>469226.59</v>
      </c>
      <c r="M786" s="29">
        <f t="shared" si="819"/>
        <v>247351.41999999975</v>
      </c>
      <c r="N786" s="29">
        <f>N825+N864</f>
        <v>563071.90800000005</v>
      </c>
      <c r="O786" s="29">
        <f t="shared" ref="O786:S786" si="820">O825+O864</f>
        <v>760147.07580000011</v>
      </c>
      <c r="P786" s="29">
        <f t="shared" si="820"/>
        <v>996637.27716000029</v>
      </c>
      <c r="Q786" s="29">
        <f t="shared" si="820"/>
        <v>1226370.6156240006</v>
      </c>
      <c r="R786" s="29">
        <f t="shared" si="820"/>
        <v>1482793.5625272007</v>
      </c>
      <c r="S786" s="30">
        <f t="shared" si="820"/>
        <v>1731412.3327855212</v>
      </c>
    </row>
    <row r="787" spans="1:43" outlineLevel="3">
      <c r="D787" s="31" t="s">
        <v>842</v>
      </c>
      <c r="E787" s="1133"/>
      <c r="F787" s="1133"/>
      <c r="G787" s="1133"/>
      <c r="H787" s="1188">
        <f t="shared" ref="H787:M787" si="821">H826+H865</f>
        <v>15267.880000000001</v>
      </c>
      <c r="I787" s="1188">
        <f t="shared" si="821"/>
        <v>25566.288999499997</v>
      </c>
      <c r="J787" s="1188">
        <f t="shared" si="821"/>
        <v>50519.560000000012</v>
      </c>
      <c r="K787" s="1188">
        <f t="shared" si="821"/>
        <v>59570</v>
      </c>
      <c r="L787" s="1188">
        <f t="shared" si="821"/>
        <v>68745.367999999973</v>
      </c>
      <c r="M787" s="1188">
        <f t="shared" si="821"/>
        <v>23766.380000000005</v>
      </c>
      <c r="N787" s="1188">
        <f t="shared" ref="N787:S790" si="822">N826+N865</f>
        <v>75619.904799999975</v>
      </c>
      <c r="O787" s="1188">
        <f t="shared" si="822"/>
        <v>90743.885759999961</v>
      </c>
      <c r="P787" s="1188">
        <f t="shared" si="822"/>
        <v>112673.65815199996</v>
      </c>
      <c r="Q787" s="1188">
        <f t="shared" si="822"/>
        <v>140199.30349919994</v>
      </c>
      <c r="R787" s="1188">
        <f t="shared" si="822"/>
        <v>166469.65842671992</v>
      </c>
      <c r="S787" s="32">
        <f t="shared" si="822"/>
        <v>194808.97394956788</v>
      </c>
    </row>
    <row r="788" spans="1:43" outlineLevel="3">
      <c r="D788" s="31" t="s">
        <v>843</v>
      </c>
      <c r="E788" s="1133"/>
      <c r="F788" s="1133"/>
      <c r="G788" s="1133"/>
      <c r="H788" s="1188">
        <f t="shared" ref="H788:M788" si="823">H827+H866</f>
        <v>1032546.9080000017</v>
      </c>
      <c r="I788" s="1188">
        <f t="shared" si="823"/>
        <v>845929.23700000008</v>
      </c>
      <c r="J788" s="1188">
        <f t="shared" si="823"/>
        <v>848586.73499999999</v>
      </c>
      <c r="K788" s="1188">
        <f t="shared" si="823"/>
        <v>962008</v>
      </c>
      <c r="L788" s="1188">
        <f t="shared" si="823"/>
        <v>1134337.6257379553</v>
      </c>
      <c r="M788" s="1188">
        <f t="shared" si="823"/>
        <v>668298.09999999928</v>
      </c>
      <c r="N788" s="1188">
        <f t="shared" si="822"/>
        <v>1247771.388311751</v>
      </c>
      <c r="O788" s="1188">
        <f t="shared" si="822"/>
        <v>1497325.6659741011</v>
      </c>
      <c r="P788" s="1188">
        <f t="shared" si="822"/>
        <v>1787432.513756583</v>
      </c>
      <c r="Q788" s="1188">
        <f t="shared" si="822"/>
        <v>2144763.0450843605</v>
      </c>
      <c r="R788" s="1188">
        <f t="shared" si="822"/>
        <v>2552948.0590570187</v>
      </c>
      <c r="S788" s="32">
        <f t="shared" si="822"/>
        <v>2991478.4832648598</v>
      </c>
    </row>
    <row r="789" spans="1:43" outlineLevel="3">
      <c r="D789" s="31" t="s">
        <v>844</v>
      </c>
      <c r="E789" s="1133"/>
      <c r="F789" s="1133"/>
      <c r="G789" s="1133"/>
      <c r="H789" s="1188">
        <f t="shared" ref="H789:M789" si="824">H828+H867</f>
        <v>1969036.625</v>
      </c>
      <c r="I789" s="1188">
        <f t="shared" si="824"/>
        <v>1291419.2849999992</v>
      </c>
      <c r="J789" s="1188">
        <f t="shared" si="824"/>
        <v>1139233.184999998</v>
      </c>
      <c r="K789" s="1188">
        <f t="shared" si="824"/>
        <v>1487782</v>
      </c>
      <c r="L789" s="1188">
        <f t="shared" si="824"/>
        <v>1762511.2930000029</v>
      </c>
      <c r="M789" s="1188">
        <f t="shared" si="824"/>
        <v>1273263.3009999979</v>
      </c>
      <c r="N789" s="1188">
        <f t="shared" si="822"/>
        <v>1938762.4223000032</v>
      </c>
      <c r="O789" s="1188">
        <f t="shared" si="822"/>
        <v>2268352.0340910042</v>
      </c>
      <c r="P789" s="1188">
        <f t="shared" si="822"/>
        <v>2710389.8663754049</v>
      </c>
      <c r="Q789" s="1188">
        <f t="shared" si="822"/>
        <v>3255569.8595261662</v>
      </c>
      <c r="R789" s="1188">
        <f t="shared" si="822"/>
        <v>3878261.5743204812</v>
      </c>
      <c r="S789" s="32">
        <f t="shared" si="822"/>
        <v>4546372.6763820183</v>
      </c>
    </row>
    <row r="790" spans="1:43" outlineLevel="3">
      <c r="D790" s="33" t="s">
        <v>665</v>
      </c>
      <c r="E790" s="34"/>
      <c r="F790" s="34"/>
      <c r="G790" s="34"/>
      <c r="H790" s="35">
        <f t="shared" ref="H790:M790" si="825">H829+H868</f>
        <v>1002290</v>
      </c>
      <c r="I790" s="35">
        <f t="shared" si="825"/>
        <v>14170</v>
      </c>
      <c r="J790" s="35">
        <f t="shared" si="825"/>
        <v>69366</v>
      </c>
      <c r="K790" s="35">
        <f t="shared" si="825"/>
        <v>10408</v>
      </c>
      <c r="L790" s="35">
        <f t="shared" si="825"/>
        <v>12462.66626145149</v>
      </c>
      <c r="M790" s="35">
        <f t="shared" si="825"/>
        <v>7658.9381466251916</v>
      </c>
      <c r="N790" s="35">
        <f t="shared" si="822"/>
        <v>13085.799574524064</v>
      </c>
      <c r="O790" s="35">
        <f t="shared" si="822"/>
        <v>14394.379531976472</v>
      </c>
      <c r="P790" s="35">
        <f t="shared" si="822"/>
        <v>15866.531984110432</v>
      </c>
      <c r="Q790" s="35">
        <f t="shared" si="822"/>
        <v>17739.437048214193</v>
      </c>
      <c r="R790" s="35">
        <f t="shared" si="822"/>
        <v>19792.353642715003</v>
      </c>
      <c r="S790" s="36">
        <f t="shared" si="822"/>
        <v>21753.591943259169</v>
      </c>
      <c r="AC790" s="1360"/>
      <c r="AD790" s="1360"/>
      <c r="AE790" s="1360"/>
      <c r="AF790" s="1360"/>
      <c r="AG790" s="1360"/>
      <c r="AH790" s="1360"/>
    </row>
    <row r="791" spans="1:43" s="1365" customFormat="1" outlineLevel="3">
      <c r="A791" s="22"/>
      <c r="B791" s="22"/>
      <c r="C791" s="22" t="s">
        <v>847</v>
      </c>
      <c r="D791" s="22"/>
      <c r="E791" s="22"/>
      <c r="F791" s="22"/>
      <c r="G791" s="22"/>
      <c r="H791" s="219"/>
      <c r="I791" s="24">
        <f>I785/H785-1</f>
        <v>-0.45135243439296491</v>
      </c>
      <c r="J791" s="24">
        <f>J785/I785-1</f>
        <v>-3.6718363368808071E-2</v>
      </c>
      <c r="K791" s="24"/>
      <c r="L791" s="91">
        <f>L785/J785-1</f>
        <v>0.57891466400208191</v>
      </c>
      <c r="M791" s="24"/>
      <c r="N791" s="24">
        <f>N785/L785-1</f>
        <v>0.11343072744362748</v>
      </c>
      <c r="O791" s="24">
        <f>O785/N785-1</f>
        <v>0.20651050183783859</v>
      </c>
      <c r="P791" s="24">
        <f t="shared" ref="P791:S791" si="826">P785/O785-1</f>
        <v>0.21421825167992448</v>
      </c>
      <c r="Q791" s="24">
        <f t="shared" si="826"/>
        <v>0.20658766581421206</v>
      </c>
      <c r="R791" s="24">
        <f t="shared" si="826"/>
        <v>0.19391191114040662</v>
      </c>
      <c r="S791" s="24">
        <f t="shared" si="826"/>
        <v>0.17105129459058976</v>
      </c>
      <c r="T791" s="726"/>
      <c r="U791" s="1521"/>
      <c r="V791" s="1521"/>
      <c r="W791" s="1521"/>
      <c r="X791" s="1521"/>
      <c r="Y791" s="1521"/>
      <c r="Z791" s="1521"/>
      <c r="AA791" s="1522"/>
      <c r="AC791" s="1331"/>
      <c r="AD791" s="1331"/>
      <c r="AE791" s="1331"/>
      <c r="AF791" s="1331"/>
      <c r="AG791" s="1331"/>
      <c r="AH791" s="1331"/>
      <c r="AI791" s="706"/>
      <c r="AK791" s="1521"/>
      <c r="AL791" s="1521"/>
      <c r="AM791" s="1521"/>
      <c r="AN791" s="1521"/>
      <c r="AO791" s="1521"/>
      <c r="AP791" s="1521"/>
      <c r="AQ791" s="1522"/>
    </row>
    <row r="792" spans="1:43" s="1365" customFormat="1" outlineLevel="3">
      <c r="A792" s="22"/>
      <c r="B792" s="22"/>
      <c r="C792" s="22"/>
      <c r="D792" s="707" t="s">
        <v>841</v>
      </c>
      <c r="E792" s="708"/>
      <c r="F792" s="708"/>
      <c r="G792" s="708"/>
      <c r="H792" s="709"/>
      <c r="I792" s="710">
        <f t="shared" ref="I792:J794" si="827">I786/H786-1</f>
        <v>-0.20131977285487246</v>
      </c>
      <c r="J792" s="710">
        <f t="shared" si="827"/>
        <v>-0.154750935991537</v>
      </c>
      <c r="K792" s="710"/>
      <c r="L792" s="710">
        <f>L786/J786-1</f>
        <v>5.2051151742702775</v>
      </c>
      <c r="M792" s="710"/>
      <c r="N792" s="793">
        <f t="shared" ref="N792:N796" si="828">N786/L786-1</f>
        <v>0.19999999999999996</v>
      </c>
      <c r="O792" s="793">
        <f t="shared" ref="O792:O796" si="829">O786/N786-1</f>
        <v>0.35000000000000009</v>
      </c>
      <c r="P792" s="793">
        <f t="shared" ref="P792:P796" si="830">P786/O786-1</f>
        <v>0.31111111111111134</v>
      </c>
      <c r="Q792" s="793">
        <f t="shared" ref="Q792:Q796" si="831">Q786/P786-1</f>
        <v>0.23050847457627133</v>
      </c>
      <c r="R792" s="793">
        <f t="shared" ref="R792:R796" si="832">R786/Q786-1</f>
        <v>0.20909090909090899</v>
      </c>
      <c r="S792" s="803">
        <f t="shared" ref="S792:S796" si="833">S786/R786-1</f>
        <v>0.16766917293233119</v>
      </c>
      <c r="T792" s="726"/>
      <c r="U792" s="1521"/>
      <c r="V792" s="1521"/>
      <c r="W792" s="1521"/>
      <c r="X792" s="1521"/>
      <c r="Y792" s="1521"/>
      <c r="Z792" s="1521"/>
      <c r="AA792" s="1523"/>
      <c r="AC792" s="728"/>
      <c r="AD792" s="728"/>
      <c r="AE792" s="728"/>
      <c r="AF792" s="728"/>
      <c r="AG792" s="728"/>
      <c r="AH792" s="728"/>
      <c r="AI792" s="22"/>
      <c r="AK792" s="1521"/>
      <c r="AL792" s="1521"/>
      <c r="AM792" s="1521"/>
      <c r="AN792" s="1521"/>
      <c r="AO792" s="1521"/>
      <c r="AP792" s="1521"/>
      <c r="AQ792" s="1523"/>
    </row>
    <row r="793" spans="1:43" s="1365" customFormat="1" outlineLevel="3">
      <c r="A793" s="22"/>
      <c r="B793" s="22"/>
      <c r="C793" s="22"/>
      <c r="D793" s="715" t="s">
        <v>842</v>
      </c>
      <c r="E793" s="1141"/>
      <c r="F793" s="1141"/>
      <c r="G793" s="1141"/>
      <c r="H793" s="1374"/>
      <c r="I793" s="175">
        <f t="shared" si="827"/>
        <v>0.67451466736049759</v>
      </c>
      <c r="J793" s="175">
        <f t="shared" si="827"/>
        <v>0.97602240986120559</v>
      </c>
      <c r="K793" s="175"/>
      <c r="L793" s="175">
        <f t="shared" ref="L793:L796" si="834">L787/J787-1</f>
        <v>0.36076735426832607</v>
      </c>
      <c r="M793" s="175"/>
      <c r="N793" s="91">
        <f t="shared" si="828"/>
        <v>0.10000000000000009</v>
      </c>
      <c r="O793" s="91">
        <f t="shared" si="829"/>
        <v>0.19999999999999996</v>
      </c>
      <c r="P793" s="91">
        <f t="shared" si="830"/>
        <v>0.2416666666666667</v>
      </c>
      <c r="Q793" s="91">
        <f t="shared" si="831"/>
        <v>0.24429530201342287</v>
      </c>
      <c r="R793" s="91">
        <f t="shared" si="832"/>
        <v>0.18737864077669886</v>
      </c>
      <c r="S793" s="804">
        <f t="shared" si="833"/>
        <v>0.17023712183156148</v>
      </c>
      <c r="T793" s="726"/>
      <c r="U793" s="1521"/>
      <c r="V793" s="1521"/>
      <c r="W793" s="1521"/>
      <c r="X793" s="1521"/>
      <c r="Y793" s="1521"/>
      <c r="Z793" s="1521"/>
      <c r="AA793" s="1523"/>
      <c r="AC793" s="728"/>
      <c r="AD793" s="728"/>
      <c r="AE793" s="728"/>
      <c r="AF793" s="728"/>
      <c r="AG793" s="728"/>
      <c r="AH793" s="728"/>
      <c r="AI793" s="22"/>
      <c r="AK793" s="1521"/>
      <c r="AL793" s="1521"/>
      <c r="AM793" s="1521"/>
      <c r="AN793" s="1521"/>
      <c r="AO793" s="1521"/>
      <c r="AP793" s="1521"/>
      <c r="AQ793" s="1523"/>
    </row>
    <row r="794" spans="1:43" s="1365" customFormat="1" outlineLevel="3">
      <c r="A794" s="22"/>
      <c r="B794" s="22"/>
      <c r="C794" s="22"/>
      <c r="D794" s="715" t="s">
        <v>843</v>
      </c>
      <c r="E794" s="1141"/>
      <c r="F794" s="1141"/>
      <c r="G794" s="1141"/>
      <c r="H794" s="1374"/>
      <c r="I794" s="175">
        <f t="shared" si="827"/>
        <v>-0.18073529595035243</v>
      </c>
      <c r="J794" s="175">
        <f t="shared" si="827"/>
        <v>3.1415133604135725E-3</v>
      </c>
      <c r="K794" s="175"/>
      <c r="L794" s="175">
        <f t="shared" si="834"/>
        <v>0.33673739990521456</v>
      </c>
      <c r="M794" s="175"/>
      <c r="N794" s="91">
        <f t="shared" si="828"/>
        <v>0.10000000000000009</v>
      </c>
      <c r="O794" s="91">
        <f t="shared" si="829"/>
        <v>0.19999999999999996</v>
      </c>
      <c r="P794" s="91">
        <f t="shared" si="830"/>
        <v>0.19374999999999987</v>
      </c>
      <c r="Q794" s="91">
        <f t="shared" si="831"/>
        <v>0.19991273996509595</v>
      </c>
      <c r="R794" s="91">
        <f t="shared" si="832"/>
        <v>0.19031706784961089</v>
      </c>
      <c r="S794" s="804">
        <f t="shared" si="833"/>
        <v>0.17177412703406936</v>
      </c>
      <c r="T794" s="726"/>
      <c r="U794" s="1521"/>
      <c r="V794" s="1521"/>
      <c r="W794" s="1521"/>
      <c r="X794" s="1521"/>
      <c r="Y794" s="1521"/>
      <c r="Z794" s="1521"/>
      <c r="AA794" s="1523"/>
      <c r="AC794" s="728"/>
      <c r="AD794" s="728"/>
      <c r="AE794" s="728"/>
      <c r="AF794" s="728"/>
      <c r="AG794" s="728"/>
      <c r="AH794" s="728"/>
      <c r="AI794" s="22"/>
      <c r="AK794" s="1521"/>
      <c r="AL794" s="1521"/>
      <c r="AM794" s="1521"/>
      <c r="AN794" s="1521"/>
      <c r="AO794" s="1521"/>
      <c r="AP794" s="1521"/>
      <c r="AQ794" s="1523"/>
    </row>
    <row r="795" spans="1:43" s="1365" customFormat="1" outlineLevel="3">
      <c r="A795" s="22"/>
      <c r="B795" s="22"/>
      <c r="C795" s="22"/>
      <c r="D795" s="715" t="s">
        <v>844</v>
      </c>
      <c r="E795" s="1141"/>
      <c r="F795" s="1141"/>
      <c r="G795" s="1141"/>
      <c r="H795" s="1374"/>
      <c r="I795" s="175">
        <f>I789/H789-1</f>
        <v>-0.34413648349481607</v>
      </c>
      <c r="J795" s="175">
        <f>J789/I789-1</f>
        <v>-0.11784406642185252</v>
      </c>
      <c r="K795" s="175"/>
      <c r="L795" s="175">
        <f t="shared" si="834"/>
        <v>0.54710318853642415</v>
      </c>
      <c r="M795" s="175"/>
      <c r="N795" s="91">
        <f t="shared" si="828"/>
        <v>0.10000000000000009</v>
      </c>
      <c r="O795" s="91">
        <f t="shared" si="829"/>
        <v>0.17000000000000015</v>
      </c>
      <c r="P795" s="91">
        <f t="shared" si="830"/>
        <v>0.19487179487179485</v>
      </c>
      <c r="Q795" s="91">
        <f t="shared" si="831"/>
        <v>0.20114449213161678</v>
      </c>
      <c r="R795" s="91">
        <f t="shared" si="832"/>
        <v>0.19126965221534054</v>
      </c>
      <c r="S795" s="804">
        <f t="shared" si="833"/>
        <v>0.17227076855397461</v>
      </c>
      <c r="T795" s="726"/>
      <c r="U795" s="1521"/>
      <c r="V795" s="1521"/>
      <c r="W795" s="1521"/>
      <c r="X795" s="1521"/>
      <c r="Y795" s="1521"/>
      <c r="Z795" s="1521"/>
      <c r="AA795" s="1523"/>
      <c r="AC795" s="728"/>
      <c r="AD795" s="728"/>
      <c r="AE795" s="728"/>
      <c r="AF795" s="728"/>
      <c r="AG795" s="728"/>
      <c r="AH795" s="728"/>
      <c r="AI795" s="22"/>
      <c r="AK795" s="1521"/>
      <c r="AL795" s="1521"/>
      <c r="AM795" s="1521"/>
      <c r="AN795" s="1521"/>
      <c r="AO795" s="1521"/>
      <c r="AP795" s="1521"/>
      <c r="AQ795" s="1523"/>
    </row>
    <row r="796" spans="1:43" s="1365" customFormat="1" outlineLevel="3">
      <c r="A796" s="22"/>
      <c r="B796" s="22"/>
      <c r="C796" s="22"/>
      <c r="D796" s="719" t="s">
        <v>665</v>
      </c>
      <c r="E796" s="720"/>
      <c r="F796" s="720"/>
      <c r="G796" s="720"/>
      <c r="H796" s="721"/>
      <c r="I796" s="722">
        <f t="shared" ref="I796:J796" si="835">I790/H790-1</f>
        <v>-0.9858623751608816</v>
      </c>
      <c r="J796" s="722">
        <f t="shared" si="835"/>
        <v>3.8952717007762878</v>
      </c>
      <c r="K796" s="722"/>
      <c r="L796" s="722">
        <f t="shared" si="834"/>
        <v>-0.82033465586236065</v>
      </c>
      <c r="M796" s="722"/>
      <c r="N796" s="794">
        <f t="shared" si="828"/>
        <v>5.0000000000000044E-2</v>
      </c>
      <c r="O796" s="794">
        <f t="shared" si="829"/>
        <v>0.10000000000000009</v>
      </c>
      <c r="P796" s="794">
        <f t="shared" si="830"/>
        <v>0.10227272727272751</v>
      </c>
      <c r="Q796" s="794">
        <f t="shared" si="831"/>
        <v>0.11804123711340231</v>
      </c>
      <c r="R796" s="794">
        <f t="shared" si="832"/>
        <v>0.11572614107883838</v>
      </c>
      <c r="S796" s="805">
        <f t="shared" si="833"/>
        <v>9.9090706236751203E-2</v>
      </c>
      <c r="T796" s="726"/>
      <c r="U796" s="1521"/>
      <c r="V796" s="1521"/>
      <c r="W796" s="1521"/>
      <c r="X796" s="1521"/>
      <c r="Y796" s="1521"/>
      <c r="Z796" s="1521"/>
      <c r="AA796" s="1523"/>
      <c r="AC796" s="728"/>
      <c r="AD796" s="728"/>
      <c r="AE796" s="728"/>
      <c r="AF796" s="728"/>
      <c r="AG796" s="728"/>
      <c r="AH796" s="728"/>
      <c r="AI796" s="22"/>
      <c r="AK796" s="1521"/>
      <c r="AL796" s="1521"/>
      <c r="AM796" s="1521"/>
      <c r="AN796" s="1521"/>
      <c r="AO796" s="1521"/>
      <c r="AP796" s="1521"/>
      <c r="AQ796" s="1523"/>
    </row>
    <row r="797" spans="1:43" s="1365" customFormat="1" outlineLevel="3">
      <c r="A797" s="22"/>
      <c r="B797" s="22"/>
      <c r="C797" s="22" t="s">
        <v>848</v>
      </c>
      <c r="D797" s="22"/>
      <c r="E797" s="22"/>
      <c r="F797" s="22"/>
      <c r="G797" s="22"/>
      <c r="H797" s="24">
        <f>H785/H$785</f>
        <v>1</v>
      </c>
      <c r="I797" s="24">
        <f t="shared" ref="I797:S799" si="836">I785/I$785</f>
        <v>1</v>
      </c>
      <c r="J797" s="24">
        <f t="shared" si="836"/>
        <v>1</v>
      </c>
      <c r="K797" s="24">
        <f t="shared" si="836"/>
        <v>1</v>
      </c>
      <c r="L797" s="24">
        <f t="shared" si="836"/>
        <v>1</v>
      </c>
      <c r="M797" s="24">
        <f t="shared" si="836"/>
        <v>1</v>
      </c>
      <c r="N797" s="24">
        <f t="shared" si="836"/>
        <v>1</v>
      </c>
      <c r="O797" s="24">
        <f t="shared" si="836"/>
        <v>1</v>
      </c>
      <c r="P797" s="24">
        <f t="shared" si="836"/>
        <v>1</v>
      </c>
      <c r="Q797" s="24">
        <f t="shared" si="836"/>
        <v>1</v>
      </c>
      <c r="R797" s="24">
        <f t="shared" si="836"/>
        <v>1</v>
      </c>
      <c r="S797" s="24">
        <f t="shared" si="836"/>
        <v>1</v>
      </c>
      <c r="T797" s="726"/>
      <c r="U797" s="1521"/>
      <c r="V797" s="1521"/>
      <c r="W797" s="1521"/>
      <c r="X797" s="1521"/>
      <c r="Y797" s="1521"/>
      <c r="Z797" s="1521"/>
      <c r="AA797" s="1522"/>
      <c r="AC797" s="1331"/>
      <c r="AD797" s="1331"/>
      <c r="AE797" s="1331"/>
      <c r="AF797" s="1331"/>
      <c r="AG797" s="1331"/>
      <c r="AH797" s="1331"/>
      <c r="AI797" s="706"/>
      <c r="AK797" s="1521"/>
      <c r="AL797" s="1521"/>
      <c r="AM797" s="1521"/>
      <c r="AN797" s="1521"/>
      <c r="AO797" s="1521"/>
      <c r="AP797" s="1521"/>
      <c r="AQ797" s="1522"/>
    </row>
    <row r="798" spans="1:43" s="1365" customFormat="1" outlineLevel="3">
      <c r="A798" s="22"/>
      <c r="B798" s="22"/>
      <c r="C798" s="22"/>
      <c r="D798" s="707" t="s">
        <v>841</v>
      </c>
      <c r="E798" s="708"/>
      <c r="F798" s="708"/>
      <c r="G798" s="708"/>
      <c r="H798" s="793">
        <f>H786/H$785</f>
        <v>2.7114620247361564E-2</v>
      </c>
      <c r="I798" s="793">
        <f t="shared" si="836"/>
        <v>3.9471442900062922E-2</v>
      </c>
      <c r="J798" s="793">
        <f t="shared" si="836"/>
        <v>3.4634938420522725E-2</v>
      </c>
      <c r="K798" s="793">
        <f t="shared" si="836"/>
        <v>0.14388738772255455</v>
      </c>
      <c r="L798" s="793">
        <f t="shared" si="836"/>
        <v>0.13611488122376372</v>
      </c>
      <c r="M798" s="793">
        <f t="shared" si="836"/>
        <v>0.11140259028071656</v>
      </c>
      <c r="N798" s="793">
        <f t="shared" si="836"/>
        <v>0.14669781733393575</v>
      </c>
      <c r="O798" s="793">
        <f t="shared" si="836"/>
        <v>0.1641444919867189</v>
      </c>
      <c r="P798" s="793">
        <f t="shared" si="836"/>
        <v>0.17724298491949125</v>
      </c>
      <c r="Q798" s="793">
        <f t="shared" si="836"/>
        <v>0.18075685769210467</v>
      </c>
      <c r="R798" s="793">
        <f t="shared" si="836"/>
        <v>0.18305494011078743</v>
      </c>
      <c r="S798" s="803">
        <f t="shared" si="836"/>
        <v>0.18252625782294932</v>
      </c>
      <c r="T798" s="726"/>
      <c r="U798" s="1521"/>
      <c r="V798" s="1521"/>
      <c r="W798" s="1521"/>
      <c r="X798" s="1521"/>
      <c r="Y798" s="1521"/>
      <c r="Z798" s="1521"/>
      <c r="AA798" s="1523"/>
      <c r="AC798" s="728"/>
      <c r="AD798" s="728"/>
      <c r="AE798" s="728"/>
      <c r="AF798" s="728"/>
      <c r="AG798" s="728"/>
      <c r="AH798" s="728"/>
      <c r="AI798" s="22"/>
      <c r="AK798" s="1521"/>
      <c r="AL798" s="1521"/>
      <c r="AM798" s="1521"/>
      <c r="AN798" s="1521"/>
      <c r="AO798" s="1521"/>
      <c r="AP798" s="1521"/>
      <c r="AQ798" s="1523"/>
    </row>
    <row r="799" spans="1:43" s="1365" customFormat="1" outlineLevel="3">
      <c r="A799" s="22"/>
      <c r="B799" s="22"/>
      <c r="C799" s="22"/>
      <c r="D799" s="715" t="s">
        <v>842</v>
      </c>
      <c r="E799" s="22"/>
      <c r="F799" s="22"/>
      <c r="G799" s="22"/>
      <c r="H799" s="91">
        <f>H787/H$785</f>
        <v>3.6957886537090871E-3</v>
      </c>
      <c r="I799" s="91">
        <f t="shared" si="836"/>
        <v>1.127983189217858E-2</v>
      </c>
      <c r="J799" s="91">
        <f t="shared" si="836"/>
        <v>2.3138820206686637E-2</v>
      </c>
      <c r="K799" s="91">
        <f t="shared" si="836"/>
        <v>2.0239414229154203E-2</v>
      </c>
      <c r="L799" s="91">
        <f t="shared" si="836"/>
        <v>1.9941895449709965E-2</v>
      </c>
      <c r="M799" s="91">
        <f t="shared" si="836"/>
        <v>1.0703946205749777E-2</v>
      </c>
      <c r="N799" s="91">
        <f t="shared" si="836"/>
        <v>1.9701346885804872E-2</v>
      </c>
      <c r="O799" s="91">
        <f t="shared" si="836"/>
        <v>1.9595035622941806E-2</v>
      </c>
      <c r="P799" s="91">
        <f t="shared" si="836"/>
        <v>2.0037997725277496E-2</v>
      </c>
      <c r="Q799" s="91">
        <f t="shared" si="836"/>
        <v>2.0664214576148004E-2</v>
      </c>
      <c r="R799" s="91">
        <f t="shared" si="836"/>
        <v>2.0551136802637322E-2</v>
      </c>
      <c r="S799" s="804">
        <f t="shared" si="836"/>
        <v>2.0536848636244387E-2</v>
      </c>
      <c r="T799" s="726"/>
      <c r="U799" s="1521"/>
      <c r="V799" s="1521"/>
      <c r="W799" s="1521"/>
      <c r="X799" s="1521"/>
      <c r="Y799" s="1521"/>
      <c r="Z799" s="1521"/>
      <c r="AA799" s="1523"/>
      <c r="AC799" s="728"/>
      <c r="AD799" s="728"/>
      <c r="AE799" s="728"/>
      <c r="AF799" s="728"/>
      <c r="AG799" s="728"/>
      <c r="AH799" s="728"/>
      <c r="AI799" s="22"/>
      <c r="AK799" s="1521"/>
      <c r="AL799" s="1521"/>
      <c r="AM799" s="1521"/>
      <c r="AN799" s="1521"/>
      <c r="AO799" s="1521"/>
      <c r="AP799" s="1521"/>
      <c r="AQ799" s="1523"/>
    </row>
    <row r="800" spans="1:43" s="1365" customFormat="1" outlineLevel="3">
      <c r="A800" s="22"/>
      <c r="B800" s="22"/>
      <c r="C800" s="22"/>
      <c r="D800" s="715" t="s">
        <v>843</v>
      </c>
      <c r="E800" s="22"/>
      <c r="F800" s="22"/>
      <c r="G800" s="22"/>
      <c r="H800" s="91">
        <f t="shared" ref="H800:S802" si="837">H788/H$785</f>
        <v>0.24994138983334993</v>
      </c>
      <c r="I800" s="91">
        <f t="shared" si="837"/>
        <v>0.37322348919021864</v>
      </c>
      <c r="J800" s="91">
        <f t="shared" si="837"/>
        <v>0.38866719921836679</v>
      </c>
      <c r="K800" s="91">
        <f t="shared" si="837"/>
        <v>0.32685040127178405</v>
      </c>
      <c r="L800" s="91">
        <f t="shared" si="837"/>
        <v>0.32905260376435175</v>
      </c>
      <c r="M800" s="91">
        <f t="shared" si="837"/>
        <v>0.30098933501041286</v>
      </c>
      <c r="N800" s="91">
        <f t="shared" si="837"/>
        <v>0.32508341580604772</v>
      </c>
      <c r="O800" s="91">
        <f t="shared" si="837"/>
        <v>0.32332921957416061</v>
      </c>
      <c r="P800" s="91">
        <f t="shared" si="837"/>
        <v>0.31787881242325405</v>
      </c>
      <c r="Q800" s="91">
        <f t="shared" si="837"/>
        <v>0.3161202849974839</v>
      </c>
      <c r="R800" s="91">
        <f t="shared" si="837"/>
        <v>0.31516845356418982</v>
      </c>
      <c r="S800" s="804">
        <f t="shared" si="837"/>
        <v>0.3153629915698688</v>
      </c>
      <c r="T800" s="726"/>
      <c r="U800" s="1521"/>
      <c r="V800" s="1521"/>
      <c r="W800" s="1521"/>
      <c r="X800" s="1521"/>
      <c r="Y800" s="1521"/>
      <c r="Z800" s="1521"/>
      <c r="AA800" s="1523"/>
      <c r="AC800" s="728"/>
      <c r="AD800" s="728"/>
      <c r="AE800" s="728"/>
      <c r="AF800" s="728"/>
      <c r="AG800" s="728"/>
      <c r="AH800" s="728"/>
      <c r="AI800" s="22"/>
      <c r="AK800" s="1521"/>
      <c r="AL800" s="1521"/>
      <c r="AM800" s="1521"/>
      <c r="AN800" s="1521"/>
      <c r="AO800" s="1521"/>
      <c r="AP800" s="1521"/>
      <c r="AQ800" s="1523"/>
    </row>
    <row r="801" spans="1:43" s="1365" customFormat="1" outlineLevel="3">
      <c r="A801" s="22"/>
      <c r="B801" s="22"/>
      <c r="C801" s="22"/>
      <c r="D801" s="715" t="s">
        <v>844</v>
      </c>
      <c r="E801" s="22"/>
      <c r="F801" s="22"/>
      <c r="G801" s="22"/>
      <c r="H801" s="91">
        <f t="shared" si="837"/>
        <v>0.47663088899130951</v>
      </c>
      <c r="I801" s="91">
        <f t="shared" si="837"/>
        <v>0.56977344022835452</v>
      </c>
      <c r="J801" s="91">
        <f t="shared" si="837"/>
        <v>0.52178823095858162</v>
      </c>
      <c r="K801" s="91">
        <f t="shared" si="837"/>
        <v>0.5054865902413882</v>
      </c>
      <c r="L801" s="91">
        <f t="shared" si="837"/>
        <v>0.51127540598719612</v>
      </c>
      <c r="M801" s="91">
        <f t="shared" si="837"/>
        <v>0.57345468176724268</v>
      </c>
      <c r="N801" s="91">
        <f t="shared" si="837"/>
        <v>0.50510816050241425</v>
      </c>
      <c r="O801" s="91">
        <f t="shared" si="837"/>
        <v>0.48982296207750309</v>
      </c>
      <c r="P801" s="91">
        <f t="shared" si="837"/>
        <v>0.48201848477998954</v>
      </c>
      <c r="Q801" s="91">
        <f t="shared" si="837"/>
        <v>0.47984399683749229</v>
      </c>
      <c r="R801" s="91">
        <f t="shared" si="837"/>
        <v>0.47878204907446831</v>
      </c>
      <c r="S801" s="804">
        <f t="shared" si="837"/>
        <v>0.47928062863770299</v>
      </c>
      <c r="T801" s="726"/>
      <c r="U801" s="1521"/>
      <c r="V801" s="1521"/>
      <c r="W801" s="1521"/>
      <c r="X801" s="1521"/>
      <c r="Y801" s="1521"/>
      <c r="Z801" s="1521"/>
      <c r="AA801" s="1523"/>
      <c r="AC801" s="728"/>
      <c r="AD801" s="728"/>
      <c r="AE801" s="728"/>
      <c r="AF801" s="728"/>
      <c r="AG801" s="728"/>
      <c r="AH801" s="728"/>
      <c r="AI801" s="22"/>
      <c r="AK801" s="1521"/>
      <c r="AL801" s="1521"/>
      <c r="AM801" s="1521"/>
      <c r="AN801" s="1521"/>
      <c r="AO801" s="1521"/>
      <c r="AP801" s="1521"/>
      <c r="AQ801" s="1523"/>
    </row>
    <row r="802" spans="1:43" s="1365" customFormat="1" outlineLevel="3">
      <c r="A802" s="22"/>
      <c r="B802" s="22"/>
      <c r="C802" s="22"/>
      <c r="D802" s="719" t="s">
        <v>665</v>
      </c>
      <c r="E802" s="720"/>
      <c r="F802" s="720"/>
      <c r="G802" s="720"/>
      <c r="H802" s="794">
        <f t="shared" si="837"/>
        <v>0.24261731227426994</v>
      </c>
      <c r="I802" s="794">
        <f t="shared" si="837"/>
        <v>6.2517957891853751E-3</v>
      </c>
      <c r="J802" s="794">
        <f t="shared" si="837"/>
        <v>3.1770811195842262E-2</v>
      </c>
      <c r="K802" s="794">
        <f t="shared" si="837"/>
        <v>3.5362065351189683E-3</v>
      </c>
      <c r="L802" s="794">
        <f t="shared" si="837"/>
        <v>3.6152135749785131E-3</v>
      </c>
      <c r="M802" s="794">
        <f t="shared" si="837"/>
        <v>3.4494467358782001E-3</v>
      </c>
      <c r="N802" s="794">
        <f t="shared" si="837"/>
        <v>3.4092594717973837E-3</v>
      </c>
      <c r="O802" s="794">
        <f t="shared" si="837"/>
        <v>3.1082907386753671E-3</v>
      </c>
      <c r="P802" s="794">
        <f t="shared" si="837"/>
        <v>2.821720151987487E-3</v>
      </c>
      <c r="Q802" s="794">
        <f t="shared" si="837"/>
        <v>2.6146458967712316E-3</v>
      </c>
      <c r="R802" s="794">
        <f t="shared" si="837"/>
        <v>2.4434204479170428E-3</v>
      </c>
      <c r="S802" s="805">
        <f t="shared" si="837"/>
        <v>2.2932733332346055E-3</v>
      </c>
      <c r="T802" s="726"/>
      <c r="U802" s="1521"/>
      <c r="V802" s="1521"/>
      <c r="W802" s="1521"/>
      <c r="X802" s="1521"/>
      <c r="Y802" s="1521"/>
      <c r="Z802" s="1521"/>
      <c r="AA802" s="1523"/>
      <c r="AC802" s="728"/>
      <c r="AD802" s="728"/>
      <c r="AE802" s="728"/>
      <c r="AF802" s="728"/>
      <c r="AG802" s="728"/>
      <c r="AH802" s="728"/>
      <c r="AI802" s="22"/>
      <c r="AK802" s="1521"/>
      <c r="AL802" s="1521"/>
      <c r="AM802" s="1521"/>
      <c r="AN802" s="1521"/>
      <c r="AO802" s="1521"/>
      <c r="AP802" s="1521"/>
      <c r="AQ802" s="1523"/>
    </row>
    <row r="803" spans="1:43" outlineLevel="3">
      <c r="C803" s="1" t="s">
        <v>31</v>
      </c>
      <c r="H803" s="806">
        <f t="shared" ref="H803" si="838">IFERROR(H809/H785,"NA")</f>
        <v>5.5433876637182321E-2</v>
      </c>
      <c r="I803" s="806">
        <f t="shared" ref="I803:S803" si="839">IFERROR(I809/I785,"NA")</f>
        <v>8.9461124105966142E-2</v>
      </c>
      <c r="J803" s="806">
        <f t="shared" si="839"/>
        <v>0.10586148245098495</v>
      </c>
      <c r="K803" s="806">
        <f t="shared" si="839"/>
        <v>8.6845332074867831E-2</v>
      </c>
      <c r="L803" s="806">
        <f t="shared" si="839"/>
        <v>8.8785657829235462E-2</v>
      </c>
      <c r="M803" s="806">
        <f t="shared" si="839"/>
        <v>8.4714607101373088E-2</v>
      </c>
      <c r="N803" s="806">
        <f t="shared" si="839"/>
        <v>8.8872676265718042E-2</v>
      </c>
      <c r="O803" s="806">
        <f t="shared" si="839"/>
        <v>8.9132335168023144E-2</v>
      </c>
      <c r="P803" s="806">
        <f t="shared" si="839"/>
        <v>8.9138040919952255E-2</v>
      </c>
      <c r="Q803" s="806">
        <f t="shared" si="839"/>
        <v>8.9187220061267197E-2</v>
      </c>
      <c r="R803" s="806">
        <f t="shared" si="839"/>
        <v>8.9129337037938516E-2</v>
      </c>
      <c r="S803" s="806">
        <f t="shared" si="839"/>
        <v>8.9095825175652427E-2</v>
      </c>
      <c r="U803" s="1529">
        <f>$L803*(1+$AA803)</f>
        <v>9.0561370985820178E-2</v>
      </c>
      <c r="V803" s="1529">
        <f>U803*(1+$AA803)</f>
        <v>9.2372598405536577E-2</v>
      </c>
      <c r="W803" s="1529">
        <f t="shared" ref="W803:Z803" si="840">V803*(1+$AA803)</f>
        <v>9.4220050373647307E-2</v>
      </c>
      <c r="X803" s="1529">
        <f t="shared" si="840"/>
        <v>9.6104451381120254E-2</v>
      </c>
      <c r="Y803" s="1529">
        <f t="shared" si="840"/>
        <v>9.802654040874266E-2</v>
      </c>
      <c r="Z803" s="1529">
        <f t="shared" si="840"/>
        <v>9.9987071216917509E-2</v>
      </c>
      <c r="AA803" s="1520">
        <v>0.02</v>
      </c>
      <c r="AC803" s="1360"/>
      <c r="AD803" s="1360"/>
      <c r="AE803" s="1360"/>
      <c r="AF803" s="1360"/>
      <c r="AG803" s="1360"/>
      <c r="AH803" s="1360"/>
      <c r="AI803" s="702"/>
      <c r="AK803" s="1529">
        <f>$L803*(1+$AQ803)</f>
        <v>8.8785657829235462E-2</v>
      </c>
      <c r="AL803" s="1529">
        <f>AK803*(1+$AQ803)</f>
        <v>8.8785657829235462E-2</v>
      </c>
      <c r="AM803" s="1529">
        <f t="shared" ref="AM803:AN803" si="841">AL803*(1+$AQ803)</f>
        <v>8.8785657829235462E-2</v>
      </c>
      <c r="AN803" s="1529">
        <f t="shared" si="841"/>
        <v>8.8785657829235462E-2</v>
      </c>
      <c r="AO803" s="1529">
        <f>AN803*(1+$AQ803)</f>
        <v>8.8785657829235462E-2</v>
      </c>
      <c r="AP803" s="1529">
        <f t="shared" ref="AP803" si="842">AO803*(1+$AQ803)</f>
        <v>8.8785657829235462E-2</v>
      </c>
      <c r="AQ803" s="1520">
        <v>0</v>
      </c>
    </row>
    <row r="804" spans="1:43" outlineLevel="3">
      <c r="D804" s="27" t="s">
        <v>841</v>
      </c>
      <c r="E804" s="28"/>
      <c r="F804" s="28"/>
      <c r="G804" s="28"/>
      <c r="H804" s="693">
        <f t="shared" ref="H804:H808" si="843">IFERROR(H810/H786,"NA")</f>
        <v>0.11759167745170662</v>
      </c>
      <c r="I804" s="693">
        <f t="shared" ref="I804:S804" si="844">IFERROR(I810/I786,"NA")</f>
        <v>0.15277662119770014</v>
      </c>
      <c r="J804" s="693">
        <f t="shared" si="844"/>
        <v>0.13681688753614812</v>
      </c>
      <c r="K804" s="693">
        <f t="shared" si="844"/>
        <v>6.7742780974689429E-2</v>
      </c>
      <c r="L804" s="693">
        <f t="shared" si="844"/>
        <v>7.321102335000107E-2</v>
      </c>
      <c r="M804" s="693">
        <f t="shared" si="844"/>
        <v>8.5349755476369374E-2</v>
      </c>
      <c r="N804" s="693">
        <f t="shared" si="844"/>
        <v>8.5349755476369374E-2</v>
      </c>
      <c r="O804" s="693">
        <f t="shared" si="844"/>
        <v>8.5349755476369374E-2</v>
      </c>
      <c r="P804" s="693">
        <f t="shared" si="844"/>
        <v>8.5349755476369374E-2</v>
      </c>
      <c r="Q804" s="693">
        <f t="shared" si="844"/>
        <v>8.5349755476369374E-2</v>
      </c>
      <c r="R804" s="693">
        <f t="shared" si="844"/>
        <v>8.5349755476369388E-2</v>
      </c>
      <c r="S804" s="693">
        <f t="shared" si="844"/>
        <v>8.5349755476369374E-2</v>
      </c>
      <c r="T804" s="993"/>
      <c r="U804" s="1530"/>
      <c r="V804" s="1530"/>
      <c r="W804" s="1530"/>
      <c r="X804" s="1530"/>
      <c r="Y804" s="1530"/>
      <c r="Z804" s="1530"/>
      <c r="AA804" s="1530"/>
      <c r="AB804" s="1371"/>
      <c r="AC804" s="1361"/>
      <c r="AD804" s="1361"/>
      <c r="AE804" s="1361"/>
      <c r="AF804" s="1361"/>
      <c r="AG804" s="1361"/>
      <c r="AH804" s="1361"/>
    </row>
    <row r="805" spans="1:43" outlineLevel="3">
      <c r="D805" s="31" t="s">
        <v>842</v>
      </c>
      <c r="H805" s="695">
        <f t="shared" si="843"/>
        <v>0.1269331433047679</v>
      </c>
      <c r="I805" s="695">
        <f t="shared" ref="I805:S805" si="845">IFERROR(I811/I787,"NA")</f>
        <v>0.21152854839846977</v>
      </c>
      <c r="J805" s="695">
        <f t="shared" si="845"/>
        <v>0.2066130425522312</v>
      </c>
      <c r="K805" s="695">
        <f t="shared" si="845"/>
        <v>0.1317273795534665</v>
      </c>
      <c r="L805" s="695">
        <f t="shared" si="845"/>
        <v>0.136679661044493</v>
      </c>
      <c r="M805" s="695">
        <f t="shared" si="845"/>
        <v>0.24296398073757525</v>
      </c>
      <c r="N805" s="695">
        <f t="shared" si="845"/>
        <v>0.24296398073757525</v>
      </c>
      <c r="O805" s="695">
        <f t="shared" si="845"/>
        <v>0.24296398073757525</v>
      </c>
      <c r="P805" s="695">
        <f t="shared" si="845"/>
        <v>0.24296398073757522</v>
      </c>
      <c r="Q805" s="695">
        <f t="shared" si="845"/>
        <v>0.24296398073757522</v>
      </c>
      <c r="R805" s="695">
        <f t="shared" si="845"/>
        <v>0.24296398073757522</v>
      </c>
      <c r="S805" s="695">
        <f t="shared" si="845"/>
        <v>0.24296398073757527</v>
      </c>
      <c r="T805" s="993"/>
      <c r="U805" s="1530"/>
      <c r="V805" s="1530"/>
      <c r="W805" s="1530"/>
      <c r="X805" s="1530"/>
      <c r="Y805" s="1530"/>
      <c r="Z805" s="1530"/>
      <c r="AA805" s="1530"/>
      <c r="AB805" s="1371"/>
      <c r="AC805" s="1361"/>
      <c r="AD805" s="1361"/>
      <c r="AE805" s="1361"/>
      <c r="AF805" s="1361"/>
      <c r="AG805" s="1361"/>
      <c r="AH805" s="1361"/>
    </row>
    <row r="806" spans="1:43" outlineLevel="3">
      <c r="D806" s="31" t="s">
        <v>843</v>
      </c>
      <c r="H806" s="695">
        <f t="shared" si="843"/>
        <v>8.1798705071518027E-2</v>
      </c>
      <c r="I806" s="695">
        <f t="shared" ref="I806:S806" si="846">IFERROR(I812/I788,"NA")</f>
        <v>0.10257713790308443</v>
      </c>
      <c r="J806" s="695">
        <f t="shared" si="846"/>
        <v>0.1311663209064893</v>
      </c>
      <c r="K806" s="695">
        <f t="shared" si="846"/>
        <v>0.11833789323997305</v>
      </c>
      <c r="L806" s="695">
        <f t="shared" si="846"/>
        <v>0.12017215817987192</v>
      </c>
      <c r="M806" s="695">
        <f t="shared" si="846"/>
        <v>0.1253526643201453</v>
      </c>
      <c r="N806" s="695">
        <f t="shared" si="846"/>
        <v>0.1253526643201453</v>
      </c>
      <c r="O806" s="695">
        <f t="shared" si="846"/>
        <v>0.12535266432014533</v>
      </c>
      <c r="P806" s="695">
        <f t="shared" si="846"/>
        <v>0.1253526643201453</v>
      </c>
      <c r="Q806" s="695">
        <f t="shared" si="846"/>
        <v>0.1253526643201453</v>
      </c>
      <c r="R806" s="695">
        <f t="shared" si="846"/>
        <v>0.12535266432014527</v>
      </c>
      <c r="S806" s="695">
        <f t="shared" si="846"/>
        <v>0.1253526643201453</v>
      </c>
      <c r="T806" s="993"/>
      <c r="U806" s="1530"/>
      <c r="V806" s="1530"/>
      <c r="W806" s="1530"/>
      <c r="X806" s="1530"/>
      <c r="Y806" s="1530"/>
      <c r="Z806" s="1530"/>
      <c r="AA806" s="1530"/>
      <c r="AB806" s="1371"/>
      <c r="AC806" s="1361"/>
      <c r="AD806" s="1361"/>
      <c r="AE806" s="1361"/>
      <c r="AF806" s="1361"/>
      <c r="AG806" s="1361"/>
      <c r="AH806" s="1361"/>
    </row>
    <row r="807" spans="1:43" outlineLevel="3">
      <c r="D807" s="31" t="s">
        <v>844</v>
      </c>
      <c r="H807" s="695">
        <f t="shared" si="843"/>
        <v>6.5157244091384028E-2</v>
      </c>
      <c r="I807" s="695">
        <f t="shared" ref="I807:S807" si="847">IFERROR(I813/I789,"NA")</f>
        <v>7.295461752377351E-2</v>
      </c>
      <c r="J807" s="695">
        <f t="shared" si="847"/>
        <v>8.1673358207170005E-2</v>
      </c>
      <c r="K807" s="695">
        <f t="shared" si="847"/>
        <v>6.8920043393454145E-2</v>
      </c>
      <c r="L807" s="695">
        <f t="shared" si="847"/>
        <v>6.9662108536453882E-2</v>
      </c>
      <c r="M807" s="695">
        <f t="shared" si="847"/>
        <v>5.9260853112530536E-2</v>
      </c>
      <c r="N807" s="695">
        <f t="shared" si="847"/>
        <v>5.9260853112530536E-2</v>
      </c>
      <c r="O807" s="695">
        <f t="shared" si="847"/>
        <v>5.9260853112530536E-2</v>
      </c>
      <c r="P807" s="695">
        <f t="shared" si="847"/>
        <v>5.9260853112530543E-2</v>
      </c>
      <c r="Q807" s="695">
        <f t="shared" si="847"/>
        <v>5.9260853112530536E-2</v>
      </c>
      <c r="R807" s="695">
        <f t="shared" si="847"/>
        <v>5.9260853112530536E-2</v>
      </c>
      <c r="S807" s="695">
        <f t="shared" si="847"/>
        <v>5.9260853112530536E-2</v>
      </c>
      <c r="T807" s="993"/>
      <c r="U807" s="1530"/>
      <c r="V807" s="1530"/>
      <c r="W807" s="1530"/>
      <c r="X807" s="1530"/>
      <c r="Y807" s="1530"/>
      <c r="Z807" s="1530"/>
      <c r="AA807" s="1530"/>
      <c r="AB807" s="1371"/>
      <c r="AC807" s="1361"/>
      <c r="AD807" s="1361"/>
      <c r="AE807" s="1361"/>
      <c r="AF807" s="1361"/>
      <c r="AG807" s="1361"/>
      <c r="AH807" s="1361"/>
    </row>
    <row r="808" spans="1:43" ht="15" outlineLevel="3" thickBot="1">
      <c r="C808" s="37"/>
      <c r="D808" s="38" t="s">
        <v>665</v>
      </c>
      <c r="E808" s="37"/>
      <c r="F808" s="37"/>
      <c r="G808" s="37"/>
      <c r="H808" s="697">
        <f t="shared" si="843"/>
        <v>1.1353999341507947E-3</v>
      </c>
      <c r="I808" s="697">
        <f t="shared" ref="I808:S808" si="848">IFERROR(I814/I790,"NA")</f>
        <v>0.19082568807339451</v>
      </c>
      <c r="J808" s="697">
        <f t="shared" si="848"/>
        <v>8.64256263875674E-2</v>
      </c>
      <c r="K808" s="697">
        <f t="shared" si="848"/>
        <v>0.25874327440430439</v>
      </c>
      <c r="L808" s="697">
        <f t="shared" si="848"/>
        <v>0.25874327440430439</v>
      </c>
      <c r="M808" s="697">
        <f t="shared" si="848"/>
        <v>0.25874327440430439</v>
      </c>
      <c r="N808" s="697">
        <f t="shared" si="848"/>
        <v>0.25874327440430439</v>
      </c>
      <c r="O808" s="697">
        <f t="shared" si="848"/>
        <v>0.25874327440430439</v>
      </c>
      <c r="P808" s="697">
        <f t="shared" si="848"/>
        <v>0.25874327440430445</v>
      </c>
      <c r="Q808" s="697">
        <f t="shared" si="848"/>
        <v>0.25874327440430439</v>
      </c>
      <c r="R808" s="697">
        <f t="shared" si="848"/>
        <v>0.25874327440430434</v>
      </c>
      <c r="S808" s="697">
        <f t="shared" si="848"/>
        <v>0.25874327440430434</v>
      </c>
      <c r="T808" s="993"/>
      <c r="U808" s="1530"/>
      <c r="V808" s="1530"/>
      <c r="W808" s="1530"/>
      <c r="X808" s="1530"/>
      <c r="Y808" s="1530"/>
      <c r="Z808" s="1530"/>
      <c r="AA808" s="1530"/>
      <c r="AB808" s="1371"/>
      <c r="AC808" s="1361"/>
      <c r="AD808" s="1361"/>
      <c r="AE808" s="1361"/>
      <c r="AF808" s="1361"/>
      <c r="AG808" s="1361"/>
      <c r="AH808" s="1361"/>
    </row>
    <row r="809" spans="1:43" outlineLevel="3">
      <c r="C809" s="18" t="s">
        <v>845</v>
      </c>
      <c r="H809" s="23">
        <f t="shared" ref="H809:M809" si="849">SUM(H810:H814)</f>
        <v>229006</v>
      </c>
      <c r="I809" s="23">
        <f t="shared" si="849"/>
        <v>202768</v>
      </c>
      <c r="J809" s="23">
        <f t="shared" si="849"/>
        <v>231130</v>
      </c>
      <c r="K809" s="23">
        <f t="shared" si="849"/>
        <v>255609</v>
      </c>
      <c r="L809" s="23">
        <f t="shared" si="849"/>
        <v>306069.3370891001</v>
      </c>
      <c r="M809" s="23">
        <f t="shared" si="849"/>
        <v>188095.0730899999</v>
      </c>
      <c r="N809" s="23">
        <f>SUM(N810:N814)</f>
        <v>341121.00850206707</v>
      </c>
      <c r="O809" s="23">
        <f t="shared" ref="O809:R809" si="850">SUM(O810:O814)</f>
        <v>412768.54993514088</v>
      </c>
      <c r="P809" s="23">
        <f t="shared" si="850"/>
        <v>501223.19049293117</v>
      </c>
      <c r="Q809" s="23">
        <f t="shared" si="850"/>
        <v>605103.38234933233</v>
      </c>
      <c r="R809" s="23">
        <f t="shared" si="850"/>
        <v>721971.26781821391</v>
      </c>
      <c r="S809" s="23">
        <f>SUM(S810:S814)</f>
        <v>845147.50013919245</v>
      </c>
      <c r="T809" s="1205"/>
      <c r="AC809" s="1321"/>
      <c r="AD809" s="1321"/>
      <c r="AE809" s="1321"/>
      <c r="AF809" s="1321"/>
      <c r="AG809" s="1321"/>
      <c r="AH809" s="1321"/>
    </row>
    <row r="810" spans="1:43" outlineLevel="3">
      <c r="D810" s="27" t="s">
        <v>841</v>
      </c>
      <c r="E810" s="28"/>
      <c r="F810" s="28"/>
      <c r="G810" s="28"/>
      <c r="H810" s="29">
        <f t="shared" ref="H810:M810" si="851">H849+H888</f>
        <v>13172</v>
      </c>
      <c r="I810" s="29">
        <f t="shared" si="851"/>
        <v>13668</v>
      </c>
      <c r="J810" s="29">
        <f t="shared" si="851"/>
        <v>10346</v>
      </c>
      <c r="K810" s="29">
        <f t="shared" si="851"/>
        <v>28689</v>
      </c>
      <c r="L810" s="29">
        <f t="shared" si="851"/>
        <v>34352.558836931377</v>
      </c>
      <c r="M810" s="29">
        <f t="shared" si="851"/>
        <v>21111.383213732719</v>
      </c>
      <c r="N810" s="29">
        <f>N849+N888</f>
        <v>48058.049663412756</v>
      </c>
      <c r="O810" s="29">
        <f t="shared" ref="O810:S810" si="852">O849+O888</f>
        <v>64878.367045607229</v>
      </c>
      <c r="P810" s="29">
        <f t="shared" si="852"/>
        <v>85062.74790424059</v>
      </c>
      <c r="Q810" s="29">
        <f t="shared" si="852"/>
        <v>104670.43216691301</v>
      </c>
      <c r="R810" s="29">
        <f t="shared" si="852"/>
        <v>126556.06798363122</v>
      </c>
      <c r="S810" s="30">
        <f t="shared" si="852"/>
        <v>147775.61923201452</v>
      </c>
      <c r="AC810" s="1321"/>
      <c r="AD810" s="1321"/>
      <c r="AE810" s="1321"/>
      <c r="AF810" s="1321"/>
      <c r="AG810" s="1321"/>
      <c r="AH810" s="1321"/>
    </row>
    <row r="811" spans="1:43" outlineLevel="3">
      <c r="D811" s="31" t="s">
        <v>842</v>
      </c>
      <c r="E811" s="1133"/>
      <c r="F811" s="1133"/>
      <c r="G811" s="1133"/>
      <c r="H811" s="1188">
        <f t="shared" ref="H811:M811" si="853">H850+H889</f>
        <v>1938</v>
      </c>
      <c r="I811" s="1188">
        <f t="shared" si="853"/>
        <v>5408</v>
      </c>
      <c r="J811" s="1188">
        <f t="shared" si="853"/>
        <v>10438</v>
      </c>
      <c r="K811" s="1188">
        <f t="shared" si="853"/>
        <v>7847</v>
      </c>
      <c r="L811" s="1188">
        <f t="shared" si="853"/>
        <v>9396.0935966189318</v>
      </c>
      <c r="M811" s="1188">
        <f t="shared" si="853"/>
        <v>5774.3742925218949</v>
      </c>
      <c r="N811" s="1188">
        <f t="shared" ref="N811:S811" si="854">N850+N889</f>
        <v>18372.913093204468</v>
      </c>
      <c r="O811" s="1188">
        <f t="shared" si="854"/>
        <v>22047.49571184536</v>
      </c>
      <c r="P811" s="1188">
        <f t="shared" si="854"/>
        <v>27375.640508874654</v>
      </c>
      <c r="Q811" s="1188">
        <f t="shared" si="854"/>
        <v>34063.380874801078</v>
      </c>
      <c r="R811" s="1188">
        <f t="shared" si="854"/>
        <v>40446.130883380305</v>
      </c>
      <c r="S811" s="32">
        <f t="shared" si="854"/>
        <v>47331.563794189613</v>
      </c>
    </row>
    <row r="812" spans="1:43" outlineLevel="3">
      <c r="D812" s="31" t="s">
        <v>843</v>
      </c>
      <c r="E812" s="1133"/>
      <c r="F812" s="1133"/>
      <c r="G812" s="1133"/>
      <c r="H812" s="1188">
        <f t="shared" ref="H812:M812" si="855">H851+H890</f>
        <v>84461</v>
      </c>
      <c r="I812" s="1188">
        <f t="shared" si="855"/>
        <v>86773</v>
      </c>
      <c r="J812" s="1188">
        <f t="shared" si="855"/>
        <v>111306</v>
      </c>
      <c r="K812" s="1188">
        <f t="shared" si="855"/>
        <v>113842</v>
      </c>
      <c r="L812" s="1188">
        <f t="shared" si="855"/>
        <v>136315.80058956193</v>
      </c>
      <c r="M812" s="1188">
        <f t="shared" si="855"/>
        <v>83772.947395090814</v>
      </c>
      <c r="N812" s="1188">
        <f t="shared" ref="N812:S812" si="856">N851+N890</f>
        <v>156411.46798732461</v>
      </c>
      <c r="O812" s="1188">
        <f t="shared" si="856"/>
        <v>187693.76158478952</v>
      </c>
      <c r="P812" s="1188">
        <f t="shared" si="856"/>
        <v>224059.42789184244</v>
      </c>
      <c r="Q812" s="1188">
        <f t="shared" si="856"/>
        <v>268851.76203671249</v>
      </c>
      <c r="R812" s="1188">
        <f t="shared" si="856"/>
        <v>320018.84107374091</v>
      </c>
      <c r="S812" s="32">
        <f t="shared" si="856"/>
        <v>374989.79813363735</v>
      </c>
    </row>
    <row r="813" spans="1:43" outlineLevel="3">
      <c r="D813" s="31" t="s">
        <v>844</v>
      </c>
      <c r="E813" s="1133"/>
      <c r="F813" s="1133"/>
      <c r="G813" s="1133"/>
      <c r="H813" s="1188">
        <f t="shared" ref="H813:M813" si="857">H852+H891</f>
        <v>128297</v>
      </c>
      <c r="I813" s="1188">
        <f t="shared" si="857"/>
        <v>94215</v>
      </c>
      <c r="J813" s="1188">
        <f t="shared" si="857"/>
        <v>93045</v>
      </c>
      <c r="K813" s="1188">
        <f t="shared" si="857"/>
        <v>102538</v>
      </c>
      <c r="L813" s="1188">
        <f t="shared" si="857"/>
        <v>122780.25298969186</v>
      </c>
      <c r="M813" s="1188">
        <f t="shared" si="857"/>
        <v>75454.669454136631</v>
      </c>
      <c r="N813" s="1188">
        <f t="shared" ref="N813:S813" si="858">N852+N891</f>
        <v>114892.71512801439</v>
      </c>
      <c r="O813" s="1188">
        <f t="shared" si="858"/>
        <v>134424.47669977686</v>
      </c>
      <c r="P813" s="1188">
        <f t="shared" si="858"/>
        <v>160620.01574896416</v>
      </c>
      <c r="Q813" s="1188">
        <f t="shared" si="858"/>
        <v>192927.84724296181</v>
      </c>
      <c r="R813" s="1188">
        <f t="shared" si="858"/>
        <v>229829.08948777747</v>
      </c>
      <c r="S813" s="32">
        <f t="shared" si="858"/>
        <v>269421.92336989712</v>
      </c>
    </row>
    <row r="814" spans="1:43" outlineLevel="3">
      <c r="D814" s="33" t="s">
        <v>665</v>
      </c>
      <c r="E814" s="34"/>
      <c r="F814" s="34"/>
      <c r="G814" s="34"/>
      <c r="H814" s="35">
        <f t="shared" ref="H814:M814" si="859">H853+H892</f>
        <v>1138</v>
      </c>
      <c r="I814" s="35">
        <f t="shared" si="859"/>
        <v>2704</v>
      </c>
      <c r="J814" s="35">
        <f t="shared" si="859"/>
        <v>5995</v>
      </c>
      <c r="K814" s="35">
        <f t="shared" si="859"/>
        <v>2693</v>
      </c>
      <c r="L814" s="35">
        <f t="shared" si="859"/>
        <v>3224.6310762960093</v>
      </c>
      <c r="M814" s="35">
        <f t="shared" si="859"/>
        <v>1981.6987345178366</v>
      </c>
      <c r="N814" s="35">
        <f t="shared" ref="N814:S814" si="860">N853+N892</f>
        <v>3385.8626301108097</v>
      </c>
      <c r="O814" s="35">
        <f t="shared" si="860"/>
        <v>3724.4488931218907</v>
      </c>
      <c r="P814" s="35">
        <f t="shared" si="860"/>
        <v>4105.3584390093583</v>
      </c>
      <c r="Q814" s="35">
        <f t="shared" si="860"/>
        <v>4589.9600279439683</v>
      </c>
      <c r="R814" s="35">
        <f t="shared" si="860"/>
        <v>5121.1383896840407</v>
      </c>
      <c r="S814" s="36">
        <f t="shared" si="860"/>
        <v>5628.5956094539715</v>
      </c>
    </row>
    <row r="815" spans="1:43" outlineLevel="3">
      <c r="H815" s="43"/>
      <c r="I815" s="43"/>
      <c r="J815" s="43"/>
      <c r="K815" s="43"/>
    </row>
    <row r="816" spans="1:43" outlineLevel="3">
      <c r="C816" s="1" t="s">
        <v>659</v>
      </c>
      <c r="H816" s="20">
        <f t="shared" ref="H816:R816" si="861">H855+H894</f>
        <v>-177674</v>
      </c>
      <c r="I816" s="20">
        <f t="shared" si="861"/>
        <v>-149553</v>
      </c>
      <c r="J816" s="20">
        <f t="shared" si="861"/>
        <v>-154840</v>
      </c>
      <c r="K816" s="20">
        <f t="shared" si="861"/>
        <v>-176325</v>
      </c>
      <c r="L816" s="20">
        <f t="shared" si="861"/>
        <v>-211067.09991925803</v>
      </c>
      <c r="M816" s="20">
        <f t="shared" si="861"/>
        <v>-122546.02783601647</v>
      </c>
      <c r="N816" s="20">
        <f t="shared" si="861"/>
        <v>-222244.12323305439</v>
      </c>
      <c r="O816" s="20">
        <f t="shared" si="861"/>
        <v>-269435.14878323808</v>
      </c>
      <c r="P816" s="20">
        <f t="shared" si="861"/>
        <v>-327637.24831252662</v>
      </c>
      <c r="Q816" s="20">
        <f t="shared" si="861"/>
        <v>-394006.02500580315</v>
      </c>
      <c r="R816" s="20">
        <f t="shared" si="861"/>
        <v>-468379.96819201129</v>
      </c>
      <c r="S816" s="20">
        <f t="shared" ref="S816" si="862">S855+S894</f>
        <v>-545875.38159267697</v>
      </c>
    </row>
    <row r="817" spans="1:43" outlineLevel="3">
      <c r="D817" s="1" t="s">
        <v>849</v>
      </c>
      <c r="H817" s="744">
        <f>H816/H785</f>
        <v>-4.3008299335540255E-2</v>
      </c>
      <c r="I817" s="744">
        <f>I816/I785</f>
        <v>-6.5982696941428401E-2</v>
      </c>
      <c r="J817" s="744">
        <f t="shared" ref="J817:S817" si="863">J816/J785</f>
        <v>-7.0919361150480295E-2</v>
      </c>
      <c r="K817" s="744">
        <f t="shared" si="863"/>
        <v>-5.9907918649582247E-2</v>
      </c>
      <c r="L817" s="744">
        <f t="shared" si="863"/>
        <v>-6.1227078447864763E-2</v>
      </c>
      <c r="M817" s="744">
        <f t="shared" si="863"/>
        <v>-5.5192506796787513E-2</v>
      </c>
      <c r="N817" s="744">
        <f t="shared" si="863"/>
        <v>-5.7901535008887915E-2</v>
      </c>
      <c r="O817" s="744">
        <f t="shared" si="863"/>
        <v>-5.8181234958834302E-2</v>
      </c>
      <c r="P817" s="744">
        <f t="shared" si="863"/>
        <v>-5.8267340779385654E-2</v>
      </c>
      <c r="Q817" s="744">
        <f t="shared" si="863"/>
        <v>-5.8073220349925028E-2</v>
      </c>
      <c r="R817" s="744">
        <f t="shared" si="863"/>
        <v>-5.7822794213073972E-2</v>
      </c>
      <c r="S817" s="744">
        <f t="shared" si="863"/>
        <v>-5.7546425396825612E-2</v>
      </c>
    </row>
    <row r="818" spans="1:43" ht="15" outlineLevel="3" thickBot="1">
      <c r="C818" s="37"/>
      <c r="D818" s="74"/>
      <c r="E818" s="74" t="s">
        <v>151</v>
      </c>
      <c r="F818" s="37"/>
      <c r="G818" s="37"/>
      <c r="H818" s="747"/>
      <c r="I818" s="75">
        <f>I817/H817-1</f>
        <v>0.53418521450121759</v>
      </c>
      <c r="J818" s="75">
        <f>J817/I817-1</f>
        <v>7.4817557297393922E-2</v>
      </c>
      <c r="K818" s="75"/>
      <c r="L818" s="75">
        <f>L817/J817-1</f>
        <v>-0.13666624382092152</v>
      </c>
      <c r="M818" s="75"/>
      <c r="N818" s="172">
        <f>N817/L817-1</f>
        <v>-5.4314912997336151E-2</v>
      </c>
      <c r="O818" s="172">
        <f>O817/N817-1</f>
        <v>4.830613729039257E-3</v>
      </c>
      <c r="P818" s="172">
        <f t="shared" ref="P818:S818" si="864">P817/O817-1</f>
        <v>1.4799586260463293E-3</v>
      </c>
      <c r="Q818" s="172">
        <f t="shared" si="864"/>
        <v>-3.3315477738311561E-3</v>
      </c>
      <c r="R818" s="172">
        <f t="shared" si="864"/>
        <v>-4.3122481471166152E-3</v>
      </c>
      <c r="S818" s="172">
        <f t="shared" si="864"/>
        <v>-4.7795825160221739E-3</v>
      </c>
      <c r="AC818" s="1362"/>
      <c r="AD818" s="1362"/>
      <c r="AE818" s="1362"/>
      <c r="AF818" s="1362"/>
      <c r="AG818" s="1362"/>
      <c r="AH818" s="1362"/>
    </row>
    <row r="819" spans="1:43" outlineLevel="3">
      <c r="C819" s="18" t="s">
        <v>846</v>
      </c>
      <c r="D819" s="18"/>
      <c r="E819" s="18"/>
      <c r="F819" s="18"/>
      <c r="G819" s="18"/>
      <c r="H819" s="23">
        <f>H816+H809</f>
        <v>51332</v>
      </c>
      <c r="I819" s="23">
        <f>I816+I809</f>
        <v>53215</v>
      </c>
      <c r="J819" s="23">
        <f>J816+J809</f>
        <v>76290</v>
      </c>
      <c r="K819" s="23">
        <f>K816+K809</f>
        <v>79284</v>
      </c>
      <c r="L819" s="23">
        <f t="shared" ref="L819:S819" si="865">L816+L809</f>
        <v>95002.237169842061</v>
      </c>
      <c r="M819" s="23">
        <f t="shared" si="865"/>
        <v>65549.045253983437</v>
      </c>
      <c r="N819" s="23">
        <f t="shared" si="865"/>
        <v>118876.88526901268</v>
      </c>
      <c r="O819" s="23">
        <f t="shared" si="865"/>
        <v>143333.4011519028</v>
      </c>
      <c r="P819" s="23">
        <f t="shared" si="865"/>
        <v>173585.94218040456</v>
      </c>
      <c r="Q819" s="23">
        <f t="shared" si="865"/>
        <v>211097.35734352918</v>
      </c>
      <c r="R819" s="23">
        <f t="shared" si="865"/>
        <v>253591.29962620261</v>
      </c>
      <c r="S819" s="23">
        <f t="shared" si="865"/>
        <v>299272.11854651547</v>
      </c>
      <c r="AC819" s="1321"/>
      <c r="AD819" s="1321"/>
      <c r="AE819" s="1321"/>
      <c r="AF819" s="1321"/>
      <c r="AG819" s="1321"/>
      <c r="AH819" s="1321"/>
    </row>
    <row r="820" spans="1:43" outlineLevel="3">
      <c r="C820" s="22" t="s">
        <v>660</v>
      </c>
      <c r="D820" s="22"/>
      <c r="E820" s="22"/>
      <c r="F820" s="22"/>
      <c r="G820" s="22"/>
      <c r="H820" s="56">
        <f>IFERROR(H819/H809,"NA")</f>
        <v>0.2241513322795036</v>
      </c>
      <c r="I820" s="56">
        <f t="shared" ref="I820:S820" si="866">IFERROR(I819/I809,"NA")</f>
        <v>0.26244279176201374</v>
      </c>
      <c r="J820" s="56">
        <f t="shared" si="866"/>
        <v>0.33007398433781854</v>
      </c>
      <c r="K820" s="56">
        <f t="shared" si="866"/>
        <v>0.3101768717063953</v>
      </c>
      <c r="L820" s="56">
        <f t="shared" si="866"/>
        <v>0.31039449450692896</v>
      </c>
      <c r="M820" s="56">
        <f t="shared" si="866"/>
        <v>0.34848890073063993</v>
      </c>
      <c r="N820" s="56">
        <f t="shared" si="866"/>
        <v>0.34848890073064009</v>
      </c>
      <c r="O820" s="56">
        <f t="shared" si="866"/>
        <v>0.34724884241889326</v>
      </c>
      <c r="P820" s="56">
        <f t="shared" si="866"/>
        <v>0.34632464234085086</v>
      </c>
      <c r="Q820" s="56">
        <f t="shared" si="866"/>
        <v>0.34886163835993983</v>
      </c>
      <c r="R820" s="56">
        <f t="shared" si="866"/>
        <v>0.35124846504287022</v>
      </c>
      <c r="S820" s="56">
        <f t="shared" si="866"/>
        <v>0.35410637610266438</v>
      </c>
      <c r="U820" s="1526">
        <f>AC820+1%</f>
        <v>0.01</v>
      </c>
      <c r="V820" s="1526">
        <f t="shared" ref="V820:Z820" si="867">U820</f>
        <v>0.01</v>
      </c>
      <c r="W820" s="1526">
        <f t="shared" si="867"/>
        <v>0.01</v>
      </c>
      <c r="X820" s="1526">
        <f t="shared" si="867"/>
        <v>0.01</v>
      </c>
      <c r="Y820" s="1526">
        <f t="shared" si="867"/>
        <v>0.01</v>
      </c>
      <c r="Z820" s="1526">
        <f t="shared" si="867"/>
        <v>0.01</v>
      </c>
      <c r="AC820" s="1175"/>
      <c r="AD820" s="1176"/>
      <c r="AE820" s="1176"/>
      <c r="AF820" s="1176"/>
      <c r="AG820" s="1176"/>
      <c r="AH820" s="1176"/>
      <c r="AK820" s="1526">
        <f>AC820-1%</f>
        <v>-0.01</v>
      </c>
      <c r="AL820" s="1526">
        <f t="shared" ref="AL820:AP820" si="868">AK820</f>
        <v>-0.01</v>
      </c>
      <c r="AM820" s="1526">
        <f t="shared" si="868"/>
        <v>-0.01</v>
      </c>
      <c r="AN820" s="1526">
        <f t="shared" si="868"/>
        <v>-0.01</v>
      </c>
      <c r="AO820" s="1526">
        <f t="shared" si="868"/>
        <v>-0.01</v>
      </c>
      <c r="AP820" s="1526">
        <f t="shared" si="868"/>
        <v>-0.01</v>
      </c>
    </row>
    <row r="821" spans="1:43" outlineLevel="2"/>
    <row r="822" spans="1:43" s="1126" customFormat="1" outlineLevel="3">
      <c r="A822" s="26" t="s">
        <v>8</v>
      </c>
      <c r="B822" s="26"/>
      <c r="C822" s="26" t="s">
        <v>1158</v>
      </c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408"/>
      <c r="U822" s="1518"/>
      <c r="V822" s="1518"/>
      <c r="W822" s="1518"/>
      <c r="X822" s="1518"/>
      <c r="Y822" s="1518"/>
      <c r="Z822" s="1518"/>
      <c r="AA822" s="1518"/>
      <c r="AC822" s="26"/>
      <c r="AD822" s="26"/>
      <c r="AE822" s="26"/>
      <c r="AF822" s="26"/>
      <c r="AG822" s="26"/>
      <c r="AH822" s="26"/>
      <c r="AI822" s="18"/>
      <c r="AK822" s="1518"/>
      <c r="AL822" s="1518"/>
      <c r="AM822" s="1518"/>
      <c r="AN822" s="1518"/>
      <c r="AO822" s="1518"/>
      <c r="AP822" s="1518"/>
      <c r="AQ822" s="1518"/>
    </row>
    <row r="823" spans="1:43" outlineLevel="3">
      <c r="L823" s="836">
        <f>L848/K848</f>
        <v>1.197412208056446</v>
      </c>
      <c r="M823" s="836">
        <f>M848/K848</f>
        <v>0.73587030617075255</v>
      </c>
    </row>
    <row r="824" spans="1:43" s="1126" customFormat="1" outlineLevel="3">
      <c r="A824" s="18"/>
      <c r="B824" s="18"/>
      <c r="C824" s="18" t="s">
        <v>840</v>
      </c>
      <c r="D824" s="18"/>
      <c r="E824" s="18"/>
      <c r="F824" s="18"/>
      <c r="G824" s="18"/>
      <c r="H824" s="23">
        <f>SUM(H825:H829)</f>
        <v>4131156.1430000016</v>
      </c>
      <c r="I824" s="23">
        <f t="shared" ref="I824:K824" si="869">SUM(I825:I829)</f>
        <v>2266548.7609994994</v>
      </c>
      <c r="J824" s="23">
        <f t="shared" si="869"/>
        <v>2183324.799999998</v>
      </c>
      <c r="K824" s="23">
        <f t="shared" si="869"/>
        <v>2943267</v>
      </c>
      <c r="L824" s="23">
        <f>SUM(L825:L829)</f>
        <v>3447283.5429994096</v>
      </c>
      <c r="M824" s="23">
        <f>SUM(M825:M829)</f>
        <v>2220338.1391466218</v>
      </c>
      <c r="N824" s="23">
        <f t="shared" ref="N824:S824" si="870">SUM(N825:N829)</f>
        <v>3838311.4229862783</v>
      </c>
      <c r="O824" s="23">
        <f t="shared" si="870"/>
        <v>4382740.2792077679</v>
      </c>
      <c r="P824" s="23">
        <f t="shared" si="870"/>
        <v>5076909.7711396078</v>
      </c>
      <c r="Q824" s="23">
        <f t="shared" si="870"/>
        <v>5801680.1234626565</v>
      </c>
      <c r="R824" s="23">
        <f t="shared" si="870"/>
        <v>6625822.0019952096</v>
      </c>
      <c r="S824" s="23">
        <f t="shared" si="870"/>
        <v>7569049.8905526213</v>
      </c>
      <c r="T824" s="408"/>
      <c r="U824" s="1519">
        <f>$L824*(1+$AA824)</f>
        <v>3964376.0744493208</v>
      </c>
      <c r="V824" s="1519">
        <f>U824*(1+$AA824)</f>
        <v>4559032.4856167184</v>
      </c>
      <c r="W824" s="1519">
        <f>V824*(1+$AA824)</f>
        <v>5242887.3584592259</v>
      </c>
      <c r="X824" s="1519">
        <f>W824*(1+$AA824)</f>
        <v>6029320.4622281091</v>
      </c>
      <c r="Y824" s="1519">
        <f>X824*(1+$AA824)</f>
        <v>6933718.5315623246</v>
      </c>
      <c r="Z824" s="1519">
        <f t="shared" ref="Z824" si="871">Y824*(1+$AA824)</f>
        <v>7973776.3112966726</v>
      </c>
      <c r="AA824" s="1520">
        <v>0.15</v>
      </c>
      <c r="AB824" s="1321"/>
      <c r="AC824" s="20"/>
      <c r="AD824" s="20"/>
      <c r="AE824" s="20"/>
      <c r="AF824" s="20"/>
      <c r="AG824" s="20"/>
      <c r="AH824" s="20"/>
      <c r="AI824" s="702"/>
      <c r="AJ824" s="1321"/>
      <c r="AK824" s="1519">
        <f>$L824*(1+$AQ824)</f>
        <v>3619647.7201493802</v>
      </c>
      <c r="AL824" s="1519">
        <f>AK824*(1+$AQ824)</f>
        <v>3800630.1061568493</v>
      </c>
      <c r="AM824" s="1519">
        <f t="shared" ref="AM824" si="872">AL824*(1+$AQ824)</f>
        <v>3990661.6114646918</v>
      </c>
      <c r="AN824" s="1519">
        <f t="shared" ref="AN824" si="873">AM824*(1+$AQ824)</f>
        <v>4190194.6920379265</v>
      </c>
      <c r="AO824" s="1519">
        <f>AN824*(1+$AQ824)</f>
        <v>4399704.4266398232</v>
      </c>
      <c r="AP824" s="1519">
        <f t="shared" ref="AP824" si="874">AO824*(1+$AQ824)</f>
        <v>4619689.6479718145</v>
      </c>
      <c r="AQ824" s="1520">
        <v>0.05</v>
      </c>
    </row>
    <row r="825" spans="1:43" outlineLevel="3">
      <c r="D825" s="27" t="s">
        <v>841</v>
      </c>
      <c r="E825" s="28"/>
      <c r="F825" s="28"/>
      <c r="G825" s="28"/>
      <c r="H825" s="398">
        <v>112014.72999999995</v>
      </c>
      <c r="I825" s="398">
        <v>89463.950000000099</v>
      </c>
      <c r="J825" s="398">
        <v>75619.320000000022</v>
      </c>
      <c r="K825" s="398">
        <v>423499</v>
      </c>
      <c r="L825" s="398">
        <v>469226.59</v>
      </c>
      <c r="M825" s="398">
        <v>247351.41999999975</v>
      </c>
      <c r="N825" s="703">
        <f>L825*(1+N831)</f>
        <v>563071.90800000005</v>
      </c>
      <c r="O825" s="29">
        <f>N825*(1+O831)</f>
        <v>675686.28960000002</v>
      </c>
      <c r="P825" s="29">
        <f t="shared" ref="P825:P829" si="875">O825*(1+P831)</f>
        <v>810823.54752000002</v>
      </c>
      <c r="Q825" s="29">
        <f t="shared" ref="Q825:Q829" si="876">P825*(1+Q831)</f>
        <v>891905.90227200009</v>
      </c>
      <c r="R825" s="29">
        <f t="shared" ref="R825:R829" si="877">Q825*(1+R831)</f>
        <v>981096.49249920016</v>
      </c>
      <c r="S825" s="30">
        <f t="shared" ref="S825:S829" si="878">R825*(1+S831)</f>
        <v>1079206.1417491203</v>
      </c>
    </row>
    <row r="826" spans="1:43" outlineLevel="3">
      <c r="D826" s="31" t="s">
        <v>842</v>
      </c>
      <c r="H826" s="400">
        <v>15267.880000000001</v>
      </c>
      <c r="I826" s="400">
        <v>25566.288999499997</v>
      </c>
      <c r="J826" s="400">
        <v>50519.560000000012</v>
      </c>
      <c r="K826" s="400">
        <v>59570</v>
      </c>
      <c r="L826" s="400">
        <v>68745.367999999973</v>
      </c>
      <c r="M826" s="400">
        <v>23766.380000000005</v>
      </c>
      <c r="N826" s="704">
        <f t="shared" ref="N826:N829" si="879">L826*(1+N832)</f>
        <v>75619.904799999975</v>
      </c>
      <c r="O826" s="20">
        <f t="shared" ref="O826:O829" si="880">N826*(1+O832)</f>
        <v>86962.890519999957</v>
      </c>
      <c r="P826" s="20">
        <f t="shared" si="875"/>
        <v>104355.46862399994</v>
      </c>
      <c r="Q826" s="20">
        <f t="shared" si="876"/>
        <v>125226.56234879993</v>
      </c>
      <c r="R826" s="20">
        <f t="shared" si="877"/>
        <v>144010.54670111989</v>
      </c>
      <c r="S826" s="32">
        <f t="shared" si="878"/>
        <v>165612.12870628785</v>
      </c>
    </row>
    <row r="827" spans="1:43" outlineLevel="3">
      <c r="D827" s="31" t="s">
        <v>843</v>
      </c>
      <c r="H827" s="400">
        <v>1032546.9080000017</v>
      </c>
      <c r="I827" s="400">
        <v>845929.23700000008</v>
      </c>
      <c r="J827" s="400">
        <v>848586.73499999999</v>
      </c>
      <c r="K827" s="400">
        <v>962008</v>
      </c>
      <c r="L827" s="400">
        <v>1134337.6257379553</v>
      </c>
      <c r="M827" s="400">
        <v>668298.09999999928</v>
      </c>
      <c r="N827" s="704">
        <f t="shared" si="879"/>
        <v>1247771.388311751</v>
      </c>
      <c r="O827" s="20">
        <f t="shared" si="880"/>
        <v>1434937.0965585136</v>
      </c>
      <c r="P827" s="20">
        <f t="shared" si="875"/>
        <v>1650177.6610422905</v>
      </c>
      <c r="Q827" s="20">
        <f t="shared" si="876"/>
        <v>1897704.3101986339</v>
      </c>
      <c r="R827" s="20">
        <f t="shared" si="877"/>
        <v>2182359.9567284291</v>
      </c>
      <c r="S827" s="32">
        <f t="shared" si="878"/>
        <v>2509713.9502376933</v>
      </c>
    </row>
    <row r="828" spans="1:43" outlineLevel="3">
      <c r="D828" s="31" t="s">
        <v>844</v>
      </c>
      <c r="H828" s="400">
        <v>1969036.625</v>
      </c>
      <c r="I828" s="400">
        <v>1291419.2849999992</v>
      </c>
      <c r="J828" s="400">
        <v>1139233.184999998</v>
      </c>
      <c r="K828" s="400">
        <v>1487782</v>
      </c>
      <c r="L828" s="400">
        <v>1762511.2930000029</v>
      </c>
      <c r="M828" s="400">
        <v>1273263.3009999979</v>
      </c>
      <c r="N828" s="704">
        <f t="shared" si="879"/>
        <v>1938762.4223000032</v>
      </c>
      <c r="O828" s="20">
        <f t="shared" si="880"/>
        <v>2171413.9129760037</v>
      </c>
      <c r="P828" s="20">
        <f t="shared" si="875"/>
        <v>2497125.9999224041</v>
      </c>
      <c r="Q828" s="20">
        <f t="shared" si="876"/>
        <v>2871694.8999107643</v>
      </c>
      <c r="R828" s="20">
        <f t="shared" si="877"/>
        <v>3302449.1348973787</v>
      </c>
      <c r="S828" s="32">
        <f t="shared" si="878"/>
        <v>3797816.5051319851</v>
      </c>
    </row>
    <row r="829" spans="1:43" outlineLevel="3">
      <c r="D829" s="33" t="s">
        <v>665</v>
      </c>
      <c r="E829" s="34"/>
      <c r="F829" s="34"/>
      <c r="G829" s="34"/>
      <c r="H829" s="402">
        <v>1002290</v>
      </c>
      <c r="I829" s="402">
        <v>14170</v>
      </c>
      <c r="J829" s="402">
        <v>69366</v>
      </c>
      <c r="K829" s="402">
        <v>10408</v>
      </c>
      <c r="L829" s="1198">
        <f t="shared" ref="L829:M829" si="881">L853/L847</f>
        <v>12462.66626145149</v>
      </c>
      <c r="M829" s="1199">
        <f t="shared" si="881"/>
        <v>7658.9381466251916</v>
      </c>
      <c r="N829" s="705">
        <f t="shared" si="879"/>
        <v>13085.799574524064</v>
      </c>
      <c r="O829" s="35">
        <f t="shared" si="880"/>
        <v>13740.089553250267</v>
      </c>
      <c r="P829" s="35">
        <f t="shared" si="875"/>
        <v>14427.094030912782</v>
      </c>
      <c r="Q829" s="35">
        <f t="shared" si="876"/>
        <v>15148.448732458422</v>
      </c>
      <c r="R829" s="35">
        <f t="shared" si="877"/>
        <v>15905.871169081343</v>
      </c>
      <c r="S829" s="36">
        <f t="shared" si="878"/>
        <v>16701.164727535412</v>
      </c>
      <c r="AC829" s="448"/>
      <c r="AD829" s="448"/>
      <c r="AE829" s="448"/>
      <c r="AF829" s="448"/>
      <c r="AG829" s="448"/>
      <c r="AH829" s="448"/>
    </row>
    <row r="830" spans="1:43" s="1365" customFormat="1" outlineLevel="3">
      <c r="A830" s="22"/>
      <c r="B830" s="22"/>
      <c r="C830" s="22" t="s">
        <v>847</v>
      </c>
      <c r="D830" s="22"/>
      <c r="E830" s="22"/>
      <c r="F830" s="22"/>
      <c r="G830" s="22"/>
      <c r="H830" s="219"/>
      <c r="I830" s="24">
        <f>I824/H824-1</f>
        <v>-0.45135243439296491</v>
      </c>
      <c r="J830" s="24">
        <f>J824/I824-1</f>
        <v>-3.6718363368808071E-2</v>
      </c>
      <c r="K830" s="24"/>
      <c r="L830" s="793">
        <f>L824/J824-1</f>
        <v>0.57891466400208191</v>
      </c>
      <c r="M830" s="24"/>
      <c r="N830" s="24">
        <f>N824/L824-1</f>
        <v>0.11343072744362748</v>
      </c>
      <c r="O830" s="24">
        <f>O824/N824-1</f>
        <v>0.14184072010444471</v>
      </c>
      <c r="P830" s="24">
        <f t="shared" ref="P830" si="882">P824/O824-1</f>
        <v>0.15838709293933317</v>
      </c>
      <c r="Q830" s="24">
        <f t="shared" ref="Q830" si="883">Q824/P824-1</f>
        <v>0.14275817081546438</v>
      </c>
      <c r="R830" s="24">
        <f t="shared" ref="R830" si="884">R824/Q824-1</f>
        <v>0.14205227813226529</v>
      </c>
      <c r="S830" s="24">
        <f t="shared" ref="S830" si="885">S824/R824-1</f>
        <v>0.1423563579391931</v>
      </c>
      <c r="T830" s="726"/>
      <c r="U830" s="1521"/>
      <c r="V830" s="1521"/>
      <c r="W830" s="1521"/>
      <c r="X830" s="1521"/>
      <c r="Y830" s="1521"/>
      <c r="Z830" s="1521"/>
      <c r="AA830" s="1522"/>
      <c r="AC830" s="219"/>
      <c r="AD830" s="219"/>
      <c r="AE830" s="219"/>
      <c r="AF830" s="219"/>
      <c r="AG830" s="219"/>
      <c r="AH830" s="219"/>
      <c r="AI830" s="706"/>
      <c r="AK830" s="1521"/>
      <c r="AL830" s="1521"/>
      <c r="AM830" s="1521"/>
      <c r="AN830" s="1521"/>
      <c r="AO830" s="1521"/>
      <c r="AP830" s="1521"/>
      <c r="AQ830" s="1522"/>
    </row>
    <row r="831" spans="1:43" s="1365" customFormat="1" outlineLevel="3">
      <c r="A831" s="22"/>
      <c r="B831" s="22"/>
      <c r="C831" s="22"/>
      <c r="D831" s="707" t="s">
        <v>841</v>
      </c>
      <c r="E831" s="708"/>
      <c r="F831" s="708"/>
      <c r="G831" s="708"/>
      <c r="H831" s="709"/>
      <c r="I831" s="710">
        <f t="shared" ref="I831:I833" si="886">I825/H825-1</f>
        <v>-0.20131977285487246</v>
      </c>
      <c r="J831" s="710">
        <f t="shared" ref="J831:J833" si="887">J825/I825-1</f>
        <v>-0.154750935991537</v>
      </c>
      <c r="K831" s="710"/>
      <c r="L831" s="710">
        <f>L825/J825-1</f>
        <v>5.2051151742702775</v>
      </c>
      <c r="M831" s="727"/>
      <c r="N831" s="711">
        <f t="shared" ref="N831:N835" si="888">CHOOSE(case,U831,AC831,AK831)</f>
        <v>0.2</v>
      </c>
      <c r="O831" s="712">
        <f t="shared" ref="O831:O835" si="889">CHOOSE(case,V831,AD831,AL831)</f>
        <v>0.2</v>
      </c>
      <c r="P831" s="712">
        <f t="shared" ref="P831:P835" si="890">CHOOSE(case,W831,AE831,AM831)</f>
        <v>0.2</v>
      </c>
      <c r="Q831" s="712">
        <f t="shared" ref="Q831:Q835" si="891">CHOOSE(case,X831,AF831,AN831)</f>
        <v>0.1</v>
      </c>
      <c r="R831" s="712">
        <f t="shared" ref="R831:R835" si="892">CHOOSE(case,Y831,AG831,AO831)</f>
        <v>0.1</v>
      </c>
      <c r="S831" s="713">
        <f t="shared" ref="S831:S835" si="893">CHOOSE(case,Z831,AH831,AP831)</f>
        <v>0.1</v>
      </c>
      <c r="T831" s="726"/>
      <c r="U831" s="1521"/>
      <c r="V831" s="1521"/>
      <c r="W831" s="1521"/>
      <c r="X831" s="1521"/>
      <c r="Y831" s="1521"/>
      <c r="Z831" s="1521"/>
      <c r="AA831" s="1523"/>
      <c r="AC831" s="714">
        <v>0.2</v>
      </c>
      <c r="AD831" s="714">
        <v>0.2</v>
      </c>
      <c r="AE831" s="714">
        <v>0.2</v>
      </c>
      <c r="AF831" s="714">
        <v>0.1</v>
      </c>
      <c r="AG831" s="714">
        <v>0.1</v>
      </c>
      <c r="AH831" s="714">
        <v>0.1</v>
      </c>
      <c r="AI831" s="22"/>
      <c r="AK831" s="1521"/>
      <c r="AL831" s="1521"/>
      <c r="AM831" s="1521"/>
      <c r="AN831" s="1521"/>
      <c r="AO831" s="1521"/>
      <c r="AP831" s="1521"/>
      <c r="AQ831" s="1523"/>
    </row>
    <row r="832" spans="1:43" s="1365" customFormat="1" outlineLevel="3">
      <c r="A832" s="22"/>
      <c r="B832" s="22"/>
      <c r="C832" s="22"/>
      <c r="D832" s="715" t="s">
        <v>842</v>
      </c>
      <c r="E832" s="22"/>
      <c r="F832" s="22"/>
      <c r="G832" s="22"/>
      <c r="H832" s="219"/>
      <c r="I832" s="175">
        <f t="shared" si="886"/>
        <v>0.67451466736049759</v>
      </c>
      <c r="J832" s="175">
        <f t="shared" si="887"/>
        <v>0.97602240986120559</v>
      </c>
      <c r="K832" s="175"/>
      <c r="L832" s="175">
        <f t="shared" ref="L832:L835" si="894">L826/J826-1</f>
        <v>0.36076735426832607</v>
      </c>
      <c r="M832" s="729"/>
      <c r="N832" s="716">
        <f t="shared" si="888"/>
        <v>0.1</v>
      </c>
      <c r="O832" s="717">
        <f t="shared" si="889"/>
        <v>0.15</v>
      </c>
      <c r="P832" s="717">
        <f t="shared" si="890"/>
        <v>0.2</v>
      </c>
      <c r="Q832" s="717">
        <f t="shared" si="891"/>
        <v>0.2</v>
      </c>
      <c r="R832" s="717">
        <f t="shared" si="892"/>
        <v>0.15</v>
      </c>
      <c r="S832" s="718">
        <f t="shared" si="893"/>
        <v>0.15</v>
      </c>
      <c r="T832" s="726"/>
      <c r="U832" s="1521"/>
      <c r="V832" s="1521"/>
      <c r="W832" s="1521"/>
      <c r="X832" s="1521"/>
      <c r="Y832" s="1521"/>
      <c r="Z832" s="1521"/>
      <c r="AA832" s="1523"/>
      <c r="AC832" s="714">
        <v>0.1</v>
      </c>
      <c r="AD832" s="714">
        <v>0.15</v>
      </c>
      <c r="AE832" s="714">
        <v>0.2</v>
      </c>
      <c r="AF832" s="714">
        <v>0.2</v>
      </c>
      <c r="AG832" s="714">
        <v>0.15</v>
      </c>
      <c r="AH832" s="714">
        <v>0.15</v>
      </c>
      <c r="AI832" s="22"/>
      <c r="AK832" s="1521"/>
      <c r="AL832" s="1521"/>
      <c r="AM832" s="1521"/>
      <c r="AN832" s="1521"/>
      <c r="AO832" s="1521"/>
      <c r="AP832" s="1521"/>
      <c r="AQ832" s="1523"/>
    </row>
    <row r="833" spans="1:43" s="1365" customFormat="1" outlineLevel="3">
      <c r="A833" s="22"/>
      <c r="B833" s="22"/>
      <c r="C833" s="22"/>
      <c r="D833" s="715" t="s">
        <v>843</v>
      </c>
      <c r="E833" s="22"/>
      <c r="F833" s="22"/>
      <c r="G833" s="22"/>
      <c r="H833" s="219"/>
      <c r="I833" s="175">
        <f t="shared" si="886"/>
        <v>-0.18073529595035243</v>
      </c>
      <c r="J833" s="175">
        <f t="shared" si="887"/>
        <v>3.1415133604135725E-3</v>
      </c>
      <c r="K833" s="175"/>
      <c r="L833" s="175">
        <f t="shared" si="894"/>
        <v>0.33673739990521456</v>
      </c>
      <c r="M833" s="729"/>
      <c r="N833" s="716">
        <f t="shared" si="888"/>
        <v>0.1</v>
      </c>
      <c r="O833" s="717">
        <f t="shared" si="889"/>
        <v>0.15</v>
      </c>
      <c r="P833" s="717">
        <f t="shared" si="890"/>
        <v>0.15</v>
      </c>
      <c r="Q833" s="717">
        <f t="shared" si="891"/>
        <v>0.15</v>
      </c>
      <c r="R833" s="717">
        <f t="shared" si="892"/>
        <v>0.15</v>
      </c>
      <c r="S833" s="718">
        <f t="shared" si="893"/>
        <v>0.15</v>
      </c>
      <c r="T833" s="726"/>
      <c r="U833" s="1521"/>
      <c r="V833" s="1521"/>
      <c r="W833" s="1521"/>
      <c r="X833" s="1521"/>
      <c r="Y833" s="1521"/>
      <c r="Z833" s="1521"/>
      <c r="AA833" s="1523"/>
      <c r="AC833" s="714">
        <v>0.1</v>
      </c>
      <c r="AD833" s="714">
        <v>0.15</v>
      </c>
      <c r="AE833" s="714">
        <v>0.15</v>
      </c>
      <c r="AF833" s="714">
        <v>0.15</v>
      </c>
      <c r="AG833" s="714">
        <v>0.15</v>
      </c>
      <c r="AH833" s="714">
        <v>0.15</v>
      </c>
      <c r="AI833" s="22"/>
      <c r="AK833" s="1521"/>
      <c r="AL833" s="1521"/>
      <c r="AM833" s="1521"/>
      <c r="AN833" s="1521"/>
      <c r="AO833" s="1521"/>
      <c r="AP833" s="1521"/>
      <c r="AQ833" s="1523"/>
    </row>
    <row r="834" spans="1:43" s="1365" customFormat="1" outlineLevel="3">
      <c r="A834" s="22"/>
      <c r="B834" s="22"/>
      <c r="C834" s="22"/>
      <c r="D834" s="715" t="s">
        <v>844</v>
      </c>
      <c r="E834" s="22"/>
      <c r="F834" s="22"/>
      <c r="G834" s="22"/>
      <c r="H834" s="219"/>
      <c r="I834" s="175">
        <f>I828/H828-1</f>
        <v>-0.34413648349481607</v>
      </c>
      <c r="J834" s="175">
        <f>J828/I828-1</f>
        <v>-0.11784406642185252</v>
      </c>
      <c r="K834" s="175"/>
      <c r="L834" s="175">
        <f t="shared" si="894"/>
        <v>0.54710318853642415</v>
      </c>
      <c r="M834" s="729"/>
      <c r="N834" s="716">
        <f t="shared" si="888"/>
        <v>0.1</v>
      </c>
      <c r="O834" s="717">
        <f t="shared" si="889"/>
        <v>0.12</v>
      </c>
      <c r="P834" s="717">
        <f t="shared" si="890"/>
        <v>0.15</v>
      </c>
      <c r="Q834" s="717">
        <f t="shared" si="891"/>
        <v>0.15</v>
      </c>
      <c r="R834" s="717">
        <f t="shared" si="892"/>
        <v>0.15</v>
      </c>
      <c r="S834" s="718">
        <f t="shared" si="893"/>
        <v>0.15</v>
      </c>
      <c r="T834" s="726"/>
      <c r="U834" s="1521"/>
      <c r="V834" s="1521"/>
      <c r="W834" s="1521"/>
      <c r="X834" s="1521"/>
      <c r="Y834" s="1521"/>
      <c r="Z834" s="1521"/>
      <c r="AA834" s="1523"/>
      <c r="AC834" s="714">
        <v>0.1</v>
      </c>
      <c r="AD834" s="714">
        <v>0.12</v>
      </c>
      <c r="AE834" s="714">
        <v>0.15</v>
      </c>
      <c r="AF834" s="714">
        <v>0.15</v>
      </c>
      <c r="AG834" s="714">
        <v>0.15</v>
      </c>
      <c r="AH834" s="714">
        <v>0.15</v>
      </c>
      <c r="AI834" s="22"/>
      <c r="AK834" s="1521"/>
      <c r="AL834" s="1521"/>
      <c r="AM834" s="1521"/>
      <c r="AN834" s="1521"/>
      <c r="AO834" s="1521"/>
      <c r="AP834" s="1521"/>
      <c r="AQ834" s="1523"/>
    </row>
    <row r="835" spans="1:43" s="1365" customFormat="1" outlineLevel="3">
      <c r="A835" s="22"/>
      <c r="B835" s="22"/>
      <c r="C835" s="22"/>
      <c r="D835" s="719" t="s">
        <v>665</v>
      </c>
      <c r="E835" s="720"/>
      <c r="F835" s="720"/>
      <c r="G835" s="720"/>
      <c r="H835" s="721"/>
      <c r="I835" s="722">
        <f t="shared" ref="I835" si="895">I829/H829-1</f>
        <v>-0.9858623751608816</v>
      </c>
      <c r="J835" s="722">
        <f t="shared" ref="J835" si="896">J829/I829-1</f>
        <v>3.8952717007762878</v>
      </c>
      <c r="K835" s="722"/>
      <c r="L835" s="722">
        <f t="shared" si="894"/>
        <v>-0.82033465586236065</v>
      </c>
      <c r="M835" s="730"/>
      <c r="N835" s="723">
        <f t="shared" si="888"/>
        <v>0.05</v>
      </c>
      <c r="O835" s="724">
        <f t="shared" si="889"/>
        <v>0.05</v>
      </c>
      <c r="P835" s="724">
        <f t="shared" si="890"/>
        <v>0.05</v>
      </c>
      <c r="Q835" s="724">
        <f t="shared" si="891"/>
        <v>0.05</v>
      </c>
      <c r="R835" s="724">
        <f t="shared" si="892"/>
        <v>0.05</v>
      </c>
      <c r="S835" s="725">
        <f t="shared" si="893"/>
        <v>0.05</v>
      </c>
      <c r="T835" s="726"/>
      <c r="U835" s="1521"/>
      <c r="V835" s="1521"/>
      <c r="W835" s="1521"/>
      <c r="X835" s="1521"/>
      <c r="Y835" s="1521"/>
      <c r="Z835" s="1521"/>
      <c r="AA835" s="1523"/>
      <c r="AC835" s="714">
        <v>0.05</v>
      </c>
      <c r="AD835" s="714">
        <v>0.05</v>
      </c>
      <c r="AE835" s="714">
        <v>0.05</v>
      </c>
      <c r="AF835" s="714">
        <v>0.05</v>
      </c>
      <c r="AG835" s="714">
        <v>0.05</v>
      </c>
      <c r="AH835" s="714">
        <v>0.05</v>
      </c>
      <c r="AI835" s="22"/>
      <c r="AK835" s="1521"/>
      <c r="AL835" s="1521"/>
      <c r="AM835" s="1521"/>
      <c r="AN835" s="1521"/>
      <c r="AO835" s="1521"/>
      <c r="AP835" s="1521"/>
      <c r="AQ835" s="1523"/>
    </row>
    <row r="836" spans="1:43" s="1365" customFormat="1" outlineLevel="3">
      <c r="A836" s="22"/>
      <c r="B836" s="22"/>
      <c r="C836" s="22" t="s">
        <v>848</v>
      </c>
      <c r="D836" s="22"/>
      <c r="E836" s="22"/>
      <c r="F836" s="22"/>
      <c r="G836" s="22"/>
      <c r="H836" s="24">
        <f>H824/H$824</f>
        <v>1</v>
      </c>
      <c r="I836" s="24">
        <f t="shared" ref="I836:S836" si="897">I824/I$824</f>
        <v>1</v>
      </c>
      <c r="J836" s="24">
        <f t="shared" si="897"/>
        <v>1</v>
      </c>
      <c r="K836" s="24">
        <f t="shared" si="897"/>
        <v>1</v>
      </c>
      <c r="L836" s="24">
        <f t="shared" si="897"/>
        <v>1</v>
      </c>
      <c r="M836" s="24">
        <f t="shared" si="897"/>
        <v>1</v>
      </c>
      <c r="N836" s="24">
        <f t="shared" si="897"/>
        <v>1</v>
      </c>
      <c r="O836" s="24">
        <f t="shared" si="897"/>
        <v>1</v>
      </c>
      <c r="P836" s="24">
        <f t="shared" si="897"/>
        <v>1</v>
      </c>
      <c r="Q836" s="24">
        <f t="shared" si="897"/>
        <v>1</v>
      </c>
      <c r="R836" s="24">
        <f t="shared" si="897"/>
        <v>1</v>
      </c>
      <c r="S836" s="24">
        <f t="shared" si="897"/>
        <v>1</v>
      </c>
      <c r="T836" s="726"/>
      <c r="U836" s="1521"/>
      <c r="V836" s="1521"/>
      <c r="W836" s="1521"/>
      <c r="X836" s="1521"/>
      <c r="Y836" s="1521"/>
      <c r="Z836" s="1521"/>
      <c r="AA836" s="1522"/>
      <c r="AC836" s="219"/>
      <c r="AD836" s="219"/>
      <c r="AE836" s="219"/>
      <c r="AF836" s="219"/>
      <c r="AG836" s="219"/>
      <c r="AH836" s="219"/>
      <c r="AI836" s="706"/>
      <c r="AK836" s="1521"/>
      <c r="AL836" s="1521"/>
      <c r="AM836" s="1521"/>
      <c r="AN836" s="1521"/>
      <c r="AO836" s="1521"/>
      <c r="AP836" s="1521"/>
      <c r="AQ836" s="1522"/>
    </row>
    <row r="837" spans="1:43" s="1365" customFormat="1" outlineLevel="3">
      <c r="A837" s="22"/>
      <c r="B837" s="22"/>
      <c r="C837" s="22"/>
      <c r="D837" s="707" t="s">
        <v>841</v>
      </c>
      <c r="E837" s="708"/>
      <c r="F837" s="708"/>
      <c r="G837" s="708"/>
      <c r="H837" s="793">
        <f t="shared" ref="H837:S837" si="898">H825/H$824</f>
        <v>2.7114620247361564E-2</v>
      </c>
      <c r="I837" s="793">
        <f t="shared" si="898"/>
        <v>3.9471442900062922E-2</v>
      </c>
      <c r="J837" s="793">
        <f t="shared" si="898"/>
        <v>3.4634938420522725E-2</v>
      </c>
      <c r="K837" s="793">
        <f t="shared" si="898"/>
        <v>0.14388738772255455</v>
      </c>
      <c r="L837" s="793">
        <f t="shared" si="898"/>
        <v>0.13611488122376372</v>
      </c>
      <c r="M837" s="793">
        <f t="shared" si="898"/>
        <v>0.11140259028071656</v>
      </c>
      <c r="N837" s="793">
        <f t="shared" si="898"/>
        <v>0.14669781733393575</v>
      </c>
      <c r="O837" s="793">
        <f t="shared" si="898"/>
        <v>0.15416982220131425</v>
      </c>
      <c r="P837" s="793">
        <f t="shared" si="898"/>
        <v>0.15970808701963507</v>
      </c>
      <c r="Q837" s="793">
        <f t="shared" si="898"/>
        <v>0.15373234706012676</v>
      </c>
      <c r="R837" s="793">
        <f t="shared" si="898"/>
        <v>0.14807166449744139</v>
      </c>
      <c r="S837" s="803">
        <f t="shared" si="898"/>
        <v>0.1425814543904832</v>
      </c>
      <c r="T837" s="726"/>
      <c r="U837" s="1521"/>
      <c r="V837" s="1521"/>
      <c r="W837" s="1521"/>
      <c r="X837" s="1521"/>
      <c r="Y837" s="1521"/>
      <c r="Z837" s="1521"/>
      <c r="AA837" s="1523"/>
      <c r="AC837" s="728"/>
      <c r="AD837" s="728"/>
      <c r="AE837" s="728"/>
      <c r="AF837" s="728"/>
      <c r="AG837" s="728"/>
      <c r="AH837" s="728"/>
      <c r="AI837" s="22"/>
      <c r="AK837" s="1521"/>
      <c r="AL837" s="1521"/>
      <c r="AM837" s="1521"/>
      <c r="AN837" s="1521"/>
      <c r="AO837" s="1521"/>
      <c r="AP837" s="1521"/>
      <c r="AQ837" s="1523"/>
    </row>
    <row r="838" spans="1:43" s="1365" customFormat="1" outlineLevel="3">
      <c r="A838" s="22"/>
      <c r="B838" s="22"/>
      <c r="C838" s="22"/>
      <c r="D838" s="715" t="s">
        <v>842</v>
      </c>
      <c r="E838" s="1141"/>
      <c r="F838" s="1141"/>
      <c r="G838" s="1141"/>
      <c r="H838" s="91">
        <f t="shared" ref="H838:S838" si="899">H826/H$824</f>
        <v>3.6957886537090871E-3</v>
      </c>
      <c r="I838" s="91">
        <f t="shared" si="899"/>
        <v>1.127983189217858E-2</v>
      </c>
      <c r="J838" s="91">
        <f t="shared" si="899"/>
        <v>2.3138820206686637E-2</v>
      </c>
      <c r="K838" s="91">
        <f t="shared" si="899"/>
        <v>2.0239414229154203E-2</v>
      </c>
      <c r="L838" s="91">
        <f t="shared" si="899"/>
        <v>1.9941895449709965E-2</v>
      </c>
      <c r="M838" s="91">
        <f t="shared" si="899"/>
        <v>1.0703946205749777E-2</v>
      </c>
      <c r="N838" s="91">
        <f t="shared" si="899"/>
        <v>1.9701346885804872E-2</v>
      </c>
      <c r="O838" s="91">
        <f t="shared" si="899"/>
        <v>1.9842127294779952E-2</v>
      </c>
      <c r="P838" s="91">
        <f t="shared" si="899"/>
        <v>2.055491890307426E-2</v>
      </c>
      <c r="Q838" s="91">
        <f t="shared" si="899"/>
        <v>2.1584534080458764E-2</v>
      </c>
      <c r="R838" s="91">
        <f t="shared" si="899"/>
        <v>2.173474425629824E-2</v>
      </c>
      <c r="S838" s="804">
        <f t="shared" si="899"/>
        <v>2.1880174011403748E-2</v>
      </c>
      <c r="T838" s="726"/>
      <c r="U838" s="1521"/>
      <c r="V838" s="1521"/>
      <c r="W838" s="1521"/>
      <c r="X838" s="1521"/>
      <c r="Y838" s="1521"/>
      <c r="Z838" s="1521"/>
      <c r="AA838" s="1523"/>
      <c r="AC838" s="728"/>
      <c r="AD838" s="728"/>
      <c r="AE838" s="728"/>
      <c r="AF838" s="728"/>
      <c r="AG838" s="728"/>
      <c r="AH838" s="728"/>
      <c r="AI838" s="22"/>
      <c r="AK838" s="1521"/>
      <c r="AL838" s="1521"/>
      <c r="AM838" s="1521"/>
      <c r="AN838" s="1521"/>
      <c r="AO838" s="1521"/>
      <c r="AP838" s="1521"/>
      <c r="AQ838" s="1523"/>
    </row>
    <row r="839" spans="1:43" s="1365" customFormat="1" outlineLevel="3">
      <c r="A839" s="22"/>
      <c r="B839" s="22"/>
      <c r="C839" s="22"/>
      <c r="D839" s="715" t="s">
        <v>843</v>
      </c>
      <c r="E839" s="1141"/>
      <c r="F839" s="1141"/>
      <c r="G839" s="1141"/>
      <c r="H839" s="91">
        <f t="shared" ref="H839:S839" si="900">H827/H$824</f>
        <v>0.24994138983334993</v>
      </c>
      <c r="I839" s="91">
        <f t="shared" si="900"/>
        <v>0.37322348919021864</v>
      </c>
      <c r="J839" s="91">
        <f t="shared" si="900"/>
        <v>0.38866719921836679</v>
      </c>
      <c r="K839" s="91">
        <f t="shared" si="900"/>
        <v>0.32685040127178405</v>
      </c>
      <c r="L839" s="91">
        <f t="shared" si="900"/>
        <v>0.32905260376435175</v>
      </c>
      <c r="M839" s="91">
        <f t="shared" si="900"/>
        <v>0.30098933501041286</v>
      </c>
      <c r="N839" s="91">
        <f t="shared" si="900"/>
        <v>0.32508341580604772</v>
      </c>
      <c r="O839" s="91">
        <f t="shared" si="900"/>
        <v>0.32740637253045152</v>
      </c>
      <c r="P839" s="91">
        <f t="shared" si="900"/>
        <v>0.32503584570735383</v>
      </c>
      <c r="Q839" s="91">
        <f t="shared" si="900"/>
        <v>0.32709564640147964</v>
      </c>
      <c r="R839" s="91">
        <f t="shared" si="900"/>
        <v>0.32937195657705004</v>
      </c>
      <c r="S839" s="804">
        <f t="shared" si="900"/>
        <v>0.33157582345575703</v>
      </c>
      <c r="T839" s="726"/>
      <c r="U839" s="1521"/>
      <c r="V839" s="1521"/>
      <c r="W839" s="1521"/>
      <c r="X839" s="1521"/>
      <c r="Y839" s="1521"/>
      <c r="Z839" s="1521"/>
      <c r="AA839" s="1523"/>
      <c r="AC839" s="728"/>
      <c r="AD839" s="728"/>
      <c r="AE839" s="728"/>
      <c r="AF839" s="728"/>
      <c r="AG839" s="728"/>
      <c r="AH839" s="728"/>
      <c r="AI839" s="22"/>
      <c r="AK839" s="1521"/>
      <c r="AL839" s="1521"/>
      <c r="AM839" s="1521"/>
      <c r="AN839" s="1521"/>
      <c r="AO839" s="1521"/>
      <c r="AP839" s="1521"/>
      <c r="AQ839" s="1523"/>
    </row>
    <row r="840" spans="1:43" s="1365" customFormat="1" outlineLevel="3">
      <c r="A840" s="22"/>
      <c r="B840" s="22"/>
      <c r="C840" s="22"/>
      <c r="D840" s="715" t="s">
        <v>844</v>
      </c>
      <c r="E840" s="1141"/>
      <c r="F840" s="1141"/>
      <c r="G840" s="1141"/>
      <c r="H840" s="91">
        <f t="shared" ref="H840:S840" si="901">H828/H$824</f>
        <v>0.47663088899130951</v>
      </c>
      <c r="I840" s="91">
        <f t="shared" si="901"/>
        <v>0.56977344022835452</v>
      </c>
      <c r="J840" s="91">
        <f t="shared" si="901"/>
        <v>0.52178823095858162</v>
      </c>
      <c r="K840" s="91">
        <f t="shared" si="901"/>
        <v>0.5054865902413882</v>
      </c>
      <c r="L840" s="91">
        <f t="shared" si="901"/>
        <v>0.51127540598719612</v>
      </c>
      <c r="M840" s="91">
        <f t="shared" si="901"/>
        <v>0.57345468176724268</v>
      </c>
      <c r="N840" s="91">
        <f t="shared" si="901"/>
        <v>0.50510816050241425</v>
      </c>
      <c r="O840" s="91">
        <f t="shared" si="901"/>
        <v>0.49544663261873972</v>
      </c>
      <c r="P840" s="91">
        <f t="shared" si="901"/>
        <v>0.49185944058286407</v>
      </c>
      <c r="Q840" s="91">
        <f t="shared" si="901"/>
        <v>0.49497642731065133</v>
      </c>
      <c r="R840" s="91">
        <f t="shared" si="901"/>
        <v>0.49842104630986528</v>
      </c>
      <c r="S840" s="804">
        <f t="shared" si="901"/>
        <v>0.50175604072477631</v>
      </c>
      <c r="T840" s="726"/>
      <c r="U840" s="1521"/>
      <c r="V840" s="1521"/>
      <c r="W840" s="1521"/>
      <c r="X840" s="1521"/>
      <c r="Y840" s="1521"/>
      <c r="Z840" s="1521"/>
      <c r="AA840" s="1523"/>
      <c r="AC840" s="728"/>
      <c r="AD840" s="728"/>
      <c r="AE840" s="728"/>
      <c r="AF840" s="728"/>
      <c r="AG840" s="728"/>
      <c r="AH840" s="728"/>
      <c r="AI840" s="22"/>
      <c r="AK840" s="1521"/>
      <c r="AL840" s="1521"/>
      <c r="AM840" s="1521"/>
      <c r="AN840" s="1521"/>
      <c r="AO840" s="1521"/>
      <c r="AP840" s="1521"/>
      <c r="AQ840" s="1523"/>
    </row>
    <row r="841" spans="1:43" s="1365" customFormat="1" outlineLevel="3">
      <c r="A841" s="22"/>
      <c r="B841" s="22"/>
      <c r="C841" s="22"/>
      <c r="D841" s="719" t="s">
        <v>665</v>
      </c>
      <c r="E841" s="720"/>
      <c r="F841" s="720"/>
      <c r="G841" s="720"/>
      <c r="H841" s="794">
        <f t="shared" ref="H841:S841" si="902">H829/H$824</f>
        <v>0.24261731227426994</v>
      </c>
      <c r="I841" s="794">
        <f t="shared" si="902"/>
        <v>6.2517957891853751E-3</v>
      </c>
      <c r="J841" s="794">
        <f t="shared" si="902"/>
        <v>3.1770811195842262E-2</v>
      </c>
      <c r="K841" s="794">
        <f t="shared" si="902"/>
        <v>3.5362065351189683E-3</v>
      </c>
      <c r="L841" s="794">
        <f t="shared" si="902"/>
        <v>3.6152135749785131E-3</v>
      </c>
      <c r="M841" s="794">
        <f t="shared" si="902"/>
        <v>3.4494467358782001E-3</v>
      </c>
      <c r="N841" s="794">
        <f t="shared" si="902"/>
        <v>3.4092594717973837E-3</v>
      </c>
      <c r="O841" s="794">
        <f t="shared" si="902"/>
        <v>3.13504535471446E-3</v>
      </c>
      <c r="P841" s="794">
        <f t="shared" si="902"/>
        <v>2.8417077870726763E-3</v>
      </c>
      <c r="Q841" s="794">
        <f t="shared" si="902"/>
        <v>2.6110451472835198E-3</v>
      </c>
      <c r="R841" s="794">
        <f t="shared" si="902"/>
        <v>2.4005883593449487E-3</v>
      </c>
      <c r="S841" s="805">
        <f t="shared" si="902"/>
        <v>2.2065074175797311E-3</v>
      </c>
      <c r="T841" s="726"/>
      <c r="U841" s="1521"/>
      <c r="V841" s="1521"/>
      <c r="W841" s="1521"/>
      <c r="X841" s="1521"/>
      <c r="Y841" s="1521"/>
      <c r="Z841" s="1521"/>
      <c r="AA841" s="1523"/>
      <c r="AC841" s="728"/>
      <c r="AD841" s="728"/>
      <c r="AE841" s="728"/>
      <c r="AF841" s="728"/>
      <c r="AG841" s="728"/>
      <c r="AH841" s="728"/>
      <c r="AI841" s="22"/>
      <c r="AK841" s="1521"/>
      <c r="AL841" s="1521"/>
      <c r="AM841" s="1521"/>
      <c r="AN841" s="1521"/>
      <c r="AO841" s="1521"/>
      <c r="AP841" s="1521"/>
      <c r="AQ841" s="1523"/>
    </row>
    <row r="842" spans="1:43" outlineLevel="3">
      <c r="C842" s="1" t="s">
        <v>31</v>
      </c>
      <c r="H842" s="806">
        <f t="shared" ref="H842:S842" si="903">IFERROR(H848/H824,"NA")</f>
        <v>5.5433876637182321E-2</v>
      </c>
      <c r="I842" s="806">
        <f t="shared" si="903"/>
        <v>8.9461124105966142E-2</v>
      </c>
      <c r="J842" s="806">
        <f t="shared" si="903"/>
        <v>0.10586148245098495</v>
      </c>
      <c r="K842" s="806">
        <f t="shared" si="903"/>
        <v>8.6845332074867831E-2</v>
      </c>
      <c r="L842" s="806">
        <f t="shared" si="903"/>
        <v>8.8785657829235462E-2</v>
      </c>
      <c r="M842" s="806">
        <f t="shared" si="903"/>
        <v>8.4714607101373088E-2</v>
      </c>
      <c r="N842" s="806">
        <f t="shared" si="903"/>
        <v>8.8872676265718042E-2</v>
      </c>
      <c r="O842" s="806">
        <f>IFERROR(O848/O824,"NA")</f>
        <v>8.9192301993846923E-2</v>
      </c>
      <c r="P842" s="806">
        <f t="shared" si="903"/>
        <v>8.9252543192241934E-2</v>
      </c>
      <c r="Q842" s="806">
        <f t="shared" si="903"/>
        <v>8.9375909040937174E-2</v>
      </c>
      <c r="R842" s="806">
        <f t="shared" si="903"/>
        <v>8.9364285158087892E-2</v>
      </c>
      <c r="S842" s="806">
        <f t="shared" si="903"/>
        <v>8.9354709320997441E-2</v>
      </c>
      <c r="U842" s="1529">
        <f>$L842*(1+$AA842)</f>
        <v>9.0561370985820178E-2</v>
      </c>
      <c r="V842" s="1529">
        <f>U842*(1+$AA842)</f>
        <v>9.2372598405536577E-2</v>
      </c>
      <c r="W842" s="1529">
        <f t="shared" ref="W842" si="904">V842*(1+$AA842)</f>
        <v>9.4220050373647307E-2</v>
      </c>
      <c r="X842" s="1529">
        <f t="shared" ref="X842" si="905">W842*(1+$AA842)</f>
        <v>9.6104451381120254E-2</v>
      </c>
      <c r="Y842" s="1529">
        <f t="shared" ref="Y842" si="906">X842*(1+$AA842)</f>
        <v>9.802654040874266E-2</v>
      </c>
      <c r="Z842" s="1529">
        <f t="shared" ref="Z842" si="907">Y842*(1+$AA842)</f>
        <v>9.9987071216917509E-2</v>
      </c>
      <c r="AA842" s="1520">
        <v>0.02</v>
      </c>
      <c r="AC842" s="448"/>
      <c r="AD842" s="448"/>
      <c r="AE842" s="448"/>
      <c r="AF842" s="448"/>
      <c r="AG842" s="448"/>
      <c r="AH842" s="448"/>
      <c r="AI842" s="702"/>
      <c r="AK842" s="1529">
        <f>$L842*(1+$AQ842)</f>
        <v>8.8785657829235462E-2</v>
      </c>
      <c r="AL842" s="1529">
        <f>AK842*(1+$AQ842)</f>
        <v>8.8785657829235462E-2</v>
      </c>
      <c r="AM842" s="1529">
        <f t="shared" ref="AM842" si="908">AL842*(1+$AQ842)</f>
        <v>8.8785657829235462E-2</v>
      </c>
      <c r="AN842" s="1529">
        <f t="shared" ref="AN842" si="909">AM842*(1+$AQ842)</f>
        <v>8.8785657829235462E-2</v>
      </c>
      <c r="AO842" s="1529">
        <f>AN842*(1+$AQ842)</f>
        <v>8.8785657829235462E-2</v>
      </c>
      <c r="AP842" s="1529">
        <f t="shared" ref="AP842" si="910">AO842*(1+$AQ842)</f>
        <v>8.8785657829235462E-2</v>
      </c>
      <c r="AQ842" s="1520">
        <v>0</v>
      </c>
    </row>
    <row r="843" spans="1:43" outlineLevel="3">
      <c r="D843" s="27" t="s">
        <v>841</v>
      </c>
      <c r="E843" s="28"/>
      <c r="F843" s="28"/>
      <c r="G843" s="28"/>
      <c r="H843" s="693">
        <f t="shared" ref="H843:M843" si="911">IFERROR(H849/H825,"NA")</f>
        <v>0.11759167745170662</v>
      </c>
      <c r="I843" s="693">
        <f t="shared" si="911"/>
        <v>0.15277662119770014</v>
      </c>
      <c r="J843" s="693">
        <f t="shared" si="911"/>
        <v>0.13681688753614812</v>
      </c>
      <c r="K843" s="693">
        <f t="shared" si="911"/>
        <v>6.7742780974689429E-2</v>
      </c>
      <c r="L843" s="693">
        <f>IFERROR(L849/L825,"NA")</f>
        <v>7.321102335000107E-2</v>
      </c>
      <c r="M843" s="693">
        <f t="shared" si="911"/>
        <v>8.5349755476369374E-2</v>
      </c>
      <c r="N843" s="819">
        <f>CHOOSE(case,U843,AC843,AK843)</f>
        <v>8.5349755476369374E-2</v>
      </c>
      <c r="O843" s="820">
        <f t="shared" ref="O843:O847" si="912">CHOOSE(case,V843,AD843,AL843)</f>
        <v>8.5349755476369374E-2</v>
      </c>
      <c r="P843" s="820">
        <f t="shared" ref="P843:P847" si="913">CHOOSE(case,W843,AE843,AM843)</f>
        <v>8.5349755476369374E-2</v>
      </c>
      <c r="Q843" s="820">
        <f t="shared" ref="Q843:Q847" si="914">CHOOSE(case,X843,AF843,AN843)</f>
        <v>8.5349755476369374E-2</v>
      </c>
      <c r="R843" s="820">
        <f t="shared" ref="R843:R847" si="915">CHOOSE(case,Y843,AG843,AO843)</f>
        <v>8.5349755476369374E-2</v>
      </c>
      <c r="S843" s="821">
        <f t="shared" ref="S843:S847" si="916">CHOOSE(case,Z843,AH843,AP843)</f>
        <v>8.5349755476369374E-2</v>
      </c>
      <c r="T843" s="993"/>
      <c r="U843" s="1530"/>
      <c r="V843" s="1530"/>
      <c r="W843" s="1530"/>
      <c r="X843" s="1530"/>
      <c r="Y843" s="1530"/>
      <c r="Z843" s="1530"/>
      <c r="AA843" s="1530"/>
      <c r="AB843" s="1371"/>
      <c r="AC843" s="783">
        <f>M843</f>
        <v>8.5349755476369374E-2</v>
      </c>
      <c r="AD843" s="783">
        <f t="shared" ref="AD843:AD847" si="917">AC843</f>
        <v>8.5349755476369374E-2</v>
      </c>
      <c r="AE843" s="783">
        <f t="shared" ref="AE843:AE847" si="918">AD843</f>
        <v>8.5349755476369374E-2</v>
      </c>
      <c r="AF843" s="783">
        <f t="shared" ref="AF843:AF847" si="919">AE843</f>
        <v>8.5349755476369374E-2</v>
      </c>
      <c r="AG843" s="783">
        <f t="shared" ref="AG843:AG847" si="920">AF843</f>
        <v>8.5349755476369374E-2</v>
      </c>
      <c r="AH843" s="783">
        <f t="shared" ref="AH843:AH847" si="921">AG843</f>
        <v>8.5349755476369374E-2</v>
      </c>
    </row>
    <row r="844" spans="1:43" outlineLevel="3">
      <c r="D844" s="31" t="s">
        <v>842</v>
      </c>
      <c r="H844" s="695">
        <f t="shared" ref="H844:M844" si="922">IFERROR(H850/H826,"NA")</f>
        <v>0.1269331433047679</v>
      </c>
      <c r="I844" s="695">
        <f t="shared" si="922"/>
        <v>0.21152854839846977</v>
      </c>
      <c r="J844" s="695">
        <f t="shared" si="922"/>
        <v>0.2066130425522312</v>
      </c>
      <c r="K844" s="695">
        <f t="shared" si="922"/>
        <v>0.1317273795534665</v>
      </c>
      <c r="L844" s="695">
        <f t="shared" si="922"/>
        <v>0.136679661044493</v>
      </c>
      <c r="M844" s="695">
        <f t="shared" si="922"/>
        <v>0.24296398073757525</v>
      </c>
      <c r="N844" s="822">
        <f>CHOOSE(case,U844,AC844,AK844)</f>
        <v>0.24296398073757525</v>
      </c>
      <c r="O844" s="823">
        <f t="shared" si="912"/>
        <v>0.24296398073757525</v>
      </c>
      <c r="P844" s="823">
        <f t="shared" si="913"/>
        <v>0.24296398073757525</v>
      </c>
      <c r="Q844" s="823">
        <f t="shared" si="914"/>
        <v>0.24296398073757525</v>
      </c>
      <c r="R844" s="823">
        <f t="shared" si="915"/>
        <v>0.24296398073757525</v>
      </c>
      <c r="S844" s="824">
        <f t="shared" si="916"/>
        <v>0.24296398073757525</v>
      </c>
      <c r="T844" s="993"/>
      <c r="U844" s="1530"/>
      <c r="V844" s="1530"/>
      <c r="W844" s="1530"/>
      <c r="X844" s="1530"/>
      <c r="Y844" s="1530"/>
      <c r="Z844" s="1530"/>
      <c r="AA844" s="1530"/>
      <c r="AB844" s="1371"/>
      <c r="AC844" s="783">
        <f t="shared" ref="AC844:AC847" si="923">M844</f>
        <v>0.24296398073757525</v>
      </c>
      <c r="AD844" s="783">
        <f t="shared" si="917"/>
        <v>0.24296398073757525</v>
      </c>
      <c r="AE844" s="783">
        <f t="shared" si="918"/>
        <v>0.24296398073757525</v>
      </c>
      <c r="AF844" s="783">
        <f t="shared" si="919"/>
        <v>0.24296398073757525</v>
      </c>
      <c r="AG844" s="783">
        <f t="shared" si="920"/>
        <v>0.24296398073757525</v>
      </c>
      <c r="AH844" s="783">
        <f t="shared" si="921"/>
        <v>0.24296398073757525</v>
      </c>
    </row>
    <row r="845" spans="1:43" outlineLevel="3">
      <c r="D845" s="31" t="s">
        <v>843</v>
      </c>
      <c r="H845" s="695">
        <f t="shared" ref="H845:M845" si="924">IFERROR(H851/H827,"NA")</f>
        <v>8.1798705071518027E-2</v>
      </c>
      <c r="I845" s="695">
        <f t="shared" si="924"/>
        <v>0.10257713790308443</v>
      </c>
      <c r="J845" s="695">
        <f t="shared" si="924"/>
        <v>0.1311663209064893</v>
      </c>
      <c r="K845" s="695">
        <f t="shared" si="924"/>
        <v>0.11833789323997305</v>
      </c>
      <c r="L845" s="695">
        <f t="shared" si="924"/>
        <v>0.12017215817987192</v>
      </c>
      <c r="M845" s="695">
        <f t="shared" si="924"/>
        <v>0.1253526643201453</v>
      </c>
      <c r="N845" s="822">
        <f>CHOOSE(case,U845,AC845,AK845)</f>
        <v>0.1253526643201453</v>
      </c>
      <c r="O845" s="823">
        <f t="shared" si="912"/>
        <v>0.1253526643201453</v>
      </c>
      <c r="P845" s="823">
        <f t="shared" si="913"/>
        <v>0.1253526643201453</v>
      </c>
      <c r="Q845" s="823">
        <f t="shared" si="914"/>
        <v>0.1253526643201453</v>
      </c>
      <c r="R845" s="823">
        <f t="shared" si="915"/>
        <v>0.1253526643201453</v>
      </c>
      <c r="S845" s="824">
        <f t="shared" si="916"/>
        <v>0.1253526643201453</v>
      </c>
      <c r="T845" s="993"/>
      <c r="U845" s="1530"/>
      <c r="V845" s="1530"/>
      <c r="W845" s="1530"/>
      <c r="X845" s="1530"/>
      <c r="Y845" s="1530"/>
      <c r="Z845" s="1530"/>
      <c r="AA845" s="1530"/>
      <c r="AB845" s="1371"/>
      <c r="AC845" s="783">
        <f t="shared" si="923"/>
        <v>0.1253526643201453</v>
      </c>
      <c r="AD845" s="783">
        <f t="shared" si="917"/>
        <v>0.1253526643201453</v>
      </c>
      <c r="AE845" s="783">
        <f t="shared" si="918"/>
        <v>0.1253526643201453</v>
      </c>
      <c r="AF845" s="783">
        <f t="shared" si="919"/>
        <v>0.1253526643201453</v>
      </c>
      <c r="AG845" s="783">
        <f t="shared" si="920"/>
        <v>0.1253526643201453</v>
      </c>
      <c r="AH845" s="783">
        <f t="shared" si="921"/>
        <v>0.1253526643201453</v>
      </c>
    </row>
    <row r="846" spans="1:43" outlineLevel="3">
      <c r="D846" s="31" t="s">
        <v>844</v>
      </c>
      <c r="H846" s="695">
        <f t="shared" ref="H846:M846" si="925">IFERROR(H852/H828,"NA")</f>
        <v>6.5157244091384028E-2</v>
      </c>
      <c r="I846" s="695">
        <f t="shared" si="925"/>
        <v>7.295461752377351E-2</v>
      </c>
      <c r="J846" s="695">
        <f t="shared" si="925"/>
        <v>8.1673358207170005E-2</v>
      </c>
      <c r="K846" s="695">
        <f t="shared" si="925"/>
        <v>6.8920043393454145E-2</v>
      </c>
      <c r="L846" s="695">
        <f t="shared" si="925"/>
        <v>6.9662108536453882E-2</v>
      </c>
      <c r="M846" s="695">
        <f t="shared" si="925"/>
        <v>5.9260853112530536E-2</v>
      </c>
      <c r="N846" s="822">
        <f>CHOOSE(case,U846,AC846,AK846)</f>
        <v>5.9260853112530536E-2</v>
      </c>
      <c r="O846" s="823">
        <f t="shared" si="912"/>
        <v>5.9260853112530536E-2</v>
      </c>
      <c r="P846" s="823">
        <f t="shared" si="913"/>
        <v>5.9260853112530536E-2</v>
      </c>
      <c r="Q846" s="823">
        <f t="shared" si="914"/>
        <v>5.9260853112530536E-2</v>
      </c>
      <c r="R846" s="823">
        <f t="shared" si="915"/>
        <v>5.9260853112530536E-2</v>
      </c>
      <c r="S846" s="824">
        <f t="shared" si="916"/>
        <v>5.9260853112530536E-2</v>
      </c>
      <c r="T846" s="993"/>
      <c r="U846" s="1530"/>
      <c r="V846" s="1530"/>
      <c r="W846" s="1530"/>
      <c r="X846" s="1530"/>
      <c r="Y846" s="1530"/>
      <c r="Z846" s="1530"/>
      <c r="AA846" s="1530"/>
      <c r="AB846" s="1371"/>
      <c r="AC846" s="783">
        <f t="shared" si="923"/>
        <v>5.9260853112530536E-2</v>
      </c>
      <c r="AD846" s="783">
        <f t="shared" si="917"/>
        <v>5.9260853112530536E-2</v>
      </c>
      <c r="AE846" s="783">
        <f t="shared" si="918"/>
        <v>5.9260853112530536E-2</v>
      </c>
      <c r="AF846" s="783">
        <f t="shared" si="919"/>
        <v>5.9260853112530536E-2</v>
      </c>
      <c r="AG846" s="783">
        <f t="shared" si="920"/>
        <v>5.9260853112530536E-2</v>
      </c>
      <c r="AH846" s="783">
        <f t="shared" si="921"/>
        <v>5.9260853112530536E-2</v>
      </c>
    </row>
    <row r="847" spans="1:43" ht="15" outlineLevel="3" thickBot="1">
      <c r="C847" s="37"/>
      <c r="D847" s="38" t="s">
        <v>665</v>
      </c>
      <c r="E847" s="37"/>
      <c r="F847" s="37"/>
      <c r="G847" s="37"/>
      <c r="H847" s="697">
        <f t="shared" ref="H847:K847" si="926">IFERROR(H853/H829,"NA")</f>
        <v>1.1353999341507947E-3</v>
      </c>
      <c r="I847" s="697">
        <f t="shared" si="926"/>
        <v>0.19082568807339451</v>
      </c>
      <c r="J847" s="697">
        <f t="shared" si="926"/>
        <v>8.64256263875674E-2</v>
      </c>
      <c r="K847" s="816">
        <f t="shared" si="926"/>
        <v>0.25874327440430439</v>
      </c>
      <c r="L847" s="1200">
        <f>K847</f>
        <v>0.25874327440430439</v>
      </c>
      <c r="M847" s="1201">
        <f>L847</f>
        <v>0.25874327440430439</v>
      </c>
      <c r="N847" s="833">
        <f>CHOOSE(case,U847,AC847,AK847)</f>
        <v>0.25874327440430439</v>
      </c>
      <c r="O847" s="834">
        <f t="shared" si="912"/>
        <v>0.25874327440430439</v>
      </c>
      <c r="P847" s="834">
        <f t="shared" si="913"/>
        <v>0.25874327440430439</v>
      </c>
      <c r="Q847" s="834">
        <f t="shared" si="914"/>
        <v>0.25874327440430439</v>
      </c>
      <c r="R847" s="834">
        <f t="shared" si="915"/>
        <v>0.25874327440430439</v>
      </c>
      <c r="S847" s="835">
        <f t="shared" si="916"/>
        <v>0.25874327440430439</v>
      </c>
      <c r="T847" s="993"/>
      <c r="U847" s="1530"/>
      <c r="V847" s="1530"/>
      <c r="W847" s="1530"/>
      <c r="X847" s="1530"/>
      <c r="Y847" s="1530"/>
      <c r="Z847" s="1530"/>
      <c r="AA847" s="1530"/>
      <c r="AB847" s="1371"/>
      <c r="AC847" s="783">
        <f t="shared" si="923"/>
        <v>0.25874327440430439</v>
      </c>
      <c r="AD847" s="783">
        <f t="shared" si="917"/>
        <v>0.25874327440430439</v>
      </c>
      <c r="AE847" s="783">
        <f t="shared" si="918"/>
        <v>0.25874327440430439</v>
      </c>
      <c r="AF847" s="783">
        <f t="shared" si="919"/>
        <v>0.25874327440430439</v>
      </c>
      <c r="AG847" s="783">
        <f t="shared" si="920"/>
        <v>0.25874327440430439</v>
      </c>
      <c r="AH847" s="783">
        <f t="shared" si="921"/>
        <v>0.25874327440430439</v>
      </c>
    </row>
    <row r="848" spans="1:43" outlineLevel="3">
      <c r="C848" s="18" t="s">
        <v>845</v>
      </c>
      <c r="H848" s="23">
        <f>SUM(H849:H853)</f>
        <v>229006</v>
      </c>
      <c r="I848" s="23">
        <f t="shared" ref="I848:K848" si="927">SUM(I849:I853)</f>
        <v>202768</v>
      </c>
      <c r="J848" s="23">
        <f t="shared" si="927"/>
        <v>231130</v>
      </c>
      <c r="K848" s="23">
        <f t="shared" si="927"/>
        <v>255609</v>
      </c>
      <c r="L848" s="405">
        <v>306069.3370891001</v>
      </c>
      <c r="M848" s="405">
        <v>188095.0730899999</v>
      </c>
      <c r="N848" s="23">
        <f>SUM(N849:N853)</f>
        <v>341121.00850206707</v>
      </c>
      <c r="O848" s="23">
        <f t="shared" ref="O848:R848" si="928">SUM(O849:O853)</f>
        <v>390906.69454369624</v>
      </c>
      <c r="P848" s="23">
        <f t="shared" si="928"/>
        <v>453127.10863175296</v>
      </c>
      <c r="Q848" s="23">
        <f t="shared" si="928"/>
        <v>518530.43499921152</v>
      </c>
      <c r="R848" s="23">
        <f t="shared" si="928"/>
        <v>592111.84679303272</v>
      </c>
      <c r="S848" s="23">
        <f>SUM(S849:S853)</f>
        <v>676330.25280645699</v>
      </c>
      <c r="T848" s="1205"/>
    </row>
    <row r="849" spans="1:43" outlineLevel="3">
      <c r="D849" s="27" t="s">
        <v>841</v>
      </c>
      <c r="E849" s="28"/>
      <c r="F849" s="28"/>
      <c r="G849" s="28"/>
      <c r="H849" s="398">
        <v>13172</v>
      </c>
      <c r="I849" s="398">
        <v>13668</v>
      </c>
      <c r="J849" s="398">
        <v>10346</v>
      </c>
      <c r="K849" s="398">
        <v>28689</v>
      </c>
      <c r="L849" s="837">
        <f>K849*$L$823</f>
        <v>34352.558836931377</v>
      </c>
      <c r="M849" s="817">
        <f>K849*$M$823</f>
        <v>21111.383213732719</v>
      </c>
      <c r="N849" s="29">
        <f>N843*N825</f>
        <v>48058.049663412756</v>
      </c>
      <c r="O849" s="29">
        <f t="shared" ref="O849:S849" si="929">O843*O825</f>
        <v>57669.659596095305</v>
      </c>
      <c r="P849" s="29">
        <f t="shared" si="929"/>
        <v>69203.591515314372</v>
      </c>
      <c r="Q849" s="29">
        <f t="shared" si="929"/>
        <v>76123.950666845805</v>
      </c>
      <c r="R849" s="29">
        <f t="shared" si="929"/>
        <v>83736.345733530397</v>
      </c>
      <c r="S849" s="30">
        <f t="shared" si="929"/>
        <v>92109.980306883444</v>
      </c>
    </row>
    <row r="850" spans="1:43" outlineLevel="3">
      <c r="D850" s="31" t="s">
        <v>842</v>
      </c>
      <c r="E850" s="1133"/>
      <c r="F850" s="1133"/>
      <c r="G850" s="1133"/>
      <c r="H850" s="1189">
        <v>1938</v>
      </c>
      <c r="I850" s="1189">
        <v>5408</v>
      </c>
      <c r="J850" s="1189">
        <v>10438</v>
      </c>
      <c r="K850" s="1189">
        <v>7847</v>
      </c>
      <c r="L850" s="1366">
        <f t="shared" ref="L850:L853" si="930">K850*$L$823</f>
        <v>9396.0935966189318</v>
      </c>
      <c r="M850" s="539">
        <f t="shared" ref="M850:M853" si="931">K850*$M$823</f>
        <v>5774.3742925218949</v>
      </c>
      <c r="N850" s="1188">
        <f>N844*N826</f>
        <v>18372.913093204468</v>
      </c>
      <c r="O850" s="20">
        <f t="shared" ref="O850:S850" si="932">O844*O826</f>
        <v>21128.850057185136</v>
      </c>
      <c r="P850" s="20">
        <f t="shared" si="932"/>
        <v>25354.62006862216</v>
      </c>
      <c r="Q850" s="20">
        <f t="shared" si="932"/>
        <v>30425.544082346591</v>
      </c>
      <c r="R850" s="20">
        <f t="shared" si="932"/>
        <v>34989.375694698574</v>
      </c>
      <c r="S850" s="32">
        <f t="shared" si="932"/>
        <v>40237.782048903355</v>
      </c>
    </row>
    <row r="851" spans="1:43" outlineLevel="3">
      <c r="D851" s="31" t="s">
        <v>843</v>
      </c>
      <c r="E851" s="1133"/>
      <c r="F851" s="1133"/>
      <c r="G851" s="1133"/>
      <c r="H851" s="1189">
        <v>84461</v>
      </c>
      <c r="I851" s="1189">
        <v>86773</v>
      </c>
      <c r="J851" s="1189">
        <v>111306</v>
      </c>
      <c r="K851" s="1189">
        <v>113842</v>
      </c>
      <c r="L851" s="1366">
        <f t="shared" si="930"/>
        <v>136315.80058956193</v>
      </c>
      <c r="M851" s="539">
        <f t="shared" si="931"/>
        <v>83772.947395090814</v>
      </c>
      <c r="N851" s="1188">
        <f>N845*N827</f>
        <v>156411.46798732461</v>
      </c>
      <c r="O851" s="20">
        <f t="shared" ref="O851:S851" si="933">O845*O827</f>
        <v>179873.18818542329</v>
      </c>
      <c r="P851" s="20">
        <f t="shared" si="933"/>
        <v>206854.16641323676</v>
      </c>
      <c r="Q851" s="20">
        <f t="shared" si="933"/>
        <v>237882.29137522224</v>
      </c>
      <c r="R851" s="20">
        <f t="shared" si="933"/>
        <v>273564.63508150558</v>
      </c>
      <c r="S851" s="32">
        <f t="shared" si="933"/>
        <v>314599.33034373139</v>
      </c>
    </row>
    <row r="852" spans="1:43" outlineLevel="3">
      <c r="D852" s="31" t="s">
        <v>844</v>
      </c>
      <c r="E852" s="1133"/>
      <c r="F852" s="1133"/>
      <c r="G852" s="1133"/>
      <c r="H852" s="1189">
        <v>128297</v>
      </c>
      <c r="I852" s="1189">
        <v>94215</v>
      </c>
      <c r="J852" s="1189">
        <v>93045</v>
      </c>
      <c r="K852" s="1189">
        <v>102538</v>
      </c>
      <c r="L852" s="1366">
        <f t="shared" si="930"/>
        <v>122780.25298969186</v>
      </c>
      <c r="M852" s="539">
        <f t="shared" si="931"/>
        <v>75454.669454136631</v>
      </c>
      <c r="N852" s="1188">
        <f>N846*N828</f>
        <v>114892.71512801439</v>
      </c>
      <c r="O852" s="20">
        <f t="shared" ref="O852:S852" si="934">O846*O828</f>
        <v>128679.84094337613</v>
      </c>
      <c r="P852" s="20">
        <f t="shared" si="934"/>
        <v>147981.81708488252</v>
      </c>
      <c r="Q852" s="20">
        <f t="shared" si="934"/>
        <v>170179.08964761489</v>
      </c>
      <c r="R852" s="20">
        <f t="shared" si="934"/>
        <v>195705.9530947571</v>
      </c>
      <c r="S852" s="32">
        <f t="shared" si="934"/>
        <v>225061.84605897064</v>
      </c>
    </row>
    <row r="853" spans="1:43" outlineLevel="3">
      <c r="D853" s="33" t="s">
        <v>665</v>
      </c>
      <c r="E853" s="34"/>
      <c r="F853" s="34"/>
      <c r="G853" s="34"/>
      <c r="H853" s="402">
        <v>1138</v>
      </c>
      <c r="I853" s="402">
        <v>2704</v>
      </c>
      <c r="J853" s="402">
        <v>5995</v>
      </c>
      <c r="K853" s="402">
        <v>2693</v>
      </c>
      <c r="L853" s="838">
        <f t="shared" si="930"/>
        <v>3224.6310762960093</v>
      </c>
      <c r="M853" s="818">
        <f t="shared" si="931"/>
        <v>1981.6987345178366</v>
      </c>
      <c r="N853" s="35">
        <f>N847*N829</f>
        <v>3385.8626301108097</v>
      </c>
      <c r="O853" s="35">
        <f t="shared" ref="O853:S853" si="935">O847*O829</f>
        <v>3555.15576161635</v>
      </c>
      <c r="P853" s="35">
        <f t="shared" si="935"/>
        <v>3732.913549697168</v>
      </c>
      <c r="Q853" s="35">
        <f t="shared" si="935"/>
        <v>3919.5592271820265</v>
      </c>
      <c r="R853" s="35">
        <f t="shared" si="935"/>
        <v>4115.5371885411278</v>
      </c>
      <c r="S853" s="36">
        <f t="shared" si="935"/>
        <v>4321.3140479681842</v>
      </c>
    </row>
    <row r="854" spans="1:43" outlineLevel="3">
      <c r="H854" s="43"/>
      <c r="I854" s="43"/>
      <c r="J854" s="43"/>
      <c r="K854" s="43"/>
    </row>
    <row r="855" spans="1:43" outlineLevel="3">
      <c r="C855" s="1" t="s">
        <v>659</v>
      </c>
      <c r="H855" s="394">
        <v>-177674</v>
      </c>
      <c r="I855" s="394">
        <v>-149553</v>
      </c>
      <c r="J855" s="394">
        <v>-154840</v>
      </c>
      <c r="K855" s="394">
        <v>-176325</v>
      </c>
      <c r="L855" s="394">
        <v>-211067.09991925803</v>
      </c>
      <c r="M855" s="394">
        <v>-122546.02783601647</v>
      </c>
      <c r="N855" s="20">
        <f>N856*N824</f>
        <v>-222244.12323305439</v>
      </c>
      <c r="O855" s="20">
        <f t="shared" ref="O855:S855" si="936">O856*O824</f>
        <v>-254543.67841838778</v>
      </c>
      <c r="P855" s="20">
        <f t="shared" si="936"/>
        <v>-294893.59761516313</v>
      </c>
      <c r="Q855" s="20">
        <f t="shared" si="936"/>
        <v>-335409.45269405434</v>
      </c>
      <c r="R855" s="20">
        <f t="shared" si="936"/>
        <v>-380938.41289551457</v>
      </c>
      <c r="S855" s="20">
        <f t="shared" si="936"/>
        <v>-432784.51208357932</v>
      </c>
    </row>
    <row r="856" spans="1:43" outlineLevel="3">
      <c r="D856" s="1" t="s">
        <v>849</v>
      </c>
      <c r="H856" s="744">
        <f>H855/H824</f>
        <v>-4.3008299335540255E-2</v>
      </c>
      <c r="I856" s="744">
        <f>I855/I824</f>
        <v>-6.5982696941428401E-2</v>
      </c>
      <c r="J856" s="744">
        <f t="shared" ref="J856:L856" si="937">J855/J824</f>
        <v>-7.0919361150480295E-2</v>
      </c>
      <c r="K856" s="744">
        <f t="shared" si="937"/>
        <v>-5.9907918649582247E-2</v>
      </c>
      <c r="L856" s="744">
        <f t="shared" si="937"/>
        <v>-6.1227078447864763E-2</v>
      </c>
      <c r="M856" s="744">
        <f>M855/M824</f>
        <v>-5.5192506796787513E-2</v>
      </c>
      <c r="N856" s="746">
        <f>N842/M842*M856</f>
        <v>-5.7901535008887915E-2</v>
      </c>
      <c r="O856" s="744">
        <f>N856*(1+O857)</f>
        <v>-5.8078659058574095E-2</v>
      </c>
      <c r="P856" s="744">
        <f t="shared" ref="P856" si="938">O856*(1+P857)</f>
        <v>-5.8085254792497272E-2</v>
      </c>
      <c r="Q856" s="744">
        <f t="shared" ref="Q856" si="939">P856*(1+Q857)</f>
        <v>-5.7812469070402599E-2</v>
      </c>
      <c r="R856" s="744">
        <f t="shared" ref="R856" si="940">Q856*(1+R857)</f>
        <v>-5.749300430660588E-2</v>
      </c>
      <c r="S856" s="744">
        <f t="shared" ref="S856" si="941">R856*(1+S857)</f>
        <v>-5.717818198341687E-2</v>
      </c>
    </row>
    <row r="857" spans="1:43" ht="15" outlineLevel="3" thickBot="1">
      <c r="C857" s="37"/>
      <c r="D857" s="74"/>
      <c r="E857" s="74" t="s">
        <v>151</v>
      </c>
      <c r="F857" s="37"/>
      <c r="G857" s="37"/>
      <c r="H857" s="747"/>
      <c r="I857" s="75">
        <f>I856/H856-1</f>
        <v>0.53418521450121759</v>
      </c>
      <c r="J857" s="75">
        <f>J856/I856-1</f>
        <v>7.4817557297393922E-2</v>
      </c>
      <c r="K857" s="75"/>
      <c r="L857" s="75">
        <f>L856/J856-1</f>
        <v>-0.13666624382092152</v>
      </c>
      <c r="M857" s="75"/>
      <c r="N857" s="748">
        <f>N856/L856-1</f>
        <v>-5.4314912997336151E-2</v>
      </c>
      <c r="O857" s="749">
        <f>CHOOSE(case,V857,AD857,AL857)</f>
        <v>3.0590562004788602E-3</v>
      </c>
      <c r="P857" s="750">
        <f>CHOOSE(case,W857,AE857,AM857)</f>
        <v>1.1356553388264246E-4</v>
      </c>
      <c r="Q857" s="750">
        <f>CHOOSE(case,X857,AF857,AN857)</f>
        <v>-4.6962989672536537E-3</v>
      </c>
      <c r="R857" s="750">
        <f>CHOOSE(case,Y857,AG857,AO857)</f>
        <v>-5.5258799517398094E-3</v>
      </c>
      <c r="S857" s="751">
        <f>CHOOSE(case,Z857,AH857,AP857)</f>
        <v>-5.4758370515842758E-3</v>
      </c>
      <c r="AC857" s="752"/>
      <c r="AD857" s="753">
        <f>(SUMPRODUCT(O837:O840,各区域分剂型成本优化!K$87:K$90)+O841*O847)/(SUMPRODUCT(N837:N840,各区域分剂型成本优化!J$87:J$90)+N841*N847)-1</f>
        <v>3.0590562004788602E-3</v>
      </c>
      <c r="AE857" s="753">
        <f>(SUMPRODUCT(P837:P840,各区域分剂型成本优化!L$87:L$90)+P841*P847)/(SUMPRODUCT(O837:O840,各区域分剂型成本优化!K$87:K$90)+O841*O847)-1</f>
        <v>1.1356553388264246E-4</v>
      </c>
      <c r="AF857" s="753">
        <f>(SUMPRODUCT(Q837:Q840,各区域分剂型成本优化!M$87:M$90)+Q841*Q847)/(SUMPRODUCT(P837:P840,各区域分剂型成本优化!L$87:L$90)+P841*P847)-1</f>
        <v>-4.6962989672536537E-3</v>
      </c>
      <c r="AG857" s="753">
        <f>(SUMPRODUCT(R837:R840,各区域分剂型成本优化!N$87:N$90)+R841*R847)/(SUMPRODUCT(Q837:Q840,各区域分剂型成本优化!M$87:M$90)+Q841*Q847)-1</f>
        <v>-5.5258799517398094E-3</v>
      </c>
      <c r="AH857" s="753">
        <f>(SUMPRODUCT(S837:S840,各区域分剂型成本优化!O$87:O$90)+S841*S847)/(SUMPRODUCT(R837:R840,各区域分剂型成本优化!N$87:N$90)+R841*R847)-1</f>
        <v>-5.4758370515842758E-3</v>
      </c>
    </row>
    <row r="858" spans="1:43" outlineLevel="3">
      <c r="C858" s="18" t="s">
        <v>846</v>
      </c>
      <c r="D858" s="18"/>
      <c r="E858" s="18"/>
      <c r="F858" s="18"/>
      <c r="G858" s="18"/>
      <c r="H858" s="23">
        <f>H855+H848</f>
        <v>51332</v>
      </c>
      <c r="I858" s="23">
        <f>I855+I848</f>
        <v>53215</v>
      </c>
      <c r="J858" s="23">
        <f>J855+J848</f>
        <v>76290</v>
      </c>
      <c r="K858" s="23">
        <f>K855+K848</f>
        <v>79284</v>
      </c>
      <c r="L858" s="23">
        <f t="shared" ref="L858:S858" si="942">L855+L848</f>
        <v>95002.237169842061</v>
      </c>
      <c r="M858" s="23">
        <f t="shared" si="942"/>
        <v>65549.045253983437</v>
      </c>
      <c r="N858" s="23">
        <f t="shared" si="942"/>
        <v>118876.88526901268</v>
      </c>
      <c r="O858" s="23">
        <f t="shared" si="942"/>
        <v>136363.01612530847</v>
      </c>
      <c r="P858" s="23">
        <f t="shared" si="942"/>
        <v>158233.51101658982</v>
      </c>
      <c r="Q858" s="23">
        <f t="shared" si="942"/>
        <v>183120.98230515717</v>
      </c>
      <c r="R858" s="23">
        <f t="shared" si="942"/>
        <v>211173.43389751815</v>
      </c>
      <c r="S858" s="23">
        <f t="shared" si="942"/>
        <v>243545.74072287767</v>
      </c>
    </row>
    <row r="859" spans="1:43" outlineLevel="3">
      <c r="C859" s="22" t="s">
        <v>660</v>
      </c>
      <c r="D859" s="22"/>
      <c r="E859" s="22"/>
      <c r="F859" s="22"/>
      <c r="G859" s="22"/>
      <c r="H859" s="56">
        <f>IFERROR(H858/H848,"NA")</f>
        <v>0.2241513322795036</v>
      </c>
      <c r="I859" s="56">
        <f t="shared" ref="I859:S859" si="943">IFERROR(I858/I848,"NA")</f>
        <v>0.26244279176201374</v>
      </c>
      <c r="J859" s="56">
        <f t="shared" si="943"/>
        <v>0.33007398433781854</v>
      </c>
      <c r="K859" s="56">
        <f t="shared" si="943"/>
        <v>0.3101768717063953</v>
      </c>
      <c r="L859" s="56">
        <f t="shared" si="943"/>
        <v>0.31039449450692896</v>
      </c>
      <c r="M859" s="56">
        <f t="shared" si="943"/>
        <v>0.34848890073063993</v>
      </c>
      <c r="N859" s="56">
        <f t="shared" si="943"/>
        <v>0.34848890073064009</v>
      </c>
      <c r="O859" s="56">
        <f t="shared" si="943"/>
        <v>0.34883776110430764</v>
      </c>
      <c r="P859" s="56">
        <f t="shared" si="943"/>
        <v>0.34920336480063241</v>
      </c>
      <c r="Q859" s="56">
        <f t="shared" si="943"/>
        <v>0.35315377834173922</v>
      </c>
      <c r="R859" s="56">
        <f t="shared" si="943"/>
        <v>0.35664450059775932</v>
      </c>
      <c r="S859" s="56">
        <f t="shared" si="943"/>
        <v>0.36009884181917895</v>
      </c>
      <c r="U859" s="1526">
        <f>AC859+1%</f>
        <v>0.01</v>
      </c>
      <c r="V859" s="1526">
        <f t="shared" ref="V859" si="944">U859</f>
        <v>0.01</v>
      </c>
      <c r="W859" s="1526">
        <f t="shared" ref="W859" si="945">V859</f>
        <v>0.01</v>
      </c>
      <c r="X859" s="1526">
        <f t="shared" ref="X859" si="946">W859</f>
        <v>0.01</v>
      </c>
      <c r="Y859" s="1526">
        <f t="shared" ref="Y859" si="947">X859</f>
        <v>0.01</v>
      </c>
      <c r="Z859" s="1526">
        <f t="shared" ref="Z859" si="948">Y859</f>
        <v>0.01</v>
      </c>
      <c r="AC859" s="1175"/>
      <c r="AD859" s="1176"/>
      <c r="AE859" s="1176"/>
      <c r="AF859" s="1176"/>
      <c r="AG859" s="1176"/>
      <c r="AH859" s="1176"/>
      <c r="AK859" s="1526">
        <f>AC859-1%</f>
        <v>-0.01</v>
      </c>
      <c r="AL859" s="1526">
        <f t="shared" ref="AL859" si="949">AK859</f>
        <v>-0.01</v>
      </c>
      <c r="AM859" s="1526">
        <f t="shared" ref="AM859" si="950">AL859</f>
        <v>-0.01</v>
      </c>
      <c r="AN859" s="1526">
        <f t="shared" ref="AN859" si="951">AM859</f>
        <v>-0.01</v>
      </c>
      <c r="AO859" s="1526">
        <f t="shared" ref="AO859" si="952">AN859</f>
        <v>-0.01</v>
      </c>
      <c r="AP859" s="1526">
        <f t="shared" ref="AP859" si="953">AO859</f>
        <v>-0.01</v>
      </c>
    </row>
    <row r="860" spans="1:43" outlineLevel="2"/>
    <row r="861" spans="1:43" s="1126" customFormat="1" outlineLevel="3">
      <c r="A861" s="26" t="s">
        <v>8</v>
      </c>
      <c r="B861" s="26"/>
      <c r="C861" s="26" t="s">
        <v>1159</v>
      </c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408"/>
      <c r="U861" s="1518"/>
      <c r="V861" s="1518"/>
      <c r="W861" s="1518"/>
      <c r="X861" s="1518"/>
      <c r="Y861" s="1518"/>
      <c r="Z861" s="1518"/>
      <c r="AA861" s="1518"/>
      <c r="AC861" s="26"/>
      <c r="AD861" s="26"/>
      <c r="AE861" s="26"/>
      <c r="AF861" s="26"/>
      <c r="AG861" s="26"/>
      <c r="AH861" s="26"/>
      <c r="AI861" s="18"/>
      <c r="AK861" s="1518"/>
      <c r="AL861" s="1518"/>
      <c r="AM861" s="1518"/>
      <c r="AN861" s="1518"/>
      <c r="AO861" s="1518"/>
      <c r="AP861" s="1518"/>
      <c r="AQ861" s="1518"/>
    </row>
    <row r="862" spans="1:43" outlineLevel="3">
      <c r="L862" s="836"/>
      <c r="M862" s="836"/>
    </row>
    <row r="863" spans="1:43" s="1126" customFormat="1" outlineLevel="3">
      <c r="A863" s="18"/>
      <c r="B863" s="18"/>
      <c r="C863" s="18" t="s">
        <v>840</v>
      </c>
      <c r="D863" s="18"/>
      <c r="E863" s="18"/>
      <c r="F863" s="18"/>
      <c r="G863" s="18"/>
      <c r="H863" s="1322"/>
      <c r="I863" s="1322"/>
      <c r="J863" s="1322"/>
      <c r="K863" s="1322"/>
      <c r="L863" s="1322"/>
      <c r="M863" s="1322"/>
      <c r="N863" s="1322"/>
      <c r="O863" s="23">
        <f t="shared" ref="O863:S863" si="954">SUM(O864:O868)</f>
        <v>248222.76194931424</v>
      </c>
      <c r="P863" s="23">
        <f t="shared" si="954"/>
        <v>546090.07628849137</v>
      </c>
      <c r="Q863" s="23">
        <f t="shared" si="954"/>
        <v>982962.13731928437</v>
      </c>
      <c r="R863" s="23">
        <f t="shared" si="954"/>
        <v>1474443.2059789267</v>
      </c>
      <c r="S863" s="23">
        <f t="shared" si="954"/>
        <v>1916776.1677726046</v>
      </c>
      <c r="T863" s="408"/>
      <c r="U863" s="1519">
        <f>$L863*(1+$AA863)</f>
        <v>0</v>
      </c>
      <c r="V863" s="1519">
        <f>U863*(1+$AA863)</f>
        <v>0</v>
      </c>
      <c r="W863" s="1519">
        <f>V863*(1+$AA863)</f>
        <v>0</v>
      </c>
      <c r="X863" s="1519">
        <f>W863*(1+$AA863)</f>
        <v>0</v>
      </c>
      <c r="Y863" s="1519">
        <f>X863*(1+$AA863)</f>
        <v>0</v>
      </c>
      <c r="Z863" s="1519">
        <f t="shared" ref="Z863" si="955">Y863*(1+$AA863)</f>
        <v>0</v>
      </c>
      <c r="AA863" s="1520">
        <v>0.15</v>
      </c>
      <c r="AB863" s="1321"/>
      <c r="AC863" s="20"/>
      <c r="AD863" s="18"/>
      <c r="AE863" s="20"/>
      <c r="AF863" s="20"/>
      <c r="AG863" s="20"/>
      <c r="AH863" s="20"/>
      <c r="AI863" s="702"/>
      <c r="AJ863" s="1321"/>
      <c r="AK863" s="1519">
        <f>$L863*(1+$AQ863)</f>
        <v>0</v>
      </c>
      <c r="AL863" s="1519">
        <f>AK863*(1+$AQ863)</f>
        <v>0</v>
      </c>
      <c r="AM863" s="1519">
        <f t="shared" ref="AM863" si="956">AL863*(1+$AQ863)</f>
        <v>0</v>
      </c>
      <c r="AN863" s="1519">
        <f t="shared" ref="AN863" si="957">AM863*(1+$AQ863)</f>
        <v>0</v>
      </c>
      <c r="AO863" s="1519">
        <f>AN863*(1+$AQ863)</f>
        <v>0</v>
      </c>
      <c r="AP863" s="1519">
        <f t="shared" ref="AP863" si="958">AO863*(1+$AQ863)</f>
        <v>0</v>
      </c>
      <c r="AQ863" s="1520">
        <v>0.05</v>
      </c>
    </row>
    <row r="864" spans="1:43" outlineLevel="3">
      <c r="D864" s="27" t="s">
        <v>841</v>
      </c>
      <c r="E864" s="28"/>
      <c r="F864" s="28"/>
      <c r="G864" s="28"/>
      <c r="H864" s="1323"/>
      <c r="I864" s="1323"/>
      <c r="J864" s="1323"/>
      <c r="K864" s="1323"/>
      <c r="L864" s="1323"/>
      <c r="M864" s="1323"/>
      <c r="N864" s="1324"/>
      <c r="O864" s="837">
        <v>84460.78620000009</v>
      </c>
      <c r="P864" s="29">
        <f t="shared" ref="P864:P868" si="959">O864*(1+P870)</f>
        <v>185813.72964000021</v>
      </c>
      <c r="Q864" s="29">
        <f t="shared" ref="Q864:Q868" si="960">P864*(1+Q870)</f>
        <v>334464.7133520004</v>
      </c>
      <c r="R864" s="29">
        <f t="shared" ref="R864:R868" si="961">Q864*(1+R870)</f>
        <v>501697.07002800063</v>
      </c>
      <c r="S864" s="30">
        <f t="shared" ref="S864:S868" si="962">R864*(1+S870)</f>
        <v>652206.19103640085</v>
      </c>
      <c r="AD864" s="20"/>
      <c r="AE864" s="20"/>
      <c r="AF864" s="20"/>
      <c r="AG864" s="20"/>
      <c r="AH864" s="20"/>
    </row>
    <row r="865" spans="1:43" outlineLevel="3">
      <c r="D865" s="31" t="s">
        <v>842</v>
      </c>
      <c r="H865" s="1325"/>
      <c r="I865" s="1325"/>
      <c r="J865" s="1325"/>
      <c r="K865" s="1325"/>
      <c r="L865" s="1325"/>
      <c r="M865" s="1325"/>
      <c r="N865" s="1326"/>
      <c r="O865" s="80">
        <v>3780.9952400000038</v>
      </c>
      <c r="P865" s="20">
        <f t="shared" si="959"/>
        <v>8318.1895280000099</v>
      </c>
      <c r="Q865" s="20">
        <f t="shared" si="960"/>
        <v>14972.741150400017</v>
      </c>
      <c r="R865" s="20">
        <f t="shared" si="961"/>
        <v>22459.111725600025</v>
      </c>
      <c r="S865" s="32">
        <f t="shared" si="962"/>
        <v>29196.845243280033</v>
      </c>
      <c r="AD865" s="20"/>
      <c r="AE865" s="20"/>
      <c r="AF865" s="20"/>
      <c r="AG865" s="20"/>
      <c r="AH865" s="20"/>
    </row>
    <row r="866" spans="1:43" outlineLevel="3">
      <c r="D866" s="31" t="s">
        <v>843</v>
      </c>
      <c r="H866" s="1325"/>
      <c r="I866" s="1325"/>
      <c r="J866" s="1325"/>
      <c r="K866" s="1325"/>
      <c r="L866" s="1325"/>
      <c r="M866" s="1325"/>
      <c r="N866" s="1326"/>
      <c r="O866" s="80">
        <v>62388.569415587466</v>
      </c>
      <c r="P866" s="20">
        <f t="shared" si="959"/>
        <v>137254.85271429244</v>
      </c>
      <c r="Q866" s="20">
        <f t="shared" si="960"/>
        <v>247058.73488572642</v>
      </c>
      <c r="R866" s="20">
        <f t="shared" si="961"/>
        <v>370588.10232858965</v>
      </c>
      <c r="S866" s="32">
        <f t="shared" si="962"/>
        <v>481764.53302716656</v>
      </c>
      <c r="AD866" s="20"/>
      <c r="AE866" s="20"/>
      <c r="AF866" s="20"/>
      <c r="AG866" s="20"/>
      <c r="AH866" s="20"/>
    </row>
    <row r="867" spans="1:43" outlineLevel="3">
      <c r="D867" s="31" t="s">
        <v>844</v>
      </c>
      <c r="H867" s="1325"/>
      <c r="I867" s="1325"/>
      <c r="J867" s="1325"/>
      <c r="K867" s="1325"/>
      <c r="L867" s="1325"/>
      <c r="M867" s="1325"/>
      <c r="N867" s="1326"/>
      <c r="O867" s="80">
        <v>96938.121115000453</v>
      </c>
      <c r="P867" s="20">
        <f t="shared" si="959"/>
        <v>213263.86645300101</v>
      </c>
      <c r="Q867" s="20">
        <f t="shared" si="960"/>
        <v>383874.95961540181</v>
      </c>
      <c r="R867" s="20">
        <f t="shared" si="961"/>
        <v>575812.43942310265</v>
      </c>
      <c r="S867" s="32">
        <f t="shared" si="962"/>
        <v>748556.17125003343</v>
      </c>
      <c r="AD867" s="20"/>
      <c r="AE867" s="20"/>
      <c r="AF867" s="20"/>
      <c r="AG867" s="20"/>
      <c r="AH867" s="20"/>
    </row>
    <row r="868" spans="1:43" outlineLevel="3">
      <c r="D868" s="33" t="s">
        <v>665</v>
      </c>
      <c r="E868" s="34"/>
      <c r="F868" s="34"/>
      <c r="G868" s="34"/>
      <c r="H868" s="1327"/>
      <c r="I868" s="1327"/>
      <c r="J868" s="1327"/>
      <c r="K868" s="1327"/>
      <c r="L868" s="1328"/>
      <c r="M868" s="1329"/>
      <c r="N868" s="1330"/>
      <c r="O868" s="838">
        <v>654.28997872620494</v>
      </c>
      <c r="P868" s="35">
        <f t="shared" si="959"/>
        <v>1439.437953197651</v>
      </c>
      <c r="Q868" s="35">
        <f t="shared" si="960"/>
        <v>2590.988315755772</v>
      </c>
      <c r="R868" s="35">
        <f t="shared" si="961"/>
        <v>3886.4824736336577</v>
      </c>
      <c r="S868" s="36">
        <f t="shared" si="962"/>
        <v>5052.4272157237556</v>
      </c>
      <c r="AC868" s="448"/>
      <c r="AD868" s="20"/>
      <c r="AE868" s="20"/>
      <c r="AF868" s="20"/>
      <c r="AG868" s="20"/>
      <c r="AH868" s="20"/>
    </row>
    <row r="869" spans="1:43" s="1365" customFormat="1" outlineLevel="3">
      <c r="A869" s="22"/>
      <c r="B869" s="22"/>
      <c r="C869" s="22" t="s">
        <v>847</v>
      </c>
      <c r="D869" s="22"/>
      <c r="E869" s="22"/>
      <c r="F869" s="22"/>
      <c r="G869" s="22"/>
      <c r="H869" s="1331"/>
      <c r="I869" s="1332"/>
      <c r="J869" s="1332"/>
      <c r="K869" s="1332"/>
      <c r="L869" s="710"/>
      <c r="M869" s="1332"/>
      <c r="N869" s="1332"/>
      <c r="O869" s="1332"/>
      <c r="P869" s="24">
        <f t="shared" ref="P869" si="963">P863/O863-1</f>
        <v>1.2000000000000002</v>
      </c>
      <c r="Q869" s="24">
        <f t="shared" ref="Q869" si="964">Q863/P863-1</f>
        <v>0.79999999999999982</v>
      </c>
      <c r="R869" s="24">
        <f t="shared" ref="R869" si="965">R863/Q863-1</f>
        <v>0.50000000000000022</v>
      </c>
      <c r="S869" s="24">
        <f t="shared" ref="S869" si="966">S863/R863-1</f>
        <v>0.29999999999999982</v>
      </c>
      <c r="T869" s="726"/>
      <c r="U869" s="1521"/>
      <c r="V869" s="1521"/>
      <c r="W869" s="1521"/>
      <c r="X869" s="1521"/>
      <c r="Y869" s="1521"/>
      <c r="Z869" s="1521"/>
      <c r="AA869" s="1522"/>
      <c r="AC869" s="219"/>
      <c r="AD869" s="219"/>
      <c r="AE869" s="219"/>
      <c r="AF869" s="219"/>
      <c r="AG869" s="219"/>
      <c r="AH869" s="219"/>
      <c r="AI869" s="706"/>
      <c r="AK869" s="1521"/>
      <c r="AL869" s="1521"/>
      <c r="AM869" s="1521"/>
      <c r="AN869" s="1521"/>
      <c r="AO869" s="1521"/>
      <c r="AP869" s="1521"/>
      <c r="AQ869" s="1522"/>
    </row>
    <row r="870" spans="1:43" s="1365" customFormat="1" outlineLevel="3">
      <c r="A870" s="22"/>
      <c r="B870" s="22"/>
      <c r="C870" s="22"/>
      <c r="D870" s="707" t="s">
        <v>841</v>
      </c>
      <c r="E870" s="708"/>
      <c r="F870" s="708"/>
      <c r="G870" s="708"/>
      <c r="H870" s="1333"/>
      <c r="I870" s="710"/>
      <c r="J870" s="710"/>
      <c r="K870" s="710"/>
      <c r="L870" s="710"/>
      <c r="M870" s="727"/>
      <c r="N870" s="1177"/>
      <c r="O870" s="710"/>
      <c r="P870" s="712">
        <f t="shared" ref="P870:P874" si="967">CHOOSE(case,W870,AE870,AM870)</f>
        <v>1.2</v>
      </c>
      <c r="Q870" s="712">
        <f t="shared" ref="Q870:Q874" si="968">CHOOSE(case,X870,AF870,AN870)</f>
        <v>0.8</v>
      </c>
      <c r="R870" s="712">
        <f t="shared" ref="R870:R874" si="969">CHOOSE(case,Y870,AG870,AO870)</f>
        <v>0.5</v>
      </c>
      <c r="S870" s="713">
        <f t="shared" ref="S870:S874" si="970">CHOOSE(case,Z870,AH870,AP870)</f>
        <v>0.3</v>
      </c>
      <c r="T870" s="726"/>
      <c r="U870" s="1521"/>
      <c r="V870" s="1521"/>
      <c r="W870" s="1521"/>
      <c r="X870" s="1521"/>
      <c r="Y870" s="1521"/>
      <c r="Z870" s="1521"/>
      <c r="AA870" s="1523"/>
      <c r="AC870" s="728"/>
      <c r="AD870" s="728"/>
      <c r="AE870" s="714">
        <v>1.2</v>
      </c>
      <c r="AF870" s="714">
        <v>0.8</v>
      </c>
      <c r="AG870" s="714">
        <v>0.5</v>
      </c>
      <c r="AH870" s="714">
        <v>0.3</v>
      </c>
      <c r="AI870" s="22"/>
      <c r="AK870" s="1521"/>
      <c r="AL870" s="1521"/>
      <c r="AM870" s="1521"/>
      <c r="AN870" s="1521"/>
      <c r="AO870" s="1521"/>
      <c r="AP870" s="1521"/>
      <c r="AQ870" s="1523"/>
    </row>
    <row r="871" spans="1:43" s="1365" customFormat="1" outlineLevel="3">
      <c r="A871" s="22"/>
      <c r="B871" s="22"/>
      <c r="C871" s="22"/>
      <c r="D871" s="715" t="s">
        <v>842</v>
      </c>
      <c r="E871" s="22"/>
      <c r="F871" s="22"/>
      <c r="G871" s="22"/>
      <c r="H871" s="1331"/>
      <c r="I871" s="175"/>
      <c r="J871" s="175"/>
      <c r="K871" s="175"/>
      <c r="L871" s="175"/>
      <c r="M871" s="729"/>
      <c r="N871" s="1334"/>
      <c r="O871" s="175"/>
      <c r="P871" s="717">
        <f t="shared" si="967"/>
        <v>1.2</v>
      </c>
      <c r="Q871" s="717">
        <f t="shared" si="968"/>
        <v>0.8</v>
      </c>
      <c r="R871" s="717">
        <f t="shared" si="969"/>
        <v>0.5</v>
      </c>
      <c r="S871" s="718">
        <f t="shared" si="970"/>
        <v>0.3</v>
      </c>
      <c r="T871" s="726"/>
      <c r="U871" s="1521"/>
      <c r="V871" s="1521"/>
      <c r="W871" s="1521"/>
      <c r="X871" s="1521"/>
      <c r="Y871" s="1521"/>
      <c r="Z871" s="1521"/>
      <c r="AA871" s="1523"/>
      <c r="AC871" s="728"/>
      <c r="AD871" s="728"/>
      <c r="AE871" s="714">
        <v>1.2</v>
      </c>
      <c r="AF871" s="714">
        <v>0.8</v>
      </c>
      <c r="AG871" s="714">
        <v>0.5</v>
      </c>
      <c r="AH871" s="714">
        <v>0.3</v>
      </c>
      <c r="AI871" s="22"/>
      <c r="AK871" s="1521"/>
      <c r="AL871" s="1521"/>
      <c r="AM871" s="1521"/>
      <c r="AN871" s="1521"/>
      <c r="AO871" s="1521"/>
      <c r="AP871" s="1521"/>
      <c r="AQ871" s="1523"/>
    </row>
    <row r="872" spans="1:43" s="1365" customFormat="1" outlineLevel="3">
      <c r="A872" s="22"/>
      <c r="B872" s="22"/>
      <c r="C872" s="22"/>
      <c r="D872" s="715" t="s">
        <v>843</v>
      </c>
      <c r="E872" s="22"/>
      <c r="F872" s="22"/>
      <c r="G872" s="22"/>
      <c r="H872" s="1331"/>
      <c r="I872" s="175"/>
      <c r="J872" s="175"/>
      <c r="K872" s="175"/>
      <c r="L872" s="175"/>
      <c r="M872" s="729"/>
      <c r="N872" s="1334"/>
      <c r="O872" s="175"/>
      <c r="P872" s="717">
        <f t="shared" si="967"/>
        <v>1.2</v>
      </c>
      <c r="Q872" s="717">
        <f t="shared" si="968"/>
        <v>0.8</v>
      </c>
      <c r="R872" s="717">
        <f t="shared" si="969"/>
        <v>0.5</v>
      </c>
      <c r="S872" s="718">
        <f t="shared" si="970"/>
        <v>0.3</v>
      </c>
      <c r="T872" s="726"/>
      <c r="U872" s="1521"/>
      <c r="V872" s="1521"/>
      <c r="W872" s="1521"/>
      <c r="X872" s="1521"/>
      <c r="Y872" s="1521"/>
      <c r="Z872" s="1521"/>
      <c r="AA872" s="1523"/>
      <c r="AC872" s="728"/>
      <c r="AD872" s="728"/>
      <c r="AE872" s="714">
        <v>1.2</v>
      </c>
      <c r="AF872" s="714">
        <v>0.8</v>
      </c>
      <c r="AG872" s="714">
        <v>0.5</v>
      </c>
      <c r="AH872" s="714">
        <v>0.3</v>
      </c>
      <c r="AI872" s="22"/>
      <c r="AK872" s="1521"/>
      <c r="AL872" s="1521"/>
      <c r="AM872" s="1521"/>
      <c r="AN872" s="1521"/>
      <c r="AO872" s="1521"/>
      <c r="AP872" s="1521"/>
      <c r="AQ872" s="1523"/>
    </row>
    <row r="873" spans="1:43" s="1365" customFormat="1" outlineLevel="3">
      <c r="A873" s="22"/>
      <c r="B873" s="22"/>
      <c r="C873" s="22"/>
      <c r="D873" s="715" t="s">
        <v>844</v>
      </c>
      <c r="E873" s="22"/>
      <c r="F873" s="22"/>
      <c r="G873" s="22"/>
      <c r="H873" s="1331"/>
      <c r="I873" s="175"/>
      <c r="J873" s="175"/>
      <c r="K873" s="175"/>
      <c r="L873" s="175"/>
      <c r="M873" s="729"/>
      <c r="N873" s="1334"/>
      <c r="O873" s="175"/>
      <c r="P873" s="717">
        <f t="shared" si="967"/>
        <v>1.2</v>
      </c>
      <c r="Q873" s="717">
        <f t="shared" si="968"/>
        <v>0.8</v>
      </c>
      <c r="R873" s="717">
        <f t="shared" si="969"/>
        <v>0.5</v>
      </c>
      <c r="S873" s="718">
        <f t="shared" si="970"/>
        <v>0.3</v>
      </c>
      <c r="T873" s="726"/>
      <c r="U873" s="1521"/>
      <c r="V873" s="1521"/>
      <c r="W873" s="1521"/>
      <c r="X873" s="1521"/>
      <c r="Y873" s="1521"/>
      <c r="Z873" s="1521"/>
      <c r="AA873" s="1523"/>
      <c r="AC873" s="728"/>
      <c r="AD873" s="728"/>
      <c r="AE873" s="714">
        <v>1.2</v>
      </c>
      <c r="AF873" s="714">
        <v>0.8</v>
      </c>
      <c r="AG873" s="714">
        <v>0.5</v>
      </c>
      <c r="AH873" s="714">
        <v>0.3</v>
      </c>
      <c r="AI873" s="22"/>
      <c r="AK873" s="1521"/>
      <c r="AL873" s="1521"/>
      <c r="AM873" s="1521"/>
      <c r="AN873" s="1521"/>
      <c r="AO873" s="1521"/>
      <c r="AP873" s="1521"/>
      <c r="AQ873" s="1523"/>
    </row>
    <row r="874" spans="1:43" s="1365" customFormat="1" outlineLevel="3">
      <c r="A874" s="22"/>
      <c r="B874" s="22"/>
      <c r="C874" s="22"/>
      <c r="D874" s="719" t="s">
        <v>665</v>
      </c>
      <c r="E874" s="720"/>
      <c r="F874" s="720"/>
      <c r="G874" s="720"/>
      <c r="H874" s="1335"/>
      <c r="I874" s="722"/>
      <c r="J874" s="722"/>
      <c r="K874" s="722"/>
      <c r="L874" s="722"/>
      <c r="M874" s="730"/>
      <c r="N874" s="1336"/>
      <c r="O874" s="722"/>
      <c r="P874" s="724">
        <f t="shared" si="967"/>
        <v>1.2</v>
      </c>
      <c r="Q874" s="724">
        <f t="shared" si="968"/>
        <v>0.8</v>
      </c>
      <c r="R874" s="724">
        <f t="shared" si="969"/>
        <v>0.5</v>
      </c>
      <c r="S874" s="725">
        <f t="shared" si="970"/>
        <v>0.3</v>
      </c>
      <c r="T874" s="726"/>
      <c r="U874" s="1521"/>
      <c r="V874" s="1521"/>
      <c r="W874" s="1521"/>
      <c r="X874" s="1521"/>
      <c r="Y874" s="1521"/>
      <c r="Z874" s="1521"/>
      <c r="AA874" s="1523"/>
      <c r="AC874" s="728"/>
      <c r="AD874" s="728"/>
      <c r="AE874" s="714">
        <v>1.2</v>
      </c>
      <c r="AF874" s="714">
        <v>0.8</v>
      </c>
      <c r="AG874" s="714">
        <v>0.5</v>
      </c>
      <c r="AH874" s="714">
        <v>0.3</v>
      </c>
      <c r="AI874" s="22"/>
      <c r="AK874" s="1521"/>
      <c r="AL874" s="1521"/>
      <c r="AM874" s="1521"/>
      <c r="AN874" s="1521"/>
      <c r="AO874" s="1521"/>
      <c r="AP874" s="1521"/>
      <c r="AQ874" s="1523"/>
    </row>
    <row r="875" spans="1:43" s="1365" customFormat="1" outlineLevel="3">
      <c r="A875" s="22"/>
      <c r="B875" s="22"/>
      <c r="C875" s="22" t="s">
        <v>848</v>
      </c>
      <c r="D875" s="22"/>
      <c r="E875" s="22"/>
      <c r="F875" s="22"/>
      <c r="G875" s="22"/>
      <c r="H875" s="1332"/>
      <c r="I875" s="1332"/>
      <c r="J875" s="1332"/>
      <c r="K875" s="1332"/>
      <c r="L875" s="1332"/>
      <c r="M875" s="1332"/>
      <c r="N875" s="1332"/>
      <c r="O875" s="24">
        <f>O863/O$863</f>
        <v>1</v>
      </c>
      <c r="P875" s="24">
        <f t="shared" ref="P875:S875" si="971">P863/P$863</f>
        <v>1</v>
      </c>
      <c r="Q875" s="24">
        <f t="shared" si="971"/>
        <v>1</v>
      </c>
      <c r="R875" s="24">
        <f t="shared" si="971"/>
        <v>1</v>
      </c>
      <c r="S875" s="24">
        <f t="shared" si="971"/>
        <v>1</v>
      </c>
      <c r="T875" s="726"/>
      <c r="U875" s="1521"/>
      <c r="V875" s="1521"/>
      <c r="W875" s="1521"/>
      <c r="X875" s="1521"/>
      <c r="Y875" s="1521"/>
      <c r="Z875" s="1521"/>
      <c r="AA875" s="1522"/>
      <c r="AC875" s="219"/>
      <c r="AD875" s="219"/>
      <c r="AE875" s="219"/>
      <c r="AF875" s="219"/>
      <c r="AG875" s="219"/>
      <c r="AH875" s="219"/>
      <c r="AI875" s="706"/>
      <c r="AK875" s="1521"/>
      <c r="AL875" s="1521"/>
      <c r="AM875" s="1521"/>
      <c r="AN875" s="1521"/>
      <c r="AO875" s="1521"/>
      <c r="AP875" s="1521"/>
      <c r="AQ875" s="1522"/>
    </row>
    <row r="876" spans="1:43" s="1365" customFormat="1" outlineLevel="3">
      <c r="A876" s="22"/>
      <c r="B876" s="22"/>
      <c r="C876" s="22"/>
      <c r="D876" s="707" t="s">
        <v>841</v>
      </c>
      <c r="E876" s="708"/>
      <c r="F876" s="708"/>
      <c r="G876" s="708"/>
      <c r="H876" s="710"/>
      <c r="I876" s="710"/>
      <c r="J876" s="710"/>
      <c r="K876" s="710"/>
      <c r="L876" s="710"/>
      <c r="M876" s="710"/>
      <c r="N876" s="710"/>
      <c r="O876" s="793">
        <f t="shared" ref="O876:S876" si="972">O864/O$863</f>
        <v>0.34026205146023847</v>
      </c>
      <c r="P876" s="793">
        <f t="shared" si="972"/>
        <v>0.34026205146023847</v>
      </c>
      <c r="Q876" s="793">
        <f t="shared" si="972"/>
        <v>0.34026205146023852</v>
      </c>
      <c r="R876" s="793">
        <f t="shared" si="972"/>
        <v>0.34026205146023852</v>
      </c>
      <c r="S876" s="803">
        <f t="shared" si="972"/>
        <v>0.34026205146023858</v>
      </c>
      <c r="T876" s="726"/>
      <c r="U876" s="1521"/>
      <c r="V876" s="1521"/>
      <c r="W876" s="1521"/>
      <c r="X876" s="1521"/>
      <c r="Y876" s="1521"/>
      <c r="Z876" s="1521"/>
      <c r="AA876" s="1523"/>
      <c r="AC876" s="728"/>
      <c r="AD876" s="728"/>
      <c r="AE876" s="728"/>
      <c r="AF876" s="728"/>
      <c r="AG876" s="728"/>
      <c r="AH876" s="728"/>
      <c r="AI876" s="22"/>
      <c r="AK876" s="1521"/>
      <c r="AL876" s="1521"/>
      <c r="AM876" s="1521"/>
      <c r="AN876" s="1521"/>
      <c r="AO876" s="1521"/>
      <c r="AP876" s="1521"/>
      <c r="AQ876" s="1523"/>
    </row>
    <row r="877" spans="1:43" s="1365" customFormat="1" outlineLevel="3">
      <c r="A877" s="22"/>
      <c r="B877" s="22"/>
      <c r="C877" s="22"/>
      <c r="D877" s="715" t="s">
        <v>842</v>
      </c>
      <c r="E877" s="1141"/>
      <c r="F877" s="1141"/>
      <c r="G877" s="1141"/>
      <c r="H877" s="175"/>
      <c r="I877" s="175"/>
      <c r="J877" s="175"/>
      <c r="K877" s="175"/>
      <c r="L877" s="175"/>
      <c r="M877" s="175"/>
      <c r="N877" s="175"/>
      <c r="O877" s="91">
        <f t="shared" ref="O877:S877" si="973">O865/O$863</f>
        <v>1.5232266413875706E-2</v>
      </c>
      <c r="P877" s="91">
        <f t="shared" si="973"/>
        <v>1.5232266413875708E-2</v>
      </c>
      <c r="Q877" s="91">
        <f t="shared" si="973"/>
        <v>1.5232266413875708E-2</v>
      </c>
      <c r="R877" s="91">
        <f t="shared" si="973"/>
        <v>1.5232266413875706E-2</v>
      </c>
      <c r="S877" s="804">
        <f t="shared" si="973"/>
        <v>1.5232266413875708E-2</v>
      </c>
      <c r="T877" s="726"/>
      <c r="U877" s="1521"/>
      <c r="V877" s="1521"/>
      <c r="W877" s="1521"/>
      <c r="X877" s="1521"/>
      <c r="Y877" s="1521"/>
      <c r="Z877" s="1521"/>
      <c r="AA877" s="1523"/>
      <c r="AC877" s="728"/>
      <c r="AD877" s="728"/>
      <c r="AE877" s="728"/>
      <c r="AF877" s="728"/>
      <c r="AG877" s="728"/>
      <c r="AH877" s="728"/>
      <c r="AI877" s="22"/>
      <c r="AK877" s="1521"/>
      <c r="AL877" s="1521"/>
      <c r="AM877" s="1521"/>
      <c r="AN877" s="1521"/>
      <c r="AO877" s="1521"/>
      <c r="AP877" s="1521"/>
      <c r="AQ877" s="1523"/>
    </row>
    <row r="878" spans="1:43" s="1365" customFormat="1" outlineLevel="3">
      <c r="A878" s="22"/>
      <c r="B878" s="22"/>
      <c r="C878" s="22"/>
      <c r="D878" s="715" t="s">
        <v>843</v>
      </c>
      <c r="E878" s="1141"/>
      <c r="F878" s="1141"/>
      <c r="G878" s="1141"/>
      <c r="H878" s="175"/>
      <c r="I878" s="175"/>
      <c r="J878" s="175"/>
      <c r="K878" s="175"/>
      <c r="L878" s="175"/>
      <c r="M878" s="175"/>
      <c r="N878" s="175"/>
      <c r="O878" s="91">
        <f t="shared" ref="O878:S878" si="974">O866/O$863</f>
        <v>0.25134104916746869</v>
      </c>
      <c r="P878" s="91">
        <f t="shared" si="974"/>
        <v>0.25134104916746869</v>
      </c>
      <c r="Q878" s="91">
        <f t="shared" si="974"/>
        <v>0.25134104916746874</v>
      </c>
      <c r="R878" s="91">
        <f t="shared" si="974"/>
        <v>0.25134104916746874</v>
      </c>
      <c r="S878" s="804">
        <f t="shared" si="974"/>
        <v>0.25134104916746874</v>
      </c>
      <c r="T878" s="726"/>
      <c r="U878" s="1521"/>
      <c r="V878" s="1521"/>
      <c r="W878" s="1521"/>
      <c r="X878" s="1521"/>
      <c r="Y878" s="1521"/>
      <c r="Z878" s="1521"/>
      <c r="AA878" s="1523"/>
      <c r="AC878" s="728"/>
      <c r="AD878" s="728"/>
      <c r="AE878" s="728"/>
      <c r="AF878" s="728"/>
      <c r="AG878" s="728"/>
      <c r="AH878" s="728"/>
      <c r="AI878" s="22"/>
      <c r="AK878" s="1521"/>
      <c r="AL878" s="1521"/>
      <c r="AM878" s="1521"/>
      <c r="AN878" s="1521"/>
      <c r="AO878" s="1521"/>
      <c r="AP878" s="1521"/>
      <c r="AQ878" s="1523"/>
    </row>
    <row r="879" spans="1:43" s="1365" customFormat="1" outlineLevel="3">
      <c r="A879" s="22"/>
      <c r="B879" s="22"/>
      <c r="C879" s="22"/>
      <c r="D879" s="715" t="s">
        <v>844</v>
      </c>
      <c r="E879" s="1141"/>
      <c r="F879" s="1141"/>
      <c r="G879" s="1141"/>
      <c r="H879" s="175"/>
      <c r="I879" s="175"/>
      <c r="J879" s="175"/>
      <c r="K879" s="175"/>
      <c r="L879" s="175"/>
      <c r="M879" s="175"/>
      <c r="N879" s="175"/>
      <c r="O879" s="91">
        <f t="shared" ref="O879:S879" si="975">O867/O$863</f>
        <v>0.39052873456784232</v>
      </c>
      <c r="P879" s="91">
        <f t="shared" si="975"/>
        <v>0.39052873456784232</v>
      </c>
      <c r="Q879" s="91">
        <f t="shared" si="975"/>
        <v>0.39052873456784237</v>
      </c>
      <c r="R879" s="91">
        <f t="shared" si="975"/>
        <v>0.39052873456784226</v>
      </c>
      <c r="S879" s="804">
        <f t="shared" si="975"/>
        <v>0.39052873456784226</v>
      </c>
      <c r="T879" s="726"/>
      <c r="U879" s="1521"/>
      <c r="V879" s="1521"/>
      <c r="W879" s="1521"/>
      <c r="X879" s="1521"/>
      <c r="Y879" s="1521"/>
      <c r="Z879" s="1521"/>
      <c r="AA879" s="1523"/>
      <c r="AC879" s="728"/>
      <c r="AD879" s="728"/>
      <c r="AE879" s="728"/>
      <c r="AF879" s="728"/>
      <c r="AG879" s="728"/>
      <c r="AH879" s="728"/>
      <c r="AI879" s="22"/>
      <c r="AK879" s="1521"/>
      <c r="AL879" s="1521"/>
      <c r="AM879" s="1521"/>
      <c r="AN879" s="1521"/>
      <c r="AO879" s="1521"/>
      <c r="AP879" s="1521"/>
      <c r="AQ879" s="1523"/>
    </row>
    <row r="880" spans="1:43" s="1365" customFormat="1" outlineLevel="3">
      <c r="A880" s="22"/>
      <c r="B880" s="22"/>
      <c r="C880" s="22"/>
      <c r="D880" s="719" t="s">
        <v>665</v>
      </c>
      <c r="E880" s="720"/>
      <c r="F880" s="720"/>
      <c r="G880" s="720"/>
      <c r="H880" s="722"/>
      <c r="I880" s="722"/>
      <c r="J880" s="722"/>
      <c r="K880" s="722"/>
      <c r="L880" s="722"/>
      <c r="M880" s="722"/>
      <c r="N880" s="722"/>
      <c r="O880" s="794">
        <f t="shared" ref="O880:S880" si="976">O868/O$863</f>
        <v>2.6358983905747026E-3</v>
      </c>
      <c r="P880" s="794">
        <f t="shared" si="976"/>
        <v>2.6358983905747026E-3</v>
      </c>
      <c r="Q880" s="794">
        <f t="shared" si="976"/>
        <v>2.635898390574703E-3</v>
      </c>
      <c r="R880" s="794">
        <f t="shared" si="976"/>
        <v>2.6358983905747026E-3</v>
      </c>
      <c r="S880" s="805">
        <f t="shared" si="976"/>
        <v>2.635898390574703E-3</v>
      </c>
      <c r="T880" s="726"/>
      <c r="U880" s="1521"/>
      <c r="V880" s="1521"/>
      <c r="W880" s="1521"/>
      <c r="X880" s="1521"/>
      <c r="Y880" s="1521"/>
      <c r="Z880" s="1521"/>
      <c r="AA880" s="1523"/>
      <c r="AC880" s="728"/>
      <c r="AD880" s="728"/>
      <c r="AE880" s="728"/>
      <c r="AF880" s="728"/>
      <c r="AG880" s="728"/>
      <c r="AH880" s="728"/>
      <c r="AI880" s="22"/>
      <c r="AK880" s="1521"/>
      <c r="AL880" s="1521"/>
      <c r="AM880" s="1521"/>
      <c r="AN880" s="1521"/>
      <c r="AO880" s="1521"/>
      <c r="AP880" s="1521"/>
      <c r="AQ880" s="1523"/>
    </row>
    <row r="881" spans="3:43" outlineLevel="3">
      <c r="C881" s="1" t="s">
        <v>31</v>
      </c>
      <c r="H881" s="1337"/>
      <c r="I881" s="1337"/>
      <c r="J881" s="1337"/>
      <c r="K881" s="1337"/>
      <c r="L881" s="1337"/>
      <c r="M881" s="1337"/>
      <c r="N881" s="1337"/>
      <c r="O881" s="806">
        <f t="shared" ref="O881:S881" si="977">IFERROR(O887/O863,"NA")</f>
        <v>8.8073532095774176E-2</v>
      </c>
      <c r="P881" s="806">
        <f t="shared" si="977"/>
        <v>8.8073532095774176E-2</v>
      </c>
      <c r="Q881" s="806">
        <f t="shared" si="977"/>
        <v>8.8073532095774204E-2</v>
      </c>
      <c r="R881" s="806">
        <f t="shared" si="977"/>
        <v>8.807353209577419E-2</v>
      </c>
      <c r="S881" s="806">
        <f t="shared" si="977"/>
        <v>8.807353209577419E-2</v>
      </c>
      <c r="U881" s="1529">
        <f>$L881*(1+$AA881)</f>
        <v>0</v>
      </c>
      <c r="V881" s="1529">
        <f>U881*(1+$AA881)</f>
        <v>0</v>
      </c>
      <c r="W881" s="1529">
        <f t="shared" ref="W881" si="978">V881*(1+$AA881)</f>
        <v>0</v>
      </c>
      <c r="X881" s="1529">
        <f t="shared" ref="X881" si="979">W881*(1+$AA881)</f>
        <v>0</v>
      </c>
      <c r="Y881" s="1529">
        <f t="shared" ref="Y881" si="980">X881*(1+$AA881)</f>
        <v>0</v>
      </c>
      <c r="Z881" s="1529">
        <f t="shared" ref="Z881" si="981">Y881*(1+$AA881)</f>
        <v>0</v>
      </c>
      <c r="AA881" s="1520">
        <v>0.02</v>
      </c>
      <c r="AC881" s="1360"/>
      <c r="AD881" s="448"/>
      <c r="AE881" s="448"/>
      <c r="AF881" s="448"/>
      <c r="AG881" s="448"/>
      <c r="AH881" s="448"/>
      <c r="AI881" s="702"/>
      <c r="AK881" s="1529">
        <f>$L881*(1+$AQ881)</f>
        <v>0</v>
      </c>
      <c r="AL881" s="1529">
        <f>AK881*(1+$AQ881)</f>
        <v>0</v>
      </c>
      <c r="AM881" s="1529">
        <f t="shared" ref="AM881" si="982">AL881*(1+$AQ881)</f>
        <v>0</v>
      </c>
      <c r="AN881" s="1529">
        <f t="shared" ref="AN881" si="983">AM881*(1+$AQ881)</f>
        <v>0</v>
      </c>
      <c r="AO881" s="1529">
        <f>AN881*(1+$AQ881)</f>
        <v>0</v>
      </c>
      <c r="AP881" s="1529">
        <f t="shared" ref="AP881" si="984">AO881*(1+$AQ881)</f>
        <v>0</v>
      </c>
      <c r="AQ881" s="1520">
        <v>0</v>
      </c>
    </row>
    <row r="882" spans="3:43" outlineLevel="3">
      <c r="D882" s="27" t="s">
        <v>841</v>
      </c>
      <c r="E882" s="28"/>
      <c r="F882" s="28"/>
      <c r="G882" s="28"/>
      <c r="H882" s="1338"/>
      <c r="I882" s="1338"/>
      <c r="J882" s="1338"/>
      <c r="K882" s="1338"/>
      <c r="L882" s="1338"/>
      <c r="M882" s="1338"/>
      <c r="N882" s="1375"/>
      <c r="O882" s="820">
        <f t="shared" ref="O882:O886" si="985">CHOOSE(case,V882,AD882,AL882)</f>
        <v>8.5349755476369374E-2</v>
      </c>
      <c r="P882" s="820">
        <f t="shared" ref="P882:P886" si="986">CHOOSE(case,W882,AE882,AM882)</f>
        <v>8.5349755476369374E-2</v>
      </c>
      <c r="Q882" s="820">
        <f t="shared" ref="Q882:Q886" si="987">CHOOSE(case,X882,AF882,AN882)</f>
        <v>8.5349755476369374E-2</v>
      </c>
      <c r="R882" s="820">
        <f t="shared" ref="R882:R886" si="988">CHOOSE(case,Y882,AG882,AO882)</f>
        <v>8.5349755476369374E-2</v>
      </c>
      <c r="S882" s="821">
        <f t="shared" ref="S882:S886" si="989">CHOOSE(case,Z882,AH882,AP882)</f>
        <v>8.5349755476369374E-2</v>
      </c>
      <c r="T882" s="993"/>
      <c r="U882" s="1530"/>
      <c r="V882" s="1530"/>
      <c r="W882" s="1530"/>
      <c r="X882" s="1530"/>
      <c r="Y882" s="1530"/>
      <c r="Z882" s="1530"/>
      <c r="AA882" s="1530"/>
      <c r="AB882" s="1371"/>
      <c r="AC882" s="1361"/>
      <c r="AD882" s="783">
        <f>AD843</f>
        <v>8.5349755476369374E-2</v>
      </c>
      <c r="AE882" s="783">
        <f t="shared" ref="AE882:AE886" si="990">AD882</f>
        <v>8.5349755476369374E-2</v>
      </c>
      <c r="AF882" s="783">
        <f t="shared" ref="AF882:AF886" si="991">AE882</f>
        <v>8.5349755476369374E-2</v>
      </c>
      <c r="AG882" s="783">
        <f t="shared" ref="AG882:AG886" si="992">AF882</f>
        <v>8.5349755476369374E-2</v>
      </c>
      <c r="AH882" s="783">
        <f t="shared" ref="AH882:AH886" si="993">AG882</f>
        <v>8.5349755476369374E-2</v>
      </c>
    </row>
    <row r="883" spans="3:43" outlineLevel="3">
      <c r="D883" s="31" t="s">
        <v>842</v>
      </c>
      <c r="H883" s="1339"/>
      <c r="I883" s="1339"/>
      <c r="J883" s="1339"/>
      <c r="K883" s="1339"/>
      <c r="L883" s="1339"/>
      <c r="M883" s="1339"/>
      <c r="N883" s="1376"/>
      <c r="O883" s="823">
        <f t="shared" si="985"/>
        <v>0.24296398073757525</v>
      </c>
      <c r="P883" s="823">
        <f t="shared" si="986"/>
        <v>0.24296398073757525</v>
      </c>
      <c r="Q883" s="823">
        <f t="shared" si="987"/>
        <v>0.24296398073757525</v>
      </c>
      <c r="R883" s="823">
        <f t="shared" si="988"/>
        <v>0.24296398073757525</v>
      </c>
      <c r="S883" s="824">
        <f t="shared" si="989"/>
        <v>0.24296398073757525</v>
      </c>
      <c r="T883" s="993"/>
      <c r="U883" s="1530"/>
      <c r="V883" s="1530"/>
      <c r="W883" s="1530"/>
      <c r="X883" s="1530"/>
      <c r="Y883" s="1530"/>
      <c r="Z883" s="1530"/>
      <c r="AA883" s="1530"/>
      <c r="AB883" s="1371"/>
      <c r="AC883" s="1361"/>
      <c r="AD883" s="783">
        <f t="shared" ref="AD883:AD886" si="994">AD844</f>
        <v>0.24296398073757525</v>
      </c>
      <c r="AE883" s="783">
        <f t="shared" si="990"/>
        <v>0.24296398073757525</v>
      </c>
      <c r="AF883" s="783">
        <f t="shared" si="991"/>
        <v>0.24296398073757525</v>
      </c>
      <c r="AG883" s="783">
        <f t="shared" si="992"/>
        <v>0.24296398073757525</v>
      </c>
      <c r="AH883" s="783">
        <f t="shared" si="993"/>
        <v>0.24296398073757525</v>
      </c>
    </row>
    <row r="884" spans="3:43" outlineLevel="3">
      <c r="D884" s="31" t="s">
        <v>843</v>
      </c>
      <c r="H884" s="1339"/>
      <c r="I884" s="1339"/>
      <c r="J884" s="1339"/>
      <c r="K884" s="1339"/>
      <c r="L884" s="1339"/>
      <c r="M884" s="1339"/>
      <c r="N884" s="1376"/>
      <c r="O884" s="823">
        <f t="shared" si="985"/>
        <v>0.1253526643201453</v>
      </c>
      <c r="P884" s="823">
        <f t="shared" si="986"/>
        <v>0.1253526643201453</v>
      </c>
      <c r="Q884" s="823">
        <f t="shared" si="987"/>
        <v>0.1253526643201453</v>
      </c>
      <c r="R884" s="823">
        <f t="shared" si="988"/>
        <v>0.1253526643201453</v>
      </c>
      <c r="S884" s="824">
        <f t="shared" si="989"/>
        <v>0.1253526643201453</v>
      </c>
      <c r="T884" s="993"/>
      <c r="U884" s="1530"/>
      <c r="V884" s="1530"/>
      <c r="W884" s="1530"/>
      <c r="X884" s="1530"/>
      <c r="Y884" s="1530"/>
      <c r="Z884" s="1530"/>
      <c r="AA884" s="1530"/>
      <c r="AB884" s="1371"/>
      <c r="AC884" s="1361"/>
      <c r="AD884" s="783">
        <f t="shared" si="994"/>
        <v>0.1253526643201453</v>
      </c>
      <c r="AE884" s="783">
        <f t="shared" si="990"/>
        <v>0.1253526643201453</v>
      </c>
      <c r="AF884" s="783">
        <f t="shared" si="991"/>
        <v>0.1253526643201453</v>
      </c>
      <c r="AG884" s="783">
        <f t="shared" si="992"/>
        <v>0.1253526643201453</v>
      </c>
      <c r="AH884" s="783">
        <f t="shared" si="993"/>
        <v>0.1253526643201453</v>
      </c>
    </row>
    <row r="885" spans="3:43" outlineLevel="3">
      <c r="D885" s="31" t="s">
        <v>844</v>
      </c>
      <c r="H885" s="1339"/>
      <c r="I885" s="1339"/>
      <c r="J885" s="1339"/>
      <c r="K885" s="1339"/>
      <c r="L885" s="1339"/>
      <c r="M885" s="1339"/>
      <c r="N885" s="1376"/>
      <c r="O885" s="823">
        <f t="shared" si="985"/>
        <v>5.9260853112530536E-2</v>
      </c>
      <c r="P885" s="823">
        <f t="shared" si="986"/>
        <v>5.9260853112530536E-2</v>
      </c>
      <c r="Q885" s="823">
        <f t="shared" si="987"/>
        <v>5.9260853112530536E-2</v>
      </c>
      <c r="R885" s="823">
        <f t="shared" si="988"/>
        <v>5.9260853112530536E-2</v>
      </c>
      <c r="S885" s="824">
        <f t="shared" si="989"/>
        <v>5.9260853112530536E-2</v>
      </c>
      <c r="T885" s="993"/>
      <c r="U885" s="1530"/>
      <c r="V885" s="1530"/>
      <c r="W885" s="1530"/>
      <c r="X885" s="1530"/>
      <c r="Y885" s="1530"/>
      <c r="Z885" s="1530"/>
      <c r="AA885" s="1530"/>
      <c r="AB885" s="1371"/>
      <c r="AC885" s="1361"/>
      <c r="AD885" s="783">
        <f t="shared" si="994"/>
        <v>5.9260853112530536E-2</v>
      </c>
      <c r="AE885" s="783">
        <f t="shared" si="990"/>
        <v>5.9260853112530536E-2</v>
      </c>
      <c r="AF885" s="783">
        <f t="shared" si="991"/>
        <v>5.9260853112530536E-2</v>
      </c>
      <c r="AG885" s="783">
        <f t="shared" si="992"/>
        <v>5.9260853112530536E-2</v>
      </c>
      <c r="AH885" s="783">
        <f t="shared" si="993"/>
        <v>5.9260853112530536E-2</v>
      </c>
    </row>
    <row r="886" spans="3:43" ht="15" outlineLevel="3" thickBot="1">
      <c r="C886" s="37"/>
      <c r="D886" s="38" t="s">
        <v>665</v>
      </c>
      <c r="E886" s="37"/>
      <c r="F886" s="37"/>
      <c r="G886" s="37"/>
      <c r="H886" s="1340"/>
      <c r="I886" s="1340"/>
      <c r="J886" s="1340"/>
      <c r="K886" s="1341"/>
      <c r="L886" s="1382"/>
      <c r="M886" s="1383"/>
      <c r="N886" s="1377"/>
      <c r="O886" s="834">
        <f t="shared" si="985"/>
        <v>0.25874327440430439</v>
      </c>
      <c r="P886" s="834">
        <f t="shared" si="986"/>
        <v>0.25874327440430439</v>
      </c>
      <c r="Q886" s="834">
        <f t="shared" si="987"/>
        <v>0.25874327440430439</v>
      </c>
      <c r="R886" s="834">
        <f t="shared" si="988"/>
        <v>0.25874327440430439</v>
      </c>
      <c r="S886" s="835">
        <f t="shared" si="989"/>
        <v>0.25874327440430439</v>
      </c>
      <c r="T886" s="993"/>
      <c r="U886" s="1530"/>
      <c r="V886" s="1530"/>
      <c r="W886" s="1530"/>
      <c r="X886" s="1530"/>
      <c r="Y886" s="1530"/>
      <c r="Z886" s="1530"/>
      <c r="AA886" s="1530"/>
      <c r="AB886" s="1371"/>
      <c r="AC886" s="1361"/>
      <c r="AD886" s="783">
        <f t="shared" si="994"/>
        <v>0.25874327440430439</v>
      </c>
      <c r="AE886" s="783">
        <f t="shared" si="990"/>
        <v>0.25874327440430439</v>
      </c>
      <c r="AF886" s="783">
        <f t="shared" si="991"/>
        <v>0.25874327440430439</v>
      </c>
      <c r="AG886" s="783">
        <f t="shared" si="992"/>
        <v>0.25874327440430439</v>
      </c>
      <c r="AH886" s="783">
        <f t="shared" si="993"/>
        <v>0.25874327440430439</v>
      </c>
    </row>
    <row r="887" spans="3:43" outlineLevel="3">
      <c r="C887" s="18" t="s">
        <v>845</v>
      </c>
      <c r="H887" s="1322"/>
      <c r="I887" s="1322"/>
      <c r="J887" s="1322"/>
      <c r="K887" s="1322"/>
      <c r="L887" s="1342"/>
      <c r="M887" s="1342"/>
      <c r="N887" s="1322"/>
      <c r="O887" s="23">
        <f t="shared" ref="O887:R887" si="995">SUM(O888:O892)</f>
        <v>21861.855391444642</v>
      </c>
      <c r="P887" s="23">
        <f t="shared" si="995"/>
        <v>48096.081861178216</v>
      </c>
      <c r="Q887" s="23">
        <f t="shared" si="995"/>
        <v>86572.947350120798</v>
      </c>
      <c r="R887" s="23">
        <f t="shared" si="995"/>
        <v>129859.42102518119</v>
      </c>
      <c r="S887" s="23">
        <f>SUM(S888:S892)</f>
        <v>168817.24733273554</v>
      </c>
      <c r="T887" s="1205"/>
      <c r="AC887" s="1321"/>
    </row>
    <row r="888" spans="3:43" outlineLevel="3">
      <c r="D888" s="27" t="s">
        <v>841</v>
      </c>
      <c r="E888" s="28"/>
      <c r="F888" s="28"/>
      <c r="G888" s="28"/>
      <c r="H888" s="1323"/>
      <c r="I888" s="1323"/>
      <c r="J888" s="1323"/>
      <c r="K888" s="1323"/>
      <c r="L888" s="1352"/>
      <c r="M888" s="1352"/>
      <c r="N888" s="1324"/>
      <c r="O888" s="29">
        <f t="shared" ref="O888:S888" si="996">O882*O864</f>
        <v>7208.7074495119205</v>
      </c>
      <c r="P888" s="29">
        <f t="shared" si="996"/>
        <v>15859.156388926225</v>
      </c>
      <c r="Q888" s="29">
        <f t="shared" si="996"/>
        <v>28546.48150006721</v>
      </c>
      <c r="R888" s="29">
        <f t="shared" si="996"/>
        <v>42819.722250100815</v>
      </c>
      <c r="S888" s="30">
        <f t="shared" si="996"/>
        <v>55665.638925131061</v>
      </c>
      <c r="AC888" s="1321"/>
    </row>
    <row r="889" spans="3:43" outlineLevel="3">
      <c r="D889" s="31" t="s">
        <v>842</v>
      </c>
      <c r="H889" s="1325"/>
      <c r="I889" s="1325"/>
      <c r="J889" s="1325"/>
      <c r="K889" s="1325"/>
      <c r="L889" s="1378"/>
      <c r="M889" s="1378"/>
      <c r="N889" s="1326"/>
      <c r="O889" s="20">
        <f t="shared" ref="O889:S889" si="997">O883*O865</f>
        <v>918.64565466022464</v>
      </c>
      <c r="P889" s="20">
        <f t="shared" si="997"/>
        <v>2021.0204402524946</v>
      </c>
      <c r="Q889" s="20">
        <f t="shared" si="997"/>
        <v>3637.83679245449</v>
      </c>
      <c r="R889" s="20">
        <f t="shared" si="997"/>
        <v>5456.7551886817346</v>
      </c>
      <c r="S889" s="32">
        <f t="shared" si="997"/>
        <v>7093.7817452862555</v>
      </c>
      <c r="AC889" s="1321"/>
    </row>
    <row r="890" spans="3:43" outlineLevel="3">
      <c r="D890" s="31" t="s">
        <v>843</v>
      </c>
      <c r="H890" s="1325"/>
      <c r="I890" s="1325"/>
      <c r="J890" s="1325"/>
      <c r="K890" s="1325"/>
      <c r="L890" s="1378"/>
      <c r="M890" s="1378"/>
      <c r="N890" s="1326"/>
      <c r="O890" s="20">
        <f t="shared" ref="O890:S890" si="998">O884*O866</f>
        <v>7820.5733993662197</v>
      </c>
      <c r="P890" s="20">
        <f t="shared" si="998"/>
        <v>17205.261478605684</v>
      </c>
      <c r="Q890" s="20">
        <f t="shared" si="998"/>
        <v>30969.470661490235</v>
      </c>
      <c r="R890" s="20">
        <f t="shared" si="998"/>
        <v>46454.205992235358</v>
      </c>
      <c r="S890" s="32">
        <f t="shared" si="998"/>
        <v>60390.467789905961</v>
      </c>
      <c r="AC890" s="1321"/>
    </row>
    <row r="891" spans="3:43" outlineLevel="3">
      <c r="D891" s="31" t="s">
        <v>844</v>
      </c>
      <c r="H891" s="1325"/>
      <c r="I891" s="1325"/>
      <c r="J891" s="1325"/>
      <c r="K891" s="1325"/>
      <c r="L891" s="1378"/>
      <c r="M891" s="1378"/>
      <c r="N891" s="1326"/>
      <c r="O891" s="20">
        <f t="shared" ref="O891:S891" si="999">O885*O867</f>
        <v>5744.6357564007367</v>
      </c>
      <c r="P891" s="20">
        <f t="shared" si="999"/>
        <v>12638.198664081621</v>
      </c>
      <c r="Q891" s="20">
        <f t="shared" si="999"/>
        <v>22748.757595346917</v>
      </c>
      <c r="R891" s="20">
        <f t="shared" si="999"/>
        <v>34123.136393020373</v>
      </c>
      <c r="S891" s="32">
        <f t="shared" si="999"/>
        <v>44360.077310926485</v>
      </c>
    </row>
    <row r="892" spans="3:43" outlineLevel="3">
      <c r="D892" s="33" t="s">
        <v>665</v>
      </c>
      <c r="E892" s="34"/>
      <c r="F892" s="34"/>
      <c r="G892" s="34"/>
      <c r="H892" s="1327"/>
      <c r="I892" s="1327"/>
      <c r="J892" s="1327"/>
      <c r="K892" s="1327"/>
      <c r="L892" s="1353"/>
      <c r="M892" s="1353"/>
      <c r="N892" s="1330"/>
      <c r="O892" s="35">
        <f t="shared" ref="O892:S892" si="1000">O886*O868</f>
        <v>169.29313150554091</v>
      </c>
      <c r="P892" s="35">
        <f t="shared" si="1000"/>
        <v>372.44488931219007</v>
      </c>
      <c r="Q892" s="35">
        <f t="shared" si="1000"/>
        <v>670.40080076194215</v>
      </c>
      <c r="R892" s="35">
        <f t="shared" si="1000"/>
        <v>1005.6012011429132</v>
      </c>
      <c r="S892" s="36">
        <f t="shared" si="1000"/>
        <v>1307.2815614857873</v>
      </c>
    </row>
    <row r="893" spans="3:43" outlineLevel="3">
      <c r="H893" s="97"/>
      <c r="I893" s="97"/>
      <c r="J893" s="97"/>
      <c r="K893" s="97"/>
      <c r="L893" s="1321"/>
      <c r="M893" s="1321"/>
      <c r="N893" s="1321"/>
    </row>
    <row r="894" spans="3:43" outlineLevel="3">
      <c r="C894" s="1" t="s">
        <v>659</v>
      </c>
      <c r="H894" s="1325"/>
      <c r="I894" s="1325"/>
      <c r="J894" s="1325"/>
      <c r="K894" s="1325"/>
      <c r="L894" s="1325"/>
      <c r="M894" s="1325"/>
      <c r="N894" s="1378"/>
      <c r="O894" s="20">
        <f>O897-O887</f>
        <v>-14891.470364850295</v>
      </c>
      <c r="P894" s="20">
        <f t="shared" ref="P894:S894" si="1001">P897-P887</f>
        <v>-32743.650697363468</v>
      </c>
      <c r="Q894" s="20">
        <f t="shared" si="1001"/>
        <v>-58596.572311748809</v>
      </c>
      <c r="R894" s="20">
        <f t="shared" si="1001"/>
        <v>-87441.555296496721</v>
      </c>
      <c r="S894" s="20">
        <f t="shared" si="1001"/>
        <v>-113090.86950909767</v>
      </c>
    </row>
    <row r="895" spans="3:43" outlineLevel="3">
      <c r="D895" s="1" t="s">
        <v>849</v>
      </c>
      <c r="H895" s="1379"/>
      <c r="I895" s="1379"/>
      <c r="J895" s="1379"/>
      <c r="K895" s="1379"/>
      <c r="L895" s="1379"/>
      <c r="M895" s="1379"/>
      <c r="N895" s="1350"/>
      <c r="O895" s="744">
        <f>O894/O863</f>
        <v>-5.9992364309809157E-2</v>
      </c>
      <c r="P895" s="1381">
        <f t="shared" ref="P895:S895" si="1002">P894/P863</f>
        <v>-5.9960164300926572E-2</v>
      </c>
      <c r="Q895" s="1381">
        <f t="shared" si="1002"/>
        <v>-5.9612237427122336E-2</v>
      </c>
      <c r="R895" s="1381">
        <f t="shared" si="1002"/>
        <v>-5.9304797188469302E-2</v>
      </c>
      <c r="S895" s="1381">
        <f t="shared" si="1002"/>
        <v>-5.9000561156034845E-2</v>
      </c>
    </row>
    <row r="896" spans="3:43" ht="15" outlineLevel="3" thickBot="1">
      <c r="C896" s="37"/>
      <c r="D896" s="74"/>
      <c r="E896" s="74" t="s">
        <v>151</v>
      </c>
      <c r="F896" s="37"/>
      <c r="G896" s="37"/>
      <c r="H896" s="1380"/>
      <c r="I896" s="172"/>
      <c r="J896" s="172"/>
      <c r="K896" s="172"/>
      <c r="L896" s="172"/>
      <c r="M896" s="172"/>
      <c r="N896" s="172"/>
      <c r="O896" s="172"/>
      <c r="P896" s="172">
        <f>P895/O895-1</f>
        <v>-5.3673512042795579E-4</v>
      </c>
      <c r="Q896" s="172">
        <f t="shared" ref="Q896:S896" si="1003">Q895/P895-1</f>
        <v>-5.8026337629442093E-3</v>
      </c>
      <c r="R896" s="172">
        <f t="shared" si="1003"/>
        <v>-5.1573343313759956E-3</v>
      </c>
      <c r="S896" s="172">
        <f t="shared" si="1003"/>
        <v>-5.1300408543275555E-3</v>
      </c>
      <c r="AC896" s="752"/>
      <c r="AD896" s="1362"/>
      <c r="AE896" s="1362"/>
      <c r="AF896" s="1362"/>
      <c r="AG896" s="1362"/>
      <c r="AH896" s="1362"/>
    </row>
    <row r="897" spans="1:43" outlineLevel="3">
      <c r="C897" s="18" t="s">
        <v>846</v>
      </c>
      <c r="D897" s="18"/>
      <c r="E897" s="18"/>
      <c r="F897" s="18"/>
      <c r="G897" s="18"/>
      <c r="H897" s="1322"/>
      <c r="I897" s="1322"/>
      <c r="J897" s="1322"/>
      <c r="K897" s="1322"/>
      <c r="L897" s="1322"/>
      <c r="M897" s="1322"/>
      <c r="N897" s="1322"/>
      <c r="O897" s="23">
        <f>O898*O887</f>
        <v>6970.3850265943465</v>
      </c>
      <c r="P897" s="23">
        <f t="shared" ref="P897:S897" si="1004">P898*P887</f>
        <v>15352.431163814748</v>
      </c>
      <c r="Q897" s="23">
        <f t="shared" si="1004"/>
        <v>27976.375038371993</v>
      </c>
      <c r="R897" s="23">
        <f t="shared" si="1004"/>
        <v>42417.865728684475</v>
      </c>
      <c r="S897" s="23">
        <f t="shared" si="1004"/>
        <v>55726.377823637871</v>
      </c>
    </row>
    <row r="898" spans="1:43" outlineLevel="3">
      <c r="C898" s="22" t="s">
        <v>660</v>
      </c>
      <c r="D898" s="22"/>
      <c r="E898" s="22"/>
      <c r="F898" s="22"/>
      <c r="G898" s="22"/>
      <c r="H898" s="1127"/>
      <c r="I898" s="1127"/>
      <c r="J898" s="1127"/>
      <c r="K898" s="1127"/>
      <c r="L898" s="1127"/>
      <c r="M898" s="1127"/>
      <c r="N898" s="1127"/>
      <c r="O898" s="1363">
        <f>O859-3%</f>
        <v>0.31883776110430762</v>
      </c>
      <c r="P898" s="1363">
        <f t="shared" ref="P898:S898" si="1005">P859-3%</f>
        <v>0.31920336480063238</v>
      </c>
      <c r="Q898" s="1363">
        <f t="shared" si="1005"/>
        <v>0.3231537783417392</v>
      </c>
      <c r="R898" s="1363">
        <f t="shared" si="1005"/>
        <v>0.32664450059775929</v>
      </c>
      <c r="S898" s="1475">
        <f t="shared" si="1005"/>
        <v>0.33009884181917892</v>
      </c>
      <c r="U898" s="1526">
        <f>AC898+1%</f>
        <v>0.01</v>
      </c>
      <c r="V898" s="1526">
        <f t="shared" ref="V898" si="1006">U898</f>
        <v>0.01</v>
      </c>
      <c r="W898" s="1526">
        <f t="shared" ref="W898" si="1007">V898</f>
        <v>0.01</v>
      </c>
      <c r="X898" s="1526">
        <f t="shared" ref="X898" si="1008">W898</f>
        <v>0.01</v>
      </c>
      <c r="Y898" s="1526">
        <f t="shared" ref="Y898" si="1009">X898</f>
        <v>0.01</v>
      </c>
      <c r="Z898" s="1526">
        <f t="shared" ref="Z898" si="1010">Y898</f>
        <v>0.01</v>
      </c>
      <c r="AC898" s="1175"/>
      <c r="AD898" s="1176"/>
      <c r="AE898" s="1176"/>
      <c r="AF898" s="1176"/>
      <c r="AG898" s="1176"/>
      <c r="AH898" s="1176"/>
      <c r="AK898" s="1526">
        <f>AC898-1%</f>
        <v>-0.01</v>
      </c>
      <c r="AL898" s="1526">
        <f t="shared" ref="AL898" si="1011">AK898</f>
        <v>-0.01</v>
      </c>
      <c r="AM898" s="1526">
        <f t="shared" ref="AM898" si="1012">AL898</f>
        <v>-0.01</v>
      </c>
      <c r="AN898" s="1526">
        <f t="shared" ref="AN898" si="1013">AM898</f>
        <v>-0.01</v>
      </c>
      <c r="AO898" s="1526">
        <f t="shared" ref="AO898" si="1014">AN898</f>
        <v>-0.01</v>
      </c>
      <c r="AP898" s="1526">
        <f t="shared" ref="AP898" si="1015">AO898</f>
        <v>-0.01</v>
      </c>
    </row>
    <row r="899" spans="1:43" outlineLevel="2"/>
    <row r="900" spans="1:43" s="1125" customFormat="1" outlineLevel="2">
      <c r="A900" s="15" t="s">
        <v>8</v>
      </c>
      <c r="B900" s="15" t="s">
        <v>59</v>
      </c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103"/>
      <c r="U900" s="1515"/>
      <c r="V900" s="1515"/>
      <c r="W900" s="1515"/>
      <c r="X900" s="1515"/>
      <c r="Y900" s="1515"/>
      <c r="Z900" s="1515"/>
      <c r="AA900" s="1515"/>
      <c r="AC900" s="16"/>
      <c r="AD900" s="16"/>
      <c r="AE900" s="16"/>
      <c r="AF900" s="16"/>
      <c r="AG900" s="16"/>
      <c r="AH900" s="16"/>
      <c r="AI900" s="96"/>
      <c r="AK900" s="1515"/>
      <c r="AL900" s="1515"/>
      <c r="AM900" s="1515"/>
      <c r="AN900" s="1515"/>
      <c r="AO900" s="1515"/>
      <c r="AP900" s="1515"/>
      <c r="AQ900" s="1515"/>
    </row>
    <row r="901" spans="1:43" outlineLevel="2">
      <c r="L901" s="20"/>
      <c r="M901" s="20"/>
      <c r="N901" s="20"/>
      <c r="S901" s="20"/>
    </row>
    <row r="902" spans="1:43" outlineLevel="2">
      <c r="C902" s="18" t="s">
        <v>845</v>
      </c>
      <c r="H902" s="405">
        <v>45584</v>
      </c>
      <c r="I902" s="405">
        <v>36586</v>
      </c>
      <c r="J902" s="405">
        <v>28514</v>
      </c>
      <c r="K902" s="405">
        <v>11206</v>
      </c>
      <c r="L902" s="405">
        <v>16711.280148400019</v>
      </c>
      <c r="M902" s="405">
        <v>14474.140830000009</v>
      </c>
      <c r="N902" s="73">
        <f>L902*(1+N903)</f>
        <v>16711.280148400019</v>
      </c>
      <c r="O902" s="73">
        <f t="shared" ref="O902:S902" si="1016">N902*(1+O903)</f>
        <v>16711.280148400019</v>
      </c>
      <c r="P902" s="73">
        <f t="shared" si="1016"/>
        <v>16711.280148400019</v>
      </c>
      <c r="Q902" s="73">
        <f t="shared" si="1016"/>
        <v>16711.280148400019</v>
      </c>
      <c r="R902" s="73">
        <f t="shared" si="1016"/>
        <v>16711.280148400019</v>
      </c>
      <c r="S902" s="73">
        <f t="shared" si="1016"/>
        <v>16711.280148400019</v>
      </c>
    </row>
    <row r="903" spans="1:43" s="1365" customFormat="1" outlineLevel="2">
      <c r="A903" s="22"/>
      <c r="B903" s="22"/>
      <c r="C903" s="89"/>
      <c r="D903" s="22" t="s">
        <v>151</v>
      </c>
      <c r="E903" s="22"/>
      <c r="F903" s="22"/>
      <c r="G903" s="22"/>
      <c r="H903" s="92"/>
      <c r="I903" s="24">
        <f>I902/H902-1</f>
        <v>-0.19739382239382242</v>
      </c>
      <c r="J903" s="24">
        <f t="shared" ref="J903:K903" si="1017">J902/I902-1</f>
        <v>-0.22063084239873176</v>
      </c>
      <c r="K903" s="24">
        <f t="shared" si="1017"/>
        <v>-0.60700007014098345</v>
      </c>
      <c r="L903" s="24">
        <f>L902/J902-1</f>
        <v>-0.41392718845479348</v>
      </c>
      <c r="M903" s="24"/>
      <c r="N903" s="839">
        <f t="shared" ref="N903:S903" si="1018">CHOOSE(case,U903,AC903,AK903)</f>
        <v>0</v>
      </c>
      <c r="O903" s="840">
        <f t="shared" si="1018"/>
        <v>0</v>
      </c>
      <c r="P903" s="840">
        <f t="shared" si="1018"/>
        <v>0</v>
      </c>
      <c r="Q903" s="840">
        <f t="shared" si="1018"/>
        <v>0</v>
      </c>
      <c r="R903" s="840">
        <f t="shared" si="1018"/>
        <v>0</v>
      </c>
      <c r="S903" s="841">
        <f t="shared" si="1018"/>
        <v>0</v>
      </c>
      <c r="T903" s="726"/>
      <c r="U903" s="1526">
        <v>0.03</v>
      </c>
      <c r="V903" s="1526">
        <f t="shared" ref="V903:Z903" si="1019">U903</f>
        <v>0.03</v>
      </c>
      <c r="W903" s="1526">
        <f t="shared" si="1019"/>
        <v>0.03</v>
      </c>
      <c r="X903" s="1526">
        <f t="shared" si="1019"/>
        <v>0.03</v>
      </c>
      <c r="Y903" s="1526">
        <f t="shared" si="1019"/>
        <v>0.03</v>
      </c>
      <c r="Z903" s="1526">
        <f t="shared" si="1019"/>
        <v>0.03</v>
      </c>
      <c r="AA903" s="1515"/>
      <c r="AB903" s="1321"/>
      <c r="AC903" s="471">
        <v>0</v>
      </c>
      <c r="AD903" s="79">
        <f t="shared" ref="AD903:AH903" si="1020">AC903</f>
        <v>0</v>
      </c>
      <c r="AE903" s="79">
        <f t="shared" si="1020"/>
        <v>0</v>
      </c>
      <c r="AF903" s="79">
        <f t="shared" si="1020"/>
        <v>0</v>
      </c>
      <c r="AG903" s="79">
        <f t="shared" si="1020"/>
        <v>0</v>
      </c>
      <c r="AH903" s="79">
        <f t="shared" si="1020"/>
        <v>0</v>
      </c>
      <c r="AI903" s="1"/>
      <c r="AJ903" s="1321"/>
      <c r="AK903" s="1526">
        <v>-0.03</v>
      </c>
      <c r="AL903" s="1526">
        <f t="shared" ref="AL903:AP903" si="1021">AK903</f>
        <v>-0.03</v>
      </c>
      <c r="AM903" s="1526">
        <f t="shared" si="1021"/>
        <v>-0.03</v>
      </c>
      <c r="AN903" s="1526">
        <f t="shared" si="1021"/>
        <v>-0.03</v>
      </c>
      <c r="AO903" s="1526">
        <f t="shared" si="1021"/>
        <v>-0.03</v>
      </c>
      <c r="AP903" s="1526">
        <f t="shared" si="1021"/>
        <v>-0.03</v>
      </c>
      <c r="AQ903" s="1515"/>
    </row>
    <row r="904" spans="1:43" s="1365" customFormat="1" outlineLevel="2">
      <c r="A904" s="22"/>
      <c r="B904" s="22"/>
      <c r="C904" s="89"/>
      <c r="D904" s="22"/>
      <c r="E904" s="22"/>
      <c r="F904" s="22"/>
      <c r="G904" s="22"/>
      <c r="H904" s="92"/>
      <c r="I904" s="92"/>
      <c r="J904" s="92"/>
      <c r="K904" s="92"/>
      <c r="L904" s="22"/>
      <c r="M904" s="22"/>
      <c r="N904" s="22"/>
      <c r="O904" s="22"/>
      <c r="P904" s="22"/>
      <c r="Q904" s="22"/>
      <c r="R904" s="22"/>
      <c r="S904" s="22"/>
      <c r="T904" s="726"/>
      <c r="U904" s="1523"/>
      <c r="V904" s="1523"/>
      <c r="W904" s="1523"/>
      <c r="X904" s="1523"/>
      <c r="Y904" s="1523"/>
      <c r="Z904" s="1523"/>
      <c r="AA904" s="1523"/>
      <c r="AC904" s="22"/>
      <c r="AD904" s="22"/>
      <c r="AE904" s="22"/>
      <c r="AF904" s="22"/>
      <c r="AG904" s="22"/>
      <c r="AH904" s="22"/>
      <c r="AI904" s="22"/>
      <c r="AK904" s="1523"/>
      <c r="AL904" s="1523"/>
      <c r="AM904" s="1523"/>
      <c r="AN904" s="1523"/>
      <c r="AO904" s="1523"/>
      <c r="AP904" s="1523"/>
      <c r="AQ904" s="1523"/>
    </row>
    <row r="905" spans="1:43" ht="15" outlineLevel="2" thickBot="1">
      <c r="C905" s="37" t="s">
        <v>659</v>
      </c>
      <c r="D905" s="37"/>
      <c r="E905" s="37"/>
      <c r="F905" s="37"/>
      <c r="G905" s="37"/>
      <c r="H905" s="404">
        <v>-37044</v>
      </c>
      <c r="I905" s="404">
        <v>-26797</v>
      </c>
      <c r="J905" s="404">
        <v>-20954</v>
      </c>
      <c r="K905" s="404">
        <v>-5803</v>
      </c>
      <c r="L905" s="404">
        <v>-9430.2056700000103</v>
      </c>
      <c r="M905" s="404">
        <v>-11274.222549999995</v>
      </c>
      <c r="N905" s="39">
        <f t="shared" ref="N905:S905" si="1022">N906-N902</f>
        <v>-13016.778937092782</v>
      </c>
      <c r="O905" s="39">
        <f t="shared" si="1022"/>
        <v>-13016.778937092782</v>
      </c>
      <c r="P905" s="39">
        <f t="shared" si="1022"/>
        <v>-13016.778937092782</v>
      </c>
      <c r="Q905" s="39">
        <f t="shared" si="1022"/>
        <v>-13016.778937092782</v>
      </c>
      <c r="R905" s="39">
        <f t="shared" si="1022"/>
        <v>-13016.778937092782</v>
      </c>
      <c r="S905" s="39">
        <f t="shared" si="1022"/>
        <v>-13016.778937092782</v>
      </c>
    </row>
    <row r="906" spans="1:43" outlineLevel="2">
      <c r="C906" s="18" t="s">
        <v>846</v>
      </c>
      <c r="D906" s="18"/>
      <c r="E906" s="18"/>
      <c r="F906" s="18"/>
      <c r="G906" s="18"/>
      <c r="H906" s="23">
        <f>SUM(H902:H905)</f>
        <v>8540</v>
      </c>
      <c r="I906" s="23">
        <f t="shared" ref="I906" si="1023">SUM(I902,I905)</f>
        <v>9789</v>
      </c>
      <c r="J906" s="23">
        <f>SUM(J902,J905)</f>
        <v>7560</v>
      </c>
      <c r="K906" s="23">
        <f t="shared" ref="K906:L906" si="1024">SUM(K902,K905)</f>
        <v>5403</v>
      </c>
      <c r="L906" s="23">
        <f t="shared" si="1024"/>
        <v>7281.074478400009</v>
      </c>
      <c r="M906" s="23">
        <f>SUM(M902,M905)</f>
        <v>3199.9182800000144</v>
      </c>
      <c r="N906" s="23">
        <f t="shared" ref="N906:S906" si="1025">N907*N902</f>
        <v>3694.5012113072371</v>
      </c>
      <c r="O906" s="23">
        <f t="shared" si="1025"/>
        <v>3694.5012113072371</v>
      </c>
      <c r="P906" s="23">
        <f t="shared" si="1025"/>
        <v>3694.5012113072371</v>
      </c>
      <c r="Q906" s="23">
        <f t="shared" si="1025"/>
        <v>3694.5012113072371</v>
      </c>
      <c r="R906" s="23">
        <f t="shared" si="1025"/>
        <v>3694.5012113072371</v>
      </c>
      <c r="S906" s="23">
        <f t="shared" si="1025"/>
        <v>3694.5012113072371</v>
      </c>
    </row>
    <row r="907" spans="1:43" s="1365" customFormat="1" outlineLevel="2">
      <c r="A907" s="22"/>
      <c r="B907" s="22"/>
      <c r="C907" s="22" t="s">
        <v>660</v>
      </c>
      <c r="D907" s="22"/>
      <c r="E907" s="22"/>
      <c r="F907" s="22"/>
      <c r="G907" s="22"/>
      <c r="H907" s="25">
        <f>H906/H902</f>
        <v>0.18734643734643736</v>
      </c>
      <c r="I907" s="25">
        <f t="shared" ref="I907:L907" si="1026">I906/I902</f>
        <v>0.26756136226972066</v>
      </c>
      <c r="J907" s="25">
        <f t="shared" si="1026"/>
        <v>0.26513291716349863</v>
      </c>
      <c r="K907" s="25">
        <f t="shared" si="1026"/>
        <v>0.48215241834731393</v>
      </c>
      <c r="L907" s="25">
        <f t="shared" si="1026"/>
        <v>0.43569818791513215</v>
      </c>
      <c r="M907" s="25">
        <f>M906/M902</f>
        <v>0.22107828834770377</v>
      </c>
      <c r="N907" s="749">
        <f t="shared" ref="N907:S907" si="1027">CHOOSE(case,U907,AC907,AK907)</f>
        <v>0.22107828834770377</v>
      </c>
      <c r="O907" s="750">
        <f t="shared" si="1027"/>
        <v>0.22107828834770377</v>
      </c>
      <c r="P907" s="750">
        <f t="shared" si="1027"/>
        <v>0.22107828834770377</v>
      </c>
      <c r="Q907" s="750">
        <f t="shared" si="1027"/>
        <v>0.22107828834770377</v>
      </c>
      <c r="R907" s="750">
        <f t="shared" si="1027"/>
        <v>0.22107828834770377</v>
      </c>
      <c r="S907" s="751">
        <f t="shared" si="1027"/>
        <v>0.22107828834770377</v>
      </c>
      <c r="T907" s="726"/>
      <c r="U907" s="1526">
        <v>0.48</v>
      </c>
      <c r="V907" s="1526">
        <f t="shared" ref="V907:Z907" si="1028">U907</f>
        <v>0.48</v>
      </c>
      <c r="W907" s="1526">
        <f t="shared" si="1028"/>
        <v>0.48</v>
      </c>
      <c r="X907" s="1526">
        <f t="shared" si="1028"/>
        <v>0.48</v>
      </c>
      <c r="Y907" s="1526">
        <f t="shared" si="1028"/>
        <v>0.48</v>
      </c>
      <c r="Z907" s="1526">
        <f t="shared" si="1028"/>
        <v>0.48</v>
      </c>
      <c r="AA907" s="1515"/>
      <c r="AB907" s="1321"/>
      <c r="AC907" s="471">
        <f>M907</f>
        <v>0.22107828834770377</v>
      </c>
      <c r="AD907" s="79">
        <f t="shared" ref="AD907:AH907" si="1029">AC907</f>
        <v>0.22107828834770377</v>
      </c>
      <c r="AE907" s="79">
        <f t="shared" si="1029"/>
        <v>0.22107828834770377</v>
      </c>
      <c r="AF907" s="79">
        <f t="shared" si="1029"/>
        <v>0.22107828834770377</v>
      </c>
      <c r="AG907" s="79">
        <f t="shared" si="1029"/>
        <v>0.22107828834770377</v>
      </c>
      <c r="AH907" s="79">
        <f t="shared" si="1029"/>
        <v>0.22107828834770377</v>
      </c>
      <c r="AI907" s="1"/>
      <c r="AJ907" s="1321"/>
      <c r="AK907" s="1526">
        <v>0.35</v>
      </c>
      <c r="AL907" s="1526">
        <f t="shared" ref="AL907:AP907" si="1030">AK907</f>
        <v>0.35</v>
      </c>
      <c r="AM907" s="1526">
        <f t="shared" si="1030"/>
        <v>0.35</v>
      </c>
      <c r="AN907" s="1526">
        <f t="shared" si="1030"/>
        <v>0.35</v>
      </c>
      <c r="AO907" s="1526">
        <f t="shared" si="1030"/>
        <v>0.35</v>
      </c>
      <c r="AP907" s="1526">
        <f t="shared" si="1030"/>
        <v>0.35</v>
      </c>
      <c r="AQ907" s="1515"/>
    </row>
    <row r="908" spans="1:43" outlineLevel="2"/>
    <row r="909" spans="1:43" outlineLevel="1"/>
    <row r="910" spans="1:43" s="1125" customFormat="1" outlineLevel="1">
      <c r="A910" s="10" t="s">
        <v>8</v>
      </c>
      <c r="B910" s="10" t="s">
        <v>60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103"/>
      <c r="U910" s="1515"/>
      <c r="V910" s="1515"/>
      <c r="W910" s="1515"/>
      <c r="X910" s="1515"/>
      <c r="Y910" s="1515"/>
      <c r="Z910" s="1515"/>
      <c r="AA910" s="1515"/>
      <c r="AC910" s="62"/>
      <c r="AD910" s="62"/>
      <c r="AE910" s="62"/>
      <c r="AF910" s="62"/>
      <c r="AG910" s="62"/>
      <c r="AH910" s="62"/>
      <c r="AI910" s="96"/>
      <c r="AK910" s="1515"/>
      <c r="AL910" s="1515"/>
      <c r="AM910" s="1515"/>
      <c r="AN910" s="1515"/>
      <c r="AO910" s="1515"/>
      <c r="AP910" s="1515"/>
      <c r="AQ910" s="1515"/>
    </row>
    <row r="911" spans="1:43" outlineLevel="1">
      <c r="L911" s="1476">
        <f>L936/K936</f>
        <v>1.3265652258189571</v>
      </c>
      <c r="M911" s="1476">
        <f>M936/K936</f>
        <v>0.64494088001550687</v>
      </c>
      <c r="N911" s="20"/>
      <c r="S911" s="20"/>
    </row>
    <row r="912" spans="1:43" s="1126" customFormat="1" outlineLevel="1">
      <c r="A912" s="18"/>
      <c r="B912" s="18"/>
      <c r="C912" s="18" t="s">
        <v>840</v>
      </c>
      <c r="D912" s="18"/>
      <c r="E912" s="18"/>
      <c r="F912" s="18"/>
      <c r="G912" s="18"/>
      <c r="H912" s="23">
        <f>SUM(H913:H917)</f>
        <v>651986</v>
      </c>
      <c r="I912" s="23">
        <f t="shared" ref="I912:K912" si="1031">SUM(I913:I917)</f>
        <v>593407</v>
      </c>
      <c r="J912" s="23">
        <f t="shared" si="1031"/>
        <v>517354</v>
      </c>
      <c r="K912" s="23">
        <f t="shared" si="1031"/>
        <v>259084</v>
      </c>
      <c r="L912" s="23">
        <f>SUM(L913:L917)</f>
        <v>343691.82496607874</v>
      </c>
      <c r="M912" s="23">
        <f>SUM(M913:M917)</f>
        <v>167093.86295793758</v>
      </c>
      <c r="N912" s="23">
        <f t="shared" ref="N912:S912" si="1032">SUM(N913:N917)</f>
        <v>345795.49210118246</v>
      </c>
      <c r="O912" s="23">
        <f t="shared" si="1032"/>
        <v>348004.34259304131</v>
      </c>
      <c r="P912" s="23">
        <f t="shared" si="1032"/>
        <v>350323.63560949318</v>
      </c>
      <c r="Q912" s="23">
        <f t="shared" si="1032"/>
        <v>352758.89327676757</v>
      </c>
      <c r="R912" s="23">
        <f t="shared" si="1032"/>
        <v>355315.91382740572</v>
      </c>
      <c r="S912" s="23">
        <f t="shared" si="1032"/>
        <v>358000.78540557576</v>
      </c>
      <c r="T912" s="408"/>
      <c r="U912" s="1519">
        <f>$L912*(1+$AA912)</f>
        <v>395245.59871099051</v>
      </c>
      <c r="V912" s="1519">
        <f>U912*(1+$AA912)</f>
        <v>454532.43851763906</v>
      </c>
      <c r="W912" s="1519">
        <f>V912*(1+$AA912)</f>
        <v>522712.30429528491</v>
      </c>
      <c r="X912" s="1519">
        <f>W912*(1+$AA912)</f>
        <v>601119.14993957756</v>
      </c>
      <c r="Y912" s="1519">
        <f>X912*(1+$AA912)</f>
        <v>691287.0224305141</v>
      </c>
      <c r="Z912" s="1519">
        <f t="shared" ref="Z912" si="1033">Y912*(1+$AA912)</f>
        <v>794980.07579509111</v>
      </c>
      <c r="AA912" s="1520">
        <v>0.15</v>
      </c>
      <c r="AB912" s="1321"/>
      <c r="AC912" s="20"/>
      <c r="AD912" s="20"/>
      <c r="AE912" s="20"/>
      <c r="AF912" s="20"/>
      <c r="AG912" s="20"/>
      <c r="AH912" s="20"/>
      <c r="AI912" s="702"/>
      <c r="AJ912" s="1321"/>
      <c r="AK912" s="1519">
        <f>$L912*(1+$AQ912)</f>
        <v>360876.41621438268</v>
      </c>
      <c r="AL912" s="1519">
        <f>AK912*(1+$AQ912)</f>
        <v>378920.23702510184</v>
      </c>
      <c r="AM912" s="1519">
        <f t="shared" ref="AM912:AN912" si="1034">AL912*(1+$AQ912)</f>
        <v>397866.24887635693</v>
      </c>
      <c r="AN912" s="1519">
        <f t="shared" si="1034"/>
        <v>417759.56132017478</v>
      </c>
      <c r="AO912" s="1519">
        <f>AN912*(1+$AQ912)</f>
        <v>438647.53938618355</v>
      </c>
      <c r="AP912" s="1519">
        <f t="shared" ref="AP912" si="1035">AO912*(1+$AQ912)</f>
        <v>460579.91635549272</v>
      </c>
      <c r="AQ912" s="1520">
        <v>0.05</v>
      </c>
    </row>
    <row r="913" spans="1:43" outlineLevel="1">
      <c r="D913" s="27" t="s">
        <v>841</v>
      </c>
      <c r="E913" s="28"/>
      <c r="F913" s="28"/>
      <c r="G913" s="28"/>
      <c r="H913" s="398">
        <v>1309</v>
      </c>
      <c r="I913" s="398">
        <v>596</v>
      </c>
      <c r="J913" s="398">
        <v>-478</v>
      </c>
      <c r="K913" s="398">
        <v>394</v>
      </c>
      <c r="L913" s="703">
        <f>L937/L931</f>
        <v>522.66669897266911</v>
      </c>
      <c r="M913" s="30">
        <f>M937/M931</f>
        <v>254.10670672610973</v>
      </c>
      <c r="N913" s="703">
        <f>L913*(1+N919)</f>
        <v>522.66669897266911</v>
      </c>
      <c r="O913" s="29">
        <f>N913*(1+O919)</f>
        <v>522.66669897266911</v>
      </c>
      <c r="P913" s="29">
        <f t="shared" ref="P913:S913" si="1036">O913*(1+P919)</f>
        <v>522.66669897266911</v>
      </c>
      <c r="Q913" s="29">
        <f t="shared" si="1036"/>
        <v>522.66669897266911</v>
      </c>
      <c r="R913" s="29">
        <f t="shared" si="1036"/>
        <v>522.66669897266911</v>
      </c>
      <c r="S913" s="30">
        <f t="shared" si="1036"/>
        <v>522.66669897266911</v>
      </c>
    </row>
    <row r="914" spans="1:43" outlineLevel="1">
      <c r="D914" s="31" t="s">
        <v>842</v>
      </c>
      <c r="H914" s="400">
        <v>12672</v>
      </c>
      <c r="I914" s="400">
        <v>6762</v>
      </c>
      <c r="J914" s="400">
        <v>26294</v>
      </c>
      <c r="K914" s="400">
        <v>31716</v>
      </c>
      <c r="L914" s="704">
        <f t="shared" ref="L914:M917" si="1037">L938/L932</f>
        <v>42073.342702074042</v>
      </c>
      <c r="M914" s="32">
        <f t="shared" si="1037"/>
        <v>20454.944950571815</v>
      </c>
      <c r="N914" s="704">
        <f t="shared" ref="N914:N917" si="1038">L914*(1+N920)</f>
        <v>44177.009837177749</v>
      </c>
      <c r="O914" s="20">
        <f t="shared" ref="O914:S917" si="1039">N914*(1+O920)</f>
        <v>46385.860329036637</v>
      </c>
      <c r="P914" s="20">
        <f t="shared" si="1039"/>
        <v>48705.15334548847</v>
      </c>
      <c r="Q914" s="20">
        <f t="shared" si="1039"/>
        <v>51140.411012762896</v>
      </c>
      <c r="R914" s="20">
        <f t="shared" si="1039"/>
        <v>53697.431563401042</v>
      </c>
      <c r="S914" s="32">
        <f t="shared" si="1039"/>
        <v>56382.303141571094</v>
      </c>
    </row>
    <row r="915" spans="1:43" outlineLevel="1">
      <c r="D915" s="31" t="s">
        <v>843</v>
      </c>
      <c r="H915" s="400">
        <v>3837</v>
      </c>
      <c r="I915" s="400">
        <v>3415</v>
      </c>
      <c r="J915" s="400">
        <v>3992</v>
      </c>
      <c r="K915" s="400">
        <v>3936</v>
      </c>
      <c r="L915" s="704">
        <f t="shared" si="1037"/>
        <v>5221.3607288234152</v>
      </c>
      <c r="M915" s="32">
        <f t="shared" si="1037"/>
        <v>2538.4873037410348</v>
      </c>
      <c r="N915" s="704">
        <f t="shared" si="1038"/>
        <v>5221.3607288234152</v>
      </c>
      <c r="O915" s="20">
        <f t="shared" si="1039"/>
        <v>5221.3607288234152</v>
      </c>
      <c r="P915" s="20">
        <f t="shared" si="1039"/>
        <v>5221.3607288234152</v>
      </c>
      <c r="Q915" s="20">
        <f t="shared" si="1039"/>
        <v>5221.3607288234152</v>
      </c>
      <c r="R915" s="20">
        <f t="shared" si="1039"/>
        <v>5221.3607288234152</v>
      </c>
      <c r="S915" s="32">
        <f t="shared" si="1039"/>
        <v>5221.3607288234152</v>
      </c>
    </row>
    <row r="916" spans="1:43" outlineLevel="1">
      <c r="D916" s="31" t="s">
        <v>844</v>
      </c>
      <c r="H916" s="400">
        <v>629971</v>
      </c>
      <c r="I916" s="400">
        <v>581111</v>
      </c>
      <c r="J916" s="400">
        <v>486534</v>
      </c>
      <c r="K916" s="400">
        <v>222461</v>
      </c>
      <c r="L916" s="704">
        <f t="shared" si="1037"/>
        <v>295109.02670091105</v>
      </c>
      <c r="M916" s="32">
        <f t="shared" si="1037"/>
        <v>143474.19310912967</v>
      </c>
      <c r="N916" s="704">
        <f t="shared" si="1038"/>
        <v>295109.02670091105</v>
      </c>
      <c r="O916" s="20">
        <f t="shared" si="1039"/>
        <v>295109.02670091105</v>
      </c>
      <c r="P916" s="20">
        <f t="shared" si="1039"/>
        <v>295109.02670091105</v>
      </c>
      <c r="Q916" s="20">
        <f t="shared" si="1039"/>
        <v>295109.02670091105</v>
      </c>
      <c r="R916" s="20">
        <f t="shared" si="1039"/>
        <v>295109.02670091105</v>
      </c>
      <c r="S916" s="32">
        <f t="shared" si="1039"/>
        <v>295109.02670091105</v>
      </c>
    </row>
    <row r="917" spans="1:43" outlineLevel="1">
      <c r="D917" s="33" t="s">
        <v>665</v>
      </c>
      <c r="E917" s="34"/>
      <c r="F917" s="34"/>
      <c r="G917" s="34"/>
      <c r="H917" s="402">
        <v>4197</v>
      </c>
      <c r="I917" s="402">
        <v>1523</v>
      </c>
      <c r="J917" s="402">
        <v>1012</v>
      </c>
      <c r="K917" s="402">
        <v>577</v>
      </c>
      <c r="L917" s="705">
        <f t="shared" si="1037"/>
        <v>765.42813529753823</v>
      </c>
      <c r="M917" s="36">
        <f t="shared" si="1037"/>
        <v>372.1308877689475</v>
      </c>
      <c r="N917" s="705">
        <f t="shared" si="1038"/>
        <v>765.42813529753823</v>
      </c>
      <c r="O917" s="35">
        <f t="shared" si="1039"/>
        <v>765.42813529753823</v>
      </c>
      <c r="P917" s="35">
        <f t="shared" si="1039"/>
        <v>765.42813529753823</v>
      </c>
      <c r="Q917" s="35">
        <f t="shared" si="1039"/>
        <v>765.42813529753823</v>
      </c>
      <c r="R917" s="35">
        <f t="shared" si="1039"/>
        <v>765.42813529753823</v>
      </c>
      <c r="S917" s="36">
        <f t="shared" si="1039"/>
        <v>765.42813529753823</v>
      </c>
      <c r="AC917" s="448"/>
      <c r="AD917" s="448"/>
      <c r="AE917" s="448"/>
      <c r="AF917" s="448"/>
      <c r="AG917" s="448"/>
      <c r="AH917" s="448"/>
    </row>
    <row r="918" spans="1:43" s="1365" customFormat="1" hidden="1" outlineLevel="3">
      <c r="A918" s="22"/>
      <c r="B918" s="22"/>
      <c r="C918" s="22" t="s">
        <v>847</v>
      </c>
      <c r="D918" s="22"/>
      <c r="E918" s="22"/>
      <c r="F918" s="22"/>
      <c r="G918" s="22"/>
      <c r="H918" s="219"/>
      <c r="I918" s="24">
        <f>I912/H912-1</f>
        <v>-8.9847021255057613E-2</v>
      </c>
      <c r="J918" s="24">
        <f>J912/I912-1</f>
        <v>-0.12816330107329366</v>
      </c>
      <c r="K918" s="24"/>
      <c r="L918" s="793">
        <f>L912/J912-1</f>
        <v>-0.3356737843602664</v>
      </c>
      <c r="M918" s="24"/>
      <c r="N918" s="24">
        <f>N912/L912-1</f>
        <v>6.1207948001420487E-3</v>
      </c>
      <c r="O918" s="24">
        <f>O912/N912-1</f>
        <v>6.3877365156990162E-3</v>
      </c>
      <c r="P918" s="24">
        <f t="shared" ref="P918:S918" si="1040">P912/O912-1</f>
        <v>6.6645519396981712E-3</v>
      </c>
      <c r="Q918" s="24">
        <f t="shared" si="1040"/>
        <v>6.9514512289114982E-3</v>
      </c>
      <c r="R918" s="24">
        <f t="shared" si="1040"/>
        <v>7.2486352558998046E-3</v>
      </c>
      <c r="S918" s="24">
        <f t="shared" si="1040"/>
        <v>7.5562941981659471E-3</v>
      </c>
      <c r="T918" s="726"/>
      <c r="U918" s="1521"/>
      <c r="V918" s="1521"/>
      <c r="W918" s="1521"/>
      <c r="X918" s="1521"/>
      <c r="Y918" s="1521"/>
      <c r="Z918" s="1521"/>
      <c r="AA918" s="1522"/>
      <c r="AC918" s="219"/>
      <c r="AD918" s="219"/>
      <c r="AE918" s="219"/>
      <c r="AF918" s="219"/>
      <c r="AG918" s="219"/>
      <c r="AH918" s="219"/>
      <c r="AI918" s="706"/>
      <c r="AK918" s="1521"/>
      <c r="AL918" s="1521"/>
      <c r="AM918" s="1521"/>
      <c r="AN918" s="1521"/>
      <c r="AO918" s="1521"/>
      <c r="AP918" s="1521"/>
      <c r="AQ918" s="1522"/>
    </row>
    <row r="919" spans="1:43" s="1365" customFormat="1" hidden="1" outlineLevel="3">
      <c r="A919" s="22"/>
      <c r="B919" s="22"/>
      <c r="C919" s="22"/>
      <c r="D919" s="707" t="s">
        <v>841</v>
      </c>
      <c r="E919" s="708"/>
      <c r="F919" s="708"/>
      <c r="G919" s="708"/>
      <c r="H919" s="709"/>
      <c r="I919" s="710">
        <f>I913/H913-1</f>
        <v>-0.5446906035141329</v>
      </c>
      <c r="J919" s="710">
        <f t="shared" ref="J919" si="1041">J913/I913-1</f>
        <v>-1.8020134228187921</v>
      </c>
      <c r="K919" s="710"/>
      <c r="L919" s="710">
        <f>L913/J913-1</f>
        <v>-2.0934449769302699</v>
      </c>
      <c r="M919" s="727"/>
      <c r="N919" s="711">
        <f t="shared" ref="N919:S923" si="1042">CHOOSE(case,U919,AC919,AK919)</f>
        <v>0</v>
      </c>
      <c r="O919" s="712">
        <f t="shared" si="1042"/>
        <v>0</v>
      </c>
      <c r="P919" s="712">
        <f t="shared" si="1042"/>
        <v>0</v>
      </c>
      <c r="Q919" s="712">
        <f t="shared" si="1042"/>
        <v>0</v>
      </c>
      <c r="R919" s="712">
        <f t="shared" si="1042"/>
        <v>0</v>
      </c>
      <c r="S919" s="713">
        <f t="shared" si="1042"/>
        <v>0</v>
      </c>
      <c r="T919" s="726"/>
      <c r="U919" s="1521"/>
      <c r="V919" s="1521"/>
      <c r="W919" s="1521"/>
      <c r="X919" s="1521"/>
      <c r="Y919" s="1521"/>
      <c r="Z919" s="1521"/>
      <c r="AA919" s="1523"/>
      <c r="AC919" s="714">
        <v>0</v>
      </c>
      <c r="AD919" s="714">
        <v>0</v>
      </c>
      <c r="AE919" s="714">
        <v>0</v>
      </c>
      <c r="AF919" s="714">
        <v>0</v>
      </c>
      <c r="AG919" s="714">
        <v>0</v>
      </c>
      <c r="AH919" s="714">
        <v>0</v>
      </c>
      <c r="AI919" s="22"/>
      <c r="AK919" s="1521"/>
      <c r="AL919" s="1521"/>
      <c r="AM919" s="1521"/>
      <c r="AN919" s="1521"/>
      <c r="AO919" s="1521"/>
      <c r="AP919" s="1521"/>
      <c r="AQ919" s="1523"/>
    </row>
    <row r="920" spans="1:43" s="1365" customFormat="1" hidden="1" outlineLevel="3">
      <c r="A920" s="22"/>
      <c r="B920" s="22"/>
      <c r="C920" s="22"/>
      <c r="D920" s="715" t="s">
        <v>842</v>
      </c>
      <c r="E920" s="22"/>
      <c r="F920" s="22"/>
      <c r="G920" s="22"/>
      <c r="H920" s="219"/>
      <c r="I920" s="175">
        <f t="shared" ref="I920:J921" si="1043">I914/H914-1</f>
        <v>-0.4663825757575758</v>
      </c>
      <c r="J920" s="175">
        <f t="shared" si="1043"/>
        <v>2.8884945282460812</v>
      </c>
      <c r="K920" s="175"/>
      <c r="L920" s="175">
        <f t="shared" ref="L920:L923" si="1044">L914/J914-1</f>
        <v>0.60011191534471897</v>
      </c>
      <c r="M920" s="729"/>
      <c r="N920" s="716">
        <f t="shared" si="1042"/>
        <v>0.05</v>
      </c>
      <c r="O920" s="717">
        <f t="shared" si="1042"/>
        <v>0.05</v>
      </c>
      <c r="P920" s="717">
        <f t="shared" si="1042"/>
        <v>0.05</v>
      </c>
      <c r="Q920" s="717">
        <f t="shared" si="1042"/>
        <v>0.05</v>
      </c>
      <c r="R920" s="717">
        <f t="shared" si="1042"/>
        <v>0.05</v>
      </c>
      <c r="S920" s="718">
        <f t="shared" si="1042"/>
        <v>0.05</v>
      </c>
      <c r="T920" s="726"/>
      <c r="U920" s="1521"/>
      <c r="V920" s="1521"/>
      <c r="W920" s="1521"/>
      <c r="X920" s="1521"/>
      <c r="Y920" s="1521"/>
      <c r="Z920" s="1521"/>
      <c r="AA920" s="1523"/>
      <c r="AC920" s="714">
        <v>0.05</v>
      </c>
      <c r="AD920" s="714">
        <v>0.05</v>
      </c>
      <c r="AE920" s="714">
        <v>0.05</v>
      </c>
      <c r="AF920" s="714">
        <v>0.05</v>
      </c>
      <c r="AG920" s="714">
        <v>0.05</v>
      </c>
      <c r="AH920" s="714">
        <v>0.05</v>
      </c>
      <c r="AI920" s="22"/>
      <c r="AK920" s="1521"/>
      <c r="AL920" s="1521"/>
      <c r="AM920" s="1521"/>
      <c r="AN920" s="1521"/>
      <c r="AO920" s="1521"/>
      <c r="AP920" s="1521"/>
      <c r="AQ920" s="1523"/>
    </row>
    <row r="921" spans="1:43" s="1365" customFormat="1" hidden="1" outlineLevel="3">
      <c r="A921" s="22"/>
      <c r="B921" s="22"/>
      <c r="C921" s="22"/>
      <c r="D921" s="715" t="s">
        <v>843</v>
      </c>
      <c r="E921" s="22"/>
      <c r="F921" s="22"/>
      <c r="G921" s="22"/>
      <c r="H921" s="219"/>
      <c r="I921" s="175">
        <f t="shared" si="1043"/>
        <v>-0.109981756580662</v>
      </c>
      <c r="J921" s="175">
        <f t="shared" si="1043"/>
        <v>0.16896046852122981</v>
      </c>
      <c r="K921" s="175"/>
      <c r="L921" s="175">
        <f t="shared" si="1044"/>
        <v>0.30795609439464311</v>
      </c>
      <c r="M921" s="729"/>
      <c r="N921" s="716">
        <f t="shared" si="1042"/>
        <v>0</v>
      </c>
      <c r="O921" s="717">
        <f t="shared" si="1042"/>
        <v>0</v>
      </c>
      <c r="P921" s="717">
        <f t="shared" si="1042"/>
        <v>0</v>
      </c>
      <c r="Q921" s="717">
        <f t="shared" si="1042"/>
        <v>0</v>
      </c>
      <c r="R921" s="717">
        <f t="shared" si="1042"/>
        <v>0</v>
      </c>
      <c r="S921" s="718">
        <f t="shared" si="1042"/>
        <v>0</v>
      </c>
      <c r="T921" s="726"/>
      <c r="U921" s="1521"/>
      <c r="V921" s="1521"/>
      <c r="W921" s="1521"/>
      <c r="X921" s="1521"/>
      <c r="Y921" s="1521"/>
      <c r="Z921" s="1521"/>
      <c r="AA921" s="1523"/>
      <c r="AC921" s="714">
        <v>0</v>
      </c>
      <c r="AD921" s="714">
        <v>0</v>
      </c>
      <c r="AE921" s="714">
        <v>0</v>
      </c>
      <c r="AF921" s="714">
        <v>0</v>
      </c>
      <c r="AG921" s="714">
        <v>0</v>
      </c>
      <c r="AH921" s="714">
        <v>0</v>
      </c>
      <c r="AI921" s="22"/>
      <c r="AK921" s="1521"/>
      <c r="AL921" s="1521"/>
      <c r="AM921" s="1521"/>
      <c r="AN921" s="1521"/>
      <c r="AO921" s="1521"/>
      <c r="AP921" s="1521"/>
      <c r="AQ921" s="1523"/>
    </row>
    <row r="922" spans="1:43" s="1365" customFormat="1" hidden="1" outlineLevel="3">
      <c r="A922" s="22"/>
      <c r="B922" s="22"/>
      <c r="C922" s="22"/>
      <c r="D922" s="715" t="s">
        <v>844</v>
      </c>
      <c r="E922" s="22"/>
      <c r="F922" s="22"/>
      <c r="G922" s="22"/>
      <c r="H922" s="219"/>
      <c r="I922" s="175">
        <f>I916/H916-1</f>
        <v>-7.7559125737533985E-2</v>
      </c>
      <c r="J922" s="175">
        <f>J916/I916-1</f>
        <v>-0.16275203876712019</v>
      </c>
      <c r="K922" s="175"/>
      <c r="L922" s="175">
        <f t="shared" si="1044"/>
        <v>-0.39344624075416923</v>
      </c>
      <c r="M922" s="729"/>
      <c r="N922" s="716">
        <f t="shared" si="1042"/>
        <v>0</v>
      </c>
      <c r="O922" s="717">
        <f t="shared" si="1042"/>
        <v>0</v>
      </c>
      <c r="P922" s="717">
        <f t="shared" si="1042"/>
        <v>0</v>
      </c>
      <c r="Q922" s="717">
        <f t="shared" si="1042"/>
        <v>0</v>
      </c>
      <c r="R922" s="717">
        <f t="shared" si="1042"/>
        <v>0</v>
      </c>
      <c r="S922" s="718">
        <f t="shared" si="1042"/>
        <v>0</v>
      </c>
      <c r="T922" s="726"/>
      <c r="U922" s="1521"/>
      <c r="V922" s="1521"/>
      <c r="W922" s="1521"/>
      <c r="X922" s="1521"/>
      <c r="Y922" s="1521"/>
      <c r="Z922" s="1521"/>
      <c r="AA922" s="1523"/>
      <c r="AC922" s="714">
        <v>0</v>
      </c>
      <c r="AD922" s="714">
        <v>0</v>
      </c>
      <c r="AE922" s="714">
        <v>0</v>
      </c>
      <c r="AF922" s="714">
        <v>0</v>
      </c>
      <c r="AG922" s="714">
        <v>0</v>
      </c>
      <c r="AH922" s="714">
        <v>0</v>
      </c>
      <c r="AI922" s="22"/>
      <c r="AK922" s="1521"/>
      <c r="AL922" s="1521"/>
      <c r="AM922" s="1521"/>
      <c r="AN922" s="1521"/>
      <c r="AO922" s="1521"/>
      <c r="AP922" s="1521"/>
      <c r="AQ922" s="1523"/>
    </row>
    <row r="923" spans="1:43" s="1365" customFormat="1" hidden="1" outlineLevel="3">
      <c r="A923" s="22"/>
      <c r="B923" s="22"/>
      <c r="C923" s="22"/>
      <c r="D923" s="719" t="s">
        <v>665</v>
      </c>
      <c r="E923" s="720"/>
      <c r="F923" s="720"/>
      <c r="G923" s="720"/>
      <c r="H923" s="721"/>
      <c r="I923" s="722">
        <f t="shared" ref="I923:J923" si="1045">I917/H917-1</f>
        <v>-0.63712175363354784</v>
      </c>
      <c r="J923" s="722">
        <f t="shared" si="1045"/>
        <v>-0.33552199606040711</v>
      </c>
      <c r="K923" s="722"/>
      <c r="L923" s="722">
        <f t="shared" si="1044"/>
        <v>-0.24364808765065393</v>
      </c>
      <c r="M923" s="730"/>
      <c r="N923" s="723">
        <f t="shared" si="1042"/>
        <v>0</v>
      </c>
      <c r="O923" s="724">
        <f t="shared" si="1042"/>
        <v>0</v>
      </c>
      <c r="P923" s="724">
        <f t="shared" si="1042"/>
        <v>0</v>
      </c>
      <c r="Q923" s="724">
        <f t="shared" si="1042"/>
        <v>0</v>
      </c>
      <c r="R923" s="724">
        <f t="shared" si="1042"/>
        <v>0</v>
      </c>
      <c r="S923" s="725">
        <f t="shared" si="1042"/>
        <v>0</v>
      </c>
      <c r="T923" s="726"/>
      <c r="U923" s="1521"/>
      <c r="V923" s="1521"/>
      <c r="W923" s="1521"/>
      <c r="X923" s="1521"/>
      <c r="Y923" s="1521"/>
      <c r="Z923" s="1521"/>
      <c r="AA923" s="1523"/>
      <c r="AC923" s="714">
        <v>0</v>
      </c>
      <c r="AD923" s="714">
        <v>0</v>
      </c>
      <c r="AE923" s="714">
        <v>0</v>
      </c>
      <c r="AF923" s="714">
        <v>0</v>
      </c>
      <c r="AG923" s="714">
        <v>0</v>
      </c>
      <c r="AH923" s="714">
        <v>0</v>
      </c>
      <c r="AI923" s="22"/>
      <c r="AK923" s="1521"/>
      <c r="AL923" s="1521"/>
      <c r="AM923" s="1521"/>
      <c r="AN923" s="1521"/>
      <c r="AO923" s="1521"/>
      <c r="AP923" s="1521"/>
      <c r="AQ923" s="1523"/>
    </row>
    <row r="924" spans="1:43" s="1365" customFormat="1" hidden="1" outlineLevel="3">
      <c r="A924" s="22"/>
      <c r="B924" s="22"/>
      <c r="C924" s="22" t="s">
        <v>848</v>
      </c>
      <c r="D924" s="22"/>
      <c r="E924" s="22"/>
      <c r="F924" s="22"/>
      <c r="G924" s="22"/>
      <c r="H924" s="24">
        <f>H912/H$912</f>
        <v>1</v>
      </c>
      <c r="I924" s="24">
        <f t="shared" ref="I924:S926" si="1046">I912/I$912</f>
        <v>1</v>
      </c>
      <c r="J924" s="24">
        <f t="shared" si="1046"/>
        <v>1</v>
      </c>
      <c r="K924" s="24">
        <f t="shared" si="1046"/>
        <v>1</v>
      </c>
      <c r="L924" s="24">
        <f t="shared" si="1046"/>
        <v>1</v>
      </c>
      <c r="M924" s="24">
        <f t="shared" si="1046"/>
        <v>1</v>
      </c>
      <c r="N924" s="24">
        <f t="shared" si="1046"/>
        <v>1</v>
      </c>
      <c r="O924" s="24">
        <f t="shared" si="1046"/>
        <v>1</v>
      </c>
      <c r="P924" s="24">
        <f t="shared" si="1046"/>
        <v>1</v>
      </c>
      <c r="Q924" s="24">
        <f t="shared" si="1046"/>
        <v>1</v>
      </c>
      <c r="R924" s="24">
        <f t="shared" si="1046"/>
        <v>1</v>
      </c>
      <c r="S924" s="24">
        <f t="shared" si="1046"/>
        <v>1</v>
      </c>
      <c r="T924" s="726"/>
      <c r="U924" s="1521"/>
      <c r="V924" s="1521"/>
      <c r="W924" s="1521"/>
      <c r="X924" s="1521"/>
      <c r="Y924" s="1521"/>
      <c r="Z924" s="1521"/>
      <c r="AA924" s="1522"/>
      <c r="AC924" s="219"/>
      <c r="AD924" s="219"/>
      <c r="AE924" s="219"/>
      <c r="AF924" s="219"/>
      <c r="AG924" s="219"/>
      <c r="AH924" s="219"/>
      <c r="AI924" s="706"/>
      <c r="AK924" s="1521"/>
      <c r="AL924" s="1521"/>
      <c r="AM924" s="1521"/>
      <c r="AN924" s="1521"/>
      <c r="AO924" s="1521"/>
      <c r="AP924" s="1521"/>
      <c r="AQ924" s="1522"/>
    </row>
    <row r="925" spans="1:43" s="1365" customFormat="1" hidden="1" outlineLevel="3">
      <c r="A925" s="22"/>
      <c r="B925" s="22"/>
      <c r="C925" s="22"/>
      <c r="D925" s="707" t="s">
        <v>841</v>
      </c>
      <c r="E925" s="708"/>
      <c r="F925" s="708"/>
      <c r="G925" s="708"/>
      <c r="H925" s="793">
        <f>H913/H$912</f>
        <v>2.0077118220329883E-3</v>
      </c>
      <c r="I925" s="793">
        <f t="shared" si="1046"/>
        <v>1.0043696821911436E-3</v>
      </c>
      <c r="J925" s="793">
        <f t="shared" si="1046"/>
        <v>-9.2393216250381751E-4</v>
      </c>
      <c r="K925" s="793">
        <f t="shared" si="1046"/>
        <v>1.5207423075141652E-3</v>
      </c>
      <c r="L925" s="793">
        <f t="shared" si="1046"/>
        <v>1.520742307514165E-3</v>
      </c>
      <c r="M925" s="793">
        <f t="shared" si="1046"/>
        <v>1.5207423075141654E-3</v>
      </c>
      <c r="N925" s="793">
        <f t="shared" si="1046"/>
        <v>1.5114907825916155E-3</v>
      </c>
      <c r="O925" s="793">
        <f t="shared" si="1046"/>
        <v>1.5018970598992759E-3</v>
      </c>
      <c r="P925" s="793">
        <f t="shared" si="1046"/>
        <v>1.4919538559347656E-3</v>
      </c>
      <c r="Q925" s="793">
        <f t="shared" si="1046"/>
        <v>1.4816542089630474E-3</v>
      </c>
      <c r="R925" s="793">
        <f t="shared" si="1046"/>
        <v>1.4709915279126897E-3</v>
      </c>
      <c r="S925" s="803">
        <f t="shared" si="1046"/>
        <v>1.459959643330237E-3</v>
      </c>
      <c r="T925" s="726"/>
      <c r="U925" s="1521"/>
      <c r="V925" s="1521"/>
      <c r="W925" s="1521"/>
      <c r="X925" s="1521"/>
      <c r="Y925" s="1521"/>
      <c r="Z925" s="1521"/>
      <c r="AA925" s="1523"/>
      <c r="AC925" s="728"/>
      <c r="AD925" s="728"/>
      <c r="AE925" s="728"/>
      <c r="AF925" s="728"/>
      <c r="AG925" s="728"/>
      <c r="AH925" s="728"/>
      <c r="AI925" s="22"/>
      <c r="AK925" s="1521"/>
      <c r="AL925" s="1521"/>
      <c r="AM925" s="1521"/>
      <c r="AN925" s="1521"/>
      <c r="AO925" s="1521"/>
      <c r="AP925" s="1521"/>
      <c r="AQ925" s="1523"/>
    </row>
    <row r="926" spans="1:43" s="1365" customFormat="1" hidden="1" outlineLevel="3">
      <c r="A926" s="22"/>
      <c r="B926" s="22"/>
      <c r="C926" s="22"/>
      <c r="D926" s="715" t="s">
        <v>842</v>
      </c>
      <c r="E926" s="22"/>
      <c r="F926" s="22"/>
      <c r="G926" s="22"/>
      <c r="H926" s="91">
        <f>H914/H$912</f>
        <v>1.9436000159512627E-2</v>
      </c>
      <c r="I926" s="91">
        <f t="shared" si="1046"/>
        <v>1.1395214414390124E-2</v>
      </c>
      <c r="J926" s="91">
        <f t="shared" si="1046"/>
        <v>5.0824000587605389E-2</v>
      </c>
      <c r="K926" s="91">
        <f t="shared" si="1046"/>
        <v>0.12241589600284078</v>
      </c>
      <c r="L926" s="91">
        <f t="shared" si="1046"/>
        <v>0.12241589600284075</v>
      </c>
      <c r="M926" s="91">
        <f t="shared" si="1046"/>
        <v>0.12241589600284077</v>
      </c>
      <c r="N926" s="91">
        <f t="shared" si="1046"/>
        <v>0.12775473031398343</v>
      </c>
      <c r="O926" s="91">
        <f t="shared" si="1046"/>
        <v>0.13329103879396292</v>
      </c>
      <c r="P926" s="91">
        <f t="shared" si="1046"/>
        <v>0.13902902457823385</v>
      </c>
      <c r="Q926" s="91">
        <f t="shared" si="1046"/>
        <v>0.14497270511799443</v>
      </c>
      <c r="R926" s="91">
        <f t="shared" si="1046"/>
        <v>0.15112588396331864</v>
      </c>
      <c r="S926" s="804">
        <f t="shared" si="1046"/>
        <v>0.15749212135860569</v>
      </c>
      <c r="T926" s="726"/>
      <c r="U926" s="1521"/>
      <c r="V926" s="1521"/>
      <c r="W926" s="1521"/>
      <c r="X926" s="1521"/>
      <c r="Y926" s="1521"/>
      <c r="Z926" s="1521"/>
      <c r="AA926" s="1523"/>
      <c r="AC926" s="728"/>
      <c r="AD926" s="728"/>
      <c r="AE926" s="728"/>
      <c r="AF926" s="728"/>
      <c r="AG926" s="728"/>
      <c r="AH926" s="728"/>
      <c r="AI926" s="22"/>
      <c r="AK926" s="1521"/>
      <c r="AL926" s="1521"/>
      <c r="AM926" s="1521"/>
      <c r="AN926" s="1521"/>
      <c r="AO926" s="1521"/>
      <c r="AP926" s="1521"/>
      <c r="AQ926" s="1523"/>
    </row>
    <row r="927" spans="1:43" s="1365" customFormat="1" hidden="1" outlineLevel="3">
      <c r="A927" s="22"/>
      <c r="B927" s="22"/>
      <c r="C927" s="22"/>
      <c r="D927" s="715" t="s">
        <v>843</v>
      </c>
      <c r="E927" s="22"/>
      <c r="F927" s="22"/>
      <c r="G927" s="22"/>
      <c r="H927" s="91">
        <f t="shared" ref="H927:S929" si="1047">H915/H$912</f>
        <v>5.8850956922387905E-3</v>
      </c>
      <c r="I927" s="91">
        <f t="shared" si="1047"/>
        <v>5.7549034642328115E-3</v>
      </c>
      <c r="J927" s="91">
        <f t="shared" si="1047"/>
        <v>7.7161865956385765E-3</v>
      </c>
      <c r="K927" s="91">
        <f t="shared" si="1047"/>
        <v>1.519198406694354E-2</v>
      </c>
      <c r="L927" s="91">
        <f t="shared" si="1047"/>
        <v>1.5191984066943538E-2</v>
      </c>
      <c r="M927" s="91">
        <f t="shared" si="1047"/>
        <v>1.5191984066943538E-2</v>
      </c>
      <c r="N927" s="91">
        <f t="shared" si="1047"/>
        <v>1.5099562741828932E-2</v>
      </c>
      <c r="O927" s="91">
        <f t="shared" si="1047"/>
        <v>1.5003722913105456E-2</v>
      </c>
      <c r="P927" s="91">
        <f t="shared" si="1047"/>
        <v>1.4904391819693497E-2</v>
      </c>
      <c r="Q927" s="91">
        <f t="shared" si="1047"/>
        <v>1.4801499914920189E-2</v>
      </c>
      <c r="R927" s="91">
        <f t="shared" si="1047"/>
        <v>1.4694981354985651E-2</v>
      </c>
      <c r="S927" s="804">
        <f t="shared" si="1047"/>
        <v>1.4584774507989373E-2</v>
      </c>
      <c r="T927" s="726"/>
      <c r="U927" s="1521"/>
      <c r="V927" s="1521"/>
      <c r="W927" s="1521"/>
      <c r="X927" s="1521"/>
      <c r="Y927" s="1521"/>
      <c r="Z927" s="1521"/>
      <c r="AA927" s="1523"/>
      <c r="AC927" s="728"/>
      <c r="AD927" s="728"/>
      <c r="AE927" s="728"/>
      <c r="AF927" s="728"/>
      <c r="AG927" s="728"/>
      <c r="AH927" s="728"/>
      <c r="AI927" s="22"/>
      <c r="AK927" s="1521"/>
      <c r="AL927" s="1521"/>
      <c r="AM927" s="1521"/>
      <c r="AN927" s="1521"/>
      <c r="AO927" s="1521"/>
      <c r="AP927" s="1521"/>
      <c r="AQ927" s="1523"/>
    </row>
    <row r="928" spans="1:43" s="1365" customFormat="1" hidden="1" outlineLevel="3">
      <c r="A928" s="22"/>
      <c r="B928" s="22"/>
      <c r="C928" s="22"/>
      <c r="D928" s="715" t="s">
        <v>844</v>
      </c>
      <c r="E928" s="22"/>
      <c r="F928" s="22"/>
      <c r="G928" s="22"/>
      <c r="H928" s="91">
        <f t="shared" si="1047"/>
        <v>0.96623393753853615</v>
      </c>
      <c r="I928" s="91">
        <f t="shared" si="1047"/>
        <v>0.97927897716070078</v>
      </c>
      <c r="J928" s="91">
        <f t="shared" si="1047"/>
        <v>0.94042763755571623</v>
      </c>
      <c r="K928" s="91">
        <f t="shared" si="1047"/>
        <v>0.85864430069012365</v>
      </c>
      <c r="L928" s="91">
        <f t="shared" si="1047"/>
        <v>0.85864430069012365</v>
      </c>
      <c r="M928" s="91">
        <f t="shared" si="1047"/>
        <v>0.85864430069012365</v>
      </c>
      <c r="N928" s="91">
        <f t="shared" si="1047"/>
        <v>0.85342068778201374</v>
      </c>
      <c r="O928" s="91">
        <f t="shared" si="1047"/>
        <v>0.84800386254378901</v>
      </c>
      <c r="P928" s="91">
        <f t="shared" si="1047"/>
        <v>0.84238971255102524</v>
      </c>
      <c r="Q928" s="91">
        <f t="shared" si="1047"/>
        <v>0.83657430705616376</v>
      </c>
      <c r="R928" s="91">
        <f t="shared" si="1047"/>
        <v>0.83055392459640831</v>
      </c>
      <c r="S928" s="804">
        <f t="shared" si="1047"/>
        <v>0.82432508176367481</v>
      </c>
      <c r="T928" s="726"/>
      <c r="U928" s="1521"/>
      <c r="V928" s="1521"/>
      <c r="W928" s="1521"/>
      <c r="X928" s="1521"/>
      <c r="Y928" s="1521"/>
      <c r="Z928" s="1521"/>
      <c r="AA928" s="1523"/>
      <c r="AC928" s="728"/>
      <c r="AD928" s="728"/>
      <c r="AE928" s="728"/>
      <c r="AF928" s="728"/>
      <c r="AG928" s="728"/>
      <c r="AH928" s="728"/>
      <c r="AI928" s="22"/>
      <c r="AK928" s="1521"/>
      <c r="AL928" s="1521"/>
      <c r="AM928" s="1521"/>
      <c r="AN928" s="1521"/>
      <c r="AO928" s="1521"/>
      <c r="AP928" s="1521"/>
      <c r="AQ928" s="1523"/>
    </row>
    <row r="929" spans="1:43" s="1365" customFormat="1" hidden="1" outlineLevel="3">
      <c r="A929" s="22"/>
      <c r="B929" s="22"/>
      <c r="C929" s="22"/>
      <c r="D929" s="719" t="s">
        <v>665</v>
      </c>
      <c r="E929" s="720"/>
      <c r="F929" s="720"/>
      <c r="G929" s="720"/>
      <c r="H929" s="794">
        <f t="shared" si="1047"/>
        <v>6.4372547876794901E-3</v>
      </c>
      <c r="I929" s="794">
        <f t="shared" si="1047"/>
        <v>2.566535278485087E-3</v>
      </c>
      <c r="J929" s="794">
        <f t="shared" si="1047"/>
        <v>1.9561074235436471E-3</v>
      </c>
      <c r="K929" s="794">
        <f t="shared" si="1047"/>
        <v>2.227076932577851E-3</v>
      </c>
      <c r="L929" s="794">
        <f t="shared" si="1047"/>
        <v>2.2270769325778506E-3</v>
      </c>
      <c r="M929" s="794">
        <f t="shared" si="1047"/>
        <v>2.2270769325778515E-3</v>
      </c>
      <c r="N929" s="794">
        <f t="shared" si="1047"/>
        <v>2.2135283795821376E-3</v>
      </c>
      <c r="O929" s="794">
        <f t="shared" si="1047"/>
        <v>2.1994786892433559E-3</v>
      </c>
      <c r="P929" s="794">
        <f t="shared" si="1047"/>
        <v>2.1849171951125882E-3</v>
      </c>
      <c r="Q929" s="794">
        <f t="shared" si="1047"/>
        <v>2.1698337019585745E-3</v>
      </c>
      <c r="R929" s="794">
        <f t="shared" si="1047"/>
        <v>2.1542185573746749E-3</v>
      </c>
      <c r="S929" s="805">
        <f t="shared" si="1047"/>
        <v>2.1380627263998648E-3</v>
      </c>
      <c r="T929" s="726"/>
      <c r="U929" s="1521"/>
      <c r="V929" s="1521"/>
      <c r="W929" s="1521"/>
      <c r="X929" s="1521"/>
      <c r="Y929" s="1521"/>
      <c r="Z929" s="1521"/>
      <c r="AA929" s="1523"/>
      <c r="AC929" s="728"/>
      <c r="AD929" s="728"/>
      <c r="AE929" s="728"/>
      <c r="AF929" s="728"/>
      <c r="AG929" s="728"/>
      <c r="AH929" s="728"/>
      <c r="AI929" s="22"/>
      <c r="AK929" s="1521"/>
      <c r="AL929" s="1521"/>
      <c r="AM929" s="1521"/>
      <c r="AN929" s="1521"/>
      <c r="AO929" s="1521"/>
      <c r="AP929" s="1521"/>
      <c r="AQ929" s="1523"/>
    </row>
    <row r="930" spans="1:43" outlineLevel="1" collapsed="1">
      <c r="C930" s="1" t="s">
        <v>31</v>
      </c>
      <c r="H930" s="806">
        <f t="shared" ref="H930:N930" si="1048">IFERROR(H936/H912,"NA")</f>
        <v>0.24592092468243182</v>
      </c>
      <c r="I930" s="806">
        <f t="shared" si="1048"/>
        <v>0.21177370674764537</v>
      </c>
      <c r="J930" s="806">
        <f t="shared" si="1048"/>
        <v>0.19006908229181566</v>
      </c>
      <c r="K930" s="806">
        <f t="shared" si="1048"/>
        <v>0.15929968658813357</v>
      </c>
      <c r="L930" s="806">
        <f t="shared" si="1048"/>
        <v>0.15929968658813357</v>
      </c>
      <c r="M930" s="806">
        <f t="shared" si="1048"/>
        <v>0.15929968658813357</v>
      </c>
      <c r="N930" s="806">
        <f t="shared" si="1048"/>
        <v>0.16101397214528873</v>
      </c>
      <c r="O930" s="806">
        <f t="shared" ref="O930:S930" si="1049">IFERROR(O936/O912,"NA")</f>
        <v>0.16109788109510706</v>
      </c>
      <c r="P930" s="806">
        <f t="shared" si="1049"/>
        <v>0.16118484669013694</v>
      </c>
      <c r="Q930" s="806">
        <f t="shared" si="1049"/>
        <v>0.16127492981934669</v>
      </c>
      <c r="R930" s="806">
        <f t="shared" si="1049"/>
        <v>0.16136818812979353</v>
      </c>
      <c r="S930" s="806">
        <f t="shared" si="1049"/>
        <v>0.16146467558096506</v>
      </c>
      <c r="U930" s="1529">
        <f>$L930*(1+$AA930)</f>
        <v>0.16248568031989624</v>
      </c>
      <c r="V930" s="1529">
        <f>U930*(1+$AA930)</f>
        <v>0.16573539392629416</v>
      </c>
      <c r="W930" s="1529">
        <f t="shared" ref="W930:Z930" si="1050">V930*(1+$AA930)</f>
        <v>0.16905010180482005</v>
      </c>
      <c r="X930" s="1529">
        <f t="shared" si="1050"/>
        <v>0.17243110384091645</v>
      </c>
      <c r="Y930" s="1529">
        <f t="shared" si="1050"/>
        <v>0.17587972591773479</v>
      </c>
      <c r="Z930" s="1529">
        <f t="shared" si="1050"/>
        <v>0.1793973204360895</v>
      </c>
      <c r="AA930" s="1520">
        <v>0.02</v>
      </c>
      <c r="AC930" s="448"/>
      <c r="AD930" s="448"/>
      <c r="AE930" s="448"/>
      <c r="AF930" s="448"/>
      <c r="AG930" s="448"/>
      <c r="AH930" s="448"/>
      <c r="AI930" s="702"/>
      <c r="AK930" s="1529">
        <f>$L930*(1+$AQ930)</f>
        <v>0.15929968658813357</v>
      </c>
      <c r="AL930" s="1529">
        <f>AK930*(1+$AQ930)</f>
        <v>0.15929968658813357</v>
      </c>
      <c r="AM930" s="1529">
        <f t="shared" ref="AM930:AN930" si="1051">AL930*(1+$AQ930)</f>
        <v>0.15929968658813357</v>
      </c>
      <c r="AN930" s="1529">
        <f t="shared" si="1051"/>
        <v>0.15929968658813357</v>
      </c>
      <c r="AO930" s="1529">
        <f>AN930*(1+$AQ930)</f>
        <v>0.15929968658813357</v>
      </c>
      <c r="AP930" s="1529">
        <f t="shared" ref="AP930" si="1052">AO930*(1+$AQ930)</f>
        <v>0.15929968658813357</v>
      </c>
      <c r="AQ930" s="1520">
        <v>0</v>
      </c>
    </row>
    <row r="931" spans="1:43" outlineLevel="1">
      <c r="D931" s="27" t="s">
        <v>841</v>
      </c>
      <c r="E931" s="28"/>
      <c r="F931" s="28"/>
      <c r="G931" s="28"/>
      <c r="H931" s="693">
        <f t="shared" ref="H931:K935" si="1053">IFERROR(H937/H913,"NA")</f>
        <v>0.83575248281130632</v>
      </c>
      <c r="I931" s="693">
        <f t="shared" si="1053"/>
        <v>0.80369127516778527</v>
      </c>
      <c r="J931" s="693">
        <f t="shared" si="1053"/>
        <v>0.84309623430962344</v>
      </c>
      <c r="K931" s="693">
        <f t="shared" si="1053"/>
        <v>-0.23096446700507614</v>
      </c>
      <c r="L931" s="842">
        <f>K931</f>
        <v>-0.23096446700507614</v>
      </c>
      <c r="M931" s="843">
        <f>L931</f>
        <v>-0.23096446700507614</v>
      </c>
      <c r="N931" s="819">
        <f>CHOOSE(case,U931,AC931,AK931)</f>
        <v>0.84309623430962344</v>
      </c>
      <c r="O931" s="820">
        <f t="shared" ref="O931:O935" si="1054">CHOOSE(case,V931,AD931,AL931)</f>
        <v>0.84309623430962344</v>
      </c>
      <c r="P931" s="820">
        <f t="shared" ref="P931:P935" si="1055">CHOOSE(case,W931,AE931,AM931)</f>
        <v>0.84309623430962344</v>
      </c>
      <c r="Q931" s="820">
        <f t="shared" ref="Q931:Q935" si="1056">CHOOSE(case,X931,AF931,AN931)</f>
        <v>0.84309623430962344</v>
      </c>
      <c r="R931" s="820">
        <f t="shared" ref="R931:R935" si="1057">CHOOSE(case,Y931,AG931,AO931)</f>
        <v>0.84309623430962344</v>
      </c>
      <c r="S931" s="821">
        <f t="shared" ref="S931:S935" si="1058">CHOOSE(case,Z931,AH931,AP931)</f>
        <v>0.84309623430962344</v>
      </c>
      <c r="T931" s="993"/>
      <c r="U931" s="1530"/>
      <c r="V931" s="1530"/>
      <c r="W931" s="1530"/>
      <c r="X931" s="1530"/>
      <c r="Y931" s="1530"/>
      <c r="Z931" s="1530"/>
      <c r="AA931" s="1530"/>
      <c r="AB931" s="1371"/>
      <c r="AC931" s="783">
        <f>J931</f>
        <v>0.84309623430962344</v>
      </c>
      <c r="AD931" s="783">
        <f t="shared" ref="AD931:AH935" si="1059">AC931</f>
        <v>0.84309623430962344</v>
      </c>
      <c r="AE931" s="783">
        <f t="shared" si="1059"/>
        <v>0.84309623430962344</v>
      </c>
      <c r="AF931" s="783">
        <f t="shared" si="1059"/>
        <v>0.84309623430962344</v>
      </c>
      <c r="AG931" s="783">
        <f t="shared" si="1059"/>
        <v>0.84309623430962344</v>
      </c>
      <c r="AH931" s="783">
        <f t="shared" si="1059"/>
        <v>0.84309623430962344</v>
      </c>
    </row>
    <row r="932" spans="1:43" outlineLevel="1">
      <c r="D932" s="31" t="s">
        <v>842</v>
      </c>
      <c r="H932" s="695">
        <f t="shared" si="1053"/>
        <v>0.21504103535353536</v>
      </c>
      <c r="I932" s="695">
        <f t="shared" si="1053"/>
        <v>0.19328601005619639</v>
      </c>
      <c r="J932" s="695">
        <f t="shared" si="1053"/>
        <v>0.23655586825891839</v>
      </c>
      <c r="K932" s="695">
        <f t="shared" si="1053"/>
        <v>0.17423382519863792</v>
      </c>
      <c r="L932" s="844">
        <f>K932</f>
        <v>0.17423382519863792</v>
      </c>
      <c r="M932" s="845">
        <f>L932</f>
        <v>0.17423382519863792</v>
      </c>
      <c r="N932" s="822">
        <f>CHOOSE(case,U932,AC932,AK932)</f>
        <v>0.17423382519863792</v>
      </c>
      <c r="O932" s="823">
        <f t="shared" si="1054"/>
        <v>0.17423382519863792</v>
      </c>
      <c r="P932" s="823">
        <f t="shared" si="1055"/>
        <v>0.17423382519863792</v>
      </c>
      <c r="Q932" s="823">
        <f t="shared" si="1056"/>
        <v>0.17423382519863792</v>
      </c>
      <c r="R932" s="823">
        <f t="shared" si="1057"/>
        <v>0.17423382519863792</v>
      </c>
      <c r="S932" s="824">
        <f t="shared" si="1058"/>
        <v>0.17423382519863792</v>
      </c>
      <c r="T932" s="993"/>
      <c r="U932" s="1530"/>
      <c r="V932" s="1530"/>
      <c r="W932" s="1530"/>
      <c r="X932" s="1530"/>
      <c r="Y932" s="1530"/>
      <c r="Z932" s="1530"/>
      <c r="AA932" s="1530"/>
      <c r="AB932" s="1371"/>
      <c r="AC932" s="783">
        <f t="shared" ref="AC932:AC935" si="1060">M932</f>
        <v>0.17423382519863792</v>
      </c>
      <c r="AD932" s="783">
        <f t="shared" si="1059"/>
        <v>0.17423382519863792</v>
      </c>
      <c r="AE932" s="783">
        <f t="shared" si="1059"/>
        <v>0.17423382519863792</v>
      </c>
      <c r="AF932" s="783">
        <f t="shared" si="1059"/>
        <v>0.17423382519863792</v>
      </c>
      <c r="AG932" s="783">
        <f t="shared" si="1059"/>
        <v>0.17423382519863792</v>
      </c>
      <c r="AH932" s="783">
        <f t="shared" si="1059"/>
        <v>0.17423382519863792</v>
      </c>
    </row>
    <row r="933" spans="1:43" outlineLevel="1">
      <c r="D933" s="31" t="s">
        <v>843</v>
      </c>
      <c r="H933" s="695">
        <f t="shared" si="1053"/>
        <v>0.18712535835287986</v>
      </c>
      <c r="I933" s="695">
        <f t="shared" si="1053"/>
        <v>0.20322108345534406</v>
      </c>
      <c r="J933" s="695">
        <f t="shared" si="1053"/>
        <v>0.31963927855711421</v>
      </c>
      <c r="K933" s="695">
        <f t="shared" si="1053"/>
        <v>0.44181910569105692</v>
      </c>
      <c r="L933" s="844">
        <f t="shared" ref="L933:L934" si="1061">K933</f>
        <v>0.44181910569105692</v>
      </c>
      <c r="M933" s="845">
        <f>L933</f>
        <v>0.44181910569105692</v>
      </c>
      <c r="N933" s="822">
        <f>CHOOSE(case,U933,AC933,AK933)</f>
        <v>0.44181910569105692</v>
      </c>
      <c r="O933" s="823">
        <f t="shared" si="1054"/>
        <v>0.44181910569105692</v>
      </c>
      <c r="P933" s="823">
        <f t="shared" si="1055"/>
        <v>0.44181910569105692</v>
      </c>
      <c r="Q933" s="823">
        <f t="shared" si="1056"/>
        <v>0.44181910569105692</v>
      </c>
      <c r="R933" s="823">
        <f t="shared" si="1057"/>
        <v>0.44181910569105692</v>
      </c>
      <c r="S933" s="824">
        <f t="shared" si="1058"/>
        <v>0.44181910569105692</v>
      </c>
      <c r="T933" s="993"/>
      <c r="U933" s="1530"/>
      <c r="V933" s="1530"/>
      <c r="W933" s="1530"/>
      <c r="X933" s="1530"/>
      <c r="Y933" s="1530"/>
      <c r="Z933" s="1530"/>
      <c r="AA933" s="1530"/>
      <c r="AB933" s="1371"/>
      <c r="AC933" s="783">
        <f t="shared" si="1060"/>
        <v>0.44181910569105692</v>
      </c>
      <c r="AD933" s="783">
        <f t="shared" si="1059"/>
        <v>0.44181910569105692</v>
      </c>
      <c r="AE933" s="783">
        <f t="shared" si="1059"/>
        <v>0.44181910569105692</v>
      </c>
      <c r="AF933" s="783">
        <f t="shared" si="1059"/>
        <v>0.44181910569105692</v>
      </c>
      <c r="AG933" s="783">
        <f t="shared" si="1059"/>
        <v>0.44181910569105692</v>
      </c>
      <c r="AH933" s="783">
        <f t="shared" si="1059"/>
        <v>0.44181910569105692</v>
      </c>
    </row>
    <row r="934" spans="1:43" outlineLevel="1">
      <c r="D934" s="31" t="s">
        <v>844</v>
      </c>
      <c r="H934" s="695">
        <f t="shared" si="1053"/>
        <v>0.17720022032760238</v>
      </c>
      <c r="I934" s="695">
        <f t="shared" si="1053"/>
        <v>0.16618511781742215</v>
      </c>
      <c r="J934" s="695">
        <f t="shared" si="1053"/>
        <v>0.16050060221896106</v>
      </c>
      <c r="K934" s="695">
        <f t="shared" si="1053"/>
        <v>0.1405055268114411</v>
      </c>
      <c r="L934" s="844">
        <f t="shared" si="1061"/>
        <v>0.1405055268114411</v>
      </c>
      <c r="M934" s="845">
        <f>L934</f>
        <v>0.1405055268114411</v>
      </c>
      <c r="N934" s="822">
        <f>CHOOSE(case,U934,AC934,AK934)</f>
        <v>0.1405055268114411</v>
      </c>
      <c r="O934" s="823">
        <f t="shared" si="1054"/>
        <v>0.1405055268114411</v>
      </c>
      <c r="P934" s="823">
        <f t="shared" si="1055"/>
        <v>0.1405055268114411</v>
      </c>
      <c r="Q934" s="823">
        <f t="shared" si="1056"/>
        <v>0.1405055268114411</v>
      </c>
      <c r="R934" s="823">
        <f t="shared" si="1057"/>
        <v>0.1405055268114411</v>
      </c>
      <c r="S934" s="824">
        <f t="shared" si="1058"/>
        <v>0.1405055268114411</v>
      </c>
      <c r="T934" s="993"/>
      <c r="U934" s="1530"/>
      <c r="V934" s="1530"/>
      <c r="W934" s="1530"/>
      <c r="X934" s="1530"/>
      <c r="Y934" s="1530"/>
      <c r="Z934" s="1530"/>
      <c r="AA934" s="1530"/>
      <c r="AB934" s="1371"/>
      <c r="AC934" s="783">
        <f t="shared" si="1060"/>
        <v>0.1405055268114411</v>
      </c>
      <c r="AD934" s="783">
        <f t="shared" si="1059"/>
        <v>0.1405055268114411</v>
      </c>
      <c r="AE934" s="783">
        <f t="shared" si="1059"/>
        <v>0.1405055268114411</v>
      </c>
      <c r="AF934" s="783">
        <f t="shared" si="1059"/>
        <v>0.1405055268114411</v>
      </c>
      <c r="AG934" s="783">
        <f t="shared" si="1059"/>
        <v>0.1405055268114411</v>
      </c>
      <c r="AH934" s="783">
        <f t="shared" si="1059"/>
        <v>0.1405055268114411</v>
      </c>
    </row>
    <row r="935" spans="1:43" ht="15" outlineLevel="1" thickBot="1">
      <c r="C935" s="37"/>
      <c r="D935" s="38" t="s">
        <v>665</v>
      </c>
      <c r="E935" s="34"/>
      <c r="F935" s="34"/>
      <c r="G935" s="34"/>
      <c r="H935" s="846">
        <f t="shared" si="1053"/>
        <v>10.523945675482487</v>
      </c>
      <c r="I935" s="846">
        <f t="shared" si="1053"/>
        <v>17.476034143138541</v>
      </c>
      <c r="J935" s="846">
        <f t="shared" si="1053"/>
        <v>12.995059288537549</v>
      </c>
      <c r="K935" s="846">
        <f t="shared" si="1053"/>
        <v>4.9237435008665509</v>
      </c>
      <c r="L935" s="847">
        <f>K935</f>
        <v>4.9237435008665509</v>
      </c>
      <c r="M935" s="848">
        <f>L935</f>
        <v>4.9237435008665509</v>
      </c>
      <c r="N935" s="833">
        <f>CHOOSE(case,U935,AC935,AK935)</f>
        <v>4.9237435008665509</v>
      </c>
      <c r="O935" s="834">
        <f t="shared" si="1054"/>
        <v>4.9237435008665509</v>
      </c>
      <c r="P935" s="834">
        <f t="shared" si="1055"/>
        <v>4.9237435008665509</v>
      </c>
      <c r="Q935" s="834">
        <f t="shared" si="1056"/>
        <v>4.9237435008665509</v>
      </c>
      <c r="R935" s="834">
        <f t="shared" si="1057"/>
        <v>4.9237435008665509</v>
      </c>
      <c r="S935" s="835">
        <f t="shared" si="1058"/>
        <v>4.9237435008665509</v>
      </c>
      <c r="T935" s="993"/>
      <c r="U935" s="1530"/>
      <c r="V935" s="1530"/>
      <c r="W935" s="1530"/>
      <c r="X935" s="1530"/>
      <c r="Y935" s="1530"/>
      <c r="Z935" s="1530"/>
      <c r="AA935" s="1530"/>
      <c r="AB935" s="1371"/>
      <c r="AC935" s="783">
        <f t="shared" si="1060"/>
        <v>4.9237435008665509</v>
      </c>
      <c r="AD935" s="783">
        <f t="shared" si="1059"/>
        <v>4.9237435008665509</v>
      </c>
      <c r="AE935" s="783">
        <f t="shared" si="1059"/>
        <v>4.9237435008665509</v>
      </c>
      <c r="AF935" s="783">
        <f t="shared" si="1059"/>
        <v>4.9237435008665509</v>
      </c>
      <c r="AG935" s="783">
        <f t="shared" si="1059"/>
        <v>4.9237435008665509</v>
      </c>
      <c r="AH935" s="783">
        <f t="shared" si="1059"/>
        <v>4.9237435008665509</v>
      </c>
    </row>
    <row r="936" spans="1:43" outlineLevel="1">
      <c r="C936" s="18" t="s">
        <v>845</v>
      </c>
      <c r="H936" s="23">
        <f>SUM(H937:H941)</f>
        <v>160337</v>
      </c>
      <c r="I936" s="23">
        <f t="shared" ref="I936:K936" si="1062">SUM(I937:I941)</f>
        <v>125668</v>
      </c>
      <c r="J936" s="849">
        <v>98333</v>
      </c>
      <c r="K936" s="23">
        <f t="shared" si="1062"/>
        <v>41272</v>
      </c>
      <c r="L936" s="849">
        <v>54750</v>
      </c>
      <c r="M936" s="849">
        <v>26618</v>
      </c>
      <c r="N936" s="23">
        <f>SUM(N937:N941)</f>
        <v>55677.905733146203</v>
      </c>
      <c r="O936" s="23">
        <f t="shared" ref="O936:R936" si="1063">SUM(O937:O941)</f>
        <v>56062.762203634673</v>
      </c>
      <c r="P936" s="23">
        <f t="shared" si="1063"/>
        <v>56466.861497647558</v>
      </c>
      <c r="Q936" s="23">
        <f t="shared" si="1063"/>
        <v>56891.165756361101</v>
      </c>
      <c r="R936" s="23">
        <f t="shared" si="1063"/>
        <v>57336.685228010312</v>
      </c>
      <c r="S936" s="23">
        <f>SUM(S937:S941)</f>
        <v>57804.480673241982</v>
      </c>
    </row>
    <row r="937" spans="1:43" outlineLevel="1">
      <c r="D937" s="27" t="s">
        <v>841</v>
      </c>
      <c r="E937" s="28"/>
      <c r="F937" s="28"/>
      <c r="G937" s="28"/>
      <c r="H937" s="398">
        <v>1094</v>
      </c>
      <c r="I937" s="398">
        <v>479</v>
      </c>
      <c r="J937" s="398">
        <v>-403</v>
      </c>
      <c r="K937" s="398">
        <v>-91</v>
      </c>
      <c r="L937" s="159">
        <f>K937*$L$911</f>
        <v>-120.71743554952509</v>
      </c>
      <c r="M937" s="837">
        <f>K937*$M$911</f>
        <v>-58.689620081411128</v>
      </c>
      <c r="N937" s="703">
        <f>N931*N913</f>
        <v>440.65832570289888</v>
      </c>
      <c r="O937" s="29">
        <f t="shared" ref="O937:S937" si="1064">O931*O913</f>
        <v>440.65832570289888</v>
      </c>
      <c r="P937" s="29">
        <f t="shared" si="1064"/>
        <v>440.65832570289888</v>
      </c>
      <c r="Q937" s="29">
        <f t="shared" si="1064"/>
        <v>440.65832570289888</v>
      </c>
      <c r="R937" s="29">
        <f t="shared" si="1064"/>
        <v>440.65832570289888</v>
      </c>
      <c r="S937" s="30">
        <f t="shared" si="1064"/>
        <v>440.65832570289888</v>
      </c>
    </row>
    <row r="938" spans="1:43" outlineLevel="1">
      <c r="D938" s="31" t="s">
        <v>842</v>
      </c>
      <c r="H938" s="400">
        <v>2725</v>
      </c>
      <c r="I938" s="400">
        <v>1307</v>
      </c>
      <c r="J938" s="400">
        <v>6220</v>
      </c>
      <c r="K938" s="400">
        <v>5526</v>
      </c>
      <c r="L938" s="162">
        <f t="shared" ref="L938:L941" si="1065">K938*$L$911</f>
        <v>7330.5994378755568</v>
      </c>
      <c r="M938" s="80">
        <f t="shared" ref="M938:M941" si="1066">K938*$M$911</f>
        <v>3563.9433029656911</v>
      </c>
      <c r="N938" s="704">
        <f>N932*N914</f>
        <v>7697.1294097693362</v>
      </c>
      <c r="O938" s="20">
        <f t="shared" ref="O938:S941" si="1067">O932*O914</f>
        <v>8081.9858802578028</v>
      </c>
      <c r="P938" s="20">
        <f t="shared" si="1067"/>
        <v>8486.0851742706927</v>
      </c>
      <c r="Q938" s="20">
        <f t="shared" si="1067"/>
        <v>8910.3894329842278</v>
      </c>
      <c r="R938" s="20">
        <f t="shared" si="1067"/>
        <v>9355.9089046334393</v>
      </c>
      <c r="S938" s="32">
        <f t="shared" si="1067"/>
        <v>9823.704349865111</v>
      </c>
    </row>
    <row r="939" spans="1:43" outlineLevel="1">
      <c r="D939" s="31" t="s">
        <v>843</v>
      </c>
      <c r="H939" s="400">
        <v>718</v>
      </c>
      <c r="I939" s="400">
        <v>694</v>
      </c>
      <c r="J939" s="400">
        <v>1276</v>
      </c>
      <c r="K939" s="400">
        <v>1739</v>
      </c>
      <c r="L939" s="162">
        <f t="shared" si="1065"/>
        <v>2306.8969276991666</v>
      </c>
      <c r="M939" s="80">
        <f t="shared" si="1066"/>
        <v>1121.5521903469664</v>
      </c>
      <c r="N939" s="704">
        <f>N933*N915</f>
        <v>2306.8969276991666</v>
      </c>
      <c r="O939" s="20">
        <f t="shared" si="1067"/>
        <v>2306.8969276991666</v>
      </c>
      <c r="P939" s="20">
        <f t="shared" si="1067"/>
        <v>2306.8969276991666</v>
      </c>
      <c r="Q939" s="20">
        <f t="shared" si="1067"/>
        <v>2306.8969276991666</v>
      </c>
      <c r="R939" s="20">
        <f t="shared" si="1067"/>
        <v>2306.8969276991666</v>
      </c>
      <c r="S939" s="32">
        <f t="shared" si="1067"/>
        <v>2306.8969276991666</v>
      </c>
    </row>
    <row r="940" spans="1:43" outlineLevel="1">
      <c r="D940" s="31" t="s">
        <v>844</v>
      </c>
      <c r="H940" s="400">
        <v>111631</v>
      </c>
      <c r="I940" s="400">
        <v>96572</v>
      </c>
      <c r="J940" s="400">
        <v>78089</v>
      </c>
      <c r="K940" s="400">
        <v>31257</v>
      </c>
      <c r="L940" s="162">
        <f t="shared" si="1065"/>
        <v>41464.449263423143</v>
      </c>
      <c r="M940" s="80">
        <f t="shared" si="1066"/>
        <v>20158.917086644698</v>
      </c>
      <c r="N940" s="704">
        <f>N934*N916</f>
        <v>41464.449263423143</v>
      </c>
      <c r="O940" s="20">
        <f t="shared" si="1067"/>
        <v>41464.449263423143</v>
      </c>
      <c r="P940" s="20">
        <f t="shared" si="1067"/>
        <v>41464.449263423143</v>
      </c>
      <c r="Q940" s="20">
        <f t="shared" si="1067"/>
        <v>41464.449263423143</v>
      </c>
      <c r="R940" s="20">
        <f t="shared" si="1067"/>
        <v>41464.449263423143</v>
      </c>
      <c r="S940" s="32">
        <f t="shared" si="1067"/>
        <v>41464.449263423143</v>
      </c>
    </row>
    <row r="941" spans="1:43" outlineLevel="1">
      <c r="D941" s="33" t="s">
        <v>665</v>
      </c>
      <c r="E941" s="34"/>
      <c r="F941" s="34"/>
      <c r="G941" s="34"/>
      <c r="H941" s="402">
        <v>44169</v>
      </c>
      <c r="I941" s="402">
        <v>26616</v>
      </c>
      <c r="J941" s="850">
        <f>J936-SUM(J937:J940)</f>
        <v>13151</v>
      </c>
      <c r="K941" s="402">
        <v>2841</v>
      </c>
      <c r="L941" s="163">
        <f t="shared" si="1065"/>
        <v>3768.7718065516569</v>
      </c>
      <c r="M941" s="838">
        <f t="shared" si="1066"/>
        <v>1832.277040124055</v>
      </c>
      <c r="N941" s="705">
        <f>N935*N917</f>
        <v>3768.7718065516569</v>
      </c>
      <c r="O941" s="35">
        <f t="shared" si="1067"/>
        <v>3768.7718065516569</v>
      </c>
      <c r="P941" s="35">
        <f t="shared" si="1067"/>
        <v>3768.7718065516569</v>
      </c>
      <c r="Q941" s="35">
        <f t="shared" si="1067"/>
        <v>3768.7718065516569</v>
      </c>
      <c r="R941" s="35">
        <f t="shared" si="1067"/>
        <v>3768.7718065516569</v>
      </c>
      <c r="S941" s="36">
        <f t="shared" si="1067"/>
        <v>3768.7718065516569</v>
      </c>
    </row>
    <row r="942" spans="1:43" outlineLevel="1">
      <c r="H942" s="43"/>
      <c r="I942" s="43"/>
      <c r="J942" s="43"/>
      <c r="K942" s="43"/>
    </row>
    <row r="943" spans="1:43" ht="14.5" customHeight="1" outlineLevel="1">
      <c r="C943" s="1" t="s">
        <v>659</v>
      </c>
      <c r="H943" s="394">
        <v>-79786</v>
      </c>
      <c r="I943" s="394">
        <v>-67148</v>
      </c>
      <c r="J943" s="394">
        <v>-50281</v>
      </c>
      <c r="K943" s="394">
        <v>-25449</v>
      </c>
      <c r="L943" s="394">
        <v>-37718</v>
      </c>
      <c r="M943" s="394">
        <v>-15639</v>
      </c>
      <c r="N943" s="20">
        <f>N944*N912</f>
        <v>-32712.704476695224</v>
      </c>
      <c r="O943" s="20">
        <f t="shared" ref="O943:S943" si="1068">O944*O912</f>
        <v>-33079.531860460775</v>
      </c>
      <c r="P943" s="20">
        <f t="shared" si="1068"/>
        <v>-33467.413833196741</v>
      </c>
      <c r="Q943" s="20">
        <f t="shared" si="1068"/>
        <v>-33877.32149822708</v>
      </c>
      <c r="R943" s="20">
        <f t="shared" si="1068"/>
        <v>-34310.271707188396</v>
      </c>
      <c r="S943" s="20">
        <f t="shared" si="1068"/>
        <v>-34767.329215729391</v>
      </c>
    </row>
    <row r="944" spans="1:43" hidden="1" outlineLevel="3">
      <c r="D944" s="1" t="s">
        <v>849</v>
      </c>
      <c r="H944" s="744">
        <f>H943/H912</f>
        <v>-0.12237379330231017</v>
      </c>
      <c r="I944" s="744">
        <f>I943/I912</f>
        <v>-0.11315673728149482</v>
      </c>
      <c r="J944" s="744">
        <f t="shared" ref="J944:L944" si="1069">J943/J912</f>
        <v>-9.7188772098021861E-2</v>
      </c>
      <c r="K944" s="744">
        <f t="shared" si="1069"/>
        <v>-9.8226829908446681E-2</v>
      </c>
      <c r="L944" s="744">
        <f t="shared" si="1069"/>
        <v>-0.1097436635384698</v>
      </c>
      <c r="M944" s="744">
        <f>M943/M912</f>
        <v>-9.3594101681261588E-2</v>
      </c>
      <c r="N944" s="746">
        <f>N930/M930*M944</f>
        <v>-9.460130401909124E-2</v>
      </c>
      <c r="O944" s="744">
        <f>N944*(1+O945)</f>
        <v>-9.5054939872242367E-2</v>
      </c>
      <c r="P944" s="744">
        <f t="shared" ref="P944:S944" si="1070">O944*(1+P945)</f>
        <v>-9.553284572127177E-2</v>
      </c>
      <c r="Q944" s="744">
        <f t="shared" si="1070"/>
        <v>-9.6035343527534012E-2</v>
      </c>
      <c r="R944" s="744">
        <f t="shared" si="1070"/>
        <v>-9.656272171320357E-2</v>
      </c>
      <c r="S944" s="744">
        <f t="shared" si="1070"/>
        <v>-9.7115231678449557E-2</v>
      </c>
    </row>
    <row r="945" spans="1:43" ht="15" hidden="1" outlineLevel="3" thickBot="1">
      <c r="C945" s="37"/>
      <c r="D945" s="74"/>
      <c r="E945" s="74" t="s">
        <v>151</v>
      </c>
      <c r="F945" s="37"/>
      <c r="G945" s="37"/>
      <c r="H945" s="747"/>
      <c r="I945" s="75">
        <f>I944/H944-1</f>
        <v>-7.5318871566281254E-2</v>
      </c>
      <c r="J945" s="75">
        <f>J944/I944-1</f>
        <v>-0.14111369386473371</v>
      </c>
      <c r="K945" s="75"/>
      <c r="L945" s="75">
        <f>L944/J944-1</f>
        <v>0.12918047187369996</v>
      </c>
      <c r="M945" s="75"/>
      <c r="N945" s="748">
        <f>N944/L944-1</f>
        <v>-0.13797935143718365</v>
      </c>
      <c r="O945" s="749">
        <f>CHOOSE(case,V945,AD945,AL945)</f>
        <v>4.7952389013536934E-3</v>
      </c>
      <c r="P945" s="750">
        <f>CHOOSE(case,W945,AE945,AM945)</f>
        <v>5.0276803043769469E-3</v>
      </c>
      <c r="Q945" s="750">
        <f>CHOOSE(case,X945,AF945,AN945)</f>
        <v>5.2599480573241042E-3</v>
      </c>
      <c r="R945" s="750">
        <f>CHOOSE(case,Y945,AG945,AO945)</f>
        <v>5.4915010067970726E-3</v>
      </c>
      <c r="S945" s="751">
        <f>CHOOSE(case,Z945,AH945,AP945)</f>
        <v>5.7217729103262727E-3</v>
      </c>
      <c r="AC945" s="752"/>
      <c r="AD945" s="753">
        <f>(SUMPRODUCT(O925:O928,各区域分剂型成本优化!K$87:K$90)+O929*O935)/(SUMPRODUCT(N925:N928,各区域分剂型成本优化!J$87:J$90)+N929*N935)-1</f>
        <v>4.7952389013536934E-3</v>
      </c>
      <c r="AE945" s="753">
        <f>(SUMPRODUCT(P925:P928,各区域分剂型成本优化!L$87:L$90)+P929*P935)/(SUMPRODUCT(O925:O928,各区域分剂型成本优化!K$87:K$90)+O929*O935)-1</f>
        <v>5.0276803043769469E-3</v>
      </c>
      <c r="AF945" s="753">
        <f>(SUMPRODUCT(Q925:Q928,各区域分剂型成本优化!M$87:M$90)+Q929*Q935)/(SUMPRODUCT(P925:P928,各区域分剂型成本优化!L$87:L$90)+P929*P935)-1</f>
        <v>5.2599480573241042E-3</v>
      </c>
      <c r="AG945" s="753">
        <f>(SUMPRODUCT(R925:R928,各区域分剂型成本优化!N$87:N$90)+R929*R935)/(SUMPRODUCT(Q925:Q928,各区域分剂型成本优化!M$87:M$90)+Q929*Q935)-1</f>
        <v>5.4915010067970726E-3</v>
      </c>
      <c r="AH945" s="753">
        <f>(SUMPRODUCT(S925:S928,各区域分剂型成本优化!O$87:O$90)+S929*S935)/(SUMPRODUCT(R925:R928,各区域分剂型成本优化!N$87:N$90)+R929*R935)-1</f>
        <v>5.7217729103262727E-3</v>
      </c>
    </row>
    <row r="946" spans="1:43" s="1126" customFormat="1" outlineLevel="1" collapsed="1">
      <c r="A946" s="18"/>
      <c r="B946" s="18"/>
      <c r="C946" s="18" t="s">
        <v>846</v>
      </c>
      <c r="D946" s="18"/>
      <c r="E946" s="18"/>
      <c r="F946" s="18"/>
      <c r="G946" s="18"/>
      <c r="H946" s="23">
        <f>H943+H936</f>
        <v>80551</v>
      </c>
      <c r="I946" s="23">
        <f>I943+I936</f>
        <v>58520</v>
      </c>
      <c r="J946" s="23">
        <f>J943+J936</f>
        <v>48052</v>
      </c>
      <c r="K946" s="23">
        <f>K943+K936</f>
        <v>15823</v>
      </c>
      <c r="L946" s="23">
        <f t="shared" ref="L946:S946" si="1071">L943+L936</f>
        <v>17032</v>
      </c>
      <c r="M946" s="23">
        <f t="shared" si="1071"/>
        <v>10979</v>
      </c>
      <c r="N946" s="23">
        <f t="shared" si="1071"/>
        <v>22965.201256450979</v>
      </c>
      <c r="O946" s="23">
        <f t="shared" si="1071"/>
        <v>22983.230343173898</v>
      </c>
      <c r="P946" s="23">
        <f t="shared" si="1071"/>
        <v>22999.447664450818</v>
      </c>
      <c r="Q946" s="23">
        <f t="shared" si="1071"/>
        <v>23013.84425813402</v>
      </c>
      <c r="R946" s="23">
        <f t="shared" si="1071"/>
        <v>23026.413520821916</v>
      </c>
      <c r="S946" s="23">
        <f t="shared" si="1071"/>
        <v>23037.151457512591</v>
      </c>
      <c r="T946" s="675"/>
      <c r="U946" s="1515"/>
      <c r="V946" s="1515"/>
      <c r="W946" s="1515"/>
      <c r="X946" s="1515"/>
      <c r="Y946" s="1515"/>
      <c r="Z946" s="1515"/>
      <c r="AA946" s="1515"/>
      <c r="AB946" s="1321"/>
      <c r="AC946" s="1"/>
      <c r="AD946" s="1"/>
      <c r="AE946" s="1"/>
      <c r="AF946" s="1"/>
      <c r="AG946" s="1"/>
      <c r="AH946" s="1"/>
      <c r="AI946" s="1"/>
      <c r="AJ946" s="1321"/>
      <c r="AK946" s="1515"/>
      <c r="AL946" s="1515"/>
      <c r="AM946" s="1515"/>
      <c r="AN946" s="1515"/>
      <c r="AO946" s="1515"/>
      <c r="AP946" s="1515"/>
      <c r="AQ946" s="1515"/>
    </row>
    <row r="947" spans="1:43" s="1365" customFormat="1" outlineLevel="1">
      <c r="A947" s="22"/>
      <c r="B947" s="22"/>
      <c r="C947" s="22" t="s">
        <v>660</v>
      </c>
      <c r="D947" s="22"/>
      <c r="E947" s="22"/>
      <c r="F947" s="22"/>
      <c r="G947" s="22"/>
      <c r="H947" s="56">
        <f>IFERROR(H946/H936,"NA")</f>
        <v>0.50238560032930635</v>
      </c>
      <c r="I947" s="56">
        <f t="shared" ref="I947:S947" si="1072">IFERROR(I946/I936,"NA")</f>
        <v>0.46567145176178504</v>
      </c>
      <c r="J947" s="56">
        <f t="shared" si="1072"/>
        <v>0.48866606327479079</v>
      </c>
      <c r="K947" s="56">
        <f t="shared" si="1072"/>
        <v>0.38338340763713896</v>
      </c>
      <c r="L947" s="56">
        <f t="shared" si="1072"/>
        <v>0.3110867579908676</v>
      </c>
      <c r="M947" s="56">
        <f t="shared" si="1072"/>
        <v>0.41246524907957022</v>
      </c>
      <c r="N947" s="56">
        <f t="shared" si="1072"/>
        <v>0.41246524907957022</v>
      </c>
      <c r="O947" s="56">
        <f t="shared" si="1072"/>
        <v>0.40995536858659892</v>
      </c>
      <c r="P947" s="56">
        <f t="shared" si="1072"/>
        <v>0.40730876578661962</v>
      </c>
      <c r="Q947" s="56">
        <f t="shared" si="1072"/>
        <v>0.40452404080963666</v>
      </c>
      <c r="R947" s="56">
        <f t="shared" si="1072"/>
        <v>0.4016000127885484</v>
      </c>
      <c r="S947" s="56">
        <f t="shared" si="1072"/>
        <v>0.39853573960360167</v>
      </c>
      <c r="T947" s="675"/>
      <c r="U947" s="1526">
        <v>0.4</v>
      </c>
      <c r="V947" s="1526">
        <f t="shared" ref="V947:Z947" si="1073">U947</f>
        <v>0.4</v>
      </c>
      <c r="W947" s="1526">
        <f t="shared" si="1073"/>
        <v>0.4</v>
      </c>
      <c r="X947" s="1526">
        <f t="shared" si="1073"/>
        <v>0.4</v>
      </c>
      <c r="Y947" s="1526">
        <f t="shared" si="1073"/>
        <v>0.4</v>
      </c>
      <c r="Z947" s="1526">
        <f t="shared" si="1073"/>
        <v>0.4</v>
      </c>
      <c r="AA947" s="1515"/>
      <c r="AB947" s="1321"/>
      <c r="AC947" s="416"/>
      <c r="AD947" s="65"/>
      <c r="AE947" s="65"/>
      <c r="AF947" s="65"/>
      <c r="AG947" s="65"/>
      <c r="AH947" s="65"/>
      <c r="AI947" s="1"/>
      <c r="AJ947" s="1321"/>
      <c r="AK947" s="1526">
        <v>0.35</v>
      </c>
      <c r="AL947" s="1526">
        <f t="shared" ref="AL947:AP947" si="1074">AK947</f>
        <v>0.35</v>
      </c>
      <c r="AM947" s="1526">
        <f t="shared" si="1074"/>
        <v>0.35</v>
      </c>
      <c r="AN947" s="1526">
        <f t="shared" si="1074"/>
        <v>0.35</v>
      </c>
      <c r="AO947" s="1526">
        <f t="shared" si="1074"/>
        <v>0.35</v>
      </c>
      <c r="AP947" s="1526">
        <f t="shared" si="1074"/>
        <v>0.35</v>
      </c>
      <c r="AQ947" s="1515"/>
    </row>
    <row r="948" spans="1:43" outlineLevel="1"/>
    <row r="949" spans="1:43" s="1125" customFormat="1" outlineLevel="1">
      <c r="A949" s="10" t="s">
        <v>8</v>
      </c>
      <c r="B949" s="10" t="s">
        <v>61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103"/>
      <c r="U949" s="1515"/>
      <c r="V949" s="1515"/>
      <c r="W949" s="1515"/>
      <c r="X949" s="1515"/>
      <c r="Y949" s="1515"/>
      <c r="Z949" s="1515"/>
      <c r="AA949" s="1515"/>
      <c r="AC949" s="62"/>
      <c r="AD949" s="62"/>
      <c r="AE949" s="62"/>
      <c r="AF949" s="62"/>
      <c r="AG949" s="62"/>
      <c r="AH949" s="62"/>
      <c r="AI949" s="96"/>
      <c r="AK949" s="1515"/>
      <c r="AL949" s="1515"/>
      <c r="AM949" s="1515"/>
      <c r="AN949" s="1515"/>
      <c r="AO949" s="1515"/>
      <c r="AP949" s="1515"/>
      <c r="AQ949" s="1515"/>
    </row>
    <row r="950" spans="1:43" outlineLevel="1">
      <c r="L950" s="42"/>
      <c r="M950" s="42"/>
      <c r="N950" s="42"/>
      <c r="S950" s="42"/>
    </row>
    <row r="951" spans="1:43" s="1126" customFormat="1" outlineLevel="1">
      <c r="A951" s="18"/>
      <c r="B951" s="18"/>
      <c r="C951" s="18" t="s">
        <v>851</v>
      </c>
      <c r="D951" s="18"/>
      <c r="E951" s="18"/>
      <c r="F951" s="18"/>
      <c r="G951" s="18"/>
      <c r="H951" s="405">
        <v>598</v>
      </c>
      <c r="I951" s="405">
        <v>1080</v>
      </c>
      <c r="J951" s="405">
        <v>1343</v>
      </c>
      <c r="K951" s="405">
        <v>1637</v>
      </c>
      <c r="L951" s="23">
        <f>L961/L956</f>
        <v>2134.7445691888661</v>
      </c>
      <c r="M951" s="23">
        <f>M961/M956</f>
        <v>2189.7933568059525</v>
      </c>
      <c r="N951" s="23">
        <f>SUM(N952:N954)</f>
        <v>3753.931468810204</v>
      </c>
      <c r="O951" s="23">
        <f t="shared" ref="O951:S951" si="1075">SUM(O952:O954)</f>
        <v>4317.0211891317349</v>
      </c>
      <c r="P951" s="23">
        <f t="shared" si="1075"/>
        <v>4964.5743675014946</v>
      </c>
      <c r="Q951" s="23">
        <f t="shared" si="1075"/>
        <v>5709.2605226267187</v>
      </c>
      <c r="R951" s="23">
        <f t="shared" si="1075"/>
        <v>6565.6496010207265</v>
      </c>
      <c r="S951" s="23">
        <f t="shared" si="1075"/>
        <v>7550.4970411738341</v>
      </c>
      <c r="T951" s="408"/>
      <c r="U951" s="1531">
        <f>$L951*(1+$AA951)</f>
        <v>2454.9562545671956</v>
      </c>
      <c r="V951" s="1531">
        <f>U951*(1+$AA951)</f>
        <v>2823.1996927522746</v>
      </c>
      <c r="W951" s="1531">
        <f>V951*(1+$AA951)</f>
        <v>3246.6796466651153</v>
      </c>
      <c r="X951" s="1531">
        <f>W951*(1+$AA951)</f>
        <v>3733.6815936648823</v>
      </c>
      <c r="Y951" s="1531">
        <f>X951*(1+$AA951)</f>
        <v>4293.7338327146144</v>
      </c>
      <c r="Z951" s="1531">
        <f t="shared" ref="Z951:Z956" si="1076">Y951*(1+$AA951)</f>
        <v>4937.7939076218063</v>
      </c>
      <c r="AA951" s="1525">
        <v>0.15</v>
      </c>
      <c r="AC951" s="23"/>
      <c r="AD951" s="23"/>
      <c r="AE951" s="23"/>
      <c r="AF951" s="23"/>
      <c r="AG951" s="23"/>
      <c r="AH951" s="23"/>
      <c r="AI951" s="998"/>
      <c r="AK951" s="1531">
        <f>$L951*(1+$AQ951)</f>
        <v>2241.4817976483096</v>
      </c>
      <c r="AL951" s="1531">
        <f>AK951*(1+$AQ951)</f>
        <v>2353.5558875307252</v>
      </c>
      <c r="AM951" s="1531">
        <f t="shared" ref="AM951:AN956" si="1077">AL951*(1+$AQ951)</f>
        <v>2471.2336819072616</v>
      </c>
      <c r="AN951" s="1531">
        <f t="shared" si="1077"/>
        <v>2594.7953660026246</v>
      </c>
      <c r="AO951" s="1531">
        <f>AN951*(1+$AQ951)</f>
        <v>2724.535134302756</v>
      </c>
      <c r="AP951" s="1531">
        <f t="shared" ref="AP951:AP956" si="1078">AO951*(1+$AQ951)</f>
        <v>2860.761891017894</v>
      </c>
      <c r="AQ951" s="1525">
        <v>0.05</v>
      </c>
    </row>
    <row r="952" spans="1:43" outlineLevel="1">
      <c r="D952" s="27" t="s">
        <v>852</v>
      </c>
      <c r="E952" s="28"/>
      <c r="F952" s="28"/>
      <c r="G952" s="28"/>
      <c r="H952" s="419">
        <v>0</v>
      </c>
      <c r="I952" s="419">
        <v>0</v>
      </c>
      <c r="J952" s="419">
        <v>0</v>
      </c>
      <c r="K952" s="811"/>
      <c r="L952" s="29">
        <v>606.98</v>
      </c>
      <c r="M952" s="29">
        <v>871.88</v>
      </c>
      <c r="N952" s="1003">
        <f>CHOOSE(case,U952,AC952,AK952)</f>
        <v>1494.6514285714286</v>
      </c>
      <c r="O952" s="1003">
        <f t="shared" ref="O952:O954" si="1079">CHOOSE(case,V952,AD952,AL952)</f>
        <v>1718.8491428571429</v>
      </c>
      <c r="P952" s="1003">
        <f t="shared" ref="P952:P954" si="1080">CHOOSE(case,W952,AE952,AM952)</f>
        <v>1976.6765142857141</v>
      </c>
      <c r="Q952" s="1003">
        <f t="shared" ref="Q952" si="1081">CHOOSE(case,X952,AF952,AN952)</f>
        <v>2273.1779914285712</v>
      </c>
      <c r="R952" s="1003">
        <f t="shared" ref="R952:R954" si="1082">CHOOSE(case,Y952,AG952,AO952)</f>
        <v>2614.1546901428569</v>
      </c>
      <c r="S952" s="1004">
        <f t="shared" ref="S952:S954" si="1083">CHOOSE(case,Z952,AH952,AP952)</f>
        <v>3006.2778936642853</v>
      </c>
      <c r="U952" s="1519"/>
      <c r="V952" s="1519"/>
      <c r="W952" s="1519"/>
      <c r="X952" s="1519"/>
      <c r="Y952" s="1519"/>
      <c r="Z952" s="1519"/>
      <c r="AA952" s="1520"/>
      <c r="AC952" s="1005">
        <f>M952*12/7</f>
        <v>1494.6514285714286</v>
      </c>
      <c r="AD952" s="1005">
        <f>AC952*(1+$AI952)</f>
        <v>1718.8491428571429</v>
      </c>
      <c r="AE952" s="1005">
        <f t="shared" ref="AE952" si="1084">AD952*(1+$AI952)</f>
        <v>1976.6765142857141</v>
      </c>
      <c r="AF952" s="1005">
        <f t="shared" ref="AF952" si="1085">AE952*(1+$AI952)</f>
        <v>2273.1779914285712</v>
      </c>
      <c r="AG952" s="1005">
        <f t="shared" ref="AG952" si="1086">AF952*(1+$AI952)</f>
        <v>2614.1546901428569</v>
      </c>
      <c r="AH952" s="1005">
        <f t="shared" ref="AH952:AH954" si="1087">AG952*(1+$AI952)</f>
        <v>3006.2778936642853</v>
      </c>
      <c r="AI952" s="732">
        <v>0.15</v>
      </c>
      <c r="AK952" s="1519"/>
      <c r="AL952" s="1519"/>
      <c r="AM952" s="1519"/>
      <c r="AN952" s="1519"/>
      <c r="AO952" s="1519"/>
      <c r="AP952" s="1519"/>
      <c r="AQ952" s="1520"/>
    </row>
    <row r="953" spans="1:43" outlineLevel="1">
      <c r="D953" s="31" t="s">
        <v>853</v>
      </c>
      <c r="E953" s="1133"/>
      <c r="F953" s="1133"/>
      <c r="G953" s="1133"/>
      <c r="H953" s="1413">
        <v>0</v>
      </c>
      <c r="I953" s="1413">
        <v>281.22000000000003</v>
      </c>
      <c r="J953" s="1413">
        <v>394.81</v>
      </c>
      <c r="K953" s="1414"/>
      <c r="L953" s="1188">
        <v>675.87</v>
      </c>
      <c r="M953" s="1188">
        <v>458.04</v>
      </c>
      <c r="N953" s="1005">
        <f>CHOOSE(case,U953,AC953,AK953)</f>
        <v>785.21142857142866</v>
      </c>
      <c r="O953" s="1005">
        <f t="shared" si="1079"/>
        <v>902.99314285714286</v>
      </c>
      <c r="P953" s="1005">
        <f t="shared" si="1080"/>
        <v>1038.4421142857143</v>
      </c>
      <c r="Q953" s="1005">
        <f>CHOOSE(case,X953,AF953,AN953)</f>
        <v>1194.2084314285714</v>
      </c>
      <c r="R953" s="1005">
        <f t="shared" si="1082"/>
        <v>1373.3396961428571</v>
      </c>
      <c r="S953" s="1006">
        <f t="shared" si="1083"/>
        <v>1579.3406505642854</v>
      </c>
      <c r="U953" s="1519"/>
      <c r="V953" s="1519"/>
      <c r="W953" s="1519"/>
      <c r="X953" s="1519"/>
      <c r="Y953" s="1519"/>
      <c r="Z953" s="1519"/>
      <c r="AA953" s="1520"/>
      <c r="AC953" s="1005">
        <f t="shared" ref="AC953:AC954" si="1088">M953*12/7</f>
        <v>785.21142857142866</v>
      </c>
      <c r="AD953" s="1005">
        <f t="shared" ref="AD953:AD954" si="1089">AC953*(1+$AI953)</f>
        <v>902.99314285714286</v>
      </c>
      <c r="AE953" s="1005">
        <f t="shared" ref="AE953:AF954" si="1090">AD953*(1+$AI953)</f>
        <v>1038.4421142857143</v>
      </c>
      <c r="AF953" s="1005">
        <f t="shared" si="1090"/>
        <v>1194.2084314285714</v>
      </c>
      <c r="AG953" s="1005">
        <f t="shared" ref="AG953:AG954" si="1091">AF953*(1+$AI953)</f>
        <v>1373.3396961428571</v>
      </c>
      <c r="AH953" s="1005">
        <f t="shared" si="1087"/>
        <v>1579.3406505642854</v>
      </c>
      <c r="AI953" s="732">
        <v>0.15</v>
      </c>
      <c r="AK953" s="1519"/>
      <c r="AL953" s="1519"/>
      <c r="AM953" s="1519"/>
      <c r="AN953" s="1519"/>
      <c r="AO953" s="1519"/>
      <c r="AP953" s="1519"/>
      <c r="AQ953" s="1520"/>
    </row>
    <row r="954" spans="1:43" outlineLevel="1">
      <c r="D954" s="31" t="s">
        <v>1177</v>
      </c>
      <c r="E954" s="1133"/>
      <c r="F954" s="1133"/>
      <c r="G954" s="1133"/>
      <c r="H954" s="1188">
        <f>H951-H952-H953</f>
        <v>598</v>
      </c>
      <c r="I954" s="1188">
        <f t="shared" ref="I954" si="1092">I951-I952-I953</f>
        <v>798.78</v>
      </c>
      <c r="J954" s="1188">
        <f t="shared" ref="J954" si="1093">J951-J952-J953</f>
        <v>948.19</v>
      </c>
      <c r="K954" s="1188">
        <f t="shared" ref="K954" si="1094">K951-K952-K953</f>
        <v>1637</v>
      </c>
      <c r="L954" s="1188">
        <f t="shared" ref="L954" si="1095">L951-L952-L953</f>
        <v>851.89456918886606</v>
      </c>
      <c r="M954" s="1188">
        <f t="shared" ref="M954" si="1096">M951-M952-M953</f>
        <v>859.87335680595243</v>
      </c>
      <c r="N954" s="1005">
        <f>CHOOSE(case,U954,AC954,AK954)</f>
        <v>1474.0686116673471</v>
      </c>
      <c r="O954" s="1005">
        <f t="shared" si="1079"/>
        <v>1695.178903417449</v>
      </c>
      <c r="P954" s="1005">
        <f t="shared" si="1080"/>
        <v>1949.4557389300662</v>
      </c>
      <c r="Q954" s="1005">
        <f t="shared" ref="Q954" si="1097">CHOOSE(case,X954,AF954,AN954)</f>
        <v>2241.8740997695759</v>
      </c>
      <c r="R954" s="1005">
        <f t="shared" si="1082"/>
        <v>2578.1552147350121</v>
      </c>
      <c r="S954" s="1006">
        <f t="shared" si="1083"/>
        <v>2964.8784969452636</v>
      </c>
      <c r="U954" s="1519"/>
      <c r="V954" s="1519"/>
      <c r="W954" s="1519"/>
      <c r="X954" s="1519"/>
      <c r="Y954" s="1519"/>
      <c r="Z954" s="1519"/>
      <c r="AA954" s="1520"/>
      <c r="AC954" s="1005">
        <f t="shared" si="1088"/>
        <v>1474.0686116673471</v>
      </c>
      <c r="AD954" s="1005">
        <f t="shared" si="1089"/>
        <v>1695.178903417449</v>
      </c>
      <c r="AE954" s="1005">
        <f t="shared" si="1090"/>
        <v>1949.4557389300662</v>
      </c>
      <c r="AF954" s="1005">
        <f t="shared" si="1090"/>
        <v>2241.8740997695759</v>
      </c>
      <c r="AG954" s="1005">
        <f t="shared" si="1091"/>
        <v>2578.1552147350121</v>
      </c>
      <c r="AH954" s="1005">
        <f t="shared" si="1087"/>
        <v>2964.8784969452636</v>
      </c>
      <c r="AI954" s="732">
        <v>0.15</v>
      </c>
      <c r="AK954" s="1519"/>
      <c r="AL954" s="1519"/>
      <c r="AM954" s="1519"/>
      <c r="AN954" s="1519"/>
      <c r="AO954" s="1519"/>
      <c r="AP954" s="1519"/>
      <c r="AQ954" s="1520"/>
    </row>
    <row r="955" spans="1:43" outlineLevel="1">
      <c r="D955" s="33" t="s">
        <v>1172</v>
      </c>
      <c r="E955" s="34"/>
      <c r="F955" s="34"/>
      <c r="G955" s="34"/>
      <c r="H955" s="35"/>
      <c r="I955" s="35"/>
      <c r="J955" s="35"/>
      <c r="K955" s="35"/>
      <c r="L955" s="35"/>
      <c r="M955" s="35"/>
      <c r="N955" s="1007">
        <f>CHOOSE(case,U955,AC955,AK955)</f>
        <v>0</v>
      </c>
      <c r="O955" s="1007">
        <f t="shared" ref="O955" si="1098">CHOOSE(case,V955,AD955,AL955)</f>
        <v>0</v>
      </c>
      <c r="P955" s="1007">
        <f t="shared" ref="P955" si="1099">CHOOSE(case,W955,AE955,AM955)</f>
        <v>0</v>
      </c>
      <c r="Q955" s="1007">
        <f t="shared" ref="Q955" si="1100">CHOOSE(case,X955,AF955,AN955)</f>
        <v>0</v>
      </c>
      <c r="R955" s="1007">
        <f t="shared" ref="R955" si="1101">CHOOSE(case,Y955,AG955,AO955)</f>
        <v>0</v>
      </c>
      <c r="S955" s="1008">
        <f t="shared" ref="S955" si="1102">CHOOSE(case,Z955,AH955,AP955)</f>
        <v>0</v>
      </c>
      <c r="U955" s="1519"/>
      <c r="V955" s="1519"/>
      <c r="W955" s="1519"/>
      <c r="X955" s="1519"/>
      <c r="Y955" s="1519"/>
      <c r="Z955" s="1519"/>
      <c r="AA955" s="1520"/>
      <c r="AC955" s="1005"/>
      <c r="AD955" s="1005"/>
      <c r="AE955" s="1005"/>
      <c r="AF955" s="1005"/>
      <c r="AG955" s="1005"/>
      <c r="AH955" s="1005"/>
      <c r="AI955" s="732"/>
      <c r="AK955" s="1519"/>
      <c r="AL955" s="1519"/>
      <c r="AM955" s="1519"/>
      <c r="AN955" s="1519"/>
      <c r="AO955" s="1519"/>
      <c r="AP955" s="1519"/>
      <c r="AQ955" s="1520"/>
    </row>
    <row r="956" spans="1:43" s="1126" customFormat="1" outlineLevel="1">
      <c r="A956" s="18"/>
      <c r="B956" s="18"/>
      <c r="C956" s="18" t="s">
        <v>30</v>
      </c>
      <c r="D956" s="18"/>
      <c r="E956" s="18"/>
      <c r="F956" s="18"/>
      <c r="G956" s="18"/>
      <c r="H956" s="851">
        <f>H961/H951</f>
        <v>94.267558528428097</v>
      </c>
      <c r="I956" s="851">
        <f>I961/I951</f>
        <v>101.10092592592592</v>
      </c>
      <c r="J956" s="851">
        <f>J961/J951</f>
        <v>92.942665673864482</v>
      </c>
      <c r="K956" s="851">
        <f>K961/K951</f>
        <v>91.954795357361022</v>
      </c>
      <c r="L956" s="852">
        <f>K956</f>
        <v>91.954795357361022</v>
      </c>
      <c r="M956" s="852">
        <f>L956</f>
        <v>91.954795357361022</v>
      </c>
      <c r="N956" s="851">
        <f>N961/N951</f>
        <v>91.954795357361022</v>
      </c>
      <c r="O956" s="851">
        <f t="shared" ref="O956:S956" si="1103">O961/O951</f>
        <v>91.954795357361022</v>
      </c>
      <c r="P956" s="851">
        <f t="shared" si="1103"/>
        <v>91.954795357361007</v>
      </c>
      <c r="Q956" s="851">
        <f t="shared" si="1103"/>
        <v>91.954795357361007</v>
      </c>
      <c r="R956" s="851">
        <f t="shared" si="1103"/>
        <v>91.954795357361007</v>
      </c>
      <c r="S956" s="851">
        <f t="shared" si="1103"/>
        <v>91.954795357361007</v>
      </c>
      <c r="T956" s="408"/>
      <c r="U956" s="1524">
        <f>$L956*(1+$AA956)</f>
        <v>93.793891264508247</v>
      </c>
      <c r="V956" s="1524">
        <f>U956*(1+$AA956)</f>
        <v>95.669769089798407</v>
      </c>
      <c r="W956" s="1524">
        <f t="shared" ref="W956" si="1104">V956*(1+$AA956)</f>
        <v>97.583164471594372</v>
      </c>
      <c r="X956" s="1524">
        <f>W956*(1+$AA956)</f>
        <v>99.534827761026264</v>
      </c>
      <c r="Y956" s="1524">
        <f>X956*(1+$AA956)</f>
        <v>101.52552431624679</v>
      </c>
      <c r="Z956" s="1524">
        <f t="shared" si="1076"/>
        <v>103.55603480257173</v>
      </c>
      <c r="AA956" s="1525">
        <v>0.02</v>
      </c>
      <c r="AC956" s="1415"/>
      <c r="AD956" s="1415"/>
      <c r="AE956" s="1415"/>
      <c r="AF956" s="1415"/>
      <c r="AG956" s="1415"/>
      <c r="AH956" s="1415"/>
      <c r="AI956" s="998"/>
      <c r="AK956" s="1524">
        <f>$L956*(1+$AQ956)</f>
        <v>91.954795357361022</v>
      </c>
      <c r="AL956" s="1524">
        <f>AK956*(1+$AQ956)</f>
        <v>91.954795357361022</v>
      </c>
      <c r="AM956" s="1524">
        <f t="shared" si="1077"/>
        <v>91.954795357361022</v>
      </c>
      <c r="AN956" s="1524">
        <f t="shared" si="1077"/>
        <v>91.954795357361022</v>
      </c>
      <c r="AO956" s="1524">
        <f>AN956*(1+$AQ956)</f>
        <v>91.954795357361022</v>
      </c>
      <c r="AP956" s="1524">
        <f t="shared" si="1078"/>
        <v>91.954795357361022</v>
      </c>
      <c r="AQ956" s="1525">
        <v>0</v>
      </c>
    </row>
    <row r="957" spans="1:43" outlineLevel="1">
      <c r="D957" s="27" t="s">
        <v>852</v>
      </c>
      <c r="E957" s="28"/>
      <c r="F957" s="28"/>
      <c r="G957" s="28"/>
      <c r="H957" s="999" t="str">
        <f>IFERROR(H962/H952,"NA")</f>
        <v>NA</v>
      </c>
      <c r="I957" s="999" t="str">
        <f t="shared" ref="I957:J957" si="1105">IFERROR(I962/I952,"NA")</f>
        <v>NA</v>
      </c>
      <c r="J957" s="999" t="str">
        <f t="shared" si="1105"/>
        <v>NA</v>
      </c>
      <c r="K957" s="1000"/>
      <c r="L957" s="999">
        <f>IFERROR(L962/L952,"NA")</f>
        <v>83.017542587894155</v>
      </c>
      <c r="M957" s="999">
        <f>IFERROR(M962/M952,"NA")</f>
        <v>94.898223379364126</v>
      </c>
      <c r="N957" s="1003">
        <f>CHOOSE(case,U957,AC957,AK957)</f>
        <v>94.898223379364126</v>
      </c>
      <c r="O957" s="1003">
        <f t="shared" ref="O957:S957" si="1106">CHOOSE(case,V957,AD957,AL957)</f>
        <v>94.898223379364126</v>
      </c>
      <c r="P957" s="1003">
        <f t="shared" si="1106"/>
        <v>94.898223379364126</v>
      </c>
      <c r="Q957" s="1003">
        <f t="shared" si="1106"/>
        <v>94.898223379364126</v>
      </c>
      <c r="R957" s="1003">
        <f t="shared" si="1106"/>
        <v>94.898223379364126</v>
      </c>
      <c r="S957" s="1004">
        <f t="shared" si="1106"/>
        <v>94.898223379364126</v>
      </c>
      <c r="U957" s="1532"/>
      <c r="V957" s="1532"/>
      <c r="W957" s="1532"/>
      <c r="X957" s="1532"/>
      <c r="Y957" s="1532"/>
      <c r="Z957" s="1532"/>
      <c r="AA957" s="1532"/>
      <c r="AB957" s="1129"/>
      <c r="AC957" s="1005">
        <f>M957</f>
        <v>94.898223379364126</v>
      </c>
      <c r="AD957" s="1005">
        <f>AC957</f>
        <v>94.898223379364126</v>
      </c>
      <c r="AE957" s="1005">
        <f t="shared" ref="AE957:AH957" si="1107">AD957</f>
        <v>94.898223379364126</v>
      </c>
      <c r="AF957" s="1005">
        <f t="shared" si="1107"/>
        <v>94.898223379364126</v>
      </c>
      <c r="AG957" s="1005">
        <f t="shared" si="1107"/>
        <v>94.898223379364126</v>
      </c>
      <c r="AH957" s="1005">
        <f t="shared" si="1107"/>
        <v>94.898223379364126</v>
      </c>
      <c r="AI957" s="702"/>
      <c r="AK957" s="1519"/>
      <c r="AL957" s="1519"/>
      <c r="AM957" s="1519"/>
      <c r="AN957" s="1519"/>
      <c r="AO957" s="1519"/>
      <c r="AP957" s="1519"/>
      <c r="AQ957" s="1520"/>
    </row>
    <row r="958" spans="1:43" outlineLevel="1">
      <c r="D958" s="31" t="s">
        <v>853</v>
      </c>
      <c r="E958" s="1133"/>
      <c r="F958" s="1133"/>
      <c r="G958" s="1133"/>
      <c r="H958" s="1411" t="str">
        <f>IFERROR(H963/H953,"NA")</f>
        <v>NA</v>
      </c>
      <c r="I958" s="1411">
        <f>IFERROR(I963/I953,"NA")</f>
        <v>105.73816584880164</v>
      </c>
      <c r="J958" s="1411">
        <f>IFERROR(J963/J953,"NA")</f>
        <v>106.4873154175426</v>
      </c>
      <c r="K958" s="1412"/>
      <c r="L958" s="1411">
        <f t="shared" ref="L958:M958" si="1108">IFERROR(L963/L953,"NA")</f>
        <v>101.74140145294213</v>
      </c>
      <c r="M958" s="1411">
        <f t="shared" si="1108"/>
        <v>126.60174657235174</v>
      </c>
      <c r="N958" s="1005">
        <f>CHOOSE(case,U958,AC958,AK958)</f>
        <v>126.60174657235174</v>
      </c>
      <c r="O958" s="1005">
        <f t="shared" ref="O958:O960" si="1109">CHOOSE(case,V958,AD958,AL958)</f>
        <v>126.60174657235174</v>
      </c>
      <c r="P958" s="1005">
        <f t="shared" ref="P958:P960" si="1110">CHOOSE(case,W958,AE958,AM958)</f>
        <v>126.60174657235174</v>
      </c>
      <c r="Q958" s="1005">
        <f t="shared" ref="Q958:Q960" si="1111">CHOOSE(case,X958,AF958,AN958)</f>
        <v>126.60174657235174</v>
      </c>
      <c r="R958" s="1005">
        <f t="shared" ref="R958:R960" si="1112">CHOOSE(case,Y958,AG958,AO958)</f>
        <v>126.60174657235174</v>
      </c>
      <c r="S958" s="1006">
        <f t="shared" ref="S958:S960" si="1113">CHOOSE(case,Z958,AH958,AP958)</f>
        <v>126.60174657235174</v>
      </c>
      <c r="U958" s="1532"/>
      <c r="V958" s="1532"/>
      <c r="W958" s="1532"/>
      <c r="X958" s="1532"/>
      <c r="Y958" s="1532"/>
      <c r="Z958" s="1532"/>
      <c r="AA958" s="1532"/>
      <c r="AB958" s="1129"/>
      <c r="AC958" s="1005">
        <f>M958</f>
        <v>126.60174657235174</v>
      </c>
      <c r="AD958" s="1005">
        <f t="shared" ref="AD958:AH959" si="1114">AC958</f>
        <v>126.60174657235174</v>
      </c>
      <c r="AE958" s="1005">
        <f t="shared" si="1114"/>
        <v>126.60174657235174</v>
      </c>
      <c r="AF958" s="1005">
        <f t="shared" si="1114"/>
        <v>126.60174657235174</v>
      </c>
      <c r="AG958" s="1005">
        <f t="shared" si="1114"/>
        <v>126.60174657235174</v>
      </c>
      <c r="AH958" s="1005">
        <f t="shared" si="1114"/>
        <v>126.60174657235174</v>
      </c>
      <c r="AI958" s="702"/>
      <c r="AK958" s="1519"/>
      <c r="AL958" s="1519"/>
      <c r="AM958" s="1519"/>
      <c r="AN958" s="1519"/>
      <c r="AO958" s="1519"/>
      <c r="AP958" s="1519"/>
      <c r="AQ958" s="1520"/>
    </row>
    <row r="959" spans="1:43" outlineLevel="1">
      <c r="D959" s="31" t="s">
        <v>1177</v>
      </c>
      <c r="E959" s="1133"/>
      <c r="F959" s="1133"/>
      <c r="G959" s="1133"/>
      <c r="H959" s="1411">
        <f t="shared" ref="H959:J959" si="1115">IFERROR(H964/H954,"NA")</f>
        <v>94.267558528428097</v>
      </c>
      <c r="I959" s="1411">
        <f t="shared" si="1115"/>
        <v>99.468330453942258</v>
      </c>
      <c r="J959" s="1411">
        <f t="shared" si="1115"/>
        <v>87.302906590451272</v>
      </c>
      <c r="K959" s="1412"/>
      <c r="L959" s="1411">
        <f t="shared" ref="L959:M959" si="1116">IFERROR(L964/L954,"NA")</f>
        <v>90.558214349757904</v>
      </c>
      <c r="M959" s="1411">
        <f t="shared" si="1116"/>
        <v>70.514422292634379</v>
      </c>
      <c r="N959" s="1005">
        <f>CHOOSE(case,U959,AC959,AK959)</f>
        <v>70.514422292634379</v>
      </c>
      <c r="O959" s="1005">
        <f t="shared" si="1109"/>
        <v>70.514422292634379</v>
      </c>
      <c r="P959" s="1005">
        <f t="shared" si="1110"/>
        <v>70.514422292634379</v>
      </c>
      <c r="Q959" s="1005">
        <f t="shared" si="1111"/>
        <v>70.514422292634379</v>
      </c>
      <c r="R959" s="1005">
        <f t="shared" si="1112"/>
        <v>70.514422292634379</v>
      </c>
      <c r="S959" s="1006">
        <f t="shared" si="1113"/>
        <v>70.514422292634379</v>
      </c>
      <c r="U959" s="1532"/>
      <c r="V959" s="1532"/>
      <c r="W959" s="1532"/>
      <c r="X959" s="1532"/>
      <c r="Y959" s="1532"/>
      <c r="Z959" s="1532"/>
      <c r="AA959" s="1532"/>
      <c r="AB959" s="1129"/>
      <c r="AC959" s="1005">
        <f>M959</f>
        <v>70.514422292634379</v>
      </c>
      <c r="AD959" s="1005">
        <f t="shared" si="1114"/>
        <v>70.514422292634379</v>
      </c>
      <c r="AE959" s="1005">
        <f t="shared" si="1114"/>
        <v>70.514422292634379</v>
      </c>
      <c r="AF959" s="1005">
        <f t="shared" si="1114"/>
        <v>70.514422292634379</v>
      </c>
      <c r="AG959" s="1005">
        <f t="shared" si="1114"/>
        <v>70.514422292634379</v>
      </c>
      <c r="AH959" s="1005">
        <f t="shared" si="1114"/>
        <v>70.514422292634379</v>
      </c>
      <c r="AI959" s="702"/>
      <c r="AK959" s="1519"/>
      <c r="AL959" s="1519"/>
      <c r="AM959" s="1519"/>
      <c r="AN959" s="1519"/>
      <c r="AO959" s="1519"/>
      <c r="AP959" s="1519"/>
      <c r="AQ959" s="1520"/>
    </row>
    <row r="960" spans="1:43" outlineLevel="1">
      <c r="D960" s="33" t="s">
        <v>1172</v>
      </c>
      <c r="E960" s="34"/>
      <c r="F960" s="34"/>
      <c r="G960" s="34"/>
      <c r="H960" s="1001"/>
      <c r="I960" s="1001"/>
      <c r="J960" s="1001"/>
      <c r="K960" s="1002"/>
      <c r="L960" s="1001"/>
      <c r="M960" s="1001"/>
      <c r="N960" s="1007">
        <f>CHOOSE(case,U960,AC960,AK960)</f>
        <v>70.514422292634379</v>
      </c>
      <c r="O960" s="1007">
        <f t="shared" si="1109"/>
        <v>70.514422292634379</v>
      </c>
      <c r="P960" s="1007">
        <f t="shared" si="1110"/>
        <v>70.514422292634379</v>
      </c>
      <c r="Q960" s="1007">
        <f t="shared" si="1111"/>
        <v>70.514422292634379</v>
      </c>
      <c r="R960" s="1007">
        <f t="shared" si="1112"/>
        <v>70.514422292634379</v>
      </c>
      <c r="S960" s="1008">
        <f t="shared" si="1113"/>
        <v>70.514422292634379</v>
      </c>
      <c r="U960" s="1532"/>
      <c r="V960" s="1532"/>
      <c r="W960" s="1532"/>
      <c r="X960" s="1532"/>
      <c r="Y960" s="1532"/>
      <c r="Z960" s="1532"/>
      <c r="AA960" s="1532"/>
      <c r="AB960" s="1129"/>
      <c r="AC960" s="1005">
        <f>AC959</f>
        <v>70.514422292634379</v>
      </c>
      <c r="AD960" s="1005">
        <f t="shared" ref="AD960:AH960" si="1117">AD959</f>
        <v>70.514422292634379</v>
      </c>
      <c r="AE960" s="1005">
        <f t="shared" si="1117"/>
        <v>70.514422292634379</v>
      </c>
      <c r="AF960" s="1005">
        <f t="shared" si="1117"/>
        <v>70.514422292634379</v>
      </c>
      <c r="AG960" s="1005">
        <f t="shared" si="1117"/>
        <v>70.514422292634379</v>
      </c>
      <c r="AH960" s="1005">
        <f t="shared" si="1117"/>
        <v>70.514422292634379</v>
      </c>
      <c r="AI960" s="702"/>
      <c r="AK960" s="1519"/>
      <c r="AL960" s="1519"/>
      <c r="AM960" s="1519"/>
      <c r="AN960" s="1519"/>
      <c r="AO960" s="1519"/>
      <c r="AP960" s="1519"/>
      <c r="AQ960" s="1520"/>
    </row>
    <row r="961" spans="1:43" s="1126" customFormat="1" outlineLevel="1">
      <c r="A961" s="18"/>
      <c r="B961" s="18"/>
      <c r="C961" s="18" t="s">
        <v>845</v>
      </c>
      <c r="D961" s="18"/>
      <c r="E961" s="18"/>
      <c r="F961" s="18"/>
      <c r="G961" s="18"/>
      <c r="H961" s="405">
        <v>56372</v>
      </c>
      <c r="I961" s="405">
        <v>109189</v>
      </c>
      <c r="J961" s="405">
        <v>124822</v>
      </c>
      <c r="K961" s="405">
        <v>150530</v>
      </c>
      <c r="L961" s="853">
        <v>196300</v>
      </c>
      <c r="M961" s="853">
        <v>201362</v>
      </c>
      <c r="N961" s="73">
        <f>SUM(N962:N964)</f>
        <v>345192</v>
      </c>
      <c r="O961" s="73">
        <f t="shared" ref="O961:S961" si="1118">SUM(O962:O964)</f>
        <v>396970.8</v>
      </c>
      <c r="P961" s="73">
        <f t="shared" si="1118"/>
        <v>456516.41999999993</v>
      </c>
      <c r="Q961" s="73">
        <f t="shared" si="1118"/>
        <v>524993.88299999991</v>
      </c>
      <c r="R961" s="73">
        <f t="shared" si="1118"/>
        <v>603742.9654499999</v>
      </c>
      <c r="S961" s="73">
        <f t="shared" si="1118"/>
        <v>694304.41026749974</v>
      </c>
      <c r="T961" s="408"/>
      <c r="U961" s="1529"/>
      <c r="V961" s="1529"/>
      <c r="W961" s="1529"/>
      <c r="X961" s="1529"/>
      <c r="Y961" s="1529"/>
      <c r="Z961" s="1529"/>
      <c r="AA961" s="1520"/>
      <c r="AB961" s="1321"/>
      <c r="AC961" s="1416"/>
      <c r="AD961" s="1416"/>
      <c r="AE961" s="1416"/>
      <c r="AF961" s="1416"/>
      <c r="AG961" s="1416"/>
      <c r="AH961" s="1416"/>
      <c r="AI961" s="462"/>
      <c r="AJ961" s="1321"/>
      <c r="AK961" s="1529"/>
      <c r="AL961" s="1529"/>
      <c r="AM961" s="1529"/>
      <c r="AN961" s="1529"/>
      <c r="AO961" s="1529"/>
      <c r="AP961" s="1529"/>
      <c r="AQ961" s="1520"/>
    </row>
    <row r="962" spans="1:43" outlineLevel="1">
      <c r="D962" s="27" t="s">
        <v>852</v>
      </c>
      <c r="E962" s="28"/>
      <c r="F962" s="28"/>
      <c r="G962" s="28"/>
      <c r="H962" s="419">
        <v>0</v>
      </c>
      <c r="I962" s="419">
        <v>0</v>
      </c>
      <c r="J962" s="419">
        <v>0</v>
      </c>
      <c r="K962" s="811"/>
      <c r="L962" s="29">
        <v>50389.987999999998</v>
      </c>
      <c r="M962" s="29">
        <v>82739.862999999998</v>
      </c>
      <c r="N962" s="29">
        <f>N952*N957</f>
        <v>141839.76514285713</v>
      </c>
      <c r="O962" s="29">
        <f t="shared" ref="O962:S962" si="1119">O952*O957</f>
        <v>163115.72991428571</v>
      </c>
      <c r="P962" s="29">
        <f t="shared" si="1119"/>
        <v>187583.08940142853</v>
      </c>
      <c r="Q962" s="29">
        <f t="shared" si="1119"/>
        <v>215720.55281164282</v>
      </c>
      <c r="R962" s="29">
        <f t="shared" si="1119"/>
        <v>248078.63573338924</v>
      </c>
      <c r="S962" s="30">
        <f t="shared" si="1119"/>
        <v>285290.43109339761</v>
      </c>
      <c r="U962" s="1519"/>
      <c r="V962" s="1519"/>
      <c r="W962" s="1519"/>
      <c r="X962" s="1519"/>
      <c r="Y962" s="1519"/>
      <c r="Z962" s="1519"/>
      <c r="AA962" s="1520"/>
      <c r="AC962" s="20"/>
      <c r="AD962" s="20"/>
      <c r="AE962" s="20"/>
      <c r="AF962" s="20"/>
      <c r="AG962" s="20"/>
      <c r="AH962" s="20"/>
      <c r="AI962" s="702"/>
      <c r="AK962" s="1519"/>
      <c r="AL962" s="1519"/>
      <c r="AM962" s="1519"/>
      <c r="AN962" s="1519"/>
      <c r="AO962" s="1519"/>
      <c r="AP962" s="1519"/>
      <c r="AQ962" s="1520"/>
    </row>
    <row r="963" spans="1:43" outlineLevel="1">
      <c r="D963" s="31" t="s">
        <v>853</v>
      </c>
      <c r="E963" s="1133"/>
      <c r="F963" s="1133"/>
      <c r="G963" s="1133"/>
      <c r="H963" s="1413">
        <v>0</v>
      </c>
      <c r="I963" s="1413">
        <v>29735.687000000002</v>
      </c>
      <c r="J963" s="1413">
        <v>42042.256999999998</v>
      </c>
      <c r="K963" s="1414"/>
      <c r="L963" s="1188">
        <v>68763.960999999996</v>
      </c>
      <c r="M963" s="1188">
        <v>57988.663999999997</v>
      </c>
      <c r="N963" s="1188">
        <f t="shared" ref="N963:S963" si="1120">N953*N958</f>
        <v>99409.138285714289</v>
      </c>
      <c r="O963" s="1188">
        <f t="shared" si="1120"/>
        <v>114320.50902857141</v>
      </c>
      <c r="P963" s="1188">
        <f t="shared" si="1120"/>
        <v>131468.58538285713</v>
      </c>
      <c r="Q963" s="1188">
        <f t="shared" si="1120"/>
        <v>151188.8731902857</v>
      </c>
      <c r="R963" s="1188">
        <f t="shared" si="1120"/>
        <v>173867.20416882855</v>
      </c>
      <c r="S963" s="32">
        <f t="shared" si="1120"/>
        <v>199947.2847941528</v>
      </c>
      <c r="U963" s="1519"/>
      <c r="V963" s="1519"/>
      <c r="W963" s="1519"/>
      <c r="X963" s="1519"/>
      <c r="Y963" s="1519"/>
      <c r="Z963" s="1519"/>
      <c r="AA963" s="1520"/>
      <c r="AC963" s="20"/>
      <c r="AD963" s="20"/>
      <c r="AE963" s="20"/>
      <c r="AF963" s="20"/>
      <c r="AG963" s="20"/>
      <c r="AH963" s="20"/>
      <c r="AI963" s="702"/>
      <c r="AK963" s="1519"/>
      <c r="AL963" s="1519"/>
      <c r="AM963" s="1519"/>
      <c r="AN963" s="1519"/>
      <c r="AO963" s="1519"/>
      <c r="AP963" s="1519"/>
      <c r="AQ963" s="1520"/>
    </row>
    <row r="964" spans="1:43" outlineLevel="1">
      <c r="D964" s="31" t="s">
        <v>1177</v>
      </c>
      <c r="E964" s="1133"/>
      <c r="F964" s="1133"/>
      <c r="G964" s="1133"/>
      <c r="H964" s="1188">
        <f>H961-H962-H963</f>
        <v>56372</v>
      </c>
      <c r="I964" s="1188">
        <f t="shared" ref="I964:M964" si="1121">I961-I962-I963</f>
        <v>79453.312999999995</v>
      </c>
      <c r="J964" s="1188">
        <f t="shared" si="1121"/>
        <v>82779.743000000002</v>
      </c>
      <c r="K964" s="1188">
        <f t="shared" si="1121"/>
        <v>150530</v>
      </c>
      <c r="L964" s="1188">
        <f t="shared" si="1121"/>
        <v>77146.050999999992</v>
      </c>
      <c r="M964" s="1188">
        <f t="shared" si="1121"/>
        <v>60633.473000000005</v>
      </c>
      <c r="N964" s="1188">
        <f t="shared" ref="N964:S964" si="1122">N954*N959</f>
        <v>103943.09657142858</v>
      </c>
      <c r="O964" s="1188">
        <f t="shared" si="1122"/>
        <v>119534.56105714287</v>
      </c>
      <c r="P964" s="1188">
        <f t="shared" si="1122"/>
        <v>137464.7452157143</v>
      </c>
      <c r="Q964" s="1188">
        <f t="shared" si="1122"/>
        <v>158084.4569980714</v>
      </c>
      <c r="R964" s="1188">
        <f t="shared" si="1122"/>
        <v>181797.12554778211</v>
      </c>
      <c r="S964" s="32">
        <f t="shared" si="1122"/>
        <v>209066.69437994939</v>
      </c>
      <c r="U964" s="1519"/>
      <c r="V964" s="1519"/>
      <c r="W964" s="1519"/>
      <c r="X964" s="1519"/>
      <c r="Y964" s="1519"/>
      <c r="Z964" s="1519"/>
      <c r="AA964" s="1520"/>
      <c r="AC964" s="20"/>
      <c r="AD964" s="20"/>
      <c r="AE964" s="20"/>
      <c r="AF964" s="20"/>
      <c r="AG964" s="20"/>
      <c r="AH964" s="20"/>
      <c r="AI964" s="702"/>
      <c r="AK964" s="1519"/>
      <c r="AL964" s="1519"/>
      <c r="AM964" s="1519"/>
      <c r="AN964" s="1519"/>
      <c r="AO964" s="1519"/>
      <c r="AP964" s="1519"/>
      <c r="AQ964" s="1520"/>
    </row>
    <row r="965" spans="1:43" outlineLevel="1">
      <c r="D965" s="33" t="s">
        <v>1172</v>
      </c>
      <c r="E965" s="34"/>
      <c r="F965" s="34"/>
      <c r="G965" s="34"/>
      <c r="H965" s="35"/>
      <c r="I965" s="35"/>
      <c r="J965" s="35"/>
      <c r="K965" s="35"/>
      <c r="L965" s="35"/>
      <c r="M965" s="35"/>
      <c r="N965" s="35">
        <f>N955*N960</f>
        <v>0</v>
      </c>
      <c r="O965" s="35">
        <f>O955*O960</f>
        <v>0</v>
      </c>
      <c r="P965" s="35">
        <f t="shared" ref="P965:S965" si="1123">P955*P960</f>
        <v>0</v>
      </c>
      <c r="Q965" s="35">
        <f t="shared" si="1123"/>
        <v>0</v>
      </c>
      <c r="R965" s="35">
        <f t="shared" si="1123"/>
        <v>0</v>
      </c>
      <c r="S965" s="35">
        <f t="shared" si="1123"/>
        <v>0</v>
      </c>
      <c r="U965" s="1519"/>
      <c r="V965" s="1519"/>
      <c r="W965" s="1519"/>
      <c r="X965" s="1519"/>
      <c r="Y965" s="1519"/>
      <c r="Z965" s="1519"/>
      <c r="AA965" s="1520"/>
      <c r="AC965" s="20"/>
      <c r="AD965" s="20"/>
      <c r="AE965" s="20"/>
      <c r="AF965" s="20"/>
      <c r="AG965" s="20"/>
      <c r="AH965" s="20"/>
      <c r="AI965" s="702"/>
      <c r="AK965" s="1519"/>
      <c r="AL965" s="1519"/>
      <c r="AM965" s="1519"/>
      <c r="AN965" s="1519"/>
      <c r="AO965" s="1519"/>
      <c r="AP965" s="1519"/>
      <c r="AQ965" s="1520"/>
    </row>
    <row r="966" spans="1:43" outlineLevel="1"/>
    <row r="967" spans="1:43" ht="14.5" customHeight="1" outlineLevel="1">
      <c r="C967" s="1" t="s">
        <v>659</v>
      </c>
      <c r="H967" s="394">
        <v>-48031</v>
      </c>
      <c r="I967" s="394">
        <v>-97905.4</v>
      </c>
      <c r="J967" s="394">
        <v>-109790</v>
      </c>
      <c r="K967" s="394">
        <v>-128348</v>
      </c>
      <c r="L967" s="394">
        <v>-169810</v>
      </c>
      <c r="M967" s="394">
        <v>-123247</v>
      </c>
      <c r="N967" s="20">
        <f t="shared" ref="N967:S967" si="1124">N968*N951</f>
        <v>-211280.57142857142</v>
      </c>
      <c r="O967" s="20">
        <f>O968*O951</f>
        <v>-242270.24023747584</v>
      </c>
      <c r="P967" s="20">
        <f t="shared" si="1124"/>
        <v>-277805.86319772596</v>
      </c>
      <c r="Q967" s="20">
        <f t="shared" si="1124"/>
        <v>-318554.37601554592</v>
      </c>
      <c r="R967" s="20">
        <f t="shared" si="1124"/>
        <v>-365280.57181585301</v>
      </c>
      <c r="S967" s="20">
        <f t="shared" si="1124"/>
        <v>-418861.46114383265</v>
      </c>
    </row>
    <row r="968" spans="1:43" outlineLevel="3">
      <c r="D968" s="1" t="s">
        <v>849</v>
      </c>
      <c r="H968" s="20">
        <f>H967/H951</f>
        <v>-80.319397993311043</v>
      </c>
      <c r="I968" s="20">
        <f t="shared" ref="I968:M968" si="1125">I967/I951</f>
        <v>-90.653148148148148</v>
      </c>
      <c r="J968" s="20">
        <f t="shared" si="1125"/>
        <v>-81.749813849590467</v>
      </c>
      <c r="K968" s="20">
        <f t="shared" si="1125"/>
        <v>-78.404398289554067</v>
      </c>
      <c r="L968" s="20">
        <f t="shared" si="1125"/>
        <v>-79.545816605366653</v>
      </c>
      <c r="M968" s="20">
        <f t="shared" si="1125"/>
        <v>-56.282479630757905</v>
      </c>
      <c r="N968" s="854">
        <f>N956/M956*M968</f>
        <v>-56.282479630757905</v>
      </c>
      <c r="O968" s="20">
        <f>N968*(1+O969)</f>
        <v>-56.119770930798389</v>
      </c>
      <c r="P968" s="20">
        <f t="shared" ref="P968:S968" si="1126">O968*(1+P969)</f>
        <v>-55.957639594698314</v>
      </c>
      <c r="Q968" s="20">
        <f t="shared" si="1126"/>
        <v>-55.796083354939512</v>
      </c>
      <c r="R968" s="20">
        <f t="shared" si="1126"/>
        <v>-55.63509995401899</v>
      </c>
      <c r="S968" s="20">
        <f t="shared" si="1126"/>
        <v>-55.47468714439951</v>
      </c>
    </row>
    <row r="969" spans="1:43" ht="15" outlineLevel="3" thickBot="1">
      <c r="C969" s="37"/>
      <c r="D969" s="74"/>
      <c r="E969" s="74" t="s">
        <v>151</v>
      </c>
      <c r="F969" s="37"/>
      <c r="G969" s="37"/>
      <c r="H969" s="747"/>
      <c r="I969" s="75">
        <f>I968/H968-1</f>
        <v>0.1286582122502673</v>
      </c>
      <c r="J969" s="75">
        <f>J968/I968-1</f>
        <v>-9.821318377170507E-2</v>
      </c>
      <c r="K969" s="75"/>
      <c r="L969" s="75">
        <f>L968/J968-1</f>
        <v>-2.6960272328924173E-2</v>
      </c>
      <c r="M969" s="75"/>
      <c r="N969" s="748">
        <f>N968/L968-1</f>
        <v>-0.2924520479816064</v>
      </c>
      <c r="O969" s="749">
        <f>CHOOSE(case,V969,AD969,AL969)</f>
        <v>-2.8909298422346019E-3</v>
      </c>
      <c r="P969" s="750">
        <f>CHOOSE(case,W969,AE969,AM969)</f>
        <v>-2.8890234833638395E-3</v>
      </c>
      <c r="Q969" s="750">
        <f>CHOOSE(case,X969,AF969,AN969)</f>
        <v>-2.887116771346232E-3</v>
      </c>
      <c r="R969" s="750">
        <f>CHOOSE(case,Y969,AG969,AO969)</f>
        <v>-2.8852097000509058E-3</v>
      </c>
      <c r="S969" s="751">
        <f>CHOOSE(case,Z969,AH969,AP969)</f>
        <v>-2.8833022633563132E-3</v>
      </c>
      <c r="AC969" s="752"/>
      <c r="AD969" s="753">
        <f>各区域分剂型成本优化!K80</f>
        <v>-2.8909298422346019E-3</v>
      </c>
      <c r="AE969" s="753">
        <f>各区域分剂型成本优化!L80</f>
        <v>-2.8890234833638395E-3</v>
      </c>
      <c r="AF969" s="753">
        <f>各区域分剂型成本优化!M80</f>
        <v>-2.887116771346232E-3</v>
      </c>
      <c r="AG969" s="753">
        <f>各区域分剂型成本优化!N80</f>
        <v>-2.8852097000509058E-3</v>
      </c>
      <c r="AH969" s="753">
        <f>各区域分剂型成本优化!O80</f>
        <v>-2.8833022633563132E-3</v>
      </c>
    </row>
    <row r="970" spans="1:43" s="1126" customFormat="1" outlineLevel="1">
      <c r="A970" s="18"/>
      <c r="B970" s="18"/>
      <c r="C970" s="18" t="s">
        <v>846</v>
      </c>
      <c r="D970" s="18"/>
      <c r="E970" s="18"/>
      <c r="F970" s="18"/>
      <c r="G970" s="18"/>
      <c r="H970" s="23">
        <f>H961+H967</f>
        <v>8341</v>
      </c>
      <c r="I970" s="23">
        <f t="shared" ref="I970:S970" si="1127">I961+I967</f>
        <v>11283.600000000006</v>
      </c>
      <c r="J970" s="23">
        <f t="shared" si="1127"/>
        <v>15032</v>
      </c>
      <c r="K970" s="23">
        <f t="shared" si="1127"/>
        <v>22182</v>
      </c>
      <c r="L970" s="23">
        <f t="shared" si="1127"/>
        <v>26490</v>
      </c>
      <c r="M970" s="23">
        <f t="shared" si="1127"/>
        <v>78115</v>
      </c>
      <c r="N970" s="23">
        <f t="shared" si="1127"/>
        <v>133911.42857142858</v>
      </c>
      <c r="O970" s="23">
        <f t="shared" si="1127"/>
        <v>154700.55976252415</v>
      </c>
      <c r="P970" s="23">
        <f>P961+P967</f>
        <v>178710.55680227396</v>
      </c>
      <c r="Q970" s="23">
        <f t="shared" si="1127"/>
        <v>206439.506984454</v>
      </c>
      <c r="R970" s="23">
        <f t="shared" si="1127"/>
        <v>238462.39363414689</v>
      </c>
      <c r="S970" s="23">
        <f t="shared" si="1127"/>
        <v>275442.94912366709</v>
      </c>
      <c r="T970" s="408"/>
      <c r="U970" s="1518"/>
      <c r="V970" s="1518"/>
      <c r="W970" s="1518"/>
      <c r="X970" s="1518"/>
      <c r="Y970" s="1518"/>
      <c r="Z970" s="1518"/>
      <c r="AA970" s="1518"/>
      <c r="AC970" s="18"/>
      <c r="AD970" s="18"/>
      <c r="AE970" s="18"/>
      <c r="AF970" s="18"/>
      <c r="AG970" s="18"/>
      <c r="AH970" s="18"/>
      <c r="AI970" s="18"/>
      <c r="AK970" s="1518"/>
      <c r="AL970" s="1518"/>
      <c r="AM970" s="1518"/>
      <c r="AN970" s="1518"/>
      <c r="AO970" s="1518"/>
      <c r="AP970" s="1518"/>
      <c r="AQ970" s="1518"/>
    </row>
    <row r="971" spans="1:43" s="1365" customFormat="1" outlineLevel="1">
      <c r="A971" s="22"/>
      <c r="B971" s="22"/>
      <c r="C971" s="22" t="s">
        <v>660</v>
      </c>
      <c r="D971" s="22"/>
      <c r="E971" s="22"/>
      <c r="F971" s="22"/>
      <c r="G971" s="22"/>
      <c r="H971" s="56">
        <f>IFERROR(H970/H961,"NA")</f>
        <v>0.14796352799262044</v>
      </c>
      <c r="I971" s="56">
        <f t="shared" ref="I971:S971" si="1128">IFERROR(I970/I961,"NA")</f>
        <v>0.10334008004469319</v>
      </c>
      <c r="J971" s="56">
        <f t="shared" si="1128"/>
        <v>0.12042748874397141</v>
      </c>
      <c r="K971" s="56">
        <f t="shared" si="1128"/>
        <v>0.14735933036603999</v>
      </c>
      <c r="L971" s="56">
        <f t="shared" si="1128"/>
        <v>0.13494651044319919</v>
      </c>
      <c r="M971" s="56">
        <f>IFERROR(M970/M961,"NA")</f>
        <v>0.38793317507772074</v>
      </c>
      <c r="N971" s="56">
        <f t="shared" si="1128"/>
        <v>0.38793317507772074</v>
      </c>
      <c r="O971" s="56">
        <f t="shared" si="1128"/>
        <v>0.38970261732733025</v>
      </c>
      <c r="P971" s="56">
        <f t="shared" si="1128"/>
        <v>0.39146578079770711</v>
      </c>
      <c r="Q971" s="56">
        <f t="shared" si="1128"/>
        <v>0.39322269014790412</v>
      </c>
      <c r="R971" s="56">
        <f t="shared" si="1128"/>
        <v>0.3949733699280602</v>
      </c>
      <c r="S971" s="56">
        <f t="shared" si="1128"/>
        <v>0.39671784457993747</v>
      </c>
      <c r="T971" s="726"/>
      <c r="U971" s="1526">
        <v>0.15</v>
      </c>
      <c r="V971" s="1526">
        <f t="shared" ref="V971:Z971" si="1129">U971</f>
        <v>0.15</v>
      </c>
      <c r="W971" s="1526">
        <f t="shared" si="1129"/>
        <v>0.15</v>
      </c>
      <c r="X971" s="1526">
        <f t="shared" si="1129"/>
        <v>0.15</v>
      </c>
      <c r="Y971" s="1526">
        <f t="shared" si="1129"/>
        <v>0.15</v>
      </c>
      <c r="Z971" s="1526">
        <f t="shared" si="1129"/>
        <v>0.15</v>
      </c>
      <c r="AA971" s="1515"/>
      <c r="AB971" s="1321"/>
      <c r="AC971" s="471">
        <v>0.14699999999999999</v>
      </c>
      <c r="AD971" s="79">
        <f t="shared" ref="AD971:AH971" si="1130">AC971</f>
        <v>0.14699999999999999</v>
      </c>
      <c r="AE971" s="79">
        <f t="shared" si="1130"/>
        <v>0.14699999999999999</v>
      </c>
      <c r="AF971" s="79">
        <f t="shared" si="1130"/>
        <v>0.14699999999999999</v>
      </c>
      <c r="AG971" s="79">
        <f t="shared" si="1130"/>
        <v>0.14699999999999999</v>
      </c>
      <c r="AH971" s="79">
        <f t="shared" si="1130"/>
        <v>0.14699999999999999</v>
      </c>
      <c r="AI971" s="1"/>
      <c r="AJ971" s="1321"/>
      <c r="AK971" s="1526">
        <v>0.14000000000000001</v>
      </c>
      <c r="AL971" s="1526">
        <f t="shared" ref="AL971:AP971" si="1131">AK971</f>
        <v>0.14000000000000001</v>
      </c>
      <c r="AM971" s="1526">
        <f t="shared" si="1131"/>
        <v>0.14000000000000001</v>
      </c>
      <c r="AN971" s="1526">
        <f t="shared" si="1131"/>
        <v>0.14000000000000001</v>
      </c>
      <c r="AO971" s="1526">
        <f t="shared" si="1131"/>
        <v>0.14000000000000001</v>
      </c>
      <c r="AP971" s="1526">
        <f t="shared" si="1131"/>
        <v>0.14000000000000001</v>
      </c>
      <c r="AQ971" s="1515"/>
    </row>
    <row r="972" spans="1:43" outlineLevel="1"/>
    <row r="973" spans="1:43" s="1125" customFormat="1" outlineLevel="1">
      <c r="A973" s="10" t="s">
        <v>8</v>
      </c>
      <c r="B973" s="10" t="s">
        <v>335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103"/>
      <c r="U973" s="1515"/>
      <c r="V973" s="1515"/>
      <c r="W973" s="1515"/>
      <c r="X973" s="1515"/>
      <c r="Y973" s="1515"/>
      <c r="Z973" s="1515"/>
      <c r="AA973" s="1515"/>
      <c r="AC973" s="62"/>
      <c r="AD973" s="62"/>
      <c r="AE973" s="62"/>
      <c r="AF973" s="62"/>
      <c r="AG973" s="62"/>
      <c r="AH973" s="62"/>
      <c r="AI973" s="96"/>
      <c r="AK973" s="1515"/>
      <c r="AL973" s="1515"/>
      <c r="AM973" s="1515"/>
      <c r="AN973" s="1515"/>
      <c r="AO973" s="1515"/>
      <c r="AP973" s="1515"/>
      <c r="AQ973" s="1515"/>
    </row>
    <row r="974" spans="1:43" outlineLevel="1">
      <c r="L974" s="42"/>
      <c r="M974" s="42"/>
      <c r="N974" s="42"/>
      <c r="S974" s="42"/>
    </row>
    <row r="975" spans="1:43" s="1126" customFormat="1" outlineLevel="1">
      <c r="A975" s="18"/>
      <c r="B975" s="18"/>
      <c r="C975" s="18" t="s">
        <v>845</v>
      </c>
      <c r="D975" s="18"/>
      <c r="E975" s="18"/>
      <c r="F975" s="18"/>
      <c r="G975" s="18"/>
      <c r="H975" s="405">
        <v>31756</v>
      </c>
      <c r="I975" s="405">
        <v>19049</v>
      </c>
      <c r="J975" s="405">
        <v>13798.4</v>
      </c>
      <c r="K975" s="405">
        <v>14778</v>
      </c>
      <c r="L975" s="405">
        <v>18416</v>
      </c>
      <c r="M975" s="405">
        <v>30374</v>
      </c>
      <c r="N975" s="73">
        <f>L975*(1+N976)</f>
        <v>20257.600000000002</v>
      </c>
      <c r="O975" s="73">
        <f t="shared" ref="O975:S975" si="1132">N975*(1+O976)</f>
        <v>22283.360000000004</v>
      </c>
      <c r="P975" s="73">
        <f t="shared" si="1132"/>
        <v>24511.696000000007</v>
      </c>
      <c r="Q975" s="73">
        <f t="shared" si="1132"/>
        <v>26962.865600000008</v>
      </c>
      <c r="R975" s="73">
        <f t="shared" si="1132"/>
        <v>29659.152160000012</v>
      </c>
      <c r="S975" s="73">
        <f t="shared" si="1132"/>
        <v>32625.067376000017</v>
      </c>
      <c r="T975" s="675"/>
      <c r="U975" s="1518"/>
      <c r="V975" s="1518"/>
      <c r="W975" s="1518"/>
      <c r="X975" s="1518"/>
      <c r="Y975" s="1518"/>
      <c r="Z975" s="1518"/>
      <c r="AA975" s="1518"/>
      <c r="AC975" s="18"/>
      <c r="AD975" s="18"/>
      <c r="AE975" s="18"/>
      <c r="AF975" s="18"/>
      <c r="AG975" s="18"/>
      <c r="AH975" s="18"/>
      <c r="AI975" s="18"/>
      <c r="AK975" s="1518"/>
      <c r="AL975" s="1518"/>
      <c r="AM975" s="1518"/>
      <c r="AN975" s="1518"/>
      <c r="AO975" s="1518"/>
      <c r="AP975" s="1518"/>
      <c r="AQ975" s="1518"/>
    </row>
    <row r="976" spans="1:43" s="1365" customFormat="1" outlineLevel="1">
      <c r="A976" s="22"/>
      <c r="B976" s="22"/>
      <c r="C976" s="22"/>
      <c r="D976" s="22" t="s">
        <v>151</v>
      </c>
      <c r="E976" s="22"/>
      <c r="F976" s="22"/>
      <c r="G976" s="22"/>
      <c r="H976" s="90"/>
      <c r="I976" s="91">
        <f>I975/H975-1</f>
        <v>-0.40014485451568205</v>
      </c>
      <c r="J976" s="91">
        <f t="shared" ref="J976" si="1133">J975/I975-1</f>
        <v>-0.27563651635256448</v>
      </c>
      <c r="K976" s="91"/>
      <c r="L976" s="179">
        <f>L975/J975-1</f>
        <v>0.33464749536178107</v>
      </c>
      <c r="M976" s="179"/>
      <c r="N976" s="65">
        <f t="shared" ref="N976:S976" si="1134">CHOOSE(case,U976,AC976,AK976)</f>
        <v>0.1</v>
      </c>
      <c r="O976" s="65">
        <f t="shared" si="1134"/>
        <v>0.1</v>
      </c>
      <c r="P976" s="65">
        <f t="shared" si="1134"/>
        <v>0.1</v>
      </c>
      <c r="Q976" s="65">
        <f t="shared" si="1134"/>
        <v>0.1</v>
      </c>
      <c r="R976" s="65">
        <f t="shared" si="1134"/>
        <v>0.1</v>
      </c>
      <c r="S976" s="65">
        <f t="shared" si="1134"/>
        <v>0.1</v>
      </c>
      <c r="T976" s="726"/>
      <c r="U976" s="1526">
        <v>0.15</v>
      </c>
      <c r="V976" s="1526">
        <f t="shared" ref="V976:Z976" si="1135">U976</f>
        <v>0.15</v>
      </c>
      <c r="W976" s="1526">
        <f t="shared" si="1135"/>
        <v>0.15</v>
      </c>
      <c r="X976" s="1526">
        <f t="shared" si="1135"/>
        <v>0.15</v>
      </c>
      <c r="Y976" s="1526">
        <f t="shared" si="1135"/>
        <v>0.15</v>
      </c>
      <c r="Z976" s="1526">
        <f t="shared" si="1135"/>
        <v>0.15</v>
      </c>
      <c r="AA976" s="1515"/>
      <c r="AB976" s="1321"/>
      <c r="AC976" s="471">
        <v>0.1</v>
      </c>
      <c r="AD976" s="79">
        <f t="shared" ref="AD976:AH976" si="1136">AC976</f>
        <v>0.1</v>
      </c>
      <c r="AE976" s="79">
        <f t="shared" si="1136"/>
        <v>0.1</v>
      </c>
      <c r="AF976" s="79">
        <f t="shared" si="1136"/>
        <v>0.1</v>
      </c>
      <c r="AG976" s="79">
        <f t="shared" si="1136"/>
        <v>0.1</v>
      </c>
      <c r="AH976" s="79">
        <f t="shared" si="1136"/>
        <v>0.1</v>
      </c>
      <c r="AI976" s="1"/>
      <c r="AJ976" s="1321"/>
      <c r="AK976" s="1526">
        <v>0.05</v>
      </c>
      <c r="AL976" s="1526">
        <f t="shared" ref="AL976:AP976" si="1137">AK976</f>
        <v>0.05</v>
      </c>
      <c r="AM976" s="1526">
        <f t="shared" si="1137"/>
        <v>0.05</v>
      </c>
      <c r="AN976" s="1526">
        <f t="shared" si="1137"/>
        <v>0.05</v>
      </c>
      <c r="AO976" s="1526">
        <f t="shared" si="1137"/>
        <v>0.05</v>
      </c>
      <c r="AP976" s="1526">
        <f t="shared" si="1137"/>
        <v>0.05</v>
      </c>
      <c r="AQ976" s="1515"/>
    </row>
    <row r="977" spans="1:43" outlineLevel="1">
      <c r="L977" s="394"/>
      <c r="M977" s="394"/>
    </row>
    <row r="978" spans="1:43" ht="14.5" customHeight="1" outlineLevel="1" thickBot="1">
      <c r="C978" s="37" t="s">
        <v>659</v>
      </c>
      <c r="D978" s="37"/>
      <c r="E978" s="37"/>
      <c r="F978" s="37"/>
      <c r="G978" s="37"/>
      <c r="H978" s="404">
        <v>-13256</v>
      </c>
      <c r="I978" s="404">
        <v>-14488.4</v>
      </c>
      <c r="J978" s="404">
        <v>-8804</v>
      </c>
      <c r="K978" s="404">
        <v>-11950</v>
      </c>
      <c r="L978" s="404">
        <v>-13946</v>
      </c>
      <c r="M978" s="404">
        <v>-11086</v>
      </c>
      <c r="N978" s="39">
        <f>N979-N975</f>
        <v>-7393.6838611970761</v>
      </c>
      <c r="O978" s="39">
        <f t="shared" ref="O978:S978" si="1138">O979-O975</f>
        <v>-8133.0522473167857</v>
      </c>
      <c r="P978" s="39">
        <f t="shared" si="1138"/>
        <v>-8946.3574720484648</v>
      </c>
      <c r="Q978" s="39">
        <f t="shared" si="1138"/>
        <v>-9840.9932192533124</v>
      </c>
      <c r="R978" s="39">
        <f t="shared" si="1138"/>
        <v>-10825.092541178645</v>
      </c>
      <c r="S978" s="39">
        <f t="shared" si="1138"/>
        <v>-11907.601795296508</v>
      </c>
    </row>
    <row r="979" spans="1:43" s="1126" customFormat="1" outlineLevel="1">
      <c r="A979" s="18"/>
      <c r="B979" s="18"/>
      <c r="C979" s="18" t="s">
        <v>846</v>
      </c>
      <c r="D979" s="18"/>
      <c r="E979" s="18"/>
      <c r="F979" s="18"/>
      <c r="G979" s="18"/>
      <c r="H979" s="23">
        <f>H975+H978</f>
        <v>18500</v>
      </c>
      <c r="I979" s="23">
        <f t="shared" ref="I979:M979" si="1139">I975+I978</f>
        <v>4560.6000000000004</v>
      </c>
      <c r="J979" s="23">
        <f t="shared" si="1139"/>
        <v>4994.3999999999996</v>
      </c>
      <c r="K979" s="23">
        <f t="shared" si="1139"/>
        <v>2828</v>
      </c>
      <c r="L979" s="23">
        <f t="shared" si="1139"/>
        <v>4470</v>
      </c>
      <c r="M979" s="23">
        <f t="shared" si="1139"/>
        <v>19288</v>
      </c>
      <c r="N979" s="23">
        <f t="shared" ref="N979:S979" si="1140">N980*N975</f>
        <v>12863.916138802926</v>
      </c>
      <c r="O979" s="23">
        <f t="shared" si="1140"/>
        <v>14150.307752683218</v>
      </c>
      <c r="P979" s="23">
        <f t="shared" si="1140"/>
        <v>15565.338527951542</v>
      </c>
      <c r="Q979" s="23">
        <f t="shared" si="1140"/>
        <v>17121.872380746696</v>
      </c>
      <c r="R979" s="23">
        <f t="shared" si="1140"/>
        <v>18834.059618821368</v>
      </c>
      <c r="S979" s="23">
        <f t="shared" si="1140"/>
        <v>20717.465580703509</v>
      </c>
      <c r="T979" s="408"/>
      <c r="U979" s="1518"/>
      <c r="V979" s="1518"/>
      <c r="W979" s="1518"/>
      <c r="X979" s="1518"/>
      <c r="Y979" s="1518"/>
      <c r="Z979" s="1518"/>
      <c r="AA979" s="1518"/>
      <c r="AC979" s="18"/>
      <c r="AD979" s="18"/>
      <c r="AE979" s="18"/>
      <c r="AF979" s="18"/>
      <c r="AG979" s="18"/>
      <c r="AH979" s="18"/>
      <c r="AI979" s="18"/>
      <c r="AK979" s="1518"/>
      <c r="AL979" s="1518"/>
      <c r="AM979" s="1518"/>
      <c r="AN979" s="1518"/>
      <c r="AO979" s="1518"/>
      <c r="AP979" s="1518"/>
      <c r="AQ979" s="1518"/>
    </row>
    <row r="980" spans="1:43" s="1365" customFormat="1" outlineLevel="1">
      <c r="A980" s="22"/>
      <c r="B980" s="22"/>
      <c r="C980" s="22" t="s">
        <v>660</v>
      </c>
      <c r="D980" s="22"/>
      <c r="E980" s="22"/>
      <c r="F980" s="22"/>
      <c r="G980" s="22"/>
      <c r="H980" s="56">
        <f>IFERROR(H979/H975,"NA")</f>
        <v>0.58256707393878326</v>
      </c>
      <c r="I980" s="56">
        <f t="shared" ref="I980:M980" si="1141">IFERROR(I979/I975,"NA")</f>
        <v>0.2394141424746706</v>
      </c>
      <c r="J980" s="56">
        <f t="shared" si="1141"/>
        <v>0.36195500927643781</v>
      </c>
      <c r="K980" s="56">
        <f t="shared" si="1141"/>
        <v>0.19136554337528758</v>
      </c>
      <c r="L980" s="56">
        <f t="shared" si="1141"/>
        <v>0.24272371850564725</v>
      </c>
      <c r="M980" s="56">
        <f t="shared" si="1141"/>
        <v>0.63501679067623629</v>
      </c>
      <c r="N980" s="65">
        <f t="shared" ref="N980:S980" si="1142">CHOOSE(case,U980,AC980,AK980)</f>
        <v>0.63501679067623629</v>
      </c>
      <c r="O980" s="65">
        <f t="shared" si="1142"/>
        <v>0.63501679067623629</v>
      </c>
      <c r="P980" s="65">
        <f t="shared" si="1142"/>
        <v>0.63501679067623629</v>
      </c>
      <c r="Q980" s="65">
        <f t="shared" si="1142"/>
        <v>0.63501679067623629</v>
      </c>
      <c r="R980" s="65">
        <f t="shared" si="1142"/>
        <v>0.63501679067623629</v>
      </c>
      <c r="S980" s="65">
        <f t="shared" si="1142"/>
        <v>0.63501679067623629</v>
      </c>
      <c r="T980" s="726"/>
      <c r="U980" s="1526">
        <v>0.2</v>
      </c>
      <c r="V980" s="1526">
        <f t="shared" ref="V980:Z980" si="1143">U980</f>
        <v>0.2</v>
      </c>
      <c r="W980" s="1526">
        <f t="shared" si="1143"/>
        <v>0.2</v>
      </c>
      <c r="X980" s="1526">
        <f t="shared" si="1143"/>
        <v>0.2</v>
      </c>
      <c r="Y980" s="1526">
        <f t="shared" si="1143"/>
        <v>0.2</v>
      </c>
      <c r="Z980" s="1526">
        <f t="shared" si="1143"/>
        <v>0.2</v>
      </c>
      <c r="AA980" s="1515"/>
      <c r="AB980" s="1321"/>
      <c r="AC980" s="471">
        <f>M980</f>
        <v>0.63501679067623629</v>
      </c>
      <c r="AD980" s="79">
        <f t="shared" ref="AD980:AH980" si="1144">AC980</f>
        <v>0.63501679067623629</v>
      </c>
      <c r="AE980" s="79">
        <f t="shared" si="1144"/>
        <v>0.63501679067623629</v>
      </c>
      <c r="AF980" s="79">
        <f t="shared" si="1144"/>
        <v>0.63501679067623629</v>
      </c>
      <c r="AG980" s="79">
        <f t="shared" si="1144"/>
        <v>0.63501679067623629</v>
      </c>
      <c r="AH980" s="79">
        <f t="shared" si="1144"/>
        <v>0.63501679067623629</v>
      </c>
      <c r="AI980" s="1"/>
      <c r="AJ980" s="1321"/>
      <c r="AK980" s="1526">
        <v>0.18</v>
      </c>
      <c r="AL980" s="1526">
        <f t="shared" ref="AL980:AP980" si="1145">AK980</f>
        <v>0.18</v>
      </c>
      <c r="AM980" s="1526">
        <f t="shared" si="1145"/>
        <v>0.18</v>
      </c>
      <c r="AN980" s="1526">
        <f t="shared" si="1145"/>
        <v>0.18</v>
      </c>
      <c r="AO980" s="1526">
        <f t="shared" si="1145"/>
        <v>0.18</v>
      </c>
      <c r="AP980" s="1526">
        <f t="shared" si="1145"/>
        <v>0.18</v>
      </c>
      <c r="AQ980" s="1515"/>
    </row>
    <row r="981" spans="1:43" outlineLevel="1"/>
    <row r="982" spans="1:43" s="1125" customFormat="1" outlineLevel="1">
      <c r="A982" s="10" t="s">
        <v>8</v>
      </c>
      <c r="B982" s="10" t="s">
        <v>63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103"/>
      <c r="U982" s="1515"/>
      <c r="V982" s="1515"/>
      <c r="W982" s="1515"/>
      <c r="X982" s="1515"/>
      <c r="Y982" s="1515"/>
      <c r="Z982" s="1515"/>
      <c r="AA982" s="1515"/>
      <c r="AC982" s="62"/>
      <c r="AD982" s="62"/>
      <c r="AE982" s="62"/>
      <c r="AF982" s="62"/>
      <c r="AG982" s="62"/>
      <c r="AH982" s="62"/>
      <c r="AI982" s="96"/>
      <c r="AK982" s="1515"/>
      <c r="AL982" s="1515"/>
      <c r="AM982" s="1515"/>
      <c r="AN982" s="1515"/>
      <c r="AO982" s="1515"/>
      <c r="AP982" s="1515"/>
      <c r="AQ982" s="1515"/>
    </row>
    <row r="983" spans="1:43" outlineLevel="1">
      <c r="H983" s="144"/>
      <c r="I983" s="144"/>
      <c r="J983" s="144"/>
      <c r="K983" s="144"/>
      <c r="L983" s="42"/>
      <c r="M983" s="42"/>
      <c r="N983" s="42"/>
      <c r="S983" s="42"/>
    </row>
    <row r="984" spans="1:43" s="1126" customFormat="1" outlineLevel="1">
      <c r="A984" s="18"/>
      <c r="B984" s="18"/>
      <c r="C984" s="18" t="s">
        <v>845</v>
      </c>
      <c r="D984" s="18"/>
      <c r="E984" s="18"/>
      <c r="F984" s="18"/>
      <c r="G984" s="18"/>
      <c r="H984" s="405">
        <v>-60728</v>
      </c>
      <c r="I984" s="405">
        <v>-16029</v>
      </c>
      <c r="J984" s="405">
        <v>-45000</v>
      </c>
      <c r="K984" s="405">
        <v>-21305</v>
      </c>
      <c r="L984" s="405">
        <v>-39342</v>
      </c>
      <c r="M984" s="405">
        <v>-21936</v>
      </c>
      <c r="N984" s="23">
        <f t="shared" ref="N984:S984" si="1146">N985*N69</f>
        <v>-21213.761750821053</v>
      </c>
      <c r="O984" s="23">
        <f t="shared" si="1146"/>
        <v>-19233.04859198003</v>
      </c>
      <c r="P984" s="23">
        <f t="shared" si="1146"/>
        <v>-18480.879628496903</v>
      </c>
      <c r="Q984" s="23">
        <f t="shared" si="1146"/>
        <v>-18233.515858817631</v>
      </c>
      <c r="R984" s="23">
        <f t="shared" si="1146"/>
        <v>-18183.501042597582</v>
      </c>
      <c r="S984" s="23">
        <f t="shared" si="1146"/>
        <v>-18203.86989613999</v>
      </c>
      <c r="T984" s="675"/>
      <c r="U984" s="1518"/>
      <c r="V984" s="1518"/>
      <c r="W984" s="1518"/>
      <c r="X984" s="1518"/>
      <c r="Y984" s="1518"/>
      <c r="Z984" s="1518"/>
      <c r="AA984" s="1518"/>
      <c r="AC984" s="18"/>
      <c r="AD984" s="18"/>
      <c r="AE984" s="18"/>
      <c r="AF984" s="18"/>
      <c r="AG984" s="18"/>
      <c r="AH984" s="18"/>
      <c r="AI984" s="18"/>
      <c r="AK984" s="1518"/>
      <c r="AL984" s="1518"/>
      <c r="AM984" s="1518"/>
      <c r="AN984" s="1518"/>
      <c r="AO984" s="1518"/>
      <c r="AP984" s="1518"/>
      <c r="AQ984" s="1518"/>
    </row>
    <row r="985" spans="1:43" s="1365" customFormat="1" outlineLevel="1">
      <c r="A985" s="22"/>
      <c r="B985" s="22"/>
      <c r="C985" s="22"/>
      <c r="D985" s="22" t="s">
        <v>650</v>
      </c>
      <c r="E985" s="22"/>
      <c r="F985" s="22"/>
      <c r="G985" s="22"/>
      <c r="H985" s="464">
        <f>H984/H69</f>
        <v>-9.2714924418402372E-2</v>
      </c>
      <c r="I985" s="464">
        <f>I984/I69</f>
        <v>-2.2710946565729126E-2</v>
      </c>
      <c r="J985" s="464">
        <f>J984/J69</f>
        <v>-6.3156083095956092E-2</v>
      </c>
      <c r="K985" s="464">
        <f>K984/K69</f>
        <v>-2.5152933495549389E-2</v>
      </c>
      <c r="L985" s="464">
        <f>L984/L69</f>
        <v>-3.7990794368883425E-2</v>
      </c>
      <c r="M985" s="464"/>
      <c r="N985" s="65">
        <f t="shared" ref="N985:S985" si="1147">CHOOSE(case,U985,AC985,AK985)</f>
        <v>-0.03</v>
      </c>
      <c r="O985" s="65">
        <f t="shared" si="1147"/>
        <v>-0.03</v>
      </c>
      <c r="P985" s="65">
        <f t="shared" si="1147"/>
        <v>-0.03</v>
      </c>
      <c r="Q985" s="65">
        <f t="shared" si="1147"/>
        <v>-0.03</v>
      </c>
      <c r="R985" s="65">
        <f t="shared" si="1147"/>
        <v>-0.03</v>
      </c>
      <c r="S985" s="65">
        <f t="shared" si="1147"/>
        <v>-0.03</v>
      </c>
      <c r="T985" s="726"/>
      <c r="U985" s="1526">
        <v>-0.02</v>
      </c>
      <c r="V985" s="1526">
        <f t="shared" ref="V985:Z985" si="1148">U985</f>
        <v>-0.02</v>
      </c>
      <c r="W985" s="1526">
        <f t="shared" si="1148"/>
        <v>-0.02</v>
      </c>
      <c r="X985" s="1526">
        <f t="shared" si="1148"/>
        <v>-0.02</v>
      </c>
      <c r="Y985" s="1526">
        <f t="shared" si="1148"/>
        <v>-0.02</v>
      </c>
      <c r="Z985" s="1526">
        <f t="shared" si="1148"/>
        <v>-0.02</v>
      </c>
      <c r="AA985" s="1515"/>
      <c r="AB985" s="1321"/>
      <c r="AC985" s="471">
        <v>-0.03</v>
      </c>
      <c r="AD985" s="79">
        <f t="shared" ref="AD985:AH985" si="1149">AC985</f>
        <v>-0.03</v>
      </c>
      <c r="AE985" s="79">
        <f t="shared" si="1149"/>
        <v>-0.03</v>
      </c>
      <c r="AF985" s="79">
        <f t="shared" si="1149"/>
        <v>-0.03</v>
      </c>
      <c r="AG985" s="79">
        <f t="shared" si="1149"/>
        <v>-0.03</v>
      </c>
      <c r="AH985" s="79">
        <f t="shared" si="1149"/>
        <v>-0.03</v>
      </c>
      <c r="AI985" s="1"/>
      <c r="AJ985" s="1321"/>
      <c r="AK985" s="1526">
        <v>-0.05</v>
      </c>
      <c r="AL985" s="1526">
        <f t="shared" ref="AL985:AP985" si="1150">AK985</f>
        <v>-0.05</v>
      </c>
      <c r="AM985" s="1526">
        <f t="shared" si="1150"/>
        <v>-0.05</v>
      </c>
      <c r="AN985" s="1526">
        <f t="shared" si="1150"/>
        <v>-0.05</v>
      </c>
      <c r="AO985" s="1526">
        <f t="shared" si="1150"/>
        <v>-0.05</v>
      </c>
      <c r="AP985" s="1526">
        <f t="shared" si="1150"/>
        <v>-0.05</v>
      </c>
      <c r="AQ985" s="1523"/>
    </row>
    <row r="986" spans="1:43" outlineLevel="1"/>
    <row r="987" spans="1:43" ht="14.5" customHeight="1" outlineLevel="1" thickBot="1">
      <c r="C987" s="37" t="s">
        <v>659</v>
      </c>
      <c r="D987" s="37"/>
      <c r="E987" s="37"/>
      <c r="F987" s="37"/>
      <c r="G987" s="37"/>
      <c r="H987" s="404">
        <v>95938</v>
      </c>
      <c r="I987" s="404">
        <v>98541.4</v>
      </c>
      <c r="J987" s="404">
        <v>120953</v>
      </c>
      <c r="K987" s="404">
        <v>91157</v>
      </c>
      <c r="L987" s="404">
        <v>133489</v>
      </c>
      <c r="M987" s="404">
        <v>37812</v>
      </c>
      <c r="N987" s="39">
        <f t="shared" ref="N987:S987" si="1151">N988-N984</f>
        <v>36567.047744440446</v>
      </c>
      <c r="O987" s="39">
        <f t="shared" si="1151"/>
        <v>33152.809690004964</v>
      </c>
      <c r="P987" s="39">
        <f t="shared" si="1151"/>
        <v>31856.264611265724</v>
      </c>
      <c r="Q987" s="39">
        <f t="shared" si="1151"/>
        <v>31429.873343071311</v>
      </c>
      <c r="R987" s="39">
        <f t="shared" si="1151"/>
        <v>31343.660714018042</v>
      </c>
      <c r="S987" s="39">
        <f t="shared" si="1151"/>
        <v>31378.771358171281</v>
      </c>
    </row>
    <row r="988" spans="1:43" s="1126" customFormat="1" outlineLevel="1">
      <c r="A988" s="18"/>
      <c r="B988" s="18"/>
      <c r="C988" s="18" t="s">
        <v>846</v>
      </c>
      <c r="D988" s="18"/>
      <c r="E988" s="18"/>
      <c r="F988" s="18"/>
      <c r="G988" s="18"/>
      <c r="H988" s="23">
        <f>H984+H987</f>
        <v>35210</v>
      </c>
      <c r="I988" s="23">
        <f t="shared" ref="I988:M988" si="1152">I984+I987</f>
        <v>82512.399999999994</v>
      </c>
      <c r="J988" s="23">
        <f t="shared" si="1152"/>
        <v>75953</v>
      </c>
      <c r="K988" s="23">
        <f t="shared" si="1152"/>
        <v>69852</v>
      </c>
      <c r="L988" s="23">
        <f t="shared" si="1152"/>
        <v>94147</v>
      </c>
      <c r="M988" s="23">
        <f t="shared" si="1152"/>
        <v>15876</v>
      </c>
      <c r="N988" s="23">
        <f t="shared" ref="N988:S988" si="1153">N989*N984</f>
        <v>15353.285993619395</v>
      </c>
      <c r="O988" s="23">
        <f t="shared" si="1153"/>
        <v>13919.761098024934</v>
      </c>
      <c r="P988" s="23">
        <f t="shared" si="1153"/>
        <v>13375.384982768819</v>
      </c>
      <c r="Q988" s="23">
        <f t="shared" si="1153"/>
        <v>13196.357484253678</v>
      </c>
      <c r="R988" s="23">
        <f t="shared" si="1153"/>
        <v>13160.159671420459</v>
      </c>
      <c r="S988" s="23">
        <f t="shared" si="1153"/>
        <v>13174.901462031294</v>
      </c>
      <c r="T988" s="408"/>
      <c r="U988" s="1518"/>
      <c r="V988" s="1518"/>
      <c r="W988" s="1518"/>
      <c r="X988" s="1518"/>
      <c r="Y988" s="1518"/>
      <c r="Z988" s="1518"/>
      <c r="AA988" s="1518"/>
      <c r="AC988" s="18"/>
      <c r="AD988" s="18"/>
      <c r="AE988" s="18"/>
      <c r="AF988" s="18"/>
      <c r="AG988" s="18"/>
      <c r="AH988" s="18"/>
      <c r="AI988" s="18"/>
      <c r="AK988" s="1518"/>
      <c r="AL988" s="1518"/>
      <c r="AM988" s="1518"/>
      <c r="AN988" s="1518"/>
      <c r="AO988" s="1518"/>
      <c r="AP988" s="1518"/>
      <c r="AQ988" s="1518"/>
    </row>
    <row r="989" spans="1:43" s="1365" customFormat="1" outlineLevel="1">
      <c r="A989" s="22"/>
      <c r="B989" s="22"/>
      <c r="C989" s="22" t="s">
        <v>660</v>
      </c>
      <c r="D989" s="22"/>
      <c r="E989" s="22"/>
      <c r="F989" s="22"/>
      <c r="G989" s="22"/>
      <c r="H989" s="56">
        <f>IFERROR(H988/H984,"NA")</f>
        <v>-0.57979844552759852</v>
      </c>
      <c r="I989" s="56">
        <f t="shared" ref="I989:M989" si="1154">IFERROR(I988/I984,"NA")</f>
        <v>-5.1476948031692551</v>
      </c>
      <c r="J989" s="56">
        <f t="shared" si="1154"/>
        <v>-1.6878444444444445</v>
      </c>
      <c r="K989" s="56">
        <f t="shared" si="1154"/>
        <v>-3.2786669795822578</v>
      </c>
      <c r="L989" s="56">
        <f t="shared" si="1154"/>
        <v>-2.3930405164963653</v>
      </c>
      <c r="M989" s="56">
        <f t="shared" si="1154"/>
        <v>-0.72374179431072205</v>
      </c>
      <c r="N989" s="88">
        <f>M989</f>
        <v>-0.72374179431072205</v>
      </c>
      <c r="O989" s="88">
        <f t="shared" ref="O989:S989" si="1155">N989</f>
        <v>-0.72374179431072205</v>
      </c>
      <c r="P989" s="88">
        <f t="shared" si="1155"/>
        <v>-0.72374179431072205</v>
      </c>
      <c r="Q989" s="88">
        <f t="shared" si="1155"/>
        <v>-0.72374179431072205</v>
      </c>
      <c r="R989" s="88">
        <f t="shared" si="1155"/>
        <v>-0.72374179431072205</v>
      </c>
      <c r="S989" s="88">
        <f t="shared" si="1155"/>
        <v>-0.72374179431072205</v>
      </c>
      <c r="T989" s="726"/>
      <c r="U989" s="1523"/>
      <c r="V989" s="1523"/>
      <c r="W989" s="1523"/>
      <c r="X989" s="1523"/>
      <c r="Y989" s="1523"/>
      <c r="Z989" s="1523"/>
      <c r="AA989" s="1523"/>
      <c r="AC989" s="22"/>
      <c r="AD989" s="22"/>
      <c r="AE989" s="22"/>
      <c r="AF989" s="22"/>
      <c r="AG989" s="22"/>
      <c r="AH989" s="22"/>
      <c r="AI989" s="22"/>
      <c r="AK989" s="1523"/>
      <c r="AL989" s="1523"/>
      <c r="AM989" s="1523"/>
      <c r="AN989" s="1523"/>
      <c r="AO989" s="1523"/>
      <c r="AP989" s="1523"/>
      <c r="AQ989" s="1523"/>
    </row>
    <row r="991" spans="1:43" s="1125" customFormat="1">
      <c r="A991" s="58" t="s">
        <v>8</v>
      </c>
      <c r="B991" s="58" t="s">
        <v>187</v>
      </c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1103"/>
      <c r="U991" s="1515"/>
      <c r="V991" s="1515"/>
      <c r="W991" s="1515"/>
      <c r="X991" s="1515"/>
      <c r="Y991" s="1515"/>
      <c r="Z991" s="1515"/>
      <c r="AA991" s="1515"/>
      <c r="AC991" s="59"/>
      <c r="AD991" s="59"/>
      <c r="AE991" s="59"/>
      <c r="AF991" s="59"/>
      <c r="AG991" s="59"/>
      <c r="AH991" s="59"/>
      <c r="AI991" s="96"/>
      <c r="AK991" s="1515"/>
      <c r="AL991" s="1515"/>
      <c r="AM991" s="1515"/>
      <c r="AN991" s="1515"/>
      <c r="AO991" s="1515"/>
      <c r="AP991" s="1515"/>
      <c r="AQ991" s="1515"/>
    </row>
    <row r="993" spans="1:43">
      <c r="B993" s="18" t="s">
        <v>64</v>
      </c>
      <c r="H993" s="23">
        <f t="shared" ref="H993:S993" si="1156">SUM(H994,H1008,H1020)</f>
        <v>-403546</v>
      </c>
      <c r="I993" s="23">
        <f t="shared" si="1156"/>
        <v>-360963</v>
      </c>
      <c r="J993" s="23">
        <f t="shared" si="1156"/>
        <v>-377757</v>
      </c>
      <c r="K993" s="23">
        <f t="shared" si="1156"/>
        <v>-329955</v>
      </c>
      <c r="L993" s="23">
        <f t="shared" si="1156"/>
        <v>-434801.92015000002</v>
      </c>
      <c r="M993" s="23">
        <f t="shared" si="1156"/>
        <v>-249243</v>
      </c>
      <c r="N993" s="23">
        <f t="shared" si="1156"/>
        <v>-426126.83608122013</v>
      </c>
      <c r="O993" s="23">
        <f t="shared" si="1156"/>
        <v>-485178.38249188778</v>
      </c>
      <c r="P993" s="23">
        <f t="shared" si="1156"/>
        <v>-552525.61526499595</v>
      </c>
      <c r="Q993" s="23">
        <f t="shared" si="1156"/>
        <v>-625959.96756669309</v>
      </c>
      <c r="R993" s="23">
        <f t="shared" si="1156"/>
        <v>-706245.62748071097</v>
      </c>
      <c r="S993" s="23">
        <f t="shared" si="1156"/>
        <v>-788868.73786324786</v>
      </c>
    </row>
    <row r="994" spans="1:43" s="1126" customFormat="1">
      <c r="A994" s="18"/>
      <c r="B994" s="18"/>
      <c r="C994" s="18" t="s">
        <v>65</v>
      </c>
      <c r="D994" s="18"/>
      <c r="E994" s="18"/>
      <c r="F994" s="18"/>
      <c r="G994" s="18"/>
      <c r="H994" s="405">
        <v>-185950</v>
      </c>
      <c r="I994" s="405">
        <v>-132048</v>
      </c>
      <c r="J994" s="405">
        <v>-132551</v>
      </c>
      <c r="K994" s="405">
        <v>-95235</v>
      </c>
      <c r="L994" s="405">
        <v>-137388.86025</v>
      </c>
      <c r="M994" s="405">
        <v>-74219</v>
      </c>
      <c r="N994" s="23">
        <f>N996+N998+N1000+N1002+N1004+N1006</f>
        <v>-122002.6275006442</v>
      </c>
      <c r="O994" s="23">
        <f t="shared" ref="O994:S994" si="1157">O996+O998+O1000+O1002+O1004+O1006</f>
        <v>-139569.03604825088</v>
      </c>
      <c r="P994" s="23">
        <f t="shared" si="1157"/>
        <v>-159700.83404934817</v>
      </c>
      <c r="Q994" s="23">
        <f t="shared" si="1157"/>
        <v>-181793.49689240623</v>
      </c>
      <c r="R994" s="23">
        <f t="shared" si="1157"/>
        <v>-206098.36864114102</v>
      </c>
      <c r="S994" s="23">
        <f t="shared" si="1157"/>
        <v>-231323.95197667991</v>
      </c>
      <c r="T994" s="408"/>
      <c r="U994" s="1518"/>
      <c r="V994" s="1518"/>
      <c r="W994" s="1518"/>
      <c r="X994" s="1518"/>
      <c r="Y994" s="1518"/>
      <c r="Z994" s="1518"/>
      <c r="AA994" s="1518"/>
      <c r="AC994" s="18"/>
      <c r="AD994" s="18"/>
      <c r="AE994" s="18"/>
      <c r="AF994" s="18"/>
      <c r="AG994" s="18"/>
      <c r="AH994" s="18"/>
      <c r="AI994" s="18"/>
      <c r="AK994" s="1518"/>
      <c r="AL994" s="1518"/>
      <c r="AM994" s="1518"/>
      <c r="AN994" s="1518"/>
      <c r="AO994" s="1518"/>
      <c r="AP994" s="1518"/>
      <c r="AQ994" s="1518"/>
    </row>
    <row r="995" spans="1:43">
      <c r="D995" s="22" t="s">
        <v>130</v>
      </c>
      <c r="H995" s="56">
        <f t="shared" ref="H995:M995" si="1158">H994/H$14</f>
        <v>-0.12849305119712767</v>
      </c>
      <c r="I995" s="56">
        <f t="shared" si="1158"/>
        <v>-7.9492521020800885E-2</v>
      </c>
      <c r="J995" s="56">
        <f t="shared" si="1158"/>
        <v>-7.3538442601023962E-2</v>
      </c>
      <c r="K995" s="56">
        <f t="shared" si="1158"/>
        <v>-4.7732738764562348E-2</v>
      </c>
      <c r="L995" s="56">
        <f t="shared" si="1158"/>
        <v>-5.6558867296187892E-2</v>
      </c>
      <c r="M995" s="56">
        <f t="shared" si="1158"/>
        <v>-5.167273462380368E-2</v>
      </c>
      <c r="N995" s="56">
        <f t="shared" ref="N995:S995" si="1159">N994/N$14</f>
        <v>-4.8464880901145674E-2</v>
      </c>
      <c r="O995" s="56">
        <f t="shared" si="1159"/>
        <v>-4.8464880901145674E-2</v>
      </c>
      <c r="P995" s="56">
        <f t="shared" si="1159"/>
        <v>-4.8464880901145674E-2</v>
      </c>
      <c r="Q995" s="56">
        <f t="shared" si="1159"/>
        <v>-4.8464880901145674E-2</v>
      </c>
      <c r="R995" s="56">
        <f t="shared" si="1159"/>
        <v>-4.8464880901145681E-2</v>
      </c>
      <c r="S995" s="56">
        <f t="shared" si="1159"/>
        <v>-4.8464880901145674E-2</v>
      </c>
      <c r="T995" s="726"/>
      <c r="U995" s="1526"/>
      <c r="V995" s="1526"/>
      <c r="W995" s="1526"/>
      <c r="X995" s="1526"/>
      <c r="Y995" s="1526"/>
      <c r="Z995" s="1526"/>
      <c r="AC995" s="416"/>
      <c r="AD995" s="65"/>
      <c r="AE995" s="65"/>
      <c r="AF995" s="65"/>
      <c r="AG995" s="65"/>
      <c r="AH995" s="65"/>
      <c r="AK995" s="1526">
        <f>AC995-0.3%</f>
        <v>-3.0000000000000001E-3</v>
      </c>
      <c r="AL995" s="1526">
        <f t="shared" ref="AL995:AP995" si="1160">AD995-0.3%</f>
        <v>-3.0000000000000001E-3</v>
      </c>
      <c r="AM995" s="1526">
        <f t="shared" si="1160"/>
        <v>-3.0000000000000001E-3</v>
      </c>
      <c r="AN995" s="1526">
        <f t="shared" si="1160"/>
        <v>-3.0000000000000001E-3</v>
      </c>
      <c r="AO995" s="1526">
        <f t="shared" si="1160"/>
        <v>-3.0000000000000001E-3</v>
      </c>
      <c r="AP995" s="1526">
        <f t="shared" si="1160"/>
        <v>-3.0000000000000001E-3</v>
      </c>
    </row>
    <row r="996" spans="1:43">
      <c r="D996" s="27" t="s">
        <v>854</v>
      </c>
      <c r="E996" s="28"/>
      <c r="F996" s="28"/>
      <c r="G996" s="28"/>
      <c r="H996" s="419">
        <v>-45671.05599999999</v>
      </c>
      <c r="I996" s="419">
        <v>-44103.706850000002</v>
      </c>
      <c r="J996" s="419">
        <v>-67636.68336000001</v>
      </c>
      <c r="K996" s="419"/>
      <c r="L996" s="419">
        <v>-76497.17081000004</v>
      </c>
      <c r="M996" s="419">
        <v>-25085.298949999997</v>
      </c>
      <c r="N996" s="29">
        <f>N997*N$14</f>
        <v>-43965.059220339936</v>
      </c>
      <c r="O996" s="29">
        <f t="shared" ref="O996:S996" si="1161">O997*O$14</f>
        <v>-50295.317903335388</v>
      </c>
      <c r="P996" s="29">
        <f t="shared" si="1161"/>
        <v>-57550.044374906582</v>
      </c>
      <c r="Q996" s="29">
        <f t="shared" si="1161"/>
        <v>-65511.391192825911</v>
      </c>
      <c r="R996" s="29">
        <f t="shared" si="1161"/>
        <v>-74269.93310021433</v>
      </c>
      <c r="S996" s="30">
        <f t="shared" si="1161"/>
        <v>-83360.264086805022</v>
      </c>
      <c r="T996" s="726"/>
      <c r="U996" s="1526"/>
      <c r="V996" s="1526"/>
      <c r="W996" s="1526"/>
      <c r="X996" s="1526"/>
      <c r="Y996" s="1526"/>
      <c r="Z996" s="1526"/>
      <c r="AC996" s="416"/>
      <c r="AD996" s="65"/>
      <c r="AE996" s="65"/>
      <c r="AF996" s="65"/>
      <c r="AG996" s="65"/>
      <c r="AH996" s="65"/>
      <c r="AK996" s="1526"/>
      <c r="AL996" s="1526"/>
      <c r="AM996" s="1526"/>
      <c r="AN996" s="1526"/>
      <c r="AO996" s="1526"/>
      <c r="AP996" s="1526"/>
    </row>
    <row r="997" spans="1:43" s="1365" customFormat="1">
      <c r="A997" s="22"/>
      <c r="B997" s="22"/>
      <c r="C997" s="22"/>
      <c r="D997" s="715"/>
      <c r="E997" s="22" t="s">
        <v>130</v>
      </c>
      <c r="F997" s="22"/>
      <c r="G997" s="22"/>
      <c r="H997" s="855">
        <f>H996/H$14</f>
        <v>-3.1559092964963072E-2</v>
      </c>
      <c r="I997" s="855">
        <f t="shared" ref="I997:M997" si="1162">I996/I$14</f>
        <v>-2.6550306281570832E-2</v>
      </c>
      <c r="J997" s="855">
        <f t="shared" si="1162"/>
        <v>-3.7524397077298495E-2</v>
      </c>
      <c r="K997" s="855"/>
      <c r="L997" s="855">
        <f t="shared" si="1162"/>
        <v>-3.1491587633114604E-2</v>
      </c>
      <c r="M997" s="855">
        <f t="shared" si="1162"/>
        <v>-1.7464880901145678E-2</v>
      </c>
      <c r="N997" s="79">
        <f t="shared" ref="N997" si="1163">CHOOSE(case,U997,AC997,AK997)</f>
        <v>-1.7464880901145678E-2</v>
      </c>
      <c r="O997" s="79">
        <f t="shared" ref="O997" si="1164">CHOOSE(case,V997,AD997,AL997)</f>
        <v>-1.7464880901145678E-2</v>
      </c>
      <c r="P997" s="79">
        <f t="shared" ref="P997" si="1165">CHOOSE(case,W997,AE997,AM997)</f>
        <v>-1.7464880901145678E-2</v>
      </c>
      <c r="Q997" s="79">
        <f t="shared" ref="Q997" si="1166">CHOOSE(case,X997,AF997,AN997)</f>
        <v>-1.7464880901145678E-2</v>
      </c>
      <c r="R997" s="79">
        <f t="shared" ref="R997" si="1167">CHOOSE(case,Y997,AG997,AO997)</f>
        <v>-1.7464880901145678E-2</v>
      </c>
      <c r="S997" s="856">
        <f t="shared" ref="S997" si="1168">CHOOSE(case,Z997,AH997,AP997)</f>
        <v>-1.7464880901145678E-2</v>
      </c>
      <c r="T997" s="726"/>
      <c r="U997" s="1526"/>
      <c r="V997" s="1526"/>
      <c r="W997" s="1526"/>
      <c r="X997" s="1526"/>
      <c r="Y997" s="1526"/>
      <c r="Z997" s="1526"/>
      <c r="AA997" s="1523"/>
      <c r="AC997" s="471">
        <f>M997</f>
        <v>-1.7464880901145678E-2</v>
      </c>
      <c r="AD997" s="471">
        <f>AC997</f>
        <v>-1.7464880901145678E-2</v>
      </c>
      <c r="AE997" s="471">
        <f t="shared" ref="AE997:AH1005" si="1169">AD997</f>
        <v>-1.7464880901145678E-2</v>
      </c>
      <c r="AF997" s="471">
        <f t="shared" si="1169"/>
        <v>-1.7464880901145678E-2</v>
      </c>
      <c r="AG997" s="471">
        <f t="shared" si="1169"/>
        <v>-1.7464880901145678E-2</v>
      </c>
      <c r="AH997" s="471">
        <f t="shared" si="1169"/>
        <v>-1.7464880901145678E-2</v>
      </c>
      <c r="AI997" s="22"/>
      <c r="AK997" s="1526"/>
      <c r="AL997" s="1526"/>
      <c r="AM997" s="1526"/>
      <c r="AN997" s="1526"/>
      <c r="AO997" s="1526"/>
      <c r="AP997" s="1526"/>
      <c r="AQ997" s="1523"/>
    </row>
    <row r="998" spans="1:43">
      <c r="D998" s="31" t="s">
        <v>855</v>
      </c>
      <c r="H998" s="394">
        <v>-54889.085949999993</v>
      </c>
      <c r="I998" s="394">
        <v>-33706.425789999994</v>
      </c>
      <c r="J998" s="394">
        <v>-31932.175660000008</v>
      </c>
      <c r="K998" s="394"/>
      <c r="L998" s="394">
        <v>-27197.330169999997</v>
      </c>
      <c r="M998" s="394">
        <v>-14966.787949416001</v>
      </c>
      <c r="N998" s="20">
        <f>N999*N$14</f>
        <v>-25173.4091226788</v>
      </c>
      <c r="O998" s="20">
        <f t="shared" ref="O998:S998" si="1170">O999*O$14</f>
        <v>-28797.973595134034</v>
      </c>
      <c r="P998" s="20">
        <f t="shared" si="1170"/>
        <v>-32951.867636916642</v>
      </c>
      <c r="Q998" s="20">
        <f t="shared" si="1170"/>
        <v>-37510.356677283977</v>
      </c>
      <c r="R998" s="20">
        <f t="shared" si="1170"/>
        <v>-42525.3017873957</v>
      </c>
      <c r="S998" s="32">
        <f t="shared" si="1170"/>
        <v>-47730.221899959644</v>
      </c>
      <c r="T998" s="726"/>
      <c r="U998" s="1526"/>
      <c r="V998" s="1526"/>
      <c r="W998" s="1526"/>
      <c r="X998" s="1526"/>
      <c r="Y998" s="1526"/>
      <c r="Z998" s="1526"/>
      <c r="AC998" s="416"/>
      <c r="AD998" s="65"/>
      <c r="AE998" s="65"/>
      <c r="AF998" s="65"/>
      <c r="AG998" s="65"/>
      <c r="AH998" s="65"/>
      <c r="AK998" s="1526"/>
      <c r="AL998" s="1526"/>
      <c r="AM998" s="1526"/>
      <c r="AN998" s="1526"/>
      <c r="AO998" s="1526"/>
      <c r="AP998" s="1526"/>
    </row>
    <row r="999" spans="1:43" s="1365" customFormat="1">
      <c r="A999" s="22"/>
      <c r="B999" s="22"/>
      <c r="C999" s="22"/>
      <c r="D999" s="715"/>
      <c r="E999" s="22" t="s">
        <v>130</v>
      </c>
      <c r="F999" s="22"/>
      <c r="G999" s="22"/>
      <c r="H999" s="855">
        <f>H998/H$14</f>
        <v>-3.7928831035960689E-2</v>
      </c>
      <c r="I999" s="855">
        <f t="shared" ref="I999:J999" si="1171">I998/I$14</f>
        <v>-2.0291172608806189E-2</v>
      </c>
      <c r="J999" s="855">
        <f t="shared" si="1171"/>
        <v>-1.7715765757321519E-2</v>
      </c>
      <c r="K999" s="855"/>
      <c r="L999" s="855">
        <f t="shared" ref="L999:M999" si="1172">L998/L$14</f>
        <v>-1.1196323960301848E-2</v>
      </c>
      <c r="M999" s="855">
        <f t="shared" si="1172"/>
        <v>-1.0420173565810856E-2</v>
      </c>
      <c r="N999" s="79">
        <f t="shared" ref="N999" si="1173">CHOOSE(case,U999,AC999,AK999)</f>
        <v>-0.01</v>
      </c>
      <c r="O999" s="79">
        <f t="shared" ref="O999" si="1174">CHOOSE(case,V999,AD999,AL999)</f>
        <v>-0.01</v>
      </c>
      <c r="P999" s="79">
        <f t="shared" ref="P999" si="1175">CHOOSE(case,W999,AE999,AM999)</f>
        <v>-0.01</v>
      </c>
      <c r="Q999" s="79">
        <f t="shared" ref="Q999" si="1176">CHOOSE(case,X999,AF999,AN999)</f>
        <v>-0.01</v>
      </c>
      <c r="R999" s="79">
        <f t="shared" ref="R999" si="1177">CHOOSE(case,Y999,AG999,AO999)</f>
        <v>-0.01</v>
      </c>
      <c r="S999" s="856">
        <f t="shared" ref="S999" si="1178">CHOOSE(case,Z999,AH999,AP999)</f>
        <v>-0.01</v>
      </c>
      <c r="T999" s="726"/>
      <c r="U999" s="1526"/>
      <c r="V999" s="1526"/>
      <c r="W999" s="1526"/>
      <c r="X999" s="1526"/>
      <c r="Y999" s="1526"/>
      <c r="Z999" s="1526"/>
      <c r="AA999" s="1523"/>
      <c r="AC999" s="471">
        <v>-0.01</v>
      </c>
      <c r="AD999" s="471">
        <f>AC999</f>
        <v>-0.01</v>
      </c>
      <c r="AE999" s="471">
        <f t="shared" ref="AE999:AH999" si="1179">AD999</f>
        <v>-0.01</v>
      </c>
      <c r="AF999" s="471">
        <f t="shared" si="1179"/>
        <v>-0.01</v>
      </c>
      <c r="AG999" s="471">
        <f t="shared" si="1179"/>
        <v>-0.01</v>
      </c>
      <c r="AH999" s="471">
        <f t="shared" si="1179"/>
        <v>-0.01</v>
      </c>
      <c r="AI999" s="22"/>
      <c r="AK999" s="1526"/>
      <c r="AL999" s="1526"/>
      <c r="AM999" s="1526"/>
      <c r="AN999" s="1526"/>
      <c r="AO999" s="1526"/>
      <c r="AP999" s="1526"/>
      <c r="AQ999" s="1523"/>
    </row>
    <row r="1000" spans="1:43">
      <c r="D1000" s="31" t="s">
        <v>856</v>
      </c>
      <c r="H1000" s="394">
        <v>-51913.244869999995</v>
      </c>
      <c r="I1000" s="394">
        <v>-27320.470809999995</v>
      </c>
      <c r="J1000" s="394">
        <v>-4897.255149999999</v>
      </c>
      <c r="K1000" s="394"/>
      <c r="L1000" s="394">
        <v>-4457.9251099999992</v>
      </c>
      <c r="M1000" s="394">
        <v>-6914.3673165170012</v>
      </c>
      <c r="N1000" s="20">
        <f>N1001*N$14</f>
        <v>-12586.7045613394</v>
      </c>
      <c r="O1000" s="20">
        <f t="shared" ref="O1000:S1000" si="1180">O1001*O$14</f>
        <v>-14398.986797567017</v>
      </c>
      <c r="P1000" s="20">
        <f t="shared" si="1180"/>
        <v>-16475.933818458321</v>
      </c>
      <c r="Q1000" s="20">
        <f t="shared" si="1180"/>
        <v>-18755.178338641988</v>
      </c>
      <c r="R1000" s="20">
        <f t="shared" si="1180"/>
        <v>-21262.65089369785</v>
      </c>
      <c r="S1000" s="32">
        <f t="shared" si="1180"/>
        <v>-23865.110949979822</v>
      </c>
      <c r="T1000" s="726"/>
      <c r="U1000" s="1526"/>
      <c r="V1000" s="1526"/>
      <c r="W1000" s="1526"/>
      <c r="X1000" s="1526"/>
      <c r="Y1000" s="1526"/>
      <c r="Z1000" s="1526"/>
      <c r="AC1000" s="416"/>
      <c r="AD1000" s="65"/>
      <c r="AE1000" s="65"/>
      <c r="AF1000" s="65"/>
      <c r="AG1000" s="65"/>
      <c r="AH1000" s="65"/>
      <c r="AK1000" s="1526"/>
      <c r="AL1000" s="1526"/>
      <c r="AM1000" s="1526"/>
      <c r="AN1000" s="1526"/>
      <c r="AO1000" s="1526"/>
      <c r="AP1000" s="1526"/>
    </row>
    <row r="1001" spans="1:43" s="1365" customFormat="1">
      <c r="A1001" s="22"/>
      <c r="B1001" s="22"/>
      <c r="C1001" s="22"/>
      <c r="D1001" s="715"/>
      <c r="E1001" s="22" t="s">
        <v>130</v>
      </c>
      <c r="F1001" s="22"/>
      <c r="G1001" s="22"/>
      <c r="H1001" s="855">
        <f>H1000/H$14</f>
        <v>-3.587249922500637E-2</v>
      </c>
      <c r="I1001" s="855">
        <f t="shared" ref="I1001:J1001" si="1181">I1000/I$14</f>
        <v>-1.6446845845163136E-2</v>
      </c>
      <c r="J1001" s="855">
        <f t="shared" si="1181"/>
        <v>-2.7169656717100882E-3</v>
      </c>
      <c r="K1001" s="855"/>
      <c r="L1001" s="855">
        <f t="shared" ref="L1001:M1001" si="1182">L1000/L$14</f>
        <v>-1.8351938741906389E-3</v>
      </c>
      <c r="M1001" s="855">
        <f t="shared" si="1182"/>
        <v>-4.8139191775405836E-3</v>
      </c>
      <c r="N1001" s="79">
        <f t="shared" ref="N1001" si="1183">CHOOSE(case,U1001,AC1001,AK1001)</f>
        <v>-5.0000000000000001E-3</v>
      </c>
      <c r="O1001" s="79">
        <f t="shared" ref="O1001" si="1184">CHOOSE(case,V1001,AD1001,AL1001)</f>
        <v>-5.0000000000000001E-3</v>
      </c>
      <c r="P1001" s="79">
        <f t="shared" ref="P1001" si="1185">CHOOSE(case,W1001,AE1001,AM1001)</f>
        <v>-5.0000000000000001E-3</v>
      </c>
      <c r="Q1001" s="79">
        <f t="shared" ref="Q1001" si="1186">CHOOSE(case,X1001,AF1001,AN1001)</f>
        <v>-5.0000000000000001E-3</v>
      </c>
      <c r="R1001" s="79">
        <f t="shared" ref="R1001" si="1187">CHOOSE(case,Y1001,AG1001,AO1001)</f>
        <v>-5.0000000000000001E-3</v>
      </c>
      <c r="S1001" s="856">
        <f t="shared" ref="S1001" si="1188">CHOOSE(case,Z1001,AH1001,AP1001)</f>
        <v>-5.0000000000000001E-3</v>
      </c>
      <c r="T1001" s="726"/>
      <c r="U1001" s="1526"/>
      <c r="V1001" s="1526"/>
      <c r="W1001" s="1526"/>
      <c r="X1001" s="1526"/>
      <c r="Y1001" s="1526"/>
      <c r="Z1001" s="1526"/>
      <c r="AA1001" s="1523"/>
      <c r="AC1001" s="471">
        <v>-5.0000000000000001E-3</v>
      </c>
      <c r="AD1001" s="471">
        <f>AC1001</f>
        <v>-5.0000000000000001E-3</v>
      </c>
      <c r="AE1001" s="471">
        <f t="shared" si="1169"/>
        <v>-5.0000000000000001E-3</v>
      </c>
      <c r="AF1001" s="471">
        <f t="shared" si="1169"/>
        <v>-5.0000000000000001E-3</v>
      </c>
      <c r="AG1001" s="471">
        <f t="shared" si="1169"/>
        <v>-5.0000000000000001E-3</v>
      </c>
      <c r="AH1001" s="471">
        <f t="shared" si="1169"/>
        <v>-5.0000000000000001E-3</v>
      </c>
      <c r="AI1001" s="22"/>
      <c r="AK1001" s="1526"/>
      <c r="AL1001" s="1526"/>
      <c r="AM1001" s="1526"/>
      <c r="AN1001" s="1526"/>
      <c r="AO1001" s="1526"/>
      <c r="AP1001" s="1526"/>
      <c r="AQ1001" s="1523"/>
    </row>
    <row r="1002" spans="1:43">
      <c r="D1002" s="31" t="s">
        <v>857</v>
      </c>
      <c r="H1002" s="394">
        <v>-6114.5662400000001</v>
      </c>
      <c r="I1002" s="394">
        <v>-3107.5253000000007</v>
      </c>
      <c r="J1002" s="394">
        <v>-3622.4785400000005</v>
      </c>
      <c r="K1002" s="394"/>
      <c r="L1002" s="394">
        <v>-6620.0767900000001</v>
      </c>
      <c r="M1002" s="394">
        <v>-2279.1519666039994</v>
      </c>
      <c r="N1002" s="20">
        <f>N1003*N$14</f>
        <v>-5034.6818245357599</v>
      </c>
      <c r="O1002" s="20">
        <f t="shared" ref="O1002:S1002" si="1189">O1003*O$14</f>
        <v>-5759.5947190268071</v>
      </c>
      <c r="P1002" s="20">
        <f t="shared" si="1189"/>
        <v>-6590.3735273833281</v>
      </c>
      <c r="Q1002" s="20">
        <f t="shared" si="1189"/>
        <v>-7502.0713354567952</v>
      </c>
      <c r="R1002" s="20">
        <f t="shared" si="1189"/>
        <v>-8505.0603574791403</v>
      </c>
      <c r="S1002" s="32">
        <f t="shared" si="1189"/>
        <v>-9546.0443799919285</v>
      </c>
      <c r="T1002" s="726"/>
      <c r="U1002" s="1526"/>
      <c r="V1002" s="1526"/>
      <c r="W1002" s="1526"/>
      <c r="X1002" s="1526"/>
      <c r="Y1002" s="1526"/>
      <c r="Z1002" s="1526"/>
      <c r="AC1002" s="416"/>
      <c r="AD1002" s="65"/>
      <c r="AE1002" s="65"/>
      <c r="AF1002" s="65"/>
      <c r="AG1002" s="65"/>
      <c r="AH1002" s="65"/>
      <c r="AK1002" s="1526"/>
      <c r="AL1002" s="1526"/>
      <c r="AM1002" s="1526"/>
      <c r="AN1002" s="1526"/>
      <c r="AO1002" s="1526"/>
      <c r="AP1002" s="1526"/>
    </row>
    <row r="1003" spans="1:43" s="1365" customFormat="1">
      <c r="A1003" s="22"/>
      <c r="B1003" s="22"/>
      <c r="C1003" s="22"/>
      <c r="D1003" s="715"/>
      <c r="E1003" s="22" t="s">
        <v>130</v>
      </c>
      <c r="F1003" s="22"/>
      <c r="G1003" s="22"/>
      <c r="H1003" s="855">
        <f>H1002/H$14</f>
        <v>-4.2252179237674018E-3</v>
      </c>
      <c r="I1003" s="855">
        <f t="shared" ref="I1003:J1003" si="1190">I1002/I$14</f>
        <v>-1.8707214061017255E-3</v>
      </c>
      <c r="J1003" s="855">
        <f t="shared" si="1190"/>
        <v>-2.00972780429594E-3</v>
      </c>
      <c r="K1003" s="855"/>
      <c r="L1003" s="855">
        <f t="shared" ref="L1003:M1003" si="1191">L1002/L$14</f>
        <v>-2.7252867807103271E-3</v>
      </c>
      <c r="M1003" s="855">
        <f t="shared" si="1191"/>
        <v>-1.586790643065101E-3</v>
      </c>
      <c r="N1003" s="79">
        <f t="shared" ref="N1003" si="1192">CHOOSE(case,U1003,AC1003,AK1003)</f>
        <v>-2E-3</v>
      </c>
      <c r="O1003" s="79">
        <f t="shared" ref="O1003" si="1193">CHOOSE(case,V1003,AD1003,AL1003)</f>
        <v>-2E-3</v>
      </c>
      <c r="P1003" s="79">
        <f t="shared" ref="P1003" si="1194">CHOOSE(case,W1003,AE1003,AM1003)</f>
        <v>-2E-3</v>
      </c>
      <c r="Q1003" s="79">
        <f t="shared" ref="Q1003" si="1195">CHOOSE(case,X1003,AF1003,AN1003)</f>
        <v>-2E-3</v>
      </c>
      <c r="R1003" s="79">
        <f t="shared" ref="R1003" si="1196">CHOOSE(case,Y1003,AG1003,AO1003)</f>
        <v>-2E-3</v>
      </c>
      <c r="S1003" s="856">
        <f t="shared" ref="S1003" si="1197">CHOOSE(case,Z1003,AH1003,AP1003)</f>
        <v>-2E-3</v>
      </c>
      <c r="T1003" s="726"/>
      <c r="U1003" s="1526"/>
      <c r="V1003" s="1526"/>
      <c r="W1003" s="1526"/>
      <c r="X1003" s="1526"/>
      <c r="Y1003" s="1526"/>
      <c r="Z1003" s="1526"/>
      <c r="AA1003" s="1523"/>
      <c r="AC1003" s="471">
        <v>-2E-3</v>
      </c>
      <c r="AD1003" s="471">
        <f>AC1003</f>
        <v>-2E-3</v>
      </c>
      <c r="AE1003" s="471">
        <f t="shared" ref="AE1003:AH1003" si="1198">AD1003</f>
        <v>-2E-3</v>
      </c>
      <c r="AF1003" s="471">
        <f t="shared" si="1198"/>
        <v>-2E-3</v>
      </c>
      <c r="AG1003" s="471">
        <f t="shared" si="1198"/>
        <v>-2E-3</v>
      </c>
      <c r="AH1003" s="471">
        <f t="shared" si="1198"/>
        <v>-2E-3</v>
      </c>
      <c r="AI1003" s="22"/>
      <c r="AK1003" s="1526"/>
      <c r="AL1003" s="1526"/>
      <c r="AM1003" s="1526"/>
      <c r="AN1003" s="1526"/>
      <c r="AO1003" s="1526"/>
      <c r="AP1003" s="1526"/>
      <c r="AQ1003" s="1523"/>
    </row>
    <row r="1004" spans="1:43">
      <c r="D1004" s="31" t="s">
        <v>858</v>
      </c>
      <c r="H1004" s="394">
        <v>-3315.9122899999998</v>
      </c>
      <c r="I1004" s="394">
        <v>-2798.3952799999997</v>
      </c>
      <c r="J1004" s="394">
        <v>-4598.7455</v>
      </c>
      <c r="K1004" s="394"/>
      <c r="L1004" s="394">
        <v>-4854.9678199999998</v>
      </c>
      <c r="M1004" s="394">
        <v>-2607.9202300000002</v>
      </c>
      <c r="N1004" s="20">
        <f>N1005*N$14</f>
        <v>-5034.6818245357599</v>
      </c>
      <c r="O1004" s="20">
        <f t="shared" ref="O1004:S1004" si="1199">O1005*O$14</f>
        <v>-5759.5947190268071</v>
      </c>
      <c r="P1004" s="20">
        <f t="shared" si="1199"/>
        <v>-6590.3735273833281</v>
      </c>
      <c r="Q1004" s="20">
        <f t="shared" si="1199"/>
        <v>-7502.0713354567952</v>
      </c>
      <c r="R1004" s="20">
        <f t="shared" si="1199"/>
        <v>-8505.0603574791403</v>
      </c>
      <c r="S1004" s="32">
        <f t="shared" si="1199"/>
        <v>-9546.0443799919285</v>
      </c>
      <c r="T1004" s="726"/>
      <c r="U1004" s="1526"/>
      <c r="V1004" s="1526"/>
      <c r="W1004" s="1526"/>
      <c r="X1004" s="1526"/>
      <c r="Y1004" s="1526"/>
      <c r="Z1004" s="1526"/>
      <c r="AC1004" s="416"/>
      <c r="AD1004" s="65"/>
      <c r="AE1004" s="65"/>
      <c r="AF1004" s="65"/>
      <c r="AG1004" s="65"/>
      <c r="AH1004" s="65"/>
      <c r="AK1004" s="1526"/>
      <c r="AL1004" s="1526"/>
      <c r="AM1004" s="1526"/>
      <c r="AN1004" s="1526"/>
      <c r="AO1004" s="1526"/>
      <c r="AP1004" s="1526"/>
    </row>
    <row r="1005" spans="1:43" s="1365" customFormat="1">
      <c r="A1005" s="22"/>
      <c r="B1005" s="22"/>
      <c r="C1005" s="22"/>
      <c r="D1005" s="715"/>
      <c r="E1005" s="22" t="s">
        <v>130</v>
      </c>
      <c r="F1005" s="22"/>
      <c r="G1005" s="22"/>
      <c r="H1005" s="855">
        <f>H1004/H$14</f>
        <v>-2.2913239453839999E-3</v>
      </c>
      <c r="I1005" s="855">
        <f t="shared" ref="I1005:J1005" si="1200">I1004/I$14</f>
        <v>-1.68462601190408E-3</v>
      </c>
      <c r="J1005" s="855">
        <f t="shared" si="1200"/>
        <v>-2.5513544370730301E-3</v>
      </c>
      <c r="K1005" s="855"/>
      <c r="L1005" s="855">
        <f t="shared" ref="L1005:M1005" si="1201">L1004/L$14</f>
        <v>-1.9986444327362604E-3</v>
      </c>
      <c r="M1005" s="855">
        <f t="shared" si="1201"/>
        <v>-1.8156856056378969E-3</v>
      </c>
      <c r="N1005" s="79">
        <f t="shared" ref="N1005" si="1202">CHOOSE(case,U1005,AC1005,AK1005)</f>
        <v>-2E-3</v>
      </c>
      <c r="O1005" s="79">
        <f t="shared" ref="O1005" si="1203">CHOOSE(case,V1005,AD1005,AL1005)</f>
        <v>-2E-3</v>
      </c>
      <c r="P1005" s="79">
        <f t="shared" ref="P1005" si="1204">CHOOSE(case,W1005,AE1005,AM1005)</f>
        <v>-2E-3</v>
      </c>
      <c r="Q1005" s="79">
        <f t="shared" ref="Q1005" si="1205">CHOOSE(case,X1005,AF1005,AN1005)</f>
        <v>-2E-3</v>
      </c>
      <c r="R1005" s="79">
        <f t="shared" ref="R1005" si="1206">CHOOSE(case,Y1005,AG1005,AO1005)</f>
        <v>-2E-3</v>
      </c>
      <c r="S1005" s="856">
        <f t="shared" ref="S1005" si="1207">CHOOSE(case,Z1005,AH1005,AP1005)</f>
        <v>-2E-3</v>
      </c>
      <c r="T1005" s="726"/>
      <c r="U1005" s="1526"/>
      <c r="V1005" s="1526"/>
      <c r="W1005" s="1526"/>
      <c r="X1005" s="1526"/>
      <c r="Y1005" s="1526"/>
      <c r="Z1005" s="1526"/>
      <c r="AA1005" s="1523"/>
      <c r="AC1005" s="471">
        <v>-2E-3</v>
      </c>
      <c r="AD1005" s="471">
        <f>AC1005</f>
        <v>-2E-3</v>
      </c>
      <c r="AE1005" s="471">
        <f t="shared" si="1169"/>
        <v>-2E-3</v>
      </c>
      <c r="AF1005" s="471">
        <f t="shared" si="1169"/>
        <v>-2E-3</v>
      </c>
      <c r="AG1005" s="471">
        <f t="shared" si="1169"/>
        <v>-2E-3</v>
      </c>
      <c r="AH1005" s="471">
        <f t="shared" si="1169"/>
        <v>-2E-3</v>
      </c>
      <c r="AI1005" s="22"/>
      <c r="AK1005" s="1526"/>
      <c r="AL1005" s="1526"/>
      <c r="AM1005" s="1526"/>
      <c r="AN1005" s="1526"/>
      <c r="AO1005" s="1526"/>
      <c r="AP1005" s="1526"/>
      <c r="AQ1005" s="1523"/>
    </row>
    <row r="1006" spans="1:43">
      <c r="D1006" s="31" t="s">
        <v>167</v>
      </c>
      <c r="H1006" s="20">
        <f>H994-SUM(H996,H998,H1000,H1002,H1004)</f>
        <v>-24046.134650000022</v>
      </c>
      <c r="I1006" s="20">
        <f t="shared" ref="I1006:M1006" si="1208">I994-SUM(I996,I998,I1000,I1002,I1004)</f>
        <v>-21011.475970000014</v>
      </c>
      <c r="J1006" s="20">
        <f t="shared" si="1208"/>
        <v>-19863.661789999984</v>
      </c>
      <c r="K1006" s="20"/>
      <c r="L1006" s="20">
        <f t="shared" si="1208"/>
        <v>-17761.389549999949</v>
      </c>
      <c r="M1006" s="20">
        <f t="shared" si="1208"/>
        <v>-22365.473587462999</v>
      </c>
      <c r="N1006" s="20">
        <f>N1007*N$14</f>
        <v>-30208.090947214561</v>
      </c>
      <c r="O1006" s="20">
        <f t="shared" ref="O1006:S1006" si="1209">O1007*O$14</f>
        <v>-34557.568314160839</v>
      </c>
      <c r="P1006" s="20">
        <f t="shared" si="1209"/>
        <v>-39542.241164299972</v>
      </c>
      <c r="Q1006" s="20">
        <f t="shared" si="1209"/>
        <v>-45012.428012740769</v>
      </c>
      <c r="R1006" s="20">
        <f t="shared" si="1209"/>
        <v>-51030.362144874845</v>
      </c>
      <c r="S1006" s="32">
        <f t="shared" si="1209"/>
        <v>-57276.266279951567</v>
      </c>
      <c r="T1006" s="726"/>
      <c r="U1006" s="1526"/>
      <c r="V1006" s="1526"/>
      <c r="W1006" s="1526"/>
      <c r="X1006" s="1526"/>
      <c r="Y1006" s="1526"/>
      <c r="Z1006" s="1526"/>
      <c r="AC1006" s="416"/>
      <c r="AD1006" s="65"/>
      <c r="AE1006" s="65"/>
      <c r="AF1006" s="65"/>
      <c r="AG1006" s="65"/>
      <c r="AH1006" s="65"/>
      <c r="AK1006" s="1526"/>
      <c r="AL1006" s="1526"/>
      <c r="AM1006" s="1526"/>
      <c r="AN1006" s="1526"/>
      <c r="AO1006" s="1526"/>
      <c r="AP1006" s="1526"/>
    </row>
    <row r="1007" spans="1:43">
      <c r="D1007" s="719"/>
      <c r="E1007" s="720" t="s">
        <v>130</v>
      </c>
      <c r="F1007" s="34"/>
      <c r="G1007" s="34"/>
      <c r="H1007" s="857">
        <f>H1006/H$14</f>
        <v>-1.6616086102046131E-2</v>
      </c>
      <c r="I1007" s="857">
        <f t="shared" ref="I1007:J1007" si="1210">I1006/I$14</f>
        <v>-1.2648848867254928E-2</v>
      </c>
      <c r="J1007" s="857">
        <f t="shared" si="1210"/>
        <v>-1.1020231853324883E-2</v>
      </c>
      <c r="K1007" s="857"/>
      <c r="L1007" s="857">
        <f t="shared" ref="L1007:M1007" si="1211">L1006/L$14</f>
        <v>-7.3118306151342101E-3</v>
      </c>
      <c r="M1007" s="857">
        <f t="shared" si="1211"/>
        <v>-1.5571284730603565E-2</v>
      </c>
      <c r="N1007" s="858">
        <f t="shared" ref="N1007" si="1212">CHOOSE(case,U1007,AC1007,AK1007)</f>
        <v>-1.2E-2</v>
      </c>
      <c r="O1007" s="858">
        <f t="shared" ref="O1007" si="1213">CHOOSE(case,V1007,AD1007,AL1007)</f>
        <v>-1.2E-2</v>
      </c>
      <c r="P1007" s="858">
        <f t="shared" ref="P1007" si="1214">CHOOSE(case,W1007,AE1007,AM1007)</f>
        <v>-1.2E-2</v>
      </c>
      <c r="Q1007" s="858">
        <f t="shared" ref="Q1007" si="1215">CHOOSE(case,X1007,AF1007,AN1007)</f>
        <v>-1.2E-2</v>
      </c>
      <c r="R1007" s="858">
        <f t="shared" ref="R1007" si="1216">CHOOSE(case,Y1007,AG1007,AO1007)</f>
        <v>-1.2E-2</v>
      </c>
      <c r="S1007" s="859">
        <f t="shared" ref="S1007" si="1217">CHOOSE(case,Z1007,AH1007,AP1007)</f>
        <v>-1.2E-2</v>
      </c>
      <c r="T1007" s="726"/>
      <c r="U1007" s="1526"/>
      <c r="V1007" s="1526"/>
      <c r="W1007" s="1526"/>
      <c r="X1007" s="1526"/>
      <c r="Y1007" s="1526"/>
      <c r="Z1007" s="1526"/>
      <c r="AC1007" s="471">
        <v>-1.2E-2</v>
      </c>
      <c r="AD1007" s="471">
        <v>-1.2E-2</v>
      </c>
      <c r="AE1007" s="471">
        <v>-1.2E-2</v>
      </c>
      <c r="AF1007" s="471">
        <v>-1.2E-2</v>
      </c>
      <c r="AG1007" s="471">
        <v>-1.2E-2</v>
      </c>
      <c r="AH1007" s="471">
        <v>-1.2E-2</v>
      </c>
      <c r="AK1007" s="1526"/>
      <c r="AL1007" s="1526"/>
      <c r="AM1007" s="1526"/>
      <c r="AN1007" s="1526"/>
      <c r="AO1007" s="1526"/>
      <c r="AP1007" s="1526"/>
    </row>
    <row r="1008" spans="1:43" s="1126" customFormat="1">
      <c r="A1008" s="18"/>
      <c r="B1008" s="18"/>
      <c r="C1008" s="18" t="s">
        <v>66</v>
      </c>
      <c r="D1008" s="18"/>
      <c r="E1008" s="18"/>
      <c r="F1008" s="18"/>
      <c r="G1008" s="18"/>
      <c r="H1008" s="405">
        <v>-158682</v>
      </c>
      <c r="I1008" s="405">
        <v>-154028</v>
      </c>
      <c r="J1008" s="405">
        <v>-166703</v>
      </c>
      <c r="K1008" s="405">
        <v>-151997</v>
      </c>
      <c r="L1008" s="405">
        <v>-197071.47352</v>
      </c>
      <c r="M1008" s="405">
        <v>-118935</v>
      </c>
      <c r="N1008" s="23">
        <f>N1010+N1012+N1014+N1016+N1018</f>
        <v>-204976.75528741264</v>
      </c>
      <c r="O1008" s="23">
        <f t="shared" ref="O1008:S1008" si="1218">O1010+O1012+O1014+O1016+O1018</f>
        <v>-232186.26067695778</v>
      </c>
      <c r="P1008" s="23">
        <f t="shared" si="1218"/>
        <v>-263041.25680177106</v>
      </c>
      <c r="Q1008" s="23">
        <f t="shared" si="1218"/>
        <v>-296428.97836457827</v>
      </c>
      <c r="R1008" s="23">
        <f t="shared" si="1218"/>
        <v>-332658.01047451515</v>
      </c>
      <c r="S1008" s="23">
        <f t="shared" si="1218"/>
        <v>-369555.54996558977</v>
      </c>
      <c r="T1008" s="408"/>
      <c r="U1008" s="1518"/>
      <c r="V1008" s="1518"/>
      <c r="W1008" s="1518"/>
      <c r="X1008" s="1518"/>
      <c r="Y1008" s="1518"/>
      <c r="Z1008" s="1518"/>
      <c r="AA1008" s="1518"/>
      <c r="AC1008" s="18"/>
      <c r="AD1008" s="18"/>
      <c r="AE1008" s="18"/>
      <c r="AF1008" s="18"/>
      <c r="AG1008" s="18"/>
      <c r="AH1008" s="18"/>
      <c r="AI1008" s="18"/>
      <c r="AK1008" s="1518"/>
      <c r="AL1008" s="1518"/>
      <c r="AM1008" s="1518"/>
      <c r="AN1008" s="1518"/>
      <c r="AO1008" s="1518"/>
      <c r="AP1008" s="1518"/>
      <c r="AQ1008" s="1518"/>
    </row>
    <row r="1009" spans="1:43">
      <c r="D1009" s="22" t="s">
        <v>130</v>
      </c>
      <c r="H1009" s="56">
        <f>H1008/H$14</f>
        <v>-0.10965062839506648</v>
      </c>
      <c r="I1009" s="56">
        <f t="shared" ref="I1009:S1009" si="1219">I1008/I$14</f>
        <v>-9.2724418603779835E-2</v>
      </c>
      <c r="J1009" s="56">
        <f t="shared" si="1219"/>
        <v>-9.2485752630447879E-2</v>
      </c>
      <c r="K1009" s="56">
        <f t="shared" si="1219"/>
        <v>-7.6182423415731435E-2</v>
      </c>
      <c r="L1009" s="56">
        <f t="shared" si="1219"/>
        <v>-8.1128406614624976E-2</v>
      </c>
      <c r="M1009" s="56">
        <f t="shared" si="1219"/>
        <v>-8.2804897566419525E-2</v>
      </c>
      <c r="N1009" s="56">
        <f t="shared" si="1219"/>
        <v>-8.1425902343416998E-2</v>
      </c>
      <c r="O1009" s="56">
        <f t="shared" si="1219"/>
        <v>-8.0625902343416989E-2</v>
      </c>
      <c r="P1009" s="56">
        <f t="shared" si="1219"/>
        <v>-7.9825902343416993E-2</v>
      </c>
      <c r="Q1009" s="56">
        <f t="shared" si="1219"/>
        <v>-7.9025902343416984E-2</v>
      </c>
      <c r="R1009" s="56">
        <f t="shared" si="1219"/>
        <v>-7.8225902343416975E-2</v>
      </c>
      <c r="S1009" s="56">
        <f t="shared" si="1219"/>
        <v>-7.742590234341698E-2</v>
      </c>
      <c r="T1009" s="726"/>
      <c r="U1009" s="1526">
        <f>AC1009+0.3%</f>
        <v>3.0000000000000001E-3</v>
      </c>
      <c r="V1009" s="1526">
        <f t="shared" ref="V1009:Z1009" si="1220">AD1009+0.3%</f>
        <v>3.0000000000000001E-3</v>
      </c>
      <c r="W1009" s="1526">
        <f t="shared" si="1220"/>
        <v>3.0000000000000001E-3</v>
      </c>
      <c r="X1009" s="1526">
        <f t="shared" si="1220"/>
        <v>3.0000000000000001E-3</v>
      </c>
      <c r="Y1009" s="1526">
        <f t="shared" si="1220"/>
        <v>3.0000000000000001E-3</v>
      </c>
      <c r="Z1009" s="1526">
        <f t="shared" si="1220"/>
        <v>3.0000000000000001E-3</v>
      </c>
      <c r="AC1009" s="416"/>
      <c r="AD1009" s="416"/>
      <c r="AE1009" s="416"/>
      <c r="AF1009" s="416"/>
      <c r="AG1009" s="416"/>
      <c r="AH1009" s="416"/>
      <c r="AK1009" s="1526">
        <v>-7.5999999999999998E-2</v>
      </c>
      <c r="AL1009" s="1526">
        <f t="shared" ref="AL1009:AP1009" si="1221">AK1009</f>
        <v>-7.5999999999999998E-2</v>
      </c>
      <c r="AM1009" s="1526">
        <f t="shared" si="1221"/>
        <v>-7.5999999999999998E-2</v>
      </c>
      <c r="AN1009" s="1526">
        <f t="shared" si="1221"/>
        <v>-7.5999999999999998E-2</v>
      </c>
      <c r="AO1009" s="1526">
        <f t="shared" si="1221"/>
        <v>-7.5999999999999998E-2</v>
      </c>
      <c r="AP1009" s="1526">
        <f t="shared" si="1221"/>
        <v>-7.5999999999999998E-2</v>
      </c>
    </row>
    <row r="1010" spans="1:43">
      <c r="D1010" s="27" t="s">
        <v>854</v>
      </c>
      <c r="E1010" s="28"/>
      <c r="F1010" s="28"/>
      <c r="G1010" s="28"/>
      <c r="H1010" s="419">
        <v>-83999.547459999987</v>
      </c>
      <c r="I1010" s="419">
        <v>-84977.41694000001</v>
      </c>
      <c r="J1010" s="419">
        <v>-94762.930279999986</v>
      </c>
      <c r="K1010" s="419"/>
      <c r="L1010" s="419">
        <v>-113192.74967999999</v>
      </c>
      <c r="M1010" s="419">
        <v>-68362.82187</v>
      </c>
      <c r="N1010" s="29">
        <f>N1011*N$14</f>
        <v>-119814.21939498553</v>
      </c>
      <c r="O1010" s="29">
        <f t="shared" ref="O1010:S1010" si="1222">O1011*O$14</f>
        <v>-134761.69462105166</v>
      </c>
      <c r="P1010" s="29">
        <f t="shared" si="1222"/>
        <v>-151563.91987551228</v>
      </c>
      <c r="Q1010" s="29">
        <f t="shared" si="1222"/>
        <v>-169530.11133790188</v>
      </c>
      <c r="R1010" s="29">
        <f t="shared" si="1222"/>
        <v>-188793.40627425592</v>
      </c>
      <c r="S1010" s="30">
        <f t="shared" si="1222"/>
        <v>-208082.51642056988</v>
      </c>
      <c r="T1010" s="726"/>
      <c r="U1010" s="1526"/>
      <c r="V1010" s="1526"/>
      <c r="W1010" s="1526"/>
      <c r="X1010" s="1526"/>
      <c r="Y1010" s="1526"/>
      <c r="Z1010" s="1526"/>
      <c r="AC1010" s="416"/>
      <c r="AD1010" s="65"/>
      <c r="AE1010" s="65"/>
      <c r="AF1010" s="65"/>
      <c r="AG1010" s="65"/>
      <c r="AH1010" s="65"/>
      <c r="AK1010" s="1526"/>
      <c r="AL1010" s="1526"/>
      <c r="AM1010" s="1526"/>
      <c r="AN1010" s="1526"/>
      <c r="AO1010" s="1526"/>
      <c r="AP1010" s="1526"/>
    </row>
    <row r="1011" spans="1:43" s="1365" customFormat="1">
      <c r="A1011" s="22"/>
      <c r="B1011" s="22"/>
      <c r="C1011" s="22"/>
      <c r="D1011" s="715"/>
      <c r="E1011" s="22" t="s">
        <v>130</v>
      </c>
      <c r="F1011" s="22"/>
      <c r="G1011" s="22"/>
      <c r="H1011" s="855">
        <f>H1010/H$14</f>
        <v>-5.8044410606686386E-2</v>
      </c>
      <c r="I1011" s="855">
        <f t="shared" ref="I1011:J1011" si="1223">I1010/I$14</f>
        <v>-5.1156163685904463E-2</v>
      </c>
      <c r="J1011" s="855">
        <f t="shared" si="1223"/>
        <v>-5.2573864468020717E-2</v>
      </c>
      <c r="K1011" s="855"/>
      <c r="L1011" s="855">
        <f t="shared" ref="L1011:M1011" si="1224">L1010/L$14</f>
        <v>-4.6598055303699447E-2</v>
      </c>
      <c r="M1011" s="855">
        <f t="shared" si="1224"/>
        <v>-4.7595547671389703E-2</v>
      </c>
      <c r="N1011" s="79">
        <f t="shared" ref="N1011" si="1225">CHOOSE(case,U1011,AC1011,AK1011)</f>
        <v>-4.7595547671389703E-2</v>
      </c>
      <c r="O1011" s="79">
        <f t="shared" ref="O1011" si="1226">CHOOSE(case,V1011,AD1011,AL1011)</f>
        <v>-4.6795547671389701E-2</v>
      </c>
      <c r="P1011" s="79">
        <f t="shared" ref="P1011" si="1227">CHOOSE(case,W1011,AE1011,AM1011)</f>
        <v>-4.5995547671389699E-2</v>
      </c>
      <c r="Q1011" s="79">
        <f t="shared" ref="Q1011" si="1228">CHOOSE(case,X1011,AF1011,AN1011)</f>
        <v>-4.5195547671389696E-2</v>
      </c>
      <c r="R1011" s="79">
        <f t="shared" ref="R1011" si="1229">CHOOSE(case,Y1011,AG1011,AO1011)</f>
        <v>-4.4395547671389694E-2</v>
      </c>
      <c r="S1011" s="856">
        <f t="shared" ref="S1011" si="1230">CHOOSE(case,Z1011,AH1011,AP1011)</f>
        <v>-4.3595547671389692E-2</v>
      </c>
      <c r="T1011" s="726"/>
      <c r="U1011" s="1526"/>
      <c r="V1011" s="1526"/>
      <c r="W1011" s="1526"/>
      <c r="X1011" s="1526"/>
      <c r="Y1011" s="1526"/>
      <c r="Z1011" s="1526"/>
      <c r="AA1011" s="1523"/>
      <c r="AC1011" s="471">
        <f>M1011</f>
        <v>-4.7595547671389703E-2</v>
      </c>
      <c r="AD1011" s="471">
        <f>AC1011+0.08%</f>
        <v>-4.6795547671389701E-2</v>
      </c>
      <c r="AE1011" s="471">
        <f t="shared" ref="AE1011:AH1011" si="1231">AD1011+0.08%</f>
        <v>-4.5995547671389699E-2</v>
      </c>
      <c r="AF1011" s="471">
        <f t="shared" si="1231"/>
        <v>-4.5195547671389696E-2</v>
      </c>
      <c r="AG1011" s="471">
        <f t="shared" si="1231"/>
        <v>-4.4395547671389694E-2</v>
      </c>
      <c r="AH1011" s="471">
        <f t="shared" si="1231"/>
        <v>-4.3595547671389692E-2</v>
      </c>
      <c r="AI1011" s="22"/>
      <c r="AK1011" s="1526"/>
      <c r="AL1011" s="1526"/>
      <c r="AM1011" s="1526"/>
      <c r="AN1011" s="1526"/>
      <c r="AO1011" s="1526"/>
      <c r="AP1011" s="1526"/>
      <c r="AQ1011" s="1523"/>
    </row>
    <row r="1012" spans="1:43">
      <c r="D1012" s="31" t="s">
        <v>857</v>
      </c>
      <c r="H1012" s="394">
        <v>-13400.924059999996</v>
      </c>
      <c r="I1012" s="394">
        <v>-7295.0208900000034</v>
      </c>
      <c r="J1012" s="394">
        <v>-7100.9828800000014</v>
      </c>
      <c r="K1012" s="394"/>
      <c r="L1012" s="394">
        <v>-9707.7325400000227</v>
      </c>
      <c r="M1012" s="394">
        <v>-7487.7686565289996</v>
      </c>
      <c r="N1012" s="20">
        <f>N1013*N$14</f>
        <v>-10069.36364907152</v>
      </c>
      <c r="O1012" s="20">
        <f t="shared" ref="O1012:S1012" si="1232">O1013*O$14</f>
        <v>-11519.189438053614</v>
      </c>
      <c r="P1012" s="20">
        <f t="shared" si="1232"/>
        <v>-13180.747054766656</v>
      </c>
      <c r="Q1012" s="20">
        <f t="shared" si="1232"/>
        <v>-15004.14267091359</v>
      </c>
      <c r="R1012" s="20">
        <f t="shared" si="1232"/>
        <v>-17010.120714958281</v>
      </c>
      <c r="S1012" s="32">
        <f t="shared" si="1232"/>
        <v>-19092.088759983857</v>
      </c>
      <c r="T1012" s="726"/>
      <c r="U1012" s="1526"/>
      <c r="V1012" s="1526"/>
      <c r="W1012" s="1526"/>
      <c r="X1012" s="1526"/>
      <c r="Y1012" s="1526"/>
      <c r="Z1012" s="1526"/>
      <c r="AC1012" s="416"/>
      <c r="AD1012" s="65"/>
      <c r="AE1012" s="65"/>
      <c r="AF1012" s="65"/>
      <c r="AG1012" s="65"/>
      <c r="AH1012" s="65"/>
      <c r="AK1012" s="1526"/>
      <c r="AL1012" s="1526"/>
      <c r="AM1012" s="1526"/>
      <c r="AN1012" s="1526"/>
      <c r="AO1012" s="1526"/>
      <c r="AP1012" s="1526"/>
    </row>
    <row r="1013" spans="1:43" s="1365" customFormat="1">
      <c r="A1013" s="22"/>
      <c r="B1013" s="22"/>
      <c r="C1013" s="22"/>
      <c r="D1013" s="715"/>
      <c r="E1013" s="22" t="s">
        <v>130</v>
      </c>
      <c r="F1013" s="22"/>
      <c r="G1013" s="22"/>
      <c r="H1013" s="855">
        <f>H1012/H$14</f>
        <v>-9.2601539194966352E-3</v>
      </c>
      <c r="I1013" s="855">
        <f t="shared" ref="I1013:J1013" si="1233">I1012/I$14</f>
        <v>-4.391581859971426E-3</v>
      </c>
      <c r="J1013" s="855">
        <f t="shared" si="1233"/>
        <v>-3.939579648073073E-3</v>
      </c>
      <c r="K1013" s="855"/>
      <c r="L1013" s="855">
        <f t="shared" ref="L1013:M1013" si="1234">L1012/L$14</f>
        <v>-3.996381915372548E-3</v>
      </c>
      <c r="M1013" s="855">
        <f t="shared" si="1234"/>
        <v>-5.213132522848031E-3</v>
      </c>
      <c r="N1013" s="79">
        <f t="shared" ref="N1013" si="1235">CHOOSE(case,U1013,AC1013,AK1013)</f>
        <v>-4.0000000000000001E-3</v>
      </c>
      <c r="O1013" s="79">
        <f t="shared" ref="O1013" si="1236">CHOOSE(case,V1013,AD1013,AL1013)</f>
        <v>-4.0000000000000001E-3</v>
      </c>
      <c r="P1013" s="79">
        <f t="shared" ref="P1013" si="1237">CHOOSE(case,W1013,AE1013,AM1013)</f>
        <v>-4.0000000000000001E-3</v>
      </c>
      <c r="Q1013" s="79">
        <f t="shared" ref="Q1013" si="1238">CHOOSE(case,X1013,AF1013,AN1013)</f>
        <v>-4.0000000000000001E-3</v>
      </c>
      <c r="R1013" s="79">
        <f t="shared" ref="R1013" si="1239">CHOOSE(case,Y1013,AG1013,AO1013)</f>
        <v>-4.0000000000000001E-3</v>
      </c>
      <c r="S1013" s="856">
        <f t="shared" ref="S1013" si="1240">CHOOSE(case,Z1013,AH1013,AP1013)</f>
        <v>-4.0000000000000001E-3</v>
      </c>
      <c r="T1013" s="726"/>
      <c r="U1013" s="1526"/>
      <c r="V1013" s="1526"/>
      <c r="W1013" s="1526"/>
      <c r="X1013" s="1526"/>
      <c r="Y1013" s="1526"/>
      <c r="Z1013" s="1526"/>
      <c r="AA1013" s="1523"/>
      <c r="AC1013" s="471">
        <v>-4.0000000000000001E-3</v>
      </c>
      <c r="AD1013" s="471">
        <f>AC1013</f>
        <v>-4.0000000000000001E-3</v>
      </c>
      <c r="AE1013" s="471">
        <f t="shared" ref="AE1013:AH1013" si="1241">AD1013</f>
        <v>-4.0000000000000001E-3</v>
      </c>
      <c r="AF1013" s="471">
        <f t="shared" si="1241"/>
        <v>-4.0000000000000001E-3</v>
      </c>
      <c r="AG1013" s="471">
        <f t="shared" si="1241"/>
        <v>-4.0000000000000001E-3</v>
      </c>
      <c r="AH1013" s="471">
        <f t="shared" si="1241"/>
        <v>-4.0000000000000001E-3</v>
      </c>
      <c r="AI1013" s="22"/>
      <c r="AK1013" s="1526"/>
      <c r="AL1013" s="1526"/>
      <c r="AM1013" s="1526"/>
      <c r="AN1013" s="1526"/>
      <c r="AO1013" s="1526"/>
      <c r="AP1013" s="1526"/>
      <c r="AQ1013" s="1523"/>
    </row>
    <row r="1014" spans="1:43">
      <c r="D1014" s="31" t="s">
        <v>859</v>
      </c>
      <c r="H1014" s="394">
        <v>-30493.955405333283</v>
      </c>
      <c r="I1014" s="394">
        <v>-26847.066339999998</v>
      </c>
      <c r="J1014" s="394">
        <v>-31135.67167</v>
      </c>
      <c r="K1014" s="394"/>
      <c r="L1014" s="394">
        <v>-27772.249650000005</v>
      </c>
      <c r="M1014" s="394">
        <v>-17035.993513005997</v>
      </c>
      <c r="N1014" s="20">
        <f>N1015*N$14</f>
        <v>-30208.090947214561</v>
      </c>
      <c r="O1014" s="20">
        <f t="shared" ref="O1014:S1014" si="1242">O1015*O$14</f>
        <v>-34557.568314160839</v>
      </c>
      <c r="P1014" s="20">
        <f t="shared" si="1242"/>
        <v>-39542.241164299972</v>
      </c>
      <c r="Q1014" s="20">
        <f t="shared" si="1242"/>
        <v>-45012.428012740769</v>
      </c>
      <c r="R1014" s="20">
        <f t="shared" si="1242"/>
        <v>-51030.362144874845</v>
      </c>
      <c r="S1014" s="32">
        <f t="shared" si="1242"/>
        <v>-57276.266279951567</v>
      </c>
      <c r="T1014" s="726"/>
      <c r="U1014" s="1526"/>
      <c r="V1014" s="1526"/>
      <c r="W1014" s="1526"/>
      <c r="X1014" s="1526"/>
      <c r="Y1014" s="1526"/>
      <c r="Z1014" s="1526"/>
      <c r="AC1014" s="416"/>
      <c r="AD1014" s="65"/>
      <c r="AE1014" s="65"/>
      <c r="AF1014" s="65"/>
      <c r="AG1014" s="65"/>
      <c r="AH1014" s="65"/>
      <c r="AK1014" s="1526"/>
      <c r="AL1014" s="1526"/>
      <c r="AM1014" s="1526"/>
      <c r="AN1014" s="1526"/>
      <c r="AO1014" s="1526"/>
      <c r="AP1014" s="1526"/>
    </row>
    <row r="1015" spans="1:43" s="1365" customFormat="1">
      <c r="A1015" s="22"/>
      <c r="B1015" s="22"/>
      <c r="C1015" s="22"/>
      <c r="D1015" s="715"/>
      <c r="E1015" s="22" t="s">
        <v>130</v>
      </c>
      <c r="F1015" s="22"/>
      <c r="G1015" s="22"/>
      <c r="H1015" s="855">
        <f>H1014/H$14</f>
        <v>-2.1071585765530611E-2</v>
      </c>
      <c r="I1015" s="855">
        <f t="shared" ref="I1015:J1015" si="1243">I1014/I$14</f>
        <v>-1.6161857698558751E-2</v>
      </c>
      <c r="J1015" s="855">
        <f t="shared" si="1243"/>
        <v>-1.7273870464565508E-2</v>
      </c>
      <c r="K1015" s="855"/>
      <c r="L1015" s="855">
        <f t="shared" ref="L1015:M1015" si="1244">L1014/L$14</f>
        <v>-1.143300104253504E-2</v>
      </c>
      <c r="M1015" s="855">
        <f t="shared" si="1244"/>
        <v>-1.1860795373831497E-2</v>
      </c>
      <c r="N1015" s="79">
        <f t="shared" ref="N1015" si="1245">CHOOSE(case,U1015,AC1015,AK1015)</f>
        <v>-1.2E-2</v>
      </c>
      <c r="O1015" s="79">
        <f t="shared" ref="O1015" si="1246">CHOOSE(case,V1015,AD1015,AL1015)</f>
        <v>-1.2E-2</v>
      </c>
      <c r="P1015" s="79">
        <f t="shared" ref="P1015" si="1247">CHOOSE(case,W1015,AE1015,AM1015)</f>
        <v>-1.2E-2</v>
      </c>
      <c r="Q1015" s="79">
        <f t="shared" ref="Q1015" si="1248">CHOOSE(case,X1015,AF1015,AN1015)</f>
        <v>-1.2E-2</v>
      </c>
      <c r="R1015" s="79">
        <f t="shared" ref="R1015" si="1249">CHOOSE(case,Y1015,AG1015,AO1015)</f>
        <v>-1.2E-2</v>
      </c>
      <c r="S1015" s="856">
        <f t="shared" ref="S1015" si="1250">CHOOSE(case,Z1015,AH1015,AP1015)</f>
        <v>-1.2E-2</v>
      </c>
      <c r="T1015" s="726"/>
      <c r="U1015" s="1526"/>
      <c r="V1015" s="1526"/>
      <c r="W1015" s="1526"/>
      <c r="X1015" s="1526"/>
      <c r="Y1015" s="1526"/>
      <c r="Z1015" s="1526"/>
      <c r="AA1015" s="1523"/>
      <c r="AC1015" s="471">
        <v>-1.2E-2</v>
      </c>
      <c r="AD1015" s="471">
        <f>AC1015</f>
        <v>-1.2E-2</v>
      </c>
      <c r="AE1015" s="471">
        <f t="shared" ref="AE1015:AH1015" si="1251">AD1015</f>
        <v>-1.2E-2</v>
      </c>
      <c r="AF1015" s="471">
        <f t="shared" si="1251"/>
        <v>-1.2E-2</v>
      </c>
      <c r="AG1015" s="471">
        <f t="shared" si="1251"/>
        <v>-1.2E-2</v>
      </c>
      <c r="AH1015" s="471">
        <f t="shared" si="1251"/>
        <v>-1.2E-2</v>
      </c>
      <c r="AI1015" s="22"/>
      <c r="AK1015" s="1526"/>
      <c r="AL1015" s="1526"/>
      <c r="AM1015" s="1526"/>
      <c r="AN1015" s="1526"/>
      <c r="AO1015" s="1526"/>
      <c r="AP1015" s="1526"/>
      <c r="AQ1015" s="1523"/>
    </row>
    <row r="1016" spans="1:43">
      <c r="D1016" s="31" t="s">
        <v>858</v>
      </c>
      <c r="H1016" s="394">
        <v>-6692.3572300000005</v>
      </c>
      <c r="I1016" s="394">
        <v>-3838.0053100000005</v>
      </c>
      <c r="J1016" s="394">
        <v>-5103.8853399999953</v>
      </c>
      <c r="K1016" s="394"/>
      <c r="L1016" s="394">
        <v>-5871.0876699999963</v>
      </c>
      <c r="M1016" s="394">
        <v>-3310.8329400000002</v>
      </c>
      <c r="N1016" s="20">
        <f>N1017*N$14</f>
        <v>-5034.6818245357599</v>
      </c>
      <c r="O1016" s="20">
        <f t="shared" ref="O1016:S1016" si="1252">O1017*O$14</f>
        <v>-5759.5947190268071</v>
      </c>
      <c r="P1016" s="20">
        <f t="shared" si="1252"/>
        <v>-6590.3735273833281</v>
      </c>
      <c r="Q1016" s="20">
        <f t="shared" si="1252"/>
        <v>-7502.0713354567952</v>
      </c>
      <c r="R1016" s="20">
        <f t="shared" si="1252"/>
        <v>-8505.0603574791403</v>
      </c>
      <c r="S1016" s="32">
        <f t="shared" si="1252"/>
        <v>-9546.0443799919285</v>
      </c>
      <c r="T1016" s="726"/>
      <c r="U1016" s="1526"/>
      <c r="V1016" s="1526"/>
      <c r="W1016" s="1526"/>
      <c r="X1016" s="1526"/>
      <c r="Y1016" s="1526"/>
      <c r="Z1016" s="1526"/>
      <c r="AC1016" s="416"/>
      <c r="AD1016" s="65"/>
      <c r="AE1016" s="65"/>
      <c r="AF1016" s="65"/>
      <c r="AG1016" s="65"/>
      <c r="AH1016" s="65"/>
      <c r="AK1016" s="1526"/>
      <c r="AL1016" s="1526"/>
      <c r="AM1016" s="1526"/>
      <c r="AN1016" s="1526"/>
      <c r="AO1016" s="1526"/>
      <c r="AP1016" s="1526"/>
    </row>
    <row r="1017" spans="1:43" s="1365" customFormat="1">
      <c r="A1017" s="22"/>
      <c r="B1017" s="22"/>
      <c r="C1017" s="22"/>
      <c r="D1017" s="715"/>
      <c r="E1017" s="22" t="s">
        <v>130</v>
      </c>
      <c r="F1017" s="22"/>
      <c r="G1017" s="22"/>
      <c r="H1017" s="855">
        <f>H1016/H$14</f>
        <v>-4.6244764731586856E-3</v>
      </c>
      <c r="I1017" s="855">
        <f t="shared" ref="I1017:J1017" si="1253">I1016/I$14</f>
        <v>-2.310468297763847E-3</v>
      </c>
      <c r="J1017" s="855">
        <f t="shared" si="1253"/>
        <v>-2.8316027726520156E-3</v>
      </c>
      <c r="K1017" s="855"/>
      <c r="L1017" s="855">
        <f t="shared" ref="L1017:M1017" si="1254">L1016/L$14</f>
        <v>-2.4169504558635771E-3</v>
      </c>
      <c r="M1017" s="855">
        <f t="shared" si="1254"/>
        <v>-2.3050673263230138E-3</v>
      </c>
      <c r="N1017" s="79">
        <f t="shared" ref="N1017" si="1255">CHOOSE(case,U1017,AC1017,AK1017)</f>
        <v>-2E-3</v>
      </c>
      <c r="O1017" s="79">
        <f t="shared" ref="O1017" si="1256">CHOOSE(case,V1017,AD1017,AL1017)</f>
        <v>-2E-3</v>
      </c>
      <c r="P1017" s="79">
        <f t="shared" ref="P1017" si="1257">CHOOSE(case,W1017,AE1017,AM1017)</f>
        <v>-2E-3</v>
      </c>
      <c r="Q1017" s="79">
        <f t="shared" ref="Q1017" si="1258">CHOOSE(case,X1017,AF1017,AN1017)</f>
        <v>-2E-3</v>
      </c>
      <c r="R1017" s="79">
        <f t="shared" ref="R1017" si="1259">CHOOSE(case,Y1017,AG1017,AO1017)</f>
        <v>-2E-3</v>
      </c>
      <c r="S1017" s="856">
        <f t="shared" ref="S1017" si="1260">CHOOSE(case,Z1017,AH1017,AP1017)</f>
        <v>-2E-3</v>
      </c>
      <c r="T1017" s="726"/>
      <c r="U1017" s="1526"/>
      <c r="V1017" s="1526"/>
      <c r="W1017" s="1526"/>
      <c r="X1017" s="1526"/>
      <c r="Y1017" s="1526"/>
      <c r="Z1017" s="1526"/>
      <c r="AA1017" s="1523"/>
      <c r="AC1017" s="471">
        <v>-2E-3</v>
      </c>
      <c r="AD1017" s="471">
        <f>AC1017</f>
        <v>-2E-3</v>
      </c>
      <c r="AE1017" s="471">
        <f t="shared" ref="AE1017:AH1017" si="1261">AD1017</f>
        <v>-2E-3</v>
      </c>
      <c r="AF1017" s="471">
        <f t="shared" si="1261"/>
        <v>-2E-3</v>
      </c>
      <c r="AG1017" s="471">
        <f t="shared" si="1261"/>
        <v>-2E-3</v>
      </c>
      <c r="AH1017" s="471">
        <f t="shared" si="1261"/>
        <v>-2E-3</v>
      </c>
      <c r="AI1017" s="22"/>
      <c r="AK1017" s="1526"/>
      <c r="AL1017" s="1526"/>
      <c r="AM1017" s="1526"/>
      <c r="AN1017" s="1526"/>
      <c r="AO1017" s="1526"/>
      <c r="AP1017" s="1526"/>
      <c r="AQ1017" s="1523"/>
    </row>
    <row r="1018" spans="1:43">
      <c r="D1018" s="31" t="s">
        <v>167</v>
      </c>
      <c r="H1018" s="20">
        <f>H1008-SUM(H1010,H1012,H1014,H1016)</f>
        <v>-24095.215844666731</v>
      </c>
      <c r="I1018" s="20">
        <f>I1008-SUM(I1010,I1012,I1014,I1016)</f>
        <v>-31070.490519999992</v>
      </c>
      <c r="J1018" s="20">
        <f>J1008-SUM(J1010,J1012,J1014,J1016)</f>
        <v>-28599.529830000014</v>
      </c>
      <c r="K1018" s="20"/>
      <c r="L1018" s="20">
        <f>L1008-SUM(L1010,L1012,L1014,L1016)</f>
        <v>-40527.653979999974</v>
      </c>
      <c r="M1018" s="20">
        <f>M1008-SUM(M1010,M1012,M1014,M1016)</f>
        <v>-22737.583020465012</v>
      </c>
      <c r="N1018" s="20">
        <f>N1019*N$14</f>
        <v>-39850.399471605262</v>
      </c>
      <c r="O1018" s="20">
        <f t="shared" ref="O1018:S1018" si="1262">O1019*O$14</f>
        <v>-45588.213584664845</v>
      </c>
      <c r="P1018" s="20">
        <f t="shared" si="1262"/>
        <v>-52163.975179808811</v>
      </c>
      <c r="Q1018" s="20">
        <f t="shared" si="1262"/>
        <v>-59380.225007565226</v>
      </c>
      <c r="R1018" s="20">
        <f t="shared" si="1262"/>
        <v>-67319.060982946976</v>
      </c>
      <c r="S1018" s="32">
        <f t="shared" si="1262"/>
        <v>-75558.634125092518</v>
      </c>
      <c r="T1018" s="726"/>
      <c r="U1018" s="1526"/>
      <c r="V1018" s="1526"/>
      <c r="W1018" s="1526"/>
      <c r="X1018" s="1526"/>
      <c r="Y1018" s="1526"/>
      <c r="Z1018" s="1526"/>
      <c r="AC1018" s="416"/>
      <c r="AD1018" s="65"/>
      <c r="AE1018" s="65"/>
      <c r="AF1018" s="65"/>
      <c r="AG1018" s="65"/>
      <c r="AH1018" s="65"/>
      <c r="AK1018" s="1526"/>
      <c r="AL1018" s="1526"/>
      <c r="AM1018" s="1526"/>
      <c r="AN1018" s="1526"/>
      <c r="AO1018" s="1526"/>
      <c r="AP1018" s="1526"/>
    </row>
    <row r="1019" spans="1:43">
      <c r="D1019" s="719"/>
      <c r="E1019" s="720" t="s">
        <v>130</v>
      </c>
      <c r="F1019" s="34"/>
      <c r="G1019" s="34"/>
      <c r="H1019" s="857">
        <f>H1018/H$14</f>
        <v>-1.6650001630194158E-2</v>
      </c>
      <c r="I1019" s="857">
        <f t="shared" ref="I1019:J1019" si="1263">I1018/I$14</f>
        <v>-1.8704347061581351E-2</v>
      </c>
      <c r="J1019" s="857">
        <f t="shared" si="1263"/>
        <v>-1.5866835277136563E-2</v>
      </c>
      <c r="K1019" s="857"/>
      <c r="L1019" s="857">
        <f t="shared" ref="L1019:M1019" si="1264">L1018/L$14</f>
        <v>-1.6684017897154364E-2</v>
      </c>
      <c r="M1019" s="857">
        <f t="shared" si="1264"/>
        <v>-1.5830354672027286E-2</v>
      </c>
      <c r="N1019" s="858">
        <f t="shared" ref="N1019" si="1265">CHOOSE(case,U1019,AC1019,AK1019)</f>
        <v>-1.5830354672027286E-2</v>
      </c>
      <c r="O1019" s="858">
        <f t="shared" ref="O1019" si="1266">CHOOSE(case,V1019,AD1019,AL1019)</f>
        <v>-1.5830354672027286E-2</v>
      </c>
      <c r="P1019" s="858">
        <f t="shared" ref="P1019" si="1267">CHOOSE(case,W1019,AE1019,AM1019)</f>
        <v>-1.5830354672027286E-2</v>
      </c>
      <c r="Q1019" s="858">
        <f t="shared" ref="Q1019" si="1268">CHOOSE(case,X1019,AF1019,AN1019)</f>
        <v>-1.5830354672027286E-2</v>
      </c>
      <c r="R1019" s="858">
        <f t="shared" ref="R1019" si="1269">CHOOSE(case,Y1019,AG1019,AO1019)</f>
        <v>-1.5830354672027286E-2</v>
      </c>
      <c r="S1019" s="859">
        <f t="shared" ref="S1019" si="1270">CHOOSE(case,Z1019,AH1019,AP1019)</f>
        <v>-1.5830354672027286E-2</v>
      </c>
      <c r="T1019" s="726"/>
      <c r="U1019" s="1526"/>
      <c r="V1019" s="1526"/>
      <c r="W1019" s="1526"/>
      <c r="X1019" s="1526"/>
      <c r="Y1019" s="1526"/>
      <c r="Z1019" s="1526"/>
      <c r="AC1019" s="471">
        <f>M1019</f>
        <v>-1.5830354672027286E-2</v>
      </c>
      <c r="AD1019" s="471">
        <f t="shared" ref="AD1019:AH1019" si="1271">N1019</f>
        <v>-1.5830354672027286E-2</v>
      </c>
      <c r="AE1019" s="471">
        <f t="shared" si="1271"/>
        <v>-1.5830354672027286E-2</v>
      </c>
      <c r="AF1019" s="471">
        <f t="shared" si="1271"/>
        <v>-1.5830354672027286E-2</v>
      </c>
      <c r="AG1019" s="471">
        <f t="shared" si="1271"/>
        <v>-1.5830354672027286E-2</v>
      </c>
      <c r="AH1019" s="471">
        <f t="shared" si="1271"/>
        <v>-1.5830354672027286E-2</v>
      </c>
      <c r="AK1019" s="1526"/>
      <c r="AL1019" s="1526"/>
      <c r="AM1019" s="1526"/>
      <c r="AN1019" s="1526"/>
      <c r="AO1019" s="1526"/>
      <c r="AP1019" s="1526"/>
    </row>
    <row r="1020" spans="1:43" s="1126" customFormat="1">
      <c r="A1020" s="18"/>
      <c r="B1020" s="18"/>
      <c r="C1020" s="18" t="s">
        <v>67</v>
      </c>
      <c r="D1020" s="18"/>
      <c r="E1020" s="18"/>
      <c r="F1020" s="18"/>
      <c r="G1020" s="18"/>
      <c r="H1020" s="405">
        <v>-58914</v>
      </c>
      <c r="I1020" s="405">
        <v>-74887</v>
      </c>
      <c r="J1020" s="405">
        <v>-78503</v>
      </c>
      <c r="K1020" s="405">
        <v>-82723</v>
      </c>
      <c r="L1020" s="405">
        <v>-100341.58637999999</v>
      </c>
      <c r="M1020" s="405">
        <v>-56089</v>
      </c>
      <c r="N1020" s="23">
        <f>N1022+N1024+N1026+N1028+N1030</f>
        <v>-99147.453293163286</v>
      </c>
      <c r="O1020" s="23">
        <f t="shared" ref="O1020:S1020" si="1272">O1022+O1024+O1026+O1028+O1030</f>
        <v>-113423.08576667914</v>
      </c>
      <c r="P1020" s="23">
        <f t="shared" si="1272"/>
        <v>-129783.52441387672</v>
      </c>
      <c r="Q1020" s="23">
        <f t="shared" si="1272"/>
        <v>-147737.49230970861</v>
      </c>
      <c r="R1020" s="23">
        <f t="shared" si="1272"/>
        <v>-167489.24836505487</v>
      </c>
      <c r="S1020" s="23">
        <f t="shared" si="1272"/>
        <v>-187989.2359209781</v>
      </c>
      <c r="T1020" s="408"/>
      <c r="U1020" s="1518"/>
      <c r="V1020" s="1518"/>
      <c r="W1020" s="1518"/>
      <c r="X1020" s="1518"/>
      <c r="Y1020" s="1518"/>
      <c r="Z1020" s="1518"/>
      <c r="AA1020" s="1518"/>
      <c r="AC1020" s="18"/>
      <c r="AD1020" s="18"/>
      <c r="AE1020" s="18"/>
      <c r="AF1020" s="18"/>
      <c r="AG1020" s="18"/>
      <c r="AH1020" s="18"/>
      <c r="AI1020" s="18"/>
      <c r="AK1020" s="1518"/>
      <c r="AL1020" s="1518"/>
      <c r="AM1020" s="1518"/>
      <c r="AN1020" s="1518"/>
      <c r="AO1020" s="1518"/>
      <c r="AP1020" s="1518"/>
      <c r="AQ1020" s="1518"/>
    </row>
    <row r="1021" spans="1:43">
      <c r="D1021" s="22" t="s">
        <v>130</v>
      </c>
      <c r="H1021" s="56">
        <f>H1020/H$14</f>
        <v>-4.0710081302648984E-2</v>
      </c>
      <c r="I1021" s="56">
        <f t="shared" ref="I1021:S1021" si="1273">I1020/I$14</f>
        <v>-4.5081761341971983E-2</v>
      </c>
      <c r="J1021" s="56">
        <f t="shared" si="1273"/>
        <v>-4.3552959687276474E-2</v>
      </c>
      <c r="K1021" s="56">
        <f t="shared" si="1273"/>
        <v>-4.1461598664575952E-2</v>
      </c>
      <c r="L1021" s="56">
        <f t="shared" si="1273"/>
        <v>-4.1307617357247813E-2</v>
      </c>
      <c r="M1021" s="56">
        <f t="shared" si="1273"/>
        <v>-3.9050270312379912E-2</v>
      </c>
      <c r="N1021" s="56">
        <f t="shared" si="1273"/>
        <v>-3.9385787125606697E-2</v>
      </c>
      <c r="O1021" s="56">
        <f t="shared" si="1273"/>
        <v>-3.938578712560669E-2</v>
      </c>
      <c r="P1021" s="56">
        <f t="shared" si="1273"/>
        <v>-3.938578712560669E-2</v>
      </c>
      <c r="Q1021" s="56">
        <f t="shared" si="1273"/>
        <v>-3.938578712560669E-2</v>
      </c>
      <c r="R1021" s="56">
        <f t="shared" si="1273"/>
        <v>-3.938578712560669E-2</v>
      </c>
      <c r="S1021" s="56">
        <f t="shared" si="1273"/>
        <v>-3.938578712560669E-2</v>
      </c>
      <c r="T1021" s="726"/>
      <c r="U1021" s="1526">
        <f>AC1021+0.2%</f>
        <v>2E-3</v>
      </c>
      <c r="V1021" s="1526">
        <f t="shared" ref="V1021:Z1021" si="1274">AD1021+0.2%</f>
        <v>2E-3</v>
      </c>
      <c r="W1021" s="1526">
        <f t="shared" si="1274"/>
        <v>2E-3</v>
      </c>
      <c r="X1021" s="1526">
        <f t="shared" si="1274"/>
        <v>2E-3</v>
      </c>
      <c r="Y1021" s="1526">
        <f t="shared" si="1274"/>
        <v>2E-3</v>
      </c>
      <c r="Z1021" s="1526">
        <f t="shared" si="1274"/>
        <v>2E-3</v>
      </c>
      <c r="AC1021" s="416"/>
      <c r="AD1021" s="416"/>
      <c r="AE1021" s="416"/>
      <c r="AF1021" s="416"/>
      <c r="AG1021" s="416"/>
      <c r="AH1021" s="416"/>
      <c r="AK1021" s="1526">
        <v>-4.1000000000000002E-2</v>
      </c>
      <c r="AL1021" s="1526">
        <f t="shared" ref="AL1021:AP1021" si="1275">AK1021</f>
        <v>-4.1000000000000002E-2</v>
      </c>
      <c r="AM1021" s="1526">
        <f t="shared" si="1275"/>
        <v>-4.1000000000000002E-2</v>
      </c>
      <c r="AN1021" s="1526">
        <f t="shared" si="1275"/>
        <v>-4.1000000000000002E-2</v>
      </c>
      <c r="AO1021" s="1526">
        <f t="shared" si="1275"/>
        <v>-4.1000000000000002E-2</v>
      </c>
      <c r="AP1021" s="1526">
        <f t="shared" si="1275"/>
        <v>-4.1000000000000002E-2</v>
      </c>
    </row>
    <row r="1022" spans="1:43">
      <c r="D1022" s="27" t="s">
        <v>854</v>
      </c>
      <c r="E1022" s="28"/>
      <c r="F1022" s="28"/>
      <c r="G1022" s="28"/>
      <c r="H1022" s="419">
        <v>-24051.045449999998</v>
      </c>
      <c r="I1022" s="419">
        <v>-34346.357129999997</v>
      </c>
      <c r="J1022" s="419">
        <v>-32527.211379999997</v>
      </c>
      <c r="K1022" s="419"/>
      <c r="L1022" s="419">
        <v>-38302.978519999997</v>
      </c>
      <c r="M1022" s="419">
        <v>-24506.90193</v>
      </c>
      <c r="N1022" s="29">
        <f>N1023*N$14</f>
        <v>-42951.347592352016</v>
      </c>
      <c r="O1022" s="29">
        <f t="shared" ref="O1022:S1022" si="1276">O1023*O$14</f>
        <v>-49135.6481679567</v>
      </c>
      <c r="P1022" s="29">
        <f t="shared" si="1276"/>
        <v>-56223.100883674488</v>
      </c>
      <c r="Q1022" s="29">
        <f t="shared" si="1276"/>
        <v>-64000.881251624487</v>
      </c>
      <c r="R1022" s="29">
        <f t="shared" si="1276"/>
        <v>-72557.475614003532</v>
      </c>
      <c r="S1022" s="30">
        <f t="shared" si="1276"/>
        <v>-81438.208924922219</v>
      </c>
      <c r="T1022" s="726"/>
      <c r="U1022" s="1526"/>
      <c r="V1022" s="1526"/>
      <c r="W1022" s="1526"/>
      <c r="X1022" s="1526"/>
      <c r="Y1022" s="1526"/>
      <c r="Z1022" s="1526"/>
      <c r="AC1022" s="416"/>
      <c r="AD1022" s="65"/>
      <c r="AE1022" s="65"/>
      <c r="AF1022" s="65"/>
      <c r="AG1022" s="65"/>
      <c r="AH1022" s="65"/>
      <c r="AK1022" s="1526"/>
      <c r="AL1022" s="1526"/>
      <c r="AM1022" s="1526"/>
      <c r="AN1022" s="1526"/>
      <c r="AO1022" s="1526"/>
      <c r="AP1022" s="1526"/>
    </row>
    <row r="1023" spans="1:43" s="1365" customFormat="1">
      <c r="A1023" s="22"/>
      <c r="B1023" s="22"/>
      <c r="C1023" s="22"/>
      <c r="D1023" s="715"/>
      <c r="E1023" s="22" t="s">
        <v>130</v>
      </c>
      <c r="F1023" s="22"/>
      <c r="G1023" s="22"/>
      <c r="H1023" s="855">
        <f>H1022/H$14</f>
        <v>-1.661947950713253E-2</v>
      </c>
      <c r="I1023" s="855">
        <f t="shared" ref="I1023:J1023" si="1277">I1022/I$14</f>
        <v>-2.0676409458261082E-2</v>
      </c>
      <c r="J1023" s="855">
        <f t="shared" si="1277"/>
        <v>-1.8045887749164494E-2</v>
      </c>
      <c r="K1023" s="855"/>
      <c r="L1023" s="855">
        <f t="shared" ref="L1023:M1023" si="1278">L1022/L$14</f>
        <v>-1.5768185828307833E-2</v>
      </c>
      <c r="M1023" s="855">
        <f t="shared" si="1278"/>
        <v>-1.7062189464698691E-2</v>
      </c>
      <c r="N1023" s="79">
        <f t="shared" ref="N1023" si="1279">CHOOSE(case,U1023,AC1023,AK1023)</f>
        <v>-1.7062189464698691E-2</v>
      </c>
      <c r="O1023" s="79">
        <f t="shared" ref="O1023" si="1280">CHOOSE(case,V1023,AD1023,AL1023)</f>
        <v>-1.7062189464698691E-2</v>
      </c>
      <c r="P1023" s="79">
        <f t="shared" ref="P1023" si="1281">CHOOSE(case,W1023,AE1023,AM1023)</f>
        <v>-1.7062189464698691E-2</v>
      </c>
      <c r="Q1023" s="79">
        <f t="shared" ref="Q1023" si="1282">CHOOSE(case,X1023,AF1023,AN1023)</f>
        <v>-1.7062189464698691E-2</v>
      </c>
      <c r="R1023" s="79">
        <f t="shared" ref="R1023" si="1283">CHOOSE(case,Y1023,AG1023,AO1023)</f>
        <v>-1.7062189464698691E-2</v>
      </c>
      <c r="S1023" s="856">
        <f t="shared" ref="S1023" si="1284">CHOOSE(case,Z1023,AH1023,AP1023)</f>
        <v>-1.7062189464698691E-2</v>
      </c>
      <c r="T1023" s="726"/>
      <c r="U1023" s="1526"/>
      <c r="V1023" s="1526"/>
      <c r="W1023" s="1526"/>
      <c r="X1023" s="1526"/>
      <c r="Y1023" s="1526"/>
      <c r="Z1023" s="1526"/>
      <c r="AA1023" s="1523"/>
      <c r="AC1023" s="471">
        <f>M1023</f>
        <v>-1.7062189464698691E-2</v>
      </c>
      <c r="AD1023" s="471">
        <f t="shared" ref="AD1023:AE1023" si="1285">N1023</f>
        <v>-1.7062189464698691E-2</v>
      </c>
      <c r="AE1023" s="471">
        <f t="shared" si="1285"/>
        <v>-1.7062189464698691E-2</v>
      </c>
      <c r="AF1023" s="471">
        <f t="shared" ref="AF1023" si="1286">P1023</f>
        <v>-1.7062189464698691E-2</v>
      </c>
      <c r="AG1023" s="471">
        <f t="shared" ref="AG1023" si="1287">Q1023</f>
        <v>-1.7062189464698691E-2</v>
      </c>
      <c r="AH1023" s="471">
        <f t="shared" ref="AH1023" si="1288">R1023</f>
        <v>-1.7062189464698691E-2</v>
      </c>
      <c r="AI1023" s="22"/>
      <c r="AK1023" s="1526"/>
      <c r="AL1023" s="1526"/>
      <c r="AM1023" s="1526"/>
      <c r="AN1023" s="1526"/>
      <c r="AO1023" s="1526"/>
      <c r="AP1023" s="1526"/>
      <c r="AQ1023" s="1523"/>
    </row>
    <row r="1024" spans="1:43">
      <c r="D1024" s="31" t="s">
        <v>860</v>
      </c>
      <c r="H1024" s="394">
        <v>-23306.708729999998</v>
      </c>
      <c r="I1024" s="394">
        <v>-31187.375130000004</v>
      </c>
      <c r="J1024" s="394">
        <v>-36909.916369999999</v>
      </c>
      <c r="K1024" s="394"/>
      <c r="L1024" s="394">
        <v>-50735.540509999999</v>
      </c>
      <c r="M1024" s="394">
        <v>-23891.728639999998</v>
      </c>
      <c r="N1024" s="20">
        <f>N1025*N$14</f>
        <v>-42794.795508553965</v>
      </c>
      <c r="O1024" s="20">
        <f t="shared" ref="O1024:S1024" si="1289">O1025*O$14</f>
        <v>-48956.555111727859</v>
      </c>
      <c r="P1024" s="20">
        <f t="shared" si="1289"/>
        <v>-56018.174982758297</v>
      </c>
      <c r="Q1024" s="20">
        <f t="shared" si="1289"/>
        <v>-63767.606351382761</v>
      </c>
      <c r="R1024" s="20">
        <f t="shared" si="1289"/>
        <v>-72293.013038572695</v>
      </c>
      <c r="S1024" s="32">
        <f t="shared" si="1289"/>
        <v>-81141.377229931401</v>
      </c>
      <c r="T1024" s="726"/>
      <c r="U1024" s="1526"/>
      <c r="V1024" s="1526"/>
      <c r="W1024" s="1526"/>
      <c r="X1024" s="1526"/>
      <c r="Y1024" s="1526"/>
      <c r="Z1024" s="1526"/>
      <c r="AC1024" s="416"/>
      <c r="AD1024" s="65"/>
      <c r="AE1024" s="65"/>
      <c r="AF1024" s="65"/>
      <c r="AG1024" s="65"/>
      <c r="AH1024" s="65"/>
      <c r="AK1024" s="1526"/>
      <c r="AL1024" s="1526"/>
      <c r="AM1024" s="1526"/>
      <c r="AN1024" s="1526"/>
      <c r="AO1024" s="1526"/>
      <c r="AP1024" s="1526"/>
    </row>
    <row r="1025" spans="1:43" s="1365" customFormat="1">
      <c r="A1025" s="22"/>
      <c r="B1025" s="22"/>
      <c r="C1025" s="22"/>
      <c r="D1025" s="715"/>
      <c r="E1025" s="22" t="s">
        <v>130</v>
      </c>
      <c r="F1025" s="22"/>
      <c r="G1025" s="22"/>
      <c r="H1025" s="855">
        <f>H1024/H$14</f>
        <v>-1.6105136424202377E-2</v>
      </c>
      <c r="I1025" s="855">
        <f t="shared" ref="I1025:J1025" si="1290">I1024/I$14</f>
        <v>-1.8774711264881921E-2</v>
      </c>
      <c r="J1025" s="855">
        <f t="shared" si="1290"/>
        <v>-2.0477384300260575E-2</v>
      </c>
      <c r="K1025" s="855"/>
      <c r="L1025" s="855">
        <f t="shared" ref="L1025:M1025" si="1291">L1024/L$14</f>
        <v>-2.0886298188105501E-2</v>
      </c>
      <c r="M1025" s="855">
        <f t="shared" si="1291"/>
        <v>-1.6633893662251577E-2</v>
      </c>
      <c r="N1025" s="79">
        <f t="shared" ref="N1025" si="1292">CHOOSE(case,U1025,AC1025,AK1025)</f>
        <v>-1.7000000000000001E-2</v>
      </c>
      <c r="O1025" s="79">
        <f t="shared" ref="O1025" si="1293">CHOOSE(case,V1025,AD1025,AL1025)</f>
        <v>-1.7000000000000001E-2</v>
      </c>
      <c r="P1025" s="79">
        <f t="shared" ref="P1025" si="1294">CHOOSE(case,W1025,AE1025,AM1025)</f>
        <v>-1.7000000000000001E-2</v>
      </c>
      <c r="Q1025" s="79">
        <f t="shared" ref="Q1025" si="1295">CHOOSE(case,X1025,AF1025,AN1025)</f>
        <v>-1.7000000000000001E-2</v>
      </c>
      <c r="R1025" s="79">
        <f t="shared" ref="R1025" si="1296">CHOOSE(case,Y1025,AG1025,AO1025)</f>
        <v>-1.7000000000000001E-2</v>
      </c>
      <c r="S1025" s="856">
        <f t="shared" ref="S1025" si="1297">CHOOSE(case,Z1025,AH1025,AP1025)</f>
        <v>-1.7000000000000001E-2</v>
      </c>
      <c r="T1025" s="726"/>
      <c r="U1025" s="1526"/>
      <c r="V1025" s="1526"/>
      <c r="W1025" s="1526"/>
      <c r="X1025" s="1526"/>
      <c r="Y1025" s="1526"/>
      <c r="Z1025" s="1526"/>
      <c r="AA1025" s="1523"/>
      <c r="AC1025" s="471">
        <v>-1.7000000000000001E-2</v>
      </c>
      <c r="AD1025" s="471">
        <v>-1.7000000000000001E-2</v>
      </c>
      <c r="AE1025" s="471">
        <v>-1.7000000000000001E-2</v>
      </c>
      <c r="AF1025" s="471">
        <v>-1.7000000000000001E-2</v>
      </c>
      <c r="AG1025" s="471">
        <v>-1.7000000000000001E-2</v>
      </c>
      <c r="AH1025" s="471">
        <v>-1.7000000000000001E-2</v>
      </c>
      <c r="AI1025" s="22"/>
      <c r="AK1025" s="1526"/>
      <c r="AL1025" s="1526"/>
      <c r="AM1025" s="1526"/>
      <c r="AN1025" s="1526"/>
      <c r="AO1025" s="1526"/>
      <c r="AP1025" s="1526"/>
      <c r="AQ1025" s="1523"/>
    </row>
    <row r="1026" spans="1:43">
      <c r="D1026" s="31" t="s">
        <v>861</v>
      </c>
      <c r="H1026" s="394">
        <v>-3209.2674499999998</v>
      </c>
      <c r="I1026" s="394">
        <v>-2810.6509100000003</v>
      </c>
      <c r="J1026" s="394">
        <v>-2761.2666000000004</v>
      </c>
      <c r="K1026" s="394"/>
      <c r="L1026" s="394">
        <v>-3435.7544699999999</v>
      </c>
      <c r="M1026" s="394">
        <v>-2587.1022600000001</v>
      </c>
      <c r="N1026" s="20">
        <f>N1027*N$14</f>
        <v>-5034.6818245357599</v>
      </c>
      <c r="O1026" s="20">
        <f t="shared" ref="O1026:S1026" si="1298">O1027*O$14</f>
        <v>-5759.5947190268071</v>
      </c>
      <c r="P1026" s="20">
        <f t="shared" si="1298"/>
        <v>-6590.3735273833281</v>
      </c>
      <c r="Q1026" s="20">
        <f t="shared" si="1298"/>
        <v>-7502.0713354567952</v>
      </c>
      <c r="R1026" s="20">
        <f t="shared" si="1298"/>
        <v>-8505.0603574791403</v>
      </c>
      <c r="S1026" s="32">
        <f t="shared" si="1298"/>
        <v>-9546.0443799919285</v>
      </c>
      <c r="T1026" s="726"/>
      <c r="U1026" s="1526"/>
      <c r="V1026" s="1526"/>
      <c r="W1026" s="1526"/>
      <c r="X1026" s="1526"/>
      <c r="Y1026" s="1526"/>
      <c r="Z1026" s="1526"/>
      <c r="AC1026" s="416"/>
      <c r="AD1026" s="65"/>
      <c r="AE1026" s="65"/>
      <c r="AF1026" s="65"/>
      <c r="AG1026" s="65"/>
      <c r="AH1026" s="65"/>
      <c r="AK1026" s="1526"/>
      <c r="AL1026" s="1526"/>
      <c r="AM1026" s="1526"/>
      <c r="AN1026" s="1526"/>
      <c r="AO1026" s="1526"/>
      <c r="AP1026" s="1526"/>
    </row>
    <row r="1027" spans="1:43" s="1365" customFormat="1">
      <c r="A1027" s="22"/>
      <c r="B1027" s="22"/>
      <c r="C1027" s="22"/>
      <c r="D1027" s="715"/>
      <c r="E1027" s="22" t="s">
        <v>130</v>
      </c>
      <c r="F1027" s="22"/>
      <c r="G1027" s="22"/>
      <c r="H1027" s="855">
        <f>H1026/H$14</f>
        <v>-2.2176314426357907E-3</v>
      </c>
      <c r="I1027" s="855">
        <f t="shared" ref="I1027:J1027" si="1299">I1026/I$14</f>
        <v>-1.6920038663615364E-3</v>
      </c>
      <c r="J1027" s="855">
        <f t="shared" si="1299"/>
        <v>-1.5319329569013029E-3</v>
      </c>
      <c r="K1027" s="855"/>
      <c r="L1027" s="855">
        <f t="shared" ref="L1027:M1027" si="1300">L1026/L$14</f>
        <v>-1.4143969225555487E-3</v>
      </c>
      <c r="M1027" s="855">
        <f t="shared" si="1300"/>
        <v>-1.8011917234889011E-3</v>
      </c>
      <c r="N1027" s="79">
        <f t="shared" ref="N1027" si="1301">CHOOSE(case,U1027,AC1027,AK1027)</f>
        <v>-2E-3</v>
      </c>
      <c r="O1027" s="79">
        <f t="shared" ref="O1027" si="1302">CHOOSE(case,V1027,AD1027,AL1027)</f>
        <v>-2E-3</v>
      </c>
      <c r="P1027" s="79">
        <f t="shared" ref="P1027" si="1303">CHOOSE(case,W1027,AE1027,AM1027)</f>
        <v>-2E-3</v>
      </c>
      <c r="Q1027" s="79">
        <f t="shared" ref="Q1027" si="1304">CHOOSE(case,X1027,AF1027,AN1027)</f>
        <v>-2E-3</v>
      </c>
      <c r="R1027" s="79">
        <f t="shared" ref="R1027" si="1305">CHOOSE(case,Y1027,AG1027,AO1027)</f>
        <v>-2E-3</v>
      </c>
      <c r="S1027" s="856">
        <f t="shared" ref="S1027" si="1306">CHOOSE(case,Z1027,AH1027,AP1027)</f>
        <v>-2E-3</v>
      </c>
      <c r="T1027" s="726"/>
      <c r="U1027" s="1526"/>
      <c r="V1027" s="1526"/>
      <c r="W1027" s="1526"/>
      <c r="X1027" s="1526"/>
      <c r="Y1027" s="1526"/>
      <c r="Z1027" s="1526"/>
      <c r="AA1027" s="1523"/>
      <c r="AC1027" s="471">
        <v>-2E-3</v>
      </c>
      <c r="AD1027" s="471">
        <f>AC1027</f>
        <v>-2E-3</v>
      </c>
      <c r="AE1027" s="471">
        <f t="shared" ref="AE1027:AH1027" si="1307">AD1027</f>
        <v>-2E-3</v>
      </c>
      <c r="AF1027" s="471">
        <f t="shared" si="1307"/>
        <v>-2E-3</v>
      </c>
      <c r="AG1027" s="471">
        <f t="shared" si="1307"/>
        <v>-2E-3</v>
      </c>
      <c r="AH1027" s="471">
        <f t="shared" si="1307"/>
        <v>-2E-3</v>
      </c>
      <c r="AI1027" s="22"/>
      <c r="AK1027" s="1526"/>
      <c r="AL1027" s="1526"/>
      <c r="AM1027" s="1526"/>
      <c r="AN1027" s="1526"/>
      <c r="AO1027" s="1526"/>
      <c r="AP1027" s="1526"/>
      <c r="AQ1027" s="1523"/>
    </row>
    <row r="1028" spans="1:43">
      <c r="D1028" s="31" t="s">
        <v>862</v>
      </c>
      <c r="H1028" s="394">
        <v>-2550.5203100000003</v>
      </c>
      <c r="I1028" s="394">
        <v>-2595.03314</v>
      </c>
      <c r="J1028" s="394">
        <v>-2644.0616399999999</v>
      </c>
      <c r="K1028" s="394"/>
      <c r="L1028" s="394">
        <v>-3413.4650900000006</v>
      </c>
      <c r="M1028" s="394">
        <v>-1765.8185899999999</v>
      </c>
      <c r="N1028" s="20">
        <f>N1029*N$14</f>
        <v>-2517.34091226788</v>
      </c>
      <c r="O1028" s="20">
        <f t="shared" ref="O1028:S1028" si="1308">O1029*O$14</f>
        <v>-2879.7973595134035</v>
      </c>
      <c r="P1028" s="20">
        <f t="shared" si="1308"/>
        <v>-3295.1867636916641</v>
      </c>
      <c r="Q1028" s="20">
        <f t="shared" si="1308"/>
        <v>-3751.0356677283976</v>
      </c>
      <c r="R1028" s="20">
        <f t="shared" si="1308"/>
        <v>-4252.5301787395701</v>
      </c>
      <c r="S1028" s="32">
        <f t="shared" si="1308"/>
        <v>-4773.0221899959643</v>
      </c>
      <c r="T1028" s="726"/>
      <c r="U1028" s="1526"/>
      <c r="V1028" s="1526"/>
      <c r="W1028" s="1526"/>
      <c r="X1028" s="1526"/>
      <c r="Y1028" s="1526"/>
      <c r="Z1028" s="1526"/>
      <c r="AC1028" s="416"/>
      <c r="AD1028" s="65"/>
      <c r="AE1028" s="65"/>
      <c r="AF1028" s="65"/>
      <c r="AG1028" s="65"/>
      <c r="AH1028" s="65"/>
      <c r="AK1028" s="1526"/>
      <c r="AL1028" s="1526"/>
      <c r="AM1028" s="1526"/>
      <c r="AN1028" s="1526"/>
      <c r="AO1028" s="1526"/>
      <c r="AP1028" s="1526"/>
    </row>
    <row r="1029" spans="1:43" s="1365" customFormat="1">
      <c r="A1029" s="22"/>
      <c r="B1029" s="22"/>
      <c r="C1029" s="22"/>
      <c r="D1029" s="715"/>
      <c r="E1029" s="22" t="s">
        <v>130</v>
      </c>
      <c r="F1029" s="22"/>
      <c r="G1029" s="22"/>
      <c r="H1029" s="855">
        <f>H1028/H$14</f>
        <v>-1.7624314964890776E-3</v>
      </c>
      <c r="I1029" s="855">
        <f t="shared" ref="I1029:J1029" si="1309">I1028/I$14</f>
        <v>-1.5622025811153893E-3</v>
      </c>
      <c r="J1029" s="855">
        <f t="shared" si="1309"/>
        <v>-1.4669083986292768E-3</v>
      </c>
      <c r="K1029" s="855"/>
      <c r="L1029" s="855">
        <f t="shared" ref="L1029:M1029" si="1310">L1028/L$14</f>
        <v>-1.4052210542701558E-3</v>
      </c>
      <c r="M1029" s="855">
        <f t="shared" si="1310"/>
        <v>-1.2293978010327435E-3</v>
      </c>
      <c r="N1029" s="79">
        <f t="shared" ref="N1029" si="1311">CHOOSE(case,U1029,AC1029,AK1029)</f>
        <v>-1E-3</v>
      </c>
      <c r="O1029" s="79">
        <f t="shared" ref="O1029" si="1312">CHOOSE(case,V1029,AD1029,AL1029)</f>
        <v>-1E-3</v>
      </c>
      <c r="P1029" s="79">
        <f t="shared" ref="P1029" si="1313">CHOOSE(case,W1029,AE1029,AM1029)</f>
        <v>-1E-3</v>
      </c>
      <c r="Q1029" s="79">
        <f t="shared" ref="Q1029" si="1314">CHOOSE(case,X1029,AF1029,AN1029)</f>
        <v>-1E-3</v>
      </c>
      <c r="R1029" s="79">
        <f t="shared" ref="R1029" si="1315">CHOOSE(case,Y1029,AG1029,AO1029)</f>
        <v>-1E-3</v>
      </c>
      <c r="S1029" s="856">
        <f t="shared" ref="S1029" si="1316">CHOOSE(case,Z1029,AH1029,AP1029)</f>
        <v>-1E-3</v>
      </c>
      <c r="T1029" s="726"/>
      <c r="U1029" s="1526"/>
      <c r="V1029" s="1526"/>
      <c r="W1029" s="1526"/>
      <c r="X1029" s="1526"/>
      <c r="Y1029" s="1526"/>
      <c r="Z1029" s="1526"/>
      <c r="AA1029" s="1523"/>
      <c r="AC1029" s="471">
        <v>-1E-3</v>
      </c>
      <c r="AD1029" s="471">
        <f>AC1029</f>
        <v>-1E-3</v>
      </c>
      <c r="AE1029" s="471">
        <f t="shared" ref="AE1029:AH1029" si="1317">AD1029</f>
        <v>-1E-3</v>
      </c>
      <c r="AF1029" s="471">
        <f t="shared" si="1317"/>
        <v>-1E-3</v>
      </c>
      <c r="AG1029" s="471">
        <f t="shared" si="1317"/>
        <v>-1E-3</v>
      </c>
      <c r="AH1029" s="471">
        <f t="shared" si="1317"/>
        <v>-1E-3</v>
      </c>
      <c r="AI1029" s="22"/>
      <c r="AK1029" s="1526"/>
      <c r="AL1029" s="1526"/>
      <c r="AM1029" s="1526"/>
      <c r="AN1029" s="1526"/>
      <c r="AO1029" s="1526"/>
      <c r="AP1029" s="1526"/>
      <c r="AQ1029" s="1523"/>
    </row>
    <row r="1030" spans="1:43">
      <c r="D1030" s="31" t="s">
        <v>167</v>
      </c>
      <c r="H1030" s="20">
        <f>H1020-SUM(H1022,H1024,H1026,H1028)</f>
        <v>-5796.4580600000045</v>
      </c>
      <c r="I1030" s="20">
        <f>I1020-SUM(I1022,I1024,I1026,I1028)</f>
        <v>-3947.5836899999995</v>
      </c>
      <c r="J1030" s="20">
        <f>J1020-SUM(J1022,J1024,J1026,J1028)</f>
        <v>-3660.5440099999978</v>
      </c>
      <c r="K1030" s="20"/>
      <c r="L1030" s="20">
        <f>L1020-SUM(L1022,L1024,L1026,L1028)</f>
        <v>-4453.8477899999998</v>
      </c>
      <c r="M1030" s="20">
        <f>M1020-SUM(M1022,M1024,M1026,M1028)</f>
        <v>-3337.4485800000039</v>
      </c>
      <c r="N1030" s="20">
        <f>N1031*N$14</f>
        <v>-5849.2874554536493</v>
      </c>
      <c r="O1030" s="20">
        <f t="shared" ref="O1030:S1030" si="1318">O1031*O$14</f>
        <v>-6691.4904084543696</v>
      </c>
      <c r="P1030" s="20">
        <f t="shared" si="1318"/>
        <v>-7656.6882563689433</v>
      </c>
      <c r="Q1030" s="20">
        <f t="shared" si="1318"/>
        <v>-8715.8977035161715</v>
      </c>
      <c r="R1030" s="20">
        <f t="shared" si="1318"/>
        <v>-9881.1691762599312</v>
      </c>
      <c r="S1030" s="32">
        <f t="shared" si="1318"/>
        <v>-11090.583196136588</v>
      </c>
      <c r="T1030" s="726"/>
      <c r="U1030" s="1526"/>
      <c r="V1030" s="1526"/>
      <c r="W1030" s="1526"/>
      <c r="X1030" s="1526"/>
      <c r="Y1030" s="1526"/>
      <c r="Z1030" s="1526"/>
      <c r="AC1030" s="416"/>
      <c r="AD1030" s="65"/>
      <c r="AE1030" s="65"/>
      <c r="AF1030" s="65"/>
      <c r="AG1030" s="65"/>
      <c r="AH1030" s="65"/>
      <c r="AK1030" s="1526"/>
      <c r="AL1030" s="1526"/>
      <c r="AM1030" s="1526"/>
      <c r="AN1030" s="1526"/>
      <c r="AO1030" s="1526"/>
      <c r="AP1030" s="1526"/>
    </row>
    <row r="1031" spans="1:43">
      <c r="D1031" s="719"/>
      <c r="E1031" s="720" t="s">
        <v>130</v>
      </c>
      <c r="F1031" s="34"/>
      <c r="G1031" s="34"/>
      <c r="H1031" s="857">
        <f>H1030/H$14</f>
        <v>-4.0054024321892114E-3</v>
      </c>
      <c r="I1031" s="857">
        <f t="shared" ref="I1031:J1031" si="1319">I1030/I$14</f>
        <v>-2.3764341713520517E-3</v>
      </c>
      <c r="J1031" s="857">
        <f t="shared" si="1319"/>
        <v>-2.0308462823208193E-3</v>
      </c>
      <c r="K1031" s="857"/>
      <c r="L1031" s="857">
        <f t="shared" ref="L1031:M1031" si="1320">L1030/L$14</f>
        <v>-1.8335153640087769E-3</v>
      </c>
      <c r="M1031" s="857">
        <f t="shared" si="1320"/>
        <v>-2.3235976609079969E-3</v>
      </c>
      <c r="N1031" s="858">
        <f t="shared" ref="N1031" si="1321">CHOOSE(case,U1031,AC1031,AK1031)</f>
        <v>-2.3235976609079969E-3</v>
      </c>
      <c r="O1031" s="858">
        <f t="shared" ref="O1031" si="1322">CHOOSE(case,V1031,AD1031,AL1031)</f>
        <v>-2.3235976609079969E-3</v>
      </c>
      <c r="P1031" s="858">
        <f t="shared" ref="P1031" si="1323">CHOOSE(case,W1031,AE1031,AM1031)</f>
        <v>-2.3235976609079969E-3</v>
      </c>
      <c r="Q1031" s="858">
        <f t="shared" ref="Q1031" si="1324">CHOOSE(case,X1031,AF1031,AN1031)</f>
        <v>-2.3235976609079969E-3</v>
      </c>
      <c r="R1031" s="858">
        <f t="shared" ref="R1031" si="1325">CHOOSE(case,Y1031,AG1031,AO1031)</f>
        <v>-2.3235976609079969E-3</v>
      </c>
      <c r="S1031" s="859">
        <f t="shared" ref="S1031" si="1326">CHOOSE(case,Z1031,AH1031,AP1031)</f>
        <v>-2.3235976609079969E-3</v>
      </c>
      <c r="T1031" s="726"/>
      <c r="U1031" s="1526"/>
      <c r="V1031" s="1526"/>
      <c r="W1031" s="1526"/>
      <c r="X1031" s="1526"/>
      <c r="Y1031" s="1526"/>
      <c r="Z1031" s="1526"/>
      <c r="AC1031" s="471">
        <f>M1031</f>
        <v>-2.3235976609079969E-3</v>
      </c>
      <c r="AD1031" s="471">
        <f>AC1031</f>
        <v>-2.3235976609079969E-3</v>
      </c>
      <c r="AE1031" s="471">
        <f t="shared" ref="AE1031:AH1031" si="1327">AD1031</f>
        <v>-2.3235976609079969E-3</v>
      </c>
      <c r="AF1031" s="471">
        <f t="shared" si="1327"/>
        <v>-2.3235976609079969E-3</v>
      </c>
      <c r="AG1031" s="471">
        <f t="shared" si="1327"/>
        <v>-2.3235976609079969E-3</v>
      </c>
      <c r="AH1031" s="471">
        <f t="shared" si="1327"/>
        <v>-2.3235976609079969E-3</v>
      </c>
      <c r="AK1031" s="1526"/>
      <c r="AL1031" s="1526"/>
      <c r="AM1031" s="1526"/>
      <c r="AN1031" s="1526"/>
      <c r="AO1031" s="1526"/>
      <c r="AP1031" s="1526"/>
    </row>
    <row r="1032" spans="1:43">
      <c r="H1032" s="21"/>
      <c r="I1032" s="21"/>
      <c r="J1032" s="21"/>
      <c r="K1032" s="21"/>
      <c r="L1032" s="394"/>
      <c r="M1032" s="394"/>
    </row>
    <row r="1033" spans="1:43" s="1126" customFormat="1">
      <c r="A1033" s="18"/>
      <c r="B1033" s="18"/>
      <c r="C1033" s="18" t="s">
        <v>70</v>
      </c>
      <c r="D1033" s="18"/>
      <c r="E1033" s="18"/>
      <c r="F1033" s="18"/>
      <c r="G1033" s="18"/>
      <c r="H1033" s="405">
        <v>-62706</v>
      </c>
      <c r="I1033" s="405">
        <v>-19153.400000000001</v>
      </c>
      <c r="J1033" s="405">
        <v>-37203</v>
      </c>
      <c r="K1033" s="405">
        <v>-36727</v>
      </c>
      <c r="L1033" s="405">
        <v>-36249.571392965001</v>
      </c>
      <c r="M1033" s="405">
        <v>-35757.211476375</v>
      </c>
      <c r="N1033" s="1235">
        <f>M1033*2</f>
        <v>-71514.422952749999</v>
      </c>
      <c r="O1033" s="98">
        <f ca="1">('债务&amp;权益'!Q30+'债务&amp;权益'!Q47+'债务&amp;权益'!Q63)*'债务&amp;权益'!Q7*1000</f>
        <v>-53722.915057800004</v>
      </c>
      <c r="P1033" s="98">
        <f ca="1">('债务&amp;权益'!R30+'债务&amp;权益'!R47+'债务&amp;权益'!R63)*'债务&amp;权益'!R7*1000</f>
        <v>-50615.196907799997</v>
      </c>
      <c r="Q1033" s="98">
        <f ca="1">('债务&amp;权益'!S30+'债务&amp;权益'!S47+'债务&amp;权益'!S63)*'债务&amp;权益'!S7*1000</f>
        <v>-40952.557898799998</v>
      </c>
      <c r="R1033" s="98">
        <f ca="1">('债务&amp;权益'!T30+'债务&amp;权益'!T47+'债务&amp;权益'!T63)*'债务&amp;权益'!T7*1000</f>
        <v>-38135.180198800001</v>
      </c>
      <c r="S1033" s="98">
        <f ca="1">('债务&amp;权益'!U30+'债务&amp;权益'!U47+'债务&amp;权益'!U63)*'债务&amp;权益'!U7*1000</f>
        <v>-35317.802498799996</v>
      </c>
      <c r="T1033" s="408"/>
      <c r="U1033" s="1518"/>
      <c r="V1033" s="1518"/>
      <c r="W1033" s="1518"/>
      <c r="X1033" s="1518"/>
      <c r="Y1033" s="1518"/>
      <c r="Z1033" s="1518"/>
      <c r="AA1033" s="1518"/>
      <c r="AC1033" s="18"/>
      <c r="AD1033" s="18"/>
      <c r="AE1033" s="18"/>
      <c r="AF1033" s="18"/>
      <c r="AG1033" s="18"/>
      <c r="AH1033" s="18"/>
      <c r="AI1033" s="18"/>
      <c r="AK1033" s="1518"/>
      <c r="AL1033" s="1518"/>
      <c r="AM1033" s="1518"/>
      <c r="AN1033" s="1518"/>
      <c r="AO1033" s="1518"/>
      <c r="AP1033" s="1518"/>
      <c r="AQ1033" s="1518"/>
    </row>
    <row r="1034" spans="1:43">
      <c r="H1034" s="1278">
        <f>H1033/H14</f>
        <v>-4.3330385955187345E-2</v>
      </c>
      <c r="I1034" s="1278">
        <f t="shared" ref="I1034:S1034" si="1328">I1033/I14</f>
        <v>-1.1530292409728341E-2</v>
      </c>
      <c r="J1034" s="1278">
        <f t="shared" si="1328"/>
        <v>-2.0639985213886689E-2</v>
      </c>
      <c r="K1034" s="1278">
        <f t="shared" si="1328"/>
        <v>-1.8407941372458457E-2</v>
      </c>
      <c r="L1034" s="1278">
        <f t="shared" si="1328"/>
        <v>-1.4922859788105683E-2</v>
      </c>
      <c r="M1034" s="1278">
        <f t="shared" si="1328"/>
        <v>-2.4894877315861878E-2</v>
      </c>
      <c r="N1034" s="1278">
        <f t="shared" si="1328"/>
        <v>-2.8408715960653273E-2</v>
      </c>
      <c r="O1034" s="1278">
        <f t="shared" ca="1" si="1328"/>
        <v>-1.865510254752005E-2</v>
      </c>
      <c r="P1034" s="1278">
        <f t="shared" ca="1" si="1328"/>
        <v>-1.5360342383475336E-2</v>
      </c>
      <c r="Q1034" s="1278">
        <f t="shared" ca="1" si="1328"/>
        <v>-1.0917666886276397E-2</v>
      </c>
      <c r="R1034" s="1278">
        <f t="shared" ca="1" si="1328"/>
        <v>-8.9676448128354225E-3</v>
      </c>
      <c r="S1034" s="1278">
        <f t="shared" ca="1" si="1328"/>
        <v>-7.3994632945190352E-3</v>
      </c>
    </row>
    <row r="1035" spans="1:43">
      <c r="H1035" s="1278"/>
      <c r="I1035" s="1278"/>
      <c r="J1035" s="1278"/>
      <c r="K1035" s="1278"/>
      <c r="L1035" s="1278"/>
      <c r="M1035" s="1278"/>
      <c r="N1035" s="1278"/>
      <c r="O1035" s="1278"/>
      <c r="P1035" s="1278"/>
      <c r="Q1035" s="1278"/>
      <c r="R1035" s="1278"/>
      <c r="S1035" s="1278"/>
    </row>
    <row r="1036" spans="1:43">
      <c r="B1036" s="18" t="s">
        <v>478</v>
      </c>
      <c r="H1036" s="23">
        <f>H1038+H1040+H1042+H1044</f>
        <v>24878</v>
      </c>
      <c r="I1036" s="23">
        <f>I1038+I1040+I1042+I1044</f>
        <v>10164.6</v>
      </c>
      <c r="J1036" s="23">
        <f t="shared" ref="J1036:S1036" si="1329">J1038+J1040+J1042+J1044</f>
        <v>-6478</v>
      </c>
      <c r="K1036" s="23">
        <f t="shared" si="1329"/>
        <v>10218</v>
      </c>
      <c r="L1036" s="23">
        <f t="shared" si="1329"/>
        <v>1041.4721300000001</v>
      </c>
      <c r="M1036" s="23">
        <f t="shared" si="1329"/>
        <v>14947.077506000003</v>
      </c>
      <c r="N1036" s="23">
        <f t="shared" si="1329"/>
        <v>16066.316294185428</v>
      </c>
      <c r="O1036" s="23">
        <f t="shared" si="1329"/>
        <v>18379.606439327927</v>
      </c>
      <c r="P1036" s="23">
        <f t="shared" si="1329"/>
        <v>21030.728311720148</v>
      </c>
      <c r="Q1036" s="23">
        <f t="shared" si="1329"/>
        <v>23940.073104441886</v>
      </c>
      <c r="R1036" s="23">
        <f t="shared" si="1329"/>
        <v>27140.739885185783</v>
      </c>
      <c r="S1036" s="23">
        <f t="shared" si="1329"/>
        <v>30462.653592101327</v>
      </c>
    </row>
    <row r="1037" spans="1:43">
      <c r="B1037" s="18"/>
      <c r="C1037" s="22" t="s">
        <v>130</v>
      </c>
      <c r="H1037" s="56">
        <f>H1036/H$14</f>
        <v>1.719091222200668E-2</v>
      </c>
      <c r="I1037" s="56">
        <f t="shared" ref="I1037:S1045" si="1330">I1036/I$14</f>
        <v>6.1190603353934387E-3</v>
      </c>
      <c r="J1037" s="56">
        <f t="shared" si="1330"/>
        <v>-3.5939527515404125E-3</v>
      </c>
      <c r="K1037" s="56">
        <f t="shared" si="1330"/>
        <v>5.121364253649373E-3</v>
      </c>
      <c r="L1037" s="56">
        <f t="shared" si="1330"/>
        <v>4.2874279534863637E-4</v>
      </c>
      <c r="M1037" s="56">
        <f t="shared" si="1330"/>
        <v>1.0406450765558193E-2</v>
      </c>
      <c r="N1037" s="56">
        <f t="shared" si="1330"/>
        <v>6.3822568551953635E-3</v>
      </c>
      <c r="O1037" s="56">
        <f t="shared" si="1330"/>
        <v>6.3822568551953635E-3</v>
      </c>
      <c r="P1037" s="56">
        <f t="shared" si="1330"/>
        <v>6.3822568551953635E-3</v>
      </c>
      <c r="Q1037" s="56">
        <f t="shared" si="1330"/>
        <v>6.3822568551953644E-3</v>
      </c>
      <c r="R1037" s="56">
        <f t="shared" si="1330"/>
        <v>6.3822568551953627E-3</v>
      </c>
      <c r="S1037" s="56">
        <f t="shared" si="1330"/>
        <v>6.3822568551953635E-3</v>
      </c>
    </row>
    <row r="1038" spans="1:43">
      <c r="C1038" s="1" t="s">
        <v>285</v>
      </c>
      <c r="H1038" s="394">
        <v>-9919</v>
      </c>
      <c r="I1038" s="394">
        <v>-10669.4</v>
      </c>
      <c r="J1038" s="394">
        <v>-12295</v>
      </c>
      <c r="K1038" s="394">
        <v>-11529</v>
      </c>
      <c r="L1038" s="394">
        <v>-18541.579389999999</v>
      </c>
      <c r="M1038" s="394">
        <v>-8917.2663499999981</v>
      </c>
      <c r="N1038" s="20">
        <f>N1039*N$14</f>
        <v>-15104.045473607281</v>
      </c>
      <c r="O1038" s="20">
        <f t="shared" ref="O1038:S1038" si="1331">O1039*O$14</f>
        <v>-17278.784157080419</v>
      </c>
      <c r="P1038" s="20">
        <f t="shared" si="1331"/>
        <v>-19771.120582149986</v>
      </c>
      <c r="Q1038" s="20">
        <f t="shared" si="1331"/>
        <v>-22506.214006370385</v>
      </c>
      <c r="R1038" s="20">
        <f t="shared" si="1331"/>
        <v>-25515.181072437423</v>
      </c>
      <c r="S1038" s="20">
        <f t="shared" si="1331"/>
        <v>-28638.133139975784</v>
      </c>
    </row>
    <row r="1039" spans="1:43" s="675" customFormat="1">
      <c r="A1039" s="1"/>
      <c r="B1039" s="18"/>
      <c r="C1039" s="1"/>
      <c r="D1039" s="22" t="s">
        <v>130</v>
      </c>
      <c r="E1039" s="1"/>
      <c r="F1039" s="1"/>
      <c r="G1039" s="1"/>
      <c r="H1039" s="56">
        <f>H1038/H$14</f>
        <v>-6.8541144115316444E-3</v>
      </c>
      <c r="I1039" s="56">
        <f t="shared" si="1330"/>
        <v>-6.4229485019033456E-3</v>
      </c>
      <c r="J1039" s="56">
        <f t="shared" si="1330"/>
        <v>-6.8211869527924317E-3</v>
      </c>
      <c r="K1039" s="56">
        <f t="shared" si="1330"/>
        <v>-5.7784506244200062E-3</v>
      </c>
      <c r="L1039" s="56">
        <f t="shared" si="1330"/>
        <v>-7.6330113392926438E-3</v>
      </c>
      <c r="M1039" s="56">
        <f t="shared" si="1330"/>
        <v>-6.2083770688546652E-3</v>
      </c>
      <c r="N1039" s="148">
        <v>-6.0000000000000001E-3</v>
      </c>
      <c r="O1039" s="148">
        <f t="shared" ref="O1039:S1039" si="1332">N1039</f>
        <v>-6.0000000000000001E-3</v>
      </c>
      <c r="P1039" s="148">
        <f t="shared" si="1332"/>
        <v>-6.0000000000000001E-3</v>
      </c>
      <c r="Q1039" s="148">
        <f t="shared" si="1332"/>
        <v>-6.0000000000000001E-3</v>
      </c>
      <c r="R1039" s="148">
        <f t="shared" si="1332"/>
        <v>-6.0000000000000001E-3</v>
      </c>
      <c r="S1039" s="148">
        <f t="shared" si="1332"/>
        <v>-6.0000000000000001E-3</v>
      </c>
      <c r="U1039" s="1515"/>
      <c r="V1039" s="1515"/>
      <c r="W1039" s="1515"/>
      <c r="X1039" s="1515"/>
      <c r="Y1039" s="1515"/>
      <c r="Z1039" s="1515"/>
      <c r="AA1039" s="1515"/>
      <c r="AB1039" s="1321"/>
      <c r="AC1039" s="1"/>
      <c r="AD1039" s="1"/>
      <c r="AE1039" s="1"/>
      <c r="AF1039" s="1"/>
      <c r="AG1039" s="1"/>
      <c r="AH1039" s="1"/>
      <c r="AI1039" s="1"/>
      <c r="AJ1039" s="1321"/>
      <c r="AK1039" s="1515"/>
      <c r="AL1039" s="1515"/>
      <c r="AM1039" s="1515"/>
      <c r="AN1039" s="1515"/>
      <c r="AO1039" s="1515"/>
      <c r="AP1039" s="1515"/>
      <c r="AQ1039" s="1515"/>
    </row>
    <row r="1040" spans="1:43" s="675" customFormat="1">
      <c r="A1040" s="1"/>
      <c r="B1040" s="1"/>
      <c r="C1040" s="1" t="s">
        <v>1003</v>
      </c>
      <c r="D1040" s="1"/>
      <c r="E1040" s="1"/>
      <c r="F1040" s="1"/>
      <c r="G1040" s="1"/>
      <c r="H1040" s="394">
        <v>-2668</v>
      </c>
      <c r="I1040" s="394">
        <v>-2799</v>
      </c>
      <c r="J1040" s="394">
        <v>-6499</v>
      </c>
      <c r="K1040" s="394">
        <v>-1511</v>
      </c>
      <c r="L1040" s="394">
        <v>-10495.06422</v>
      </c>
      <c r="M1040" s="394">
        <v>3442.8525800000002</v>
      </c>
      <c r="N1040" s="20">
        <f>N1041*N$14</f>
        <v>0</v>
      </c>
      <c r="O1040" s="20">
        <f t="shared" ref="O1040:S1040" si="1333">O1041*O$14</f>
        <v>0</v>
      </c>
      <c r="P1040" s="20">
        <f t="shared" si="1333"/>
        <v>0</v>
      </c>
      <c r="Q1040" s="20">
        <f t="shared" si="1333"/>
        <v>0</v>
      </c>
      <c r="R1040" s="20">
        <f t="shared" si="1333"/>
        <v>0</v>
      </c>
      <c r="S1040" s="20">
        <f t="shared" si="1333"/>
        <v>0</v>
      </c>
      <c r="U1040" s="1515"/>
      <c r="V1040" s="1515"/>
      <c r="W1040" s="1515"/>
      <c r="X1040" s="1515"/>
      <c r="Y1040" s="1515"/>
      <c r="Z1040" s="1515"/>
      <c r="AA1040" s="1515"/>
      <c r="AB1040" s="1321"/>
      <c r="AC1040" s="1"/>
      <c r="AD1040" s="1"/>
      <c r="AE1040" s="1"/>
      <c r="AF1040" s="1"/>
      <c r="AG1040" s="1"/>
      <c r="AH1040" s="1"/>
      <c r="AI1040" s="1"/>
      <c r="AJ1040" s="1321"/>
      <c r="AK1040" s="1515"/>
      <c r="AL1040" s="1515"/>
      <c r="AM1040" s="1515"/>
      <c r="AN1040" s="1515"/>
      <c r="AO1040" s="1515"/>
      <c r="AP1040" s="1515"/>
      <c r="AQ1040" s="1515"/>
    </row>
    <row r="1041" spans="1:43" s="675" customFormat="1">
      <c r="A1041" s="1"/>
      <c r="B1041" s="18"/>
      <c r="C1041" s="1"/>
      <c r="D1041" s="22" t="s">
        <v>130</v>
      </c>
      <c r="E1041" s="1"/>
      <c r="F1041" s="1"/>
      <c r="G1041" s="1"/>
      <c r="H1041" s="56">
        <f>H1040/H$14</f>
        <v>-1.8436109738851122E-3</v>
      </c>
      <c r="I1041" s="56">
        <f t="shared" si="1330"/>
        <v>-1.6849900516268455E-3</v>
      </c>
      <c r="J1041" s="56">
        <f t="shared" si="1330"/>
        <v>-3.6056034165268818E-3</v>
      </c>
      <c r="K1041" s="56">
        <f t="shared" si="1330"/>
        <v>-7.5732838004151522E-4</v>
      </c>
      <c r="L1041" s="56">
        <f t="shared" si="1330"/>
        <v>-4.3205027205540829E-3</v>
      </c>
      <c r="M1041" s="56">
        <f t="shared" si="1330"/>
        <v>2.3969820088551156E-3</v>
      </c>
      <c r="N1041" s="148">
        <v>0</v>
      </c>
      <c r="O1041" s="148">
        <f t="shared" ref="O1041:S1041" si="1334">N1041</f>
        <v>0</v>
      </c>
      <c r="P1041" s="148">
        <f t="shared" si="1334"/>
        <v>0</v>
      </c>
      <c r="Q1041" s="148">
        <f t="shared" si="1334"/>
        <v>0</v>
      </c>
      <c r="R1041" s="148">
        <f t="shared" si="1334"/>
        <v>0</v>
      </c>
      <c r="S1041" s="148">
        <f t="shared" si="1334"/>
        <v>0</v>
      </c>
      <c r="U1041" s="1515"/>
      <c r="V1041" s="1515"/>
      <c r="W1041" s="1515"/>
      <c r="X1041" s="1515"/>
      <c r="Y1041" s="1515"/>
      <c r="Z1041" s="1515"/>
      <c r="AA1041" s="1515"/>
      <c r="AB1041" s="1321"/>
      <c r="AC1041" s="1"/>
      <c r="AD1041" s="1"/>
      <c r="AE1041" s="1"/>
      <c r="AF1041" s="1"/>
      <c r="AG1041" s="1"/>
      <c r="AH1041" s="1"/>
      <c r="AI1041" s="1"/>
      <c r="AJ1041" s="1321"/>
      <c r="AK1041" s="1515"/>
      <c r="AL1041" s="1515"/>
      <c r="AM1041" s="1515"/>
      <c r="AN1041" s="1515"/>
      <c r="AO1041" s="1515"/>
      <c r="AP1041" s="1515"/>
      <c r="AQ1041" s="1515"/>
    </row>
    <row r="1042" spans="1:43" s="675" customFormat="1">
      <c r="A1042" s="1"/>
      <c r="B1042" s="1"/>
      <c r="C1042" s="1" t="s">
        <v>1014</v>
      </c>
      <c r="D1042" s="1"/>
      <c r="E1042" s="1"/>
      <c r="F1042" s="1"/>
      <c r="G1042" s="1"/>
      <c r="H1042" s="394">
        <v>23307</v>
      </c>
      <c r="I1042" s="394">
        <v>2321</v>
      </c>
      <c r="J1042" s="394">
        <v>3192</v>
      </c>
      <c r="K1042" s="394">
        <v>13371</v>
      </c>
      <c r="L1042" s="394">
        <v>15835.01845</v>
      </c>
      <c r="M1042" s="394">
        <v>11770.276316000001</v>
      </c>
      <c r="N1042" s="20">
        <f>N1043*N$14</f>
        <v>16410.045694111428</v>
      </c>
      <c r="O1042" s="20">
        <f t="shared" ref="O1042:S1042" si="1335">O1043*O$14</f>
        <v>18772.827323106532</v>
      </c>
      <c r="P1042" s="20">
        <f t="shared" si="1335"/>
        <v>21480.668390717005</v>
      </c>
      <c r="Q1042" s="20">
        <f t="shared" si="1335"/>
        <v>24452.256906359969</v>
      </c>
      <c r="R1042" s="20">
        <f t="shared" si="1335"/>
        <v>27721.400072839308</v>
      </c>
      <c r="S1042" s="20">
        <f t="shared" si="1335"/>
        <v>31114.384172256538</v>
      </c>
      <c r="U1042" s="1515"/>
      <c r="V1042" s="1515"/>
      <c r="W1042" s="1515"/>
      <c r="X1042" s="1515"/>
      <c r="Y1042" s="1515"/>
      <c r="Z1042" s="1515"/>
      <c r="AA1042" s="1515"/>
      <c r="AB1042" s="1321"/>
      <c r="AC1042" s="1"/>
      <c r="AD1042" s="1"/>
      <c r="AE1042" s="1"/>
      <c r="AF1042" s="1"/>
      <c r="AG1042" s="1"/>
      <c r="AH1042" s="1"/>
      <c r="AI1042" s="1"/>
      <c r="AJ1042" s="1321"/>
      <c r="AK1042" s="1515"/>
      <c r="AL1042" s="1515"/>
      <c r="AM1042" s="1515"/>
      <c r="AN1042" s="1515"/>
      <c r="AO1042" s="1515"/>
      <c r="AP1042" s="1515"/>
      <c r="AQ1042" s="1515"/>
    </row>
    <row r="1043" spans="1:43" s="675" customFormat="1">
      <c r="A1043" s="1"/>
      <c r="B1043" s="18"/>
      <c r="C1043" s="1"/>
      <c r="D1043" s="22" t="s">
        <v>130</v>
      </c>
      <c r="E1043" s="1"/>
      <c r="F1043" s="1"/>
      <c r="G1043" s="1"/>
      <c r="H1043" s="56">
        <f>H1042/H$14</f>
        <v>1.6105337694280474E-2</v>
      </c>
      <c r="I1043" s="56">
        <f t="shared" si="1330"/>
        <v>1.3972354090124716E-3</v>
      </c>
      <c r="J1043" s="56">
        <f t="shared" si="1330"/>
        <v>1.7709010779433461E-3</v>
      </c>
      <c r="K1043" s="56">
        <f t="shared" si="1330"/>
        <v>6.7016795298048314E-3</v>
      </c>
      <c r="L1043" s="56">
        <f t="shared" si="1330"/>
        <v>6.5188014917405713E-3</v>
      </c>
      <c r="M1043" s="56">
        <f t="shared" si="1330"/>
        <v>8.1946989925155249E-3</v>
      </c>
      <c r="N1043" s="148">
        <f>L1043</f>
        <v>6.5188014917405713E-3</v>
      </c>
      <c r="O1043" s="148">
        <f t="shared" ref="O1043:S1043" si="1336">N1043</f>
        <v>6.5188014917405713E-3</v>
      </c>
      <c r="P1043" s="148">
        <f t="shared" si="1336"/>
        <v>6.5188014917405713E-3</v>
      </c>
      <c r="Q1043" s="148">
        <f t="shared" si="1336"/>
        <v>6.5188014917405713E-3</v>
      </c>
      <c r="R1043" s="148">
        <f t="shared" si="1336"/>
        <v>6.5188014917405713E-3</v>
      </c>
      <c r="S1043" s="148">
        <f t="shared" si="1336"/>
        <v>6.5188014917405713E-3</v>
      </c>
      <c r="U1043" s="1515"/>
      <c r="V1043" s="1515"/>
      <c r="W1043" s="1515"/>
      <c r="X1043" s="1515"/>
      <c r="Y1043" s="1515"/>
      <c r="Z1043" s="1515"/>
      <c r="AA1043" s="1515"/>
      <c r="AB1043" s="1321"/>
      <c r="AC1043" s="1"/>
      <c r="AD1043" s="1"/>
      <c r="AE1043" s="1"/>
      <c r="AF1043" s="1"/>
      <c r="AG1043" s="1"/>
      <c r="AH1043" s="1"/>
      <c r="AI1043" s="1"/>
      <c r="AJ1043" s="1321"/>
      <c r="AK1043" s="1515"/>
      <c r="AL1043" s="1515"/>
      <c r="AM1043" s="1515"/>
      <c r="AN1043" s="1515"/>
      <c r="AO1043" s="1515"/>
      <c r="AP1043" s="1515"/>
      <c r="AQ1043" s="1515"/>
    </row>
    <row r="1044" spans="1:43" s="675" customFormat="1">
      <c r="A1044" s="1"/>
      <c r="B1044" s="1"/>
      <c r="C1044" s="1" t="s">
        <v>73</v>
      </c>
      <c r="D1044" s="1"/>
      <c r="E1044" s="1"/>
      <c r="F1044" s="1"/>
      <c r="G1044" s="1"/>
      <c r="H1044" s="394">
        <v>14158</v>
      </c>
      <c r="I1044" s="394">
        <v>21312</v>
      </c>
      <c r="J1044" s="394">
        <v>9124</v>
      </c>
      <c r="K1044" s="394">
        <v>9887</v>
      </c>
      <c r="L1044" s="394">
        <v>14243.09729</v>
      </c>
      <c r="M1044" s="394">
        <v>8651.2149599999993</v>
      </c>
      <c r="N1044" s="20">
        <f>N1045*N$14</f>
        <v>14760.316073681281</v>
      </c>
      <c r="O1044" s="20">
        <f t="shared" ref="O1044:S1044" si="1337">O1045*O$14</f>
        <v>16885.563273301814</v>
      </c>
      <c r="P1044" s="20">
        <f t="shared" si="1337"/>
        <v>19321.180503153129</v>
      </c>
      <c r="Q1044" s="20">
        <f t="shared" si="1337"/>
        <v>21994.030204452301</v>
      </c>
      <c r="R1044" s="20">
        <f t="shared" si="1337"/>
        <v>24934.520884783899</v>
      </c>
      <c r="S1044" s="20">
        <f t="shared" si="1337"/>
        <v>27986.402559820574</v>
      </c>
      <c r="U1044" s="1515"/>
      <c r="V1044" s="1515"/>
      <c r="W1044" s="1515"/>
      <c r="X1044" s="1515"/>
      <c r="Y1044" s="1515"/>
      <c r="Z1044" s="1515"/>
      <c r="AA1044" s="1515"/>
      <c r="AB1044" s="1321"/>
      <c r="AC1044" s="1"/>
      <c r="AD1044" s="1"/>
      <c r="AE1044" s="1"/>
      <c r="AF1044" s="1"/>
      <c r="AG1044" s="1"/>
      <c r="AH1044" s="1"/>
      <c r="AI1044" s="1"/>
      <c r="AJ1044" s="1321"/>
      <c r="AK1044" s="1515"/>
      <c r="AL1044" s="1515"/>
      <c r="AM1044" s="1515"/>
      <c r="AN1044" s="1515"/>
      <c r="AO1044" s="1515"/>
      <c r="AP1044" s="1515"/>
      <c r="AQ1044" s="1515"/>
    </row>
    <row r="1045" spans="1:43" s="675" customFormat="1">
      <c r="A1045" s="1"/>
      <c r="B1045" s="18"/>
      <c r="C1045" s="1"/>
      <c r="D1045" s="22" t="s">
        <v>130</v>
      </c>
      <c r="E1045" s="1"/>
      <c r="F1045" s="1"/>
      <c r="G1045" s="1"/>
      <c r="H1045" s="56">
        <f>H1044/H$14</f>
        <v>9.7832999131429611E-3</v>
      </c>
      <c r="I1045" s="56">
        <f t="shared" si="1330"/>
        <v>1.2829763479911157E-2</v>
      </c>
      <c r="J1045" s="56">
        <f t="shared" si="1330"/>
        <v>5.0619365398355542E-3</v>
      </c>
      <c r="K1045" s="56">
        <f t="shared" si="1330"/>
        <v>4.9554637283060633E-3</v>
      </c>
      <c r="L1045" s="56">
        <f t="shared" si="1330"/>
        <v>5.8634553634547924E-3</v>
      </c>
      <c r="M1045" s="56">
        <f t="shared" si="1330"/>
        <v>6.0231468330422177E-3</v>
      </c>
      <c r="N1045" s="148">
        <f>L1045</f>
        <v>5.8634553634547924E-3</v>
      </c>
      <c r="O1045" s="148">
        <f t="shared" ref="O1045:S1045" si="1338">N1045</f>
        <v>5.8634553634547924E-3</v>
      </c>
      <c r="P1045" s="148">
        <f t="shared" si="1338"/>
        <v>5.8634553634547924E-3</v>
      </c>
      <c r="Q1045" s="148">
        <f t="shared" si="1338"/>
        <v>5.8634553634547924E-3</v>
      </c>
      <c r="R1045" s="148">
        <f t="shared" si="1338"/>
        <v>5.8634553634547924E-3</v>
      </c>
      <c r="S1045" s="148">
        <f t="shared" si="1338"/>
        <v>5.8634553634547924E-3</v>
      </c>
      <c r="U1045" s="1515"/>
      <c r="V1045" s="1515"/>
      <c r="W1045" s="1515"/>
      <c r="X1045" s="1515"/>
      <c r="Y1045" s="1515"/>
      <c r="Z1045" s="1515"/>
      <c r="AA1045" s="1515"/>
      <c r="AB1045" s="1321"/>
      <c r="AC1045" s="1"/>
      <c r="AD1045" s="1"/>
      <c r="AE1045" s="1"/>
      <c r="AF1045" s="1"/>
      <c r="AG1045" s="1"/>
      <c r="AH1045" s="1"/>
      <c r="AI1045" s="1"/>
      <c r="AJ1045" s="1321"/>
      <c r="AK1045" s="1515"/>
      <c r="AL1045" s="1515"/>
      <c r="AM1045" s="1515"/>
      <c r="AN1045" s="1515"/>
      <c r="AO1045" s="1515"/>
      <c r="AP1045" s="1515"/>
      <c r="AQ1045" s="1515"/>
    </row>
    <row r="1046" spans="1:43" s="675" customFormat="1">
      <c r="A1046" s="1"/>
      <c r="B1046" s="1"/>
      <c r="C1046" s="1"/>
      <c r="D1046" s="1"/>
      <c r="E1046" s="1"/>
      <c r="F1046" s="1"/>
      <c r="G1046" s="1"/>
      <c r="H1046" s="21"/>
      <c r="I1046" s="21"/>
      <c r="J1046" s="21"/>
      <c r="K1046" s="21"/>
      <c r="L1046" s="1"/>
      <c r="M1046" s="1"/>
      <c r="N1046" s="1"/>
      <c r="O1046" s="1"/>
      <c r="P1046" s="1"/>
      <c r="Q1046" s="1"/>
      <c r="R1046" s="1"/>
      <c r="S1046" s="1"/>
      <c r="U1046" s="1515"/>
      <c r="V1046" s="1515"/>
      <c r="W1046" s="1515"/>
      <c r="X1046" s="1515"/>
      <c r="Y1046" s="1515"/>
      <c r="Z1046" s="1515"/>
      <c r="AA1046" s="1515"/>
      <c r="AB1046" s="1321"/>
      <c r="AC1046" s="1"/>
      <c r="AD1046" s="1"/>
      <c r="AE1046" s="1"/>
      <c r="AF1046" s="1"/>
      <c r="AG1046" s="1"/>
      <c r="AH1046" s="1"/>
      <c r="AI1046" s="1"/>
      <c r="AJ1046" s="1321"/>
      <c r="AK1046" s="1515"/>
      <c r="AL1046" s="1515"/>
      <c r="AM1046" s="1515"/>
      <c r="AN1046" s="1515"/>
      <c r="AO1046" s="1515"/>
      <c r="AP1046" s="1515"/>
      <c r="AQ1046" s="1515"/>
    </row>
    <row r="1047" spans="1:43" s="675" customFormat="1">
      <c r="A1047" s="1"/>
      <c r="B1047" s="18" t="s">
        <v>74</v>
      </c>
      <c r="C1047" s="1"/>
      <c r="D1047" s="1"/>
      <c r="E1047" s="1"/>
      <c r="F1047" s="1"/>
      <c r="G1047" s="1"/>
      <c r="H1047" s="23">
        <f t="shared" ref="H1047:S1047" si="1339">H23+H993+H1036+H1033</f>
        <v>-60419.030899999896</v>
      </c>
      <c r="I1047" s="23">
        <f t="shared" si="1339"/>
        <v>121142.20392567088</v>
      </c>
      <c r="J1047" s="23">
        <f t="shared" si="1339"/>
        <v>241541.22149023786</v>
      </c>
      <c r="K1047" s="23">
        <f t="shared" si="1339"/>
        <v>343496.5</v>
      </c>
      <c r="L1047" s="23">
        <f t="shared" si="1339"/>
        <v>380273.42952864204</v>
      </c>
      <c r="M1047" s="23">
        <f t="shared" si="1339"/>
        <v>191486.62809860701</v>
      </c>
      <c r="N1047" s="23">
        <f t="shared" si="1339"/>
        <v>320770.87045124592</v>
      </c>
      <c r="O1047" s="23">
        <f t="shared" ca="1" si="1339"/>
        <v>449876.11597179517</v>
      </c>
      <c r="P1047" s="23">
        <f t="shared" ca="1" si="1339"/>
        <v>559461.87964802468</v>
      </c>
      <c r="Q1047" s="23">
        <f t="shared" ca="1" si="1339"/>
        <v>680276.2221991152</v>
      </c>
      <c r="R1047" s="23">
        <f t="shared" ca="1" si="1339"/>
        <v>800031.02377154352</v>
      </c>
      <c r="S1047" s="23">
        <f t="shared" ca="1" si="1339"/>
        <v>924626.12282364874</v>
      </c>
      <c r="U1047" s="1515"/>
      <c r="V1047" s="1515"/>
      <c r="W1047" s="1515"/>
      <c r="X1047" s="1515"/>
      <c r="Y1047" s="1515"/>
      <c r="Z1047" s="1515"/>
      <c r="AA1047" s="1515"/>
      <c r="AB1047" s="1321"/>
      <c r="AC1047" s="1"/>
      <c r="AD1047" s="1"/>
      <c r="AE1047" s="1"/>
      <c r="AF1047" s="1"/>
      <c r="AG1047" s="1"/>
      <c r="AH1047" s="1"/>
      <c r="AI1047" s="1"/>
      <c r="AJ1047" s="1321"/>
      <c r="AK1047" s="1515"/>
      <c r="AL1047" s="1515"/>
      <c r="AM1047" s="1515"/>
      <c r="AN1047" s="1515"/>
      <c r="AO1047" s="1515"/>
      <c r="AP1047" s="1515"/>
      <c r="AQ1047" s="1515"/>
    </row>
    <row r="1048" spans="1:43" s="675" customFormat="1">
      <c r="A1048" s="1"/>
      <c r="B1048" s="1"/>
      <c r="C1048" s="1" t="s">
        <v>75</v>
      </c>
      <c r="D1048" s="1"/>
      <c r="E1048" s="1"/>
      <c r="F1048" s="1"/>
      <c r="G1048" s="1"/>
      <c r="H1048" s="394">
        <v>0</v>
      </c>
      <c r="I1048" s="394">
        <v>0</v>
      </c>
      <c r="J1048" s="394">
        <v>0</v>
      </c>
      <c r="K1048" s="394">
        <v>0</v>
      </c>
      <c r="L1048" s="394">
        <v>0</v>
      </c>
      <c r="M1048" s="394">
        <v>0</v>
      </c>
      <c r="N1048" s="80">
        <f>L1048</f>
        <v>0</v>
      </c>
      <c r="O1048" s="80">
        <f t="shared" ref="O1048:S1048" si="1340">N1048</f>
        <v>0</v>
      </c>
      <c r="P1048" s="80">
        <f t="shared" si="1340"/>
        <v>0</v>
      </c>
      <c r="Q1048" s="80">
        <f t="shared" si="1340"/>
        <v>0</v>
      </c>
      <c r="R1048" s="80">
        <f t="shared" si="1340"/>
        <v>0</v>
      </c>
      <c r="S1048" s="80">
        <f t="shared" si="1340"/>
        <v>0</v>
      </c>
      <c r="U1048" s="1515"/>
      <c r="V1048" s="1515"/>
      <c r="W1048" s="1515"/>
      <c r="X1048" s="1515"/>
      <c r="Y1048" s="1515"/>
      <c r="Z1048" s="1515"/>
      <c r="AA1048" s="1515"/>
      <c r="AB1048" s="1321"/>
      <c r="AC1048" s="1"/>
      <c r="AD1048" s="1"/>
      <c r="AE1048" s="1"/>
      <c r="AF1048" s="1"/>
      <c r="AG1048" s="1"/>
      <c r="AH1048" s="1"/>
      <c r="AI1048" s="1"/>
      <c r="AJ1048" s="1321"/>
      <c r="AK1048" s="1515"/>
      <c r="AL1048" s="1515"/>
      <c r="AM1048" s="1515"/>
      <c r="AN1048" s="1515"/>
      <c r="AO1048" s="1515"/>
      <c r="AP1048" s="1515"/>
      <c r="AQ1048" s="1515"/>
    </row>
    <row r="1049" spans="1:43" s="675" customFormat="1">
      <c r="A1049" s="1"/>
      <c r="B1049" s="1"/>
      <c r="C1049" s="1"/>
      <c r="D1049" s="1"/>
      <c r="E1049" s="1"/>
      <c r="F1049" s="1"/>
      <c r="G1049" s="1"/>
      <c r="H1049" s="21"/>
      <c r="I1049" s="21"/>
      <c r="J1049" s="21"/>
      <c r="K1049" s="21"/>
      <c r="L1049" s="1"/>
      <c r="M1049" s="1"/>
      <c r="N1049" s="1"/>
      <c r="O1049" s="1"/>
      <c r="P1049" s="1"/>
      <c r="Q1049" s="1"/>
      <c r="R1049" s="1"/>
      <c r="S1049" s="1"/>
      <c r="U1049" s="1515"/>
      <c r="V1049" s="1515"/>
      <c r="W1049" s="1515"/>
      <c r="X1049" s="1515"/>
      <c r="Y1049" s="1515"/>
      <c r="Z1049" s="1515"/>
      <c r="AA1049" s="1515"/>
      <c r="AB1049" s="1321"/>
      <c r="AC1049" s="1"/>
      <c r="AD1049" s="1"/>
      <c r="AE1049" s="1"/>
      <c r="AF1049" s="1"/>
      <c r="AG1049" s="1"/>
      <c r="AH1049" s="1"/>
      <c r="AI1049" s="1"/>
      <c r="AJ1049" s="1321"/>
      <c r="AK1049" s="1515"/>
      <c r="AL1049" s="1515"/>
      <c r="AM1049" s="1515"/>
      <c r="AN1049" s="1515"/>
      <c r="AO1049" s="1515"/>
      <c r="AP1049" s="1515"/>
      <c r="AQ1049" s="1515"/>
    </row>
    <row r="1050" spans="1:43" s="675" customFormat="1">
      <c r="A1050" s="1"/>
      <c r="B1050" s="18" t="s">
        <v>76</v>
      </c>
      <c r="C1050" s="1"/>
      <c r="D1050" s="1"/>
      <c r="E1050" s="1"/>
      <c r="F1050" s="1"/>
      <c r="G1050" s="1"/>
      <c r="H1050" s="23">
        <f>SUM(H1047:H1048)</f>
        <v>-60419.030899999896</v>
      </c>
      <c r="I1050" s="23">
        <f t="shared" ref="I1050:S1050" si="1341">SUM(I1047:I1048)</f>
        <v>121142.20392567088</v>
      </c>
      <c r="J1050" s="23">
        <f t="shared" si="1341"/>
        <v>241541.22149023786</v>
      </c>
      <c r="K1050" s="23">
        <f t="shared" si="1341"/>
        <v>343496.5</v>
      </c>
      <c r="L1050" s="23">
        <f t="shared" si="1341"/>
        <v>380273.42952864204</v>
      </c>
      <c r="M1050" s="23">
        <f t="shared" si="1341"/>
        <v>191486.62809860701</v>
      </c>
      <c r="N1050" s="23">
        <f t="shared" si="1341"/>
        <v>320770.87045124592</v>
      </c>
      <c r="O1050" s="23">
        <f t="shared" ca="1" si="1341"/>
        <v>449876.11597179517</v>
      </c>
      <c r="P1050" s="23">
        <f t="shared" ca="1" si="1341"/>
        <v>559461.87964802468</v>
      </c>
      <c r="Q1050" s="23">
        <f t="shared" ca="1" si="1341"/>
        <v>680276.2221991152</v>
      </c>
      <c r="R1050" s="23">
        <f t="shared" ca="1" si="1341"/>
        <v>800031.02377154352</v>
      </c>
      <c r="S1050" s="23">
        <f t="shared" ca="1" si="1341"/>
        <v>924626.12282364874</v>
      </c>
      <c r="U1050" s="1515"/>
      <c r="V1050" s="1515"/>
      <c r="W1050" s="1515"/>
      <c r="X1050" s="1515"/>
      <c r="Y1050" s="1515"/>
      <c r="Z1050" s="1515"/>
      <c r="AA1050" s="1515"/>
      <c r="AB1050" s="1321"/>
      <c r="AC1050" s="1"/>
      <c r="AD1050" s="1"/>
      <c r="AE1050" s="1"/>
      <c r="AF1050" s="1"/>
      <c r="AG1050" s="1"/>
      <c r="AH1050" s="1"/>
      <c r="AI1050" s="1"/>
      <c r="AJ1050" s="1321"/>
      <c r="AK1050" s="1515"/>
      <c r="AL1050" s="1515"/>
      <c r="AM1050" s="1515"/>
      <c r="AN1050" s="1515"/>
      <c r="AO1050" s="1515"/>
      <c r="AP1050" s="1515"/>
      <c r="AQ1050" s="1515"/>
    </row>
    <row r="1051" spans="1:43" s="675" customFormat="1">
      <c r="A1051" s="1"/>
      <c r="B1051" s="1"/>
      <c r="C1051" s="1" t="s">
        <v>77</v>
      </c>
      <c r="D1051" s="1"/>
      <c r="E1051" s="1"/>
      <c r="F1051" s="1"/>
      <c r="G1051" s="1"/>
      <c r="H1051" s="394">
        <v>14648</v>
      </c>
      <c r="I1051" s="394">
        <v>-18759.400000000001</v>
      </c>
      <c r="J1051" s="394">
        <v>-25481</v>
      </c>
      <c r="K1051" s="394">
        <v>-48139</v>
      </c>
      <c r="L1051" s="394">
        <v>-53085.00664</v>
      </c>
      <c r="M1051" s="394">
        <v>-20346.989959999999</v>
      </c>
      <c r="N1051" s="20">
        <f t="shared" ref="N1051:S1051" si="1342">-N1052*N1050</f>
        <v>-48115.630567686887</v>
      </c>
      <c r="O1051" s="20">
        <f t="shared" ca="1" si="1342"/>
        <v>-67481.417395769269</v>
      </c>
      <c r="P1051" s="20">
        <f t="shared" ca="1" si="1342"/>
        <v>-83919.281947203694</v>
      </c>
      <c r="Q1051" s="20">
        <f t="shared" ca="1" si="1342"/>
        <v>-102041.43332986727</v>
      </c>
      <c r="R1051" s="20">
        <f t="shared" ca="1" si="1342"/>
        <v>-120004.65356573153</v>
      </c>
      <c r="S1051" s="20">
        <f t="shared" ca="1" si="1342"/>
        <v>-138693.91842354729</v>
      </c>
      <c r="U1051" s="1515"/>
      <c r="V1051" s="1515"/>
      <c r="W1051" s="1515"/>
      <c r="X1051" s="1515"/>
      <c r="Y1051" s="1515"/>
      <c r="Z1051" s="1515"/>
      <c r="AA1051" s="1515"/>
      <c r="AB1051" s="1321"/>
      <c r="AC1051" s="1"/>
      <c r="AD1051" s="1"/>
      <c r="AE1051" s="1"/>
      <c r="AF1051" s="1"/>
      <c r="AG1051" s="1"/>
      <c r="AH1051" s="1"/>
      <c r="AI1051" s="1"/>
      <c r="AJ1051" s="1321"/>
      <c r="AK1051" s="1515"/>
      <c r="AL1051" s="1515"/>
      <c r="AM1051" s="1515"/>
      <c r="AN1051" s="1515"/>
      <c r="AO1051" s="1515"/>
      <c r="AP1051" s="1515"/>
      <c r="AQ1051" s="1515"/>
    </row>
    <row r="1052" spans="1:43" s="675" customFormat="1">
      <c r="A1052" s="1"/>
      <c r="B1052" s="1"/>
      <c r="C1052" s="22" t="s">
        <v>349</v>
      </c>
      <c r="D1052" s="1"/>
      <c r="E1052" s="1"/>
      <c r="F1052" s="1"/>
      <c r="G1052" s="1"/>
      <c r="H1052" s="94">
        <f>-H1051/H1050</f>
        <v>0.24244016797032117</v>
      </c>
      <c r="I1052" s="94">
        <f t="shared" ref="I1052:M1052" si="1343">-I1051/I1050</f>
        <v>0.15485437272967389</v>
      </c>
      <c r="J1052" s="94">
        <f t="shared" si="1343"/>
        <v>0.10549338056166881</v>
      </c>
      <c r="K1052" s="94">
        <f t="shared" si="1343"/>
        <v>0.14014407715944704</v>
      </c>
      <c r="L1052" s="94">
        <f t="shared" si="1343"/>
        <v>0.13959693872327639</v>
      </c>
      <c r="M1052" s="94">
        <f t="shared" si="1343"/>
        <v>0.10625802000922077</v>
      </c>
      <c r="N1052" s="148">
        <v>0.15</v>
      </c>
      <c r="O1052" s="148">
        <f t="shared" ref="O1052:S1052" si="1344">N1052</f>
        <v>0.15</v>
      </c>
      <c r="P1052" s="148">
        <f t="shared" si="1344"/>
        <v>0.15</v>
      </c>
      <c r="Q1052" s="148">
        <f t="shared" si="1344"/>
        <v>0.15</v>
      </c>
      <c r="R1052" s="148">
        <f t="shared" si="1344"/>
        <v>0.15</v>
      </c>
      <c r="S1052" s="148">
        <f t="shared" si="1344"/>
        <v>0.15</v>
      </c>
      <c r="U1052" s="1515"/>
      <c r="V1052" s="1515"/>
      <c r="W1052" s="1515"/>
      <c r="X1052" s="1515"/>
      <c r="Y1052" s="1515"/>
      <c r="Z1052" s="1515"/>
      <c r="AA1052" s="1515"/>
      <c r="AB1052" s="1321"/>
      <c r="AC1052" s="1"/>
      <c r="AD1052" s="1"/>
      <c r="AE1052" s="1"/>
      <c r="AF1052" s="1"/>
      <c r="AG1052" s="1"/>
      <c r="AH1052" s="1"/>
      <c r="AI1052" s="1"/>
      <c r="AJ1052" s="1321"/>
      <c r="AK1052" s="1515"/>
      <c r="AL1052" s="1515"/>
      <c r="AM1052" s="1515"/>
      <c r="AN1052" s="1515"/>
      <c r="AO1052" s="1515"/>
      <c r="AP1052" s="1515"/>
      <c r="AQ1052" s="1515"/>
    </row>
    <row r="1053" spans="1:43" s="675" customFormat="1" ht="15" thickBot="1">
      <c r="A1053" s="1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U1053" s="1515"/>
      <c r="V1053" s="1515"/>
      <c r="W1053" s="1515"/>
      <c r="X1053" s="1515"/>
      <c r="Y1053" s="1515"/>
      <c r="Z1053" s="1515"/>
      <c r="AA1053" s="1515"/>
      <c r="AB1053" s="1321"/>
      <c r="AC1053" s="1"/>
      <c r="AD1053" s="1"/>
      <c r="AE1053" s="1"/>
      <c r="AF1053" s="1"/>
      <c r="AG1053" s="1"/>
      <c r="AH1053" s="1"/>
      <c r="AI1053" s="1"/>
      <c r="AJ1053" s="1321"/>
      <c r="AK1053" s="1515"/>
      <c r="AL1053" s="1515"/>
      <c r="AM1053" s="1515"/>
      <c r="AN1053" s="1515"/>
      <c r="AO1053" s="1515"/>
      <c r="AP1053" s="1515"/>
      <c r="AQ1053" s="1515"/>
    </row>
    <row r="1054" spans="1:43" s="675" customFormat="1" ht="15" thickBot="1">
      <c r="A1054" s="1"/>
      <c r="B1054" s="63" t="s">
        <v>78</v>
      </c>
      <c r="C1054" s="37"/>
      <c r="D1054" s="37"/>
      <c r="E1054" s="37"/>
      <c r="F1054" s="37"/>
      <c r="G1054" s="37"/>
      <c r="H1054" s="64">
        <f>SUM(H1050:H1051)</f>
        <v>-45771.030899999896</v>
      </c>
      <c r="I1054" s="64">
        <f t="shared" ref="I1054:S1054" si="1345">SUM(I1050:I1051)</f>
        <v>102382.80392567089</v>
      </c>
      <c r="J1054" s="64">
        <f t="shared" si="1345"/>
        <v>216060.22149023786</v>
      </c>
      <c r="K1054" s="64">
        <f t="shared" si="1345"/>
        <v>295357.5</v>
      </c>
      <c r="L1054" s="64">
        <f t="shared" si="1345"/>
        <v>327188.42288864206</v>
      </c>
      <c r="M1054" s="64">
        <f t="shared" si="1345"/>
        <v>171139.638138607</v>
      </c>
      <c r="N1054" s="64">
        <f t="shared" si="1345"/>
        <v>272655.23988355906</v>
      </c>
      <c r="O1054" s="64">
        <f t="shared" ca="1" si="1345"/>
        <v>382394.6985760259</v>
      </c>
      <c r="P1054" s="64">
        <f t="shared" ca="1" si="1345"/>
        <v>475542.597700821</v>
      </c>
      <c r="Q1054" s="64">
        <f t="shared" ca="1" si="1345"/>
        <v>578234.78886924789</v>
      </c>
      <c r="R1054" s="64">
        <f t="shared" ca="1" si="1345"/>
        <v>680026.37020581204</v>
      </c>
      <c r="S1054" s="64">
        <f t="shared" ca="1" si="1345"/>
        <v>785932.20440010144</v>
      </c>
      <c r="U1054" s="1515"/>
      <c r="V1054" s="1515"/>
      <c r="W1054" s="1515"/>
      <c r="X1054" s="1515"/>
      <c r="Y1054" s="1515"/>
      <c r="Z1054" s="1515"/>
      <c r="AA1054" s="1515"/>
      <c r="AB1054" s="1321"/>
      <c r="AC1054" s="1"/>
      <c r="AD1054" s="1"/>
      <c r="AE1054" s="1"/>
      <c r="AF1054" s="1"/>
      <c r="AG1054" s="1"/>
      <c r="AH1054" s="1"/>
      <c r="AI1054" s="1"/>
      <c r="AJ1054" s="1321"/>
      <c r="AK1054" s="1515"/>
      <c r="AL1054" s="1515"/>
      <c r="AM1054" s="1515"/>
      <c r="AN1054" s="1515"/>
      <c r="AO1054" s="1515"/>
      <c r="AP1054" s="1515"/>
      <c r="AQ1054" s="1515"/>
    </row>
    <row r="1055" spans="1:43">
      <c r="H1055" s="21"/>
      <c r="I1055" s="21"/>
      <c r="J1055" s="21"/>
      <c r="K1055" s="21"/>
    </row>
    <row r="1056" spans="1:43" s="1125" customFormat="1">
      <c r="A1056" s="10" t="s">
        <v>8</v>
      </c>
      <c r="B1056" s="10"/>
      <c r="C1056" s="10" t="s">
        <v>79</v>
      </c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103"/>
      <c r="U1056" s="1515"/>
      <c r="V1056" s="1515"/>
      <c r="W1056" s="1515"/>
      <c r="X1056" s="1515"/>
      <c r="Y1056" s="1515"/>
      <c r="Z1056" s="1515"/>
      <c r="AA1056" s="1515"/>
      <c r="AC1056" s="62"/>
      <c r="AD1056" s="62"/>
      <c r="AE1056" s="62"/>
      <c r="AF1056" s="62"/>
      <c r="AG1056" s="62"/>
      <c r="AH1056" s="62"/>
      <c r="AI1056" s="96"/>
      <c r="AK1056" s="1515"/>
      <c r="AL1056" s="1515"/>
      <c r="AM1056" s="1515"/>
      <c r="AN1056" s="1515"/>
      <c r="AO1056" s="1515"/>
      <c r="AP1056" s="1515"/>
      <c r="AQ1056" s="1515"/>
    </row>
    <row r="1058" spans="1:43">
      <c r="C1058" s="1" t="s">
        <v>608</v>
      </c>
      <c r="H1058" s="20">
        <f>H1059+H1060</f>
        <v>36390</v>
      </c>
      <c r="I1058" s="20">
        <f t="shared" ref="I1058:K1058" si="1346">I1059+I1060</f>
        <v>48612</v>
      </c>
      <c r="J1058" s="20">
        <f t="shared" si="1346"/>
        <v>31481</v>
      </c>
      <c r="K1058" s="20">
        <f t="shared" si="1346"/>
        <v>32347</v>
      </c>
      <c r="L1058" s="394">
        <v>37238.479602964901</v>
      </c>
      <c r="M1058" s="394">
        <v>25957.662418934007</v>
      </c>
      <c r="N1058" s="20">
        <f t="shared" ref="N1058:S1058" si="1347">-N1033</f>
        <v>71514.422952749999</v>
      </c>
      <c r="O1058" s="20">
        <f t="shared" ca="1" si="1347"/>
        <v>53722.915057800004</v>
      </c>
      <c r="P1058" s="20">
        <f t="shared" ca="1" si="1347"/>
        <v>50615.196907799997</v>
      </c>
      <c r="Q1058" s="20">
        <f t="shared" ca="1" si="1347"/>
        <v>40952.557898799998</v>
      </c>
      <c r="R1058" s="20">
        <f t="shared" ca="1" si="1347"/>
        <v>38135.180198800001</v>
      </c>
      <c r="S1058" s="20">
        <f t="shared" ca="1" si="1347"/>
        <v>35317.802498799996</v>
      </c>
    </row>
    <row r="1059" spans="1:43">
      <c r="D1059" s="1" t="s">
        <v>80</v>
      </c>
      <c r="H1059" s="394">
        <v>49936</v>
      </c>
      <c r="I1059" s="394">
        <v>57612</v>
      </c>
      <c r="J1059" s="394">
        <v>47531</v>
      </c>
      <c r="K1059" s="394">
        <v>46792</v>
      </c>
      <c r="L1059" s="394"/>
      <c r="M1059" s="394"/>
      <c r="N1059" s="119"/>
      <c r="O1059" s="119"/>
      <c r="P1059" s="119"/>
      <c r="Q1059" s="119"/>
      <c r="R1059" s="119"/>
      <c r="S1059" s="119"/>
    </row>
    <row r="1060" spans="1:43">
      <c r="D1060" s="1" t="s">
        <v>81</v>
      </c>
      <c r="H1060" s="394">
        <v>-13546</v>
      </c>
      <c r="I1060" s="394">
        <v>-9000</v>
      </c>
      <c r="J1060" s="394">
        <v>-16050</v>
      </c>
      <c r="K1060" s="394">
        <v>-14445</v>
      </c>
      <c r="L1060" s="394"/>
      <c r="M1060" s="394"/>
      <c r="N1060" s="119"/>
      <c r="O1060" s="119"/>
      <c r="P1060" s="119"/>
      <c r="Q1060" s="119"/>
      <c r="R1060" s="119"/>
      <c r="S1060" s="119"/>
    </row>
    <row r="1061" spans="1:43">
      <c r="C1061" s="1" t="s">
        <v>82</v>
      </c>
      <c r="H1061" s="394">
        <v>66544</v>
      </c>
      <c r="I1061" s="394">
        <v>67192</v>
      </c>
      <c r="J1061" s="394">
        <v>74704</v>
      </c>
      <c r="K1061" s="394">
        <v>63355</v>
      </c>
      <c r="L1061" s="394">
        <v>76818.404609999998</v>
      </c>
      <c r="M1061" s="394">
        <v>43212.736503005988</v>
      </c>
      <c r="N1061" s="21">
        <f>'固定资产&amp;无形资产'!N10*1000*集团!N9</f>
        <v>99530.123646502834</v>
      </c>
      <c r="O1061" s="21">
        <f>'固定资产&amp;无形资产'!O10*1000*集团!O9</f>
        <v>117492.97850006215</v>
      </c>
      <c r="P1061" s="21">
        <f>'固定资产&amp;无形资产'!P10*1000*集团!P9</f>
        <v>149168.1588389774</v>
      </c>
      <c r="Q1061" s="21">
        <f>'固定资产&amp;无形资产'!Q10*1000*集团!Q9</f>
        <v>160791.37521178421</v>
      </c>
      <c r="R1061" s="21">
        <f>'固定资产&amp;无形资产'!R10*1000*集团!R9</f>
        <v>167473.06822187165</v>
      </c>
      <c r="S1061" s="21">
        <f>'固定资产&amp;无形资产'!S10*1000*集团!S9</f>
        <v>174822.93053296785</v>
      </c>
    </row>
    <row r="1062" spans="1:43" s="1365" customFormat="1">
      <c r="A1062" s="22"/>
      <c r="B1062" s="22"/>
      <c r="C1062" s="22"/>
      <c r="D1062" s="22" t="s">
        <v>83</v>
      </c>
      <c r="E1062" s="22"/>
      <c r="F1062" s="22"/>
      <c r="G1062" s="22"/>
      <c r="H1062" s="65">
        <f t="shared" ref="H1062:S1062" si="1348">H1061/H14</f>
        <v>4.5982477003827175E-2</v>
      </c>
      <c r="I1062" s="65">
        <f t="shared" si="1348"/>
        <v>4.0449393193608789E-2</v>
      </c>
      <c r="J1062" s="65">
        <f t="shared" si="1348"/>
        <v>4.144529891186708E-2</v>
      </c>
      <c r="K1062" s="65">
        <f t="shared" si="1348"/>
        <v>3.175416248678372E-2</v>
      </c>
      <c r="L1062" s="65">
        <f t="shared" si="1348"/>
        <v>3.1623829940330681E-2</v>
      </c>
      <c r="M1062" s="65">
        <f t="shared" si="1348"/>
        <v>3.0085561186329414E-2</v>
      </c>
      <c r="N1062" s="65">
        <f t="shared" si="1348"/>
        <v>3.9537800844318634E-2</v>
      </c>
      <c r="O1062" s="65">
        <f t="shared" si="1348"/>
        <v>4.07990437632441E-2</v>
      </c>
      <c r="P1062" s="65">
        <f t="shared" si="1348"/>
        <v>4.5268499037020071E-2</v>
      </c>
      <c r="Q1062" s="65">
        <f t="shared" si="1348"/>
        <v>4.2865861445982568E-2</v>
      </c>
      <c r="R1062" s="65">
        <f t="shared" si="1348"/>
        <v>3.9381982298244356E-2</v>
      </c>
      <c r="S1062" s="65">
        <f t="shared" si="1348"/>
        <v>3.662730311612393E-2</v>
      </c>
      <c r="T1062" s="726"/>
      <c r="U1062" s="1523"/>
      <c r="V1062" s="1523"/>
      <c r="W1062" s="1523"/>
      <c r="X1062" s="1523"/>
      <c r="Y1062" s="1523"/>
      <c r="Z1062" s="1523"/>
      <c r="AA1062" s="1523"/>
      <c r="AC1062" s="22"/>
      <c r="AD1062" s="22"/>
      <c r="AE1062" s="22"/>
      <c r="AF1062" s="22"/>
      <c r="AG1062" s="22"/>
      <c r="AH1062" s="22"/>
      <c r="AI1062" s="22"/>
      <c r="AK1062" s="1523"/>
      <c r="AL1062" s="1523"/>
      <c r="AM1062" s="1523"/>
      <c r="AN1062" s="1523"/>
      <c r="AO1062" s="1523"/>
      <c r="AP1062" s="1523"/>
      <c r="AQ1062" s="1523"/>
    </row>
    <row r="1063" spans="1:43" ht="15" hidden="1" thickBot="1"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</row>
    <row r="1064" spans="1:43" ht="15" hidden="1" thickBot="1">
      <c r="C1064" s="63" t="s">
        <v>84</v>
      </c>
      <c r="D1064" s="37"/>
      <c r="E1064" s="37"/>
      <c r="F1064" s="37"/>
      <c r="G1064" s="37"/>
      <c r="H1064" s="66">
        <v>37441</v>
      </c>
      <c r="I1064" s="66">
        <v>299805</v>
      </c>
      <c r="J1064" s="66">
        <v>349927</v>
      </c>
      <c r="K1064" s="66">
        <v>403632</v>
      </c>
      <c r="L1064" s="66"/>
      <c r="M1064" s="66"/>
      <c r="N1064" s="66"/>
      <c r="O1064" s="66"/>
      <c r="P1064" s="66"/>
      <c r="Q1064" s="66"/>
      <c r="R1064" s="66"/>
      <c r="S1064" s="66"/>
    </row>
    <row r="1065" spans="1:43" hidden="1">
      <c r="H1065" s="20"/>
      <c r="I1065" s="20"/>
      <c r="J1065" s="20"/>
      <c r="K1065" s="20"/>
    </row>
    <row r="1066" spans="1:43" hidden="1">
      <c r="D1066" s="67" t="s">
        <v>85</v>
      </c>
    </row>
    <row r="1067" spans="1:43" hidden="1">
      <c r="D1067" s="1" t="s">
        <v>86</v>
      </c>
      <c r="H1067" s="21">
        <v>0</v>
      </c>
      <c r="I1067" s="21">
        <v>37852</v>
      </c>
      <c r="J1067" s="21">
        <v>37307</v>
      </c>
      <c r="K1067" s="21">
        <v>41378</v>
      </c>
    </row>
    <row r="1068" spans="1:43" s="1126" customFormat="1" hidden="1">
      <c r="A1068" s="18"/>
      <c r="B1068" s="18"/>
      <c r="C1068" s="18"/>
      <c r="D1068" s="18" t="s">
        <v>87</v>
      </c>
      <c r="E1068" s="18"/>
      <c r="F1068" s="18"/>
      <c r="G1068" s="18"/>
      <c r="H1068" s="23">
        <f>SUM(H1067)</f>
        <v>0</v>
      </c>
      <c r="I1068" s="23">
        <f t="shared" ref="I1068:K1068" si="1349">SUM(I1067)</f>
        <v>37852</v>
      </c>
      <c r="J1068" s="23">
        <f t="shared" si="1349"/>
        <v>37307</v>
      </c>
      <c r="K1068" s="23">
        <f t="shared" si="1349"/>
        <v>41378</v>
      </c>
      <c r="L1068" s="18"/>
      <c r="M1068" s="18"/>
      <c r="N1068" s="18"/>
      <c r="O1068" s="18"/>
      <c r="P1068" s="18"/>
      <c r="Q1068" s="18"/>
      <c r="R1068" s="18"/>
      <c r="S1068" s="18"/>
      <c r="T1068" s="408"/>
      <c r="U1068" s="1518"/>
      <c r="V1068" s="1518"/>
      <c r="W1068" s="1518"/>
      <c r="X1068" s="1518"/>
      <c r="Y1068" s="1518"/>
      <c r="Z1068" s="1518"/>
      <c r="AA1068" s="1518"/>
      <c r="AC1068" s="18"/>
      <c r="AD1068" s="18"/>
      <c r="AE1068" s="18"/>
      <c r="AF1068" s="18"/>
      <c r="AG1068" s="18"/>
      <c r="AH1068" s="18"/>
      <c r="AI1068" s="18"/>
      <c r="AK1068" s="1518"/>
      <c r="AL1068" s="1518"/>
      <c r="AM1068" s="1518"/>
      <c r="AN1068" s="1518"/>
      <c r="AO1068" s="1518"/>
      <c r="AP1068" s="1518"/>
      <c r="AQ1068" s="1518"/>
    </row>
    <row r="1069" spans="1:43" hidden="1"/>
    <row r="1070" spans="1:43" hidden="1">
      <c r="D1070" s="67" t="s">
        <v>88</v>
      </c>
    </row>
    <row r="1071" spans="1:43" hidden="1">
      <c r="D1071" s="1" t="s">
        <v>89</v>
      </c>
      <c r="H1071" s="21">
        <v>-1223</v>
      </c>
      <c r="I1071" s="21">
        <v>700</v>
      </c>
      <c r="J1071" s="21">
        <v>0</v>
      </c>
      <c r="K1071" s="21">
        <v>0</v>
      </c>
    </row>
    <row r="1072" spans="1:43" hidden="1">
      <c r="D1072" s="18" t="s">
        <v>90</v>
      </c>
      <c r="H1072" s="18">
        <f>SUM(H1073:H1075)</f>
        <v>0</v>
      </c>
      <c r="I1072" s="18">
        <f t="shared" ref="I1072:K1072" si="1350">SUM(I1073:I1075)</f>
        <v>0</v>
      </c>
      <c r="J1072" s="18">
        <f t="shared" si="1350"/>
        <v>-8443</v>
      </c>
      <c r="K1072" s="18">
        <f t="shared" si="1350"/>
        <v>0</v>
      </c>
    </row>
    <row r="1073" spans="1:43" hidden="1">
      <c r="E1073" s="1" t="s">
        <v>92</v>
      </c>
      <c r="H1073" s="21"/>
      <c r="I1073" s="21"/>
      <c r="J1073" s="21">
        <v>-8443</v>
      </c>
      <c r="K1073" s="21"/>
    </row>
    <row r="1074" spans="1:43" hidden="1">
      <c r="E1074" s="1" t="s">
        <v>93</v>
      </c>
      <c r="H1074" s="21"/>
      <c r="I1074" s="21"/>
      <c r="J1074" s="21"/>
      <c r="K1074" s="21"/>
    </row>
    <row r="1075" spans="1:43" hidden="1">
      <c r="E1075" s="1" t="s">
        <v>94</v>
      </c>
      <c r="H1075" s="21"/>
      <c r="I1075" s="21"/>
      <c r="J1075" s="21"/>
      <c r="K1075" s="21"/>
    </row>
    <row r="1076" spans="1:43" hidden="1">
      <c r="D1076" s="18" t="s">
        <v>91</v>
      </c>
      <c r="H1076" s="23">
        <f>H1077+H1078</f>
        <v>-7041</v>
      </c>
      <c r="I1076" s="23">
        <f>I1077+I1078</f>
        <v>-11564</v>
      </c>
      <c r="J1076" s="23">
        <f t="shared" ref="J1076:K1076" si="1351">J1077+J1078</f>
        <v>-15805</v>
      </c>
      <c r="K1076" s="23">
        <f t="shared" si="1351"/>
        <v>-15902</v>
      </c>
    </row>
    <row r="1077" spans="1:43" hidden="1">
      <c r="E1077" s="1" t="s">
        <v>95</v>
      </c>
      <c r="H1077" s="21">
        <v>10645</v>
      </c>
      <c r="I1077" s="21">
        <v>2289</v>
      </c>
      <c r="J1077" s="21">
        <v>492</v>
      </c>
      <c r="K1077" s="21">
        <v>-1296</v>
      </c>
    </row>
    <row r="1078" spans="1:43" hidden="1">
      <c r="E1078" s="1" t="s">
        <v>96</v>
      </c>
      <c r="H1078" s="21">
        <v>-17686</v>
      </c>
      <c r="I1078" s="21">
        <v>-13853</v>
      </c>
      <c r="J1078" s="21">
        <v>-16297</v>
      </c>
      <c r="K1078" s="21">
        <v>-14606</v>
      </c>
    </row>
    <row r="1079" spans="1:43" hidden="1">
      <c r="D1079" s="1" t="s">
        <v>86</v>
      </c>
      <c r="H1079" s="21">
        <v>9870</v>
      </c>
      <c r="I1079" s="21">
        <v>-19306</v>
      </c>
      <c r="J1079" s="21">
        <v>-16246</v>
      </c>
      <c r="K1079" s="21">
        <v>-21192</v>
      </c>
    </row>
    <row r="1080" spans="1:43" hidden="1">
      <c r="D1080" s="1" t="s">
        <v>97</v>
      </c>
      <c r="H1080" s="21">
        <v>0</v>
      </c>
      <c r="I1080" s="21">
        <v>0</v>
      </c>
      <c r="J1080" s="21">
        <v>2683</v>
      </c>
      <c r="K1080" s="21">
        <v>29834</v>
      </c>
    </row>
    <row r="1081" spans="1:43" hidden="1">
      <c r="D1081" s="1" t="s">
        <v>98</v>
      </c>
      <c r="H1081" s="21">
        <v>3468</v>
      </c>
      <c r="I1081" s="21">
        <v>-543</v>
      </c>
      <c r="J1081" s="21">
        <v>-1697</v>
      </c>
      <c r="K1081" s="21">
        <v>1447</v>
      </c>
    </row>
    <row r="1082" spans="1:43" hidden="1">
      <c r="D1082" s="18" t="s">
        <v>87</v>
      </c>
      <c r="H1082" s="23">
        <f>SUM(H1079:H1081,H1076,H1071:H1072)</f>
        <v>5074</v>
      </c>
      <c r="I1082" s="23">
        <f t="shared" ref="I1082:K1082" si="1352">SUM(I1079:I1081,I1076,I1071:I1072)</f>
        <v>-30713</v>
      </c>
      <c r="J1082" s="23">
        <f t="shared" si="1352"/>
        <v>-39508</v>
      </c>
      <c r="K1082" s="23">
        <f t="shared" si="1352"/>
        <v>-5813</v>
      </c>
    </row>
    <row r="1083" spans="1:43" ht="15" thickBot="1"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</row>
    <row r="1084" spans="1:43" ht="15" thickBot="1">
      <c r="C1084" s="63" t="s">
        <v>99</v>
      </c>
      <c r="D1084" s="37"/>
      <c r="E1084" s="37"/>
      <c r="F1084" s="37"/>
      <c r="G1084" s="37"/>
      <c r="H1084" s="406">
        <f>H1054+H1058+H1061</f>
        <v>57162.969100000104</v>
      </c>
      <c r="I1084" s="406">
        <v>236945</v>
      </c>
      <c r="J1084" s="406">
        <f t="shared" ref="J1084" si="1353">J1064+J1082+J1068</f>
        <v>347726</v>
      </c>
      <c r="K1084" s="406">
        <v>494328</v>
      </c>
      <c r="L1084" s="64">
        <f>L1050+L1058+L1061</f>
        <v>494330.31374160689</v>
      </c>
      <c r="M1084" s="64">
        <f>M1050+M1058+M1061</f>
        <v>260657.02702054699</v>
      </c>
      <c r="N1084" s="64">
        <f t="shared" ref="N1084:S1084" si="1354">N1050+SUM(N1059,N1060,N1061)</f>
        <v>420300.99409774877</v>
      </c>
      <c r="O1084" s="64">
        <f t="shared" ca="1" si="1354"/>
        <v>567369.0944718573</v>
      </c>
      <c r="P1084" s="64">
        <f t="shared" ca="1" si="1354"/>
        <v>708630.03848700202</v>
      </c>
      <c r="Q1084" s="64">
        <f t="shared" ca="1" si="1354"/>
        <v>841067.59741089935</v>
      </c>
      <c r="R1084" s="64">
        <f t="shared" ca="1" si="1354"/>
        <v>967504.09199341515</v>
      </c>
      <c r="S1084" s="64">
        <f t="shared" ca="1" si="1354"/>
        <v>1099449.0533566165</v>
      </c>
    </row>
    <row r="1085" spans="1:43" s="1365" customFormat="1">
      <c r="A1085" s="22"/>
      <c r="B1085" s="22"/>
      <c r="C1085" s="22"/>
      <c r="D1085" s="22" t="s">
        <v>100</v>
      </c>
      <c r="E1085" s="22"/>
      <c r="F1085" s="22"/>
      <c r="G1085" s="22"/>
      <c r="H1085" s="25">
        <f>H1084/H$14</f>
        <v>3.9500103872794512E-2</v>
      </c>
      <c r="I1085" s="25">
        <f t="shared" ref="I1085:M1085" si="1355">I1084/I$14</f>
        <v>0.14264021714280917</v>
      </c>
      <c r="J1085" s="25">
        <f t="shared" si="1355"/>
        <v>0.19291614919452632</v>
      </c>
      <c r="K1085" s="25">
        <f t="shared" si="1355"/>
        <v>0.24776215979428334</v>
      </c>
      <c r="L1085" s="25">
        <f t="shared" si="1355"/>
        <v>0.20350094297688498</v>
      </c>
      <c r="M1085" s="25">
        <f t="shared" si="1355"/>
        <v>0.18147457369490763</v>
      </c>
      <c r="N1085" s="25">
        <f t="shared" ref="N1085:S1085" si="1356">N1084/N14</f>
        <v>0.16696228629562071</v>
      </c>
      <c r="O1085" s="25">
        <f t="shared" ca="1" si="1356"/>
        <v>0.19701702017246281</v>
      </c>
      <c r="P1085" s="25">
        <f t="shared" ca="1" si="1356"/>
        <v>0.21505003792049393</v>
      </c>
      <c r="Q1085" s="25">
        <f t="shared" ca="1" si="1356"/>
        <v>0.22422276723384088</v>
      </c>
      <c r="R1085" s="25">
        <f t="shared" ca="1" si="1356"/>
        <v>0.22751257517946147</v>
      </c>
      <c r="S1085" s="25">
        <f t="shared" ca="1" si="1356"/>
        <v>0.23034652042075385</v>
      </c>
      <c r="T1085" s="726"/>
      <c r="U1085" s="1523"/>
      <c r="V1085" s="1523"/>
      <c r="W1085" s="1523"/>
      <c r="X1085" s="1523"/>
      <c r="Y1085" s="1523"/>
      <c r="Z1085" s="1523"/>
      <c r="AA1085" s="1523"/>
      <c r="AC1085" s="22"/>
      <c r="AD1085" s="22"/>
      <c r="AE1085" s="22"/>
      <c r="AF1085" s="22"/>
      <c r="AG1085" s="22"/>
      <c r="AH1085" s="22"/>
      <c r="AI1085" s="22"/>
      <c r="AK1085" s="1523"/>
      <c r="AL1085" s="1523"/>
      <c r="AM1085" s="1523"/>
      <c r="AN1085" s="1523"/>
      <c r="AO1085" s="1523"/>
      <c r="AP1085" s="1523"/>
      <c r="AQ1085" s="1523"/>
    </row>
    <row r="1086" spans="1:43" hidden="1">
      <c r="I1086" s="20"/>
      <c r="J1086" s="20"/>
      <c r="K1086" s="20"/>
    </row>
    <row r="1087" spans="1:43" hidden="1">
      <c r="D1087" s="67" t="s">
        <v>101</v>
      </c>
    </row>
    <row r="1088" spans="1:43" hidden="1">
      <c r="D1088" s="1" t="s">
        <v>13</v>
      </c>
      <c r="H1088" s="21">
        <v>0</v>
      </c>
      <c r="I1088" s="21">
        <v>-15478</v>
      </c>
      <c r="J1088" s="21">
        <v>-20781</v>
      </c>
      <c r="K1088" s="21">
        <v>-60289</v>
      </c>
    </row>
    <row r="1089" spans="1:43" hidden="1">
      <c r="D1089" s="18" t="s">
        <v>87</v>
      </c>
      <c r="H1089" s="23">
        <f>SUM(H1088)</f>
        <v>0</v>
      </c>
      <c r="I1089" s="23">
        <f t="shared" ref="I1089:K1089" si="1357">SUM(I1088)</f>
        <v>-15478</v>
      </c>
      <c r="J1089" s="23">
        <f t="shared" si="1357"/>
        <v>-20781</v>
      </c>
      <c r="K1089" s="23">
        <f t="shared" si="1357"/>
        <v>-60289</v>
      </c>
    </row>
    <row r="1090" spans="1:43" hidden="1"/>
    <row r="1091" spans="1:43" hidden="1">
      <c r="D1091" s="67" t="s">
        <v>106</v>
      </c>
    </row>
    <row r="1092" spans="1:43" hidden="1">
      <c r="D1092" s="1" t="s">
        <v>107</v>
      </c>
      <c r="H1092" s="23">
        <f>SUM(H1093:H1094)</f>
        <v>38572</v>
      </c>
      <c r="I1092" s="23">
        <f>SUM(I1093:I1094)</f>
        <v>12307</v>
      </c>
      <c r="J1092" s="23">
        <f t="shared" ref="J1092:K1092" si="1358">SUM(J1093:J1094)</f>
        <v>1154</v>
      </c>
      <c r="K1092" s="23">
        <f t="shared" si="1358"/>
        <v>3848</v>
      </c>
    </row>
    <row r="1093" spans="1:43" hidden="1">
      <c r="E1093" s="1" t="s">
        <v>102</v>
      </c>
      <c r="H1093" s="21">
        <v>42626</v>
      </c>
      <c r="I1093" s="21">
        <v>14619</v>
      </c>
      <c r="J1093" s="21">
        <v>1585</v>
      </c>
      <c r="K1093" s="21">
        <v>3848</v>
      </c>
    </row>
    <row r="1094" spans="1:43" hidden="1">
      <c r="E1094" s="1" t="s">
        <v>103</v>
      </c>
      <c r="H1094" s="21">
        <v>-4054</v>
      </c>
      <c r="I1094" s="21">
        <v>-2312</v>
      </c>
      <c r="J1094" s="21">
        <v>-431</v>
      </c>
      <c r="K1094" s="21">
        <v>0</v>
      </c>
    </row>
    <row r="1095" spans="1:43" hidden="1">
      <c r="D1095" s="1" t="s">
        <v>104</v>
      </c>
      <c r="H1095" s="23">
        <f>SUM(H1096:H1097)</f>
        <v>2588</v>
      </c>
      <c r="I1095" s="23">
        <f t="shared" ref="I1095:K1095" si="1359">SUM(I1096:I1097)</f>
        <v>0</v>
      </c>
      <c r="J1095" s="23">
        <f t="shared" si="1359"/>
        <v>0</v>
      </c>
      <c r="K1095" s="23">
        <f t="shared" si="1359"/>
        <v>0</v>
      </c>
    </row>
    <row r="1096" spans="1:43" hidden="1">
      <c r="E1096" s="1" t="s">
        <v>105</v>
      </c>
      <c r="H1096" s="21">
        <v>3183</v>
      </c>
      <c r="I1096" s="21">
        <v>0</v>
      </c>
      <c r="J1096" s="21">
        <v>0</v>
      </c>
      <c r="K1096" s="21">
        <v>0</v>
      </c>
    </row>
    <row r="1097" spans="1:43" hidden="1">
      <c r="E1097" s="1" t="s">
        <v>103</v>
      </c>
      <c r="H1097" s="21">
        <v>-595</v>
      </c>
      <c r="I1097" s="21">
        <v>0</v>
      </c>
      <c r="J1097" s="21">
        <v>0</v>
      </c>
      <c r="K1097" s="21">
        <v>0</v>
      </c>
    </row>
    <row r="1098" spans="1:43" hidden="1">
      <c r="D1098" s="18" t="s">
        <v>87</v>
      </c>
      <c r="H1098" s="23">
        <f>H1092+H1095</f>
        <v>41160</v>
      </c>
      <c r="I1098" s="23">
        <f t="shared" ref="I1098:K1098" si="1360">I1092+I1095</f>
        <v>12307</v>
      </c>
      <c r="J1098" s="23">
        <f t="shared" si="1360"/>
        <v>1154</v>
      </c>
      <c r="K1098" s="23">
        <f t="shared" si="1360"/>
        <v>3848</v>
      </c>
    </row>
    <row r="1099" spans="1:43" ht="15" hidden="1" thickBot="1">
      <c r="C1099" s="37"/>
      <c r="D1099" s="37"/>
      <c r="E1099" s="37"/>
      <c r="F1099" s="37"/>
      <c r="G1099" s="37"/>
      <c r="H1099" s="37"/>
      <c r="I1099" s="37"/>
      <c r="J1099" s="37"/>
      <c r="K1099" s="37"/>
    </row>
    <row r="1100" spans="1:43" ht="15" hidden="1" thickBot="1">
      <c r="C1100" s="63" t="s">
        <v>108</v>
      </c>
      <c r="D1100" s="37"/>
      <c r="E1100" s="37"/>
      <c r="F1100" s="37"/>
      <c r="G1100" s="37"/>
      <c r="H1100" s="66">
        <f>H1084+H1089+H1098</f>
        <v>98322.969100000104</v>
      </c>
      <c r="I1100" s="68">
        <f t="shared" ref="I1100:K1100" si="1361">I1084+I1089+I1098</f>
        <v>233774</v>
      </c>
      <c r="J1100" s="66">
        <f t="shared" si="1361"/>
        <v>328099</v>
      </c>
      <c r="K1100" s="66">
        <f t="shared" si="1361"/>
        <v>437887</v>
      </c>
    </row>
    <row r="1101" spans="1:43" s="1365" customFormat="1" hidden="1">
      <c r="A1101" s="22"/>
      <c r="B1101" s="22"/>
      <c r="C1101" s="22"/>
      <c r="D1101" s="22" t="s">
        <v>100</v>
      </c>
      <c r="E1101" s="22"/>
      <c r="F1101" s="22"/>
      <c r="G1101" s="22"/>
      <c r="H1101" s="25">
        <f>H1100/H$14</f>
        <v>6.7942018297498866E-2</v>
      </c>
      <c r="I1101" s="25">
        <f t="shared" ref="I1101:K1101" si="1362">I1100/I$14</f>
        <v>0.14073128414755776</v>
      </c>
      <c r="J1101" s="25">
        <f t="shared" si="1362"/>
        <v>0.18202721578074371</v>
      </c>
      <c r="K1101" s="25">
        <f t="shared" si="1362"/>
        <v>0.21947336356799402</v>
      </c>
      <c r="L1101" s="22"/>
      <c r="M1101" s="22"/>
      <c r="N1101" s="22"/>
      <c r="O1101" s="22"/>
      <c r="P1101" s="22"/>
      <c r="Q1101" s="22"/>
      <c r="R1101" s="22"/>
      <c r="S1101" s="22"/>
      <c r="T1101" s="726"/>
      <c r="U1101" s="1523"/>
      <c r="V1101" s="1523"/>
      <c r="W1101" s="1523"/>
      <c r="X1101" s="1523"/>
      <c r="Y1101" s="1523"/>
      <c r="Z1101" s="1523"/>
      <c r="AA1101" s="1523"/>
      <c r="AC1101" s="22"/>
      <c r="AD1101" s="22"/>
      <c r="AE1101" s="22"/>
      <c r="AF1101" s="22"/>
      <c r="AG1101" s="22"/>
      <c r="AH1101" s="22"/>
      <c r="AI1101" s="22"/>
      <c r="AK1101" s="1523"/>
      <c r="AL1101" s="1523"/>
      <c r="AM1101" s="1523"/>
      <c r="AN1101" s="1523"/>
      <c r="AO1101" s="1523"/>
      <c r="AP1101" s="1523"/>
      <c r="AQ1101" s="1523"/>
    </row>
    <row r="1102" spans="1:43">
      <c r="H1102" s="20"/>
      <c r="I1102" s="20"/>
      <c r="J1102" s="20"/>
      <c r="K1102" s="20"/>
    </row>
    <row r="1103" spans="1:43" s="1125" customFormat="1">
      <c r="A1103" s="58" t="s">
        <v>8</v>
      </c>
      <c r="B1103" s="58" t="s">
        <v>863</v>
      </c>
      <c r="C1103" s="58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1103"/>
      <c r="U1103" s="1515"/>
      <c r="V1103" s="1515"/>
      <c r="W1103" s="1515"/>
      <c r="X1103" s="1515"/>
      <c r="Y1103" s="1515"/>
      <c r="Z1103" s="1515"/>
      <c r="AA1103" s="1515"/>
      <c r="AC1103" s="59"/>
      <c r="AD1103" s="59"/>
      <c r="AE1103" s="59"/>
      <c r="AF1103" s="59"/>
      <c r="AG1103" s="59"/>
      <c r="AH1103" s="59"/>
      <c r="AI1103" s="96"/>
      <c r="AK1103" s="1515"/>
      <c r="AL1103" s="1515"/>
      <c r="AM1103" s="1515"/>
      <c r="AN1103" s="1515"/>
      <c r="AO1103" s="1515"/>
      <c r="AP1103" s="1515"/>
      <c r="AQ1103" s="1515"/>
    </row>
    <row r="1105" spans="1:43" s="1125" customFormat="1">
      <c r="A1105" s="10" t="s">
        <v>8</v>
      </c>
      <c r="B1105" s="10"/>
      <c r="C1105" s="10" t="s">
        <v>110</v>
      </c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103"/>
      <c r="U1105" s="1515"/>
      <c r="V1105" s="1515"/>
      <c r="W1105" s="1515"/>
      <c r="X1105" s="1515"/>
      <c r="Y1105" s="1515"/>
      <c r="Z1105" s="1515"/>
      <c r="AA1105" s="1515"/>
      <c r="AC1105" s="62"/>
      <c r="AD1105" s="62"/>
      <c r="AE1105" s="62"/>
      <c r="AF1105" s="62"/>
      <c r="AG1105" s="62"/>
      <c r="AH1105" s="62"/>
      <c r="AI1105" s="96"/>
      <c r="AK1105" s="1515"/>
      <c r="AL1105" s="1515"/>
      <c r="AM1105" s="1515"/>
      <c r="AN1105" s="1515"/>
      <c r="AO1105" s="1515"/>
      <c r="AP1105" s="1515"/>
      <c r="AQ1105" s="1515"/>
    </row>
    <row r="1106" spans="1:43" s="1126" customFormat="1">
      <c r="A1106" s="18"/>
      <c r="B1106" s="18"/>
      <c r="C1106" s="18"/>
      <c r="D1106" s="18" t="s">
        <v>111</v>
      </c>
      <c r="E1106" s="18"/>
      <c r="F1106" s="18"/>
      <c r="G1106" s="18"/>
      <c r="H1106" s="73">
        <f>H14</f>
        <v>1447159.9691000001</v>
      </c>
      <c r="I1106" s="73">
        <f>I14</f>
        <v>1661137.4039256708</v>
      </c>
      <c r="J1106" s="73">
        <f>J14</f>
        <v>1802472.2214902379</v>
      </c>
      <c r="K1106" s="860">
        <f>K14/10*12</f>
        <v>2394205.7999999998</v>
      </c>
      <c r="L1106" s="73">
        <f>L14</f>
        <v>2429130.3347805925</v>
      </c>
      <c r="M1106" s="860">
        <f>M14/7*12</f>
        <v>2462276.7181739239</v>
      </c>
      <c r="N1106" s="73">
        <f t="shared" ref="N1106:S1106" si="1363">N14</f>
        <v>2517340.91226788</v>
      </c>
      <c r="O1106" s="73">
        <f t="shared" si="1363"/>
        <v>2879797.3595134034</v>
      </c>
      <c r="P1106" s="73">
        <f t="shared" si="1363"/>
        <v>3295186.7636916642</v>
      </c>
      <c r="Q1106" s="73">
        <f t="shared" si="1363"/>
        <v>3751035.6677283975</v>
      </c>
      <c r="R1106" s="73">
        <f t="shared" si="1363"/>
        <v>4252530.1787395701</v>
      </c>
      <c r="S1106" s="73">
        <f t="shared" si="1363"/>
        <v>4773022.1899959641</v>
      </c>
      <c r="T1106" s="408"/>
      <c r="U1106" s="1518"/>
      <c r="V1106" s="1518"/>
      <c r="W1106" s="1518"/>
      <c r="X1106" s="1518"/>
      <c r="Y1106" s="1518"/>
      <c r="Z1106" s="1518"/>
      <c r="AA1106" s="1518"/>
      <c r="AC1106" s="18"/>
      <c r="AD1106" s="18"/>
      <c r="AE1106" s="18"/>
      <c r="AF1106" s="18"/>
      <c r="AG1106" s="18"/>
      <c r="AH1106" s="18"/>
      <c r="AI1106" s="18"/>
      <c r="AK1106" s="1518"/>
      <c r="AL1106" s="1518"/>
      <c r="AM1106" s="1518"/>
      <c r="AN1106" s="1518"/>
      <c r="AO1106" s="1518"/>
      <c r="AP1106" s="1518"/>
      <c r="AQ1106" s="1518"/>
    </row>
    <row r="1107" spans="1:43">
      <c r="E1107" s="1" t="s">
        <v>112</v>
      </c>
      <c r="H1107" s="20">
        <f>H69</f>
        <v>654997.02859000012</v>
      </c>
      <c r="I1107" s="20">
        <f>I69</f>
        <v>705783</v>
      </c>
      <c r="J1107" s="20">
        <f>J69</f>
        <v>712520.4381599999</v>
      </c>
      <c r="K1107" s="861">
        <f>K69/10*12</f>
        <v>1016422.2000000001</v>
      </c>
      <c r="L1107" s="20">
        <f>L69</f>
        <v>1035566.6590700005</v>
      </c>
      <c r="M1107" s="861">
        <f>M69/7*12</f>
        <v>745974.2963142856</v>
      </c>
      <c r="N1107" s="20">
        <f t="shared" ref="N1107:S1107" si="1364">N69</f>
        <v>707125.39169403515</v>
      </c>
      <c r="O1107" s="20">
        <f t="shared" si="1364"/>
        <v>641101.61973266769</v>
      </c>
      <c r="P1107" s="20">
        <f t="shared" si="1364"/>
        <v>616029.32094989682</v>
      </c>
      <c r="Q1107" s="20">
        <f t="shared" si="1364"/>
        <v>607783.86196058767</v>
      </c>
      <c r="R1107" s="20">
        <f t="shared" si="1364"/>
        <v>606116.70141991938</v>
      </c>
      <c r="S1107" s="20">
        <f t="shared" si="1364"/>
        <v>606795.66320466634</v>
      </c>
    </row>
    <row r="1108" spans="1:43">
      <c r="E1108" s="1" t="s">
        <v>350</v>
      </c>
      <c r="H1108" s="20">
        <f>H106</f>
        <v>557770.02859000012</v>
      </c>
      <c r="I1108" s="20">
        <f>I106</f>
        <v>639313</v>
      </c>
      <c r="J1108" s="20">
        <f>J106</f>
        <v>603646.63815999997</v>
      </c>
      <c r="K1108" s="861">
        <f>K106/10*12</f>
        <v>869104.20000000007</v>
      </c>
      <c r="L1108" s="20">
        <f>L106</f>
        <v>884993.02120000042</v>
      </c>
      <c r="M1108" s="861">
        <f>M106/7*12</f>
        <v>616111.90208571416</v>
      </c>
      <c r="N1108" s="20">
        <f t="shared" ref="N1108:S1108" si="1365">N106</f>
        <v>550261.32218727632</v>
      </c>
      <c r="O1108" s="20">
        <f t="shared" si="1365"/>
        <v>477721.38654143573</v>
      </c>
      <c r="P1108" s="20">
        <f t="shared" si="1365"/>
        <v>437793.86555553041</v>
      </c>
      <c r="Q1108" s="20">
        <f t="shared" si="1365"/>
        <v>411157.02980591729</v>
      </c>
      <c r="R1108" s="20">
        <f t="shared" si="1365"/>
        <v>394422.10228288849</v>
      </c>
      <c r="S1108" s="20">
        <f t="shared" si="1365"/>
        <v>378523.92113601102</v>
      </c>
    </row>
    <row r="1109" spans="1:43">
      <c r="B1109" s="20"/>
      <c r="E1109" s="1" t="s">
        <v>113</v>
      </c>
      <c r="H1109" s="394">
        <v>771814</v>
      </c>
      <c r="I1109" s="394">
        <v>937282</v>
      </c>
      <c r="J1109" s="394">
        <v>1083890</v>
      </c>
      <c r="K1109" s="862">
        <v>1375559</v>
      </c>
      <c r="L1109" s="675">
        <f>L1106-L1107</f>
        <v>1393563.675710592</v>
      </c>
      <c r="M1109" s="863">
        <f>M1106-M1107</f>
        <v>1716302.4218596383</v>
      </c>
      <c r="N1109" s="675">
        <f t="shared" ref="N1109:S1109" si="1366">N1106-N1107</f>
        <v>1810215.5205738449</v>
      </c>
      <c r="O1109" s="675">
        <f t="shared" si="1366"/>
        <v>2238695.7397807357</v>
      </c>
      <c r="P1109" s="675">
        <f t="shared" si="1366"/>
        <v>2679157.4427417675</v>
      </c>
      <c r="Q1109" s="675">
        <f t="shared" si="1366"/>
        <v>3143251.80576781</v>
      </c>
      <c r="R1109" s="675">
        <f t="shared" si="1366"/>
        <v>3646413.4773196508</v>
      </c>
      <c r="S1109" s="675">
        <f t="shared" si="1366"/>
        <v>4166226.5267912978</v>
      </c>
    </row>
    <row r="1110" spans="1:43">
      <c r="E1110" s="1" t="s">
        <v>114</v>
      </c>
      <c r="H1110" s="394">
        <v>20348</v>
      </c>
      <c r="I1110" s="394">
        <v>18072</v>
      </c>
      <c r="J1110" s="394">
        <v>6062</v>
      </c>
      <c r="K1110" s="862">
        <v>2225</v>
      </c>
      <c r="L1110" s="676"/>
      <c r="M1110" s="863"/>
      <c r="N1110" s="676"/>
      <c r="O1110" s="676"/>
      <c r="P1110" s="676"/>
      <c r="Q1110" s="676"/>
      <c r="R1110" s="676"/>
      <c r="S1110" s="676"/>
    </row>
    <row r="1111" spans="1:43">
      <c r="D1111" s="1" t="s">
        <v>115</v>
      </c>
      <c r="H1111" s="20">
        <f>H21</f>
        <v>-1066205</v>
      </c>
      <c r="I1111" s="20">
        <f>I21</f>
        <v>-1170043.3999999999</v>
      </c>
      <c r="J1111" s="20">
        <f>J21</f>
        <v>-1139493</v>
      </c>
      <c r="K1111" s="861">
        <f>K21/10*12</f>
        <v>-1554253.2000000002</v>
      </c>
      <c r="L1111" s="20">
        <f>L21</f>
        <v>-1578846.8858389854</v>
      </c>
      <c r="M1111" s="861">
        <f>M21/7*12</f>
        <v>-1671065.6974842406</v>
      </c>
      <c r="N1111" s="20">
        <f t="shared" ref="N1111:S1111" si="1367">N21</f>
        <v>-1714995.0990768494</v>
      </c>
      <c r="O1111" s="20">
        <f t="shared" si="1367"/>
        <v>-1909399.5524312484</v>
      </c>
      <c r="P1111" s="20">
        <f t="shared" si="1367"/>
        <v>-2153614.8001825637</v>
      </c>
      <c r="Q1111" s="20">
        <f t="shared" si="1367"/>
        <v>-2427786.9931682311</v>
      </c>
      <c r="R1111" s="20">
        <f t="shared" si="1367"/>
        <v>-2735259.0871737013</v>
      </c>
      <c r="S1111" s="20">
        <f t="shared" si="1367"/>
        <v>-3054672.1804023688</v>
      </c>
    </row>
    <row r="1112" spans="1:43">
      <c r="D1112" s="1" t="s">
        <v>64</v>
      </c>
      <c r="H1112" s="20">
        <f>H993</f>
        <v>-403546</v>
      </c>
      <c r="I1112" s="20">
        <f>I993</f>
        <v>-360963</v>
      </c>
      <c r="J1112" s="20">
        <f>J993</f>
        <v>-377757</v>
      </c>
      <c r="K1112" s="861">
        <f>J1112/10*12</f>
        <v>-453308.39999999997</v>
      </c>
      <c r="L1112" s="20">
        <f>L993</f>
        <v>-434801.92015000002</v>
      </c>
      <c r="M1112" s="861">
        <f>M993/7*12</f>
        <v>-427273.71428571426</v>
      </c>
      <c r="N1112" s="20">
        <f t="shared" ref="N1112:S1112" si="1368">N993</f>
        <v>-426126.83608122013</v>
      </c>
      <c r="O1112" s="20">
        <f t="shared" si="1368"/>
        <v>-485178.38249188778</v>
      </c>
      <c r="P1112" s="20">
        <f t="shared" si="1368"/>
        <v>-552525.61526499595</v>
      </c>
      <c r="Q1112" s="20">
        <f t="shared" si="1368"/>
        <v>-625959.96756669309</v>
      </c>
      <c r="R1112" s="20">
        <f t="shared" si="1368"/>
        <v>-706245.62748071097</v>
      </c>
      <c r="S1112" s="20">
        <f t="shared" si="1368"/>
        <v>-788868.73786324786</v>
      </c>
    </row>
    <row r="1113" spans="1:43">
      <c r="H1113" s="20"/>
      <c r="I1113" s="20"/>
      <c r="J1113" s="20"/>
      <c r="K1113" s="21"/>
      <c r="L1113" s="69"/>
      <c r="M1113" s="69"/>
    </row>
    <row r="1114" spans="1:43">
      <c r="D1114" s="18" t="s">
        <v>260</v>
      </c>
      <c r="H1114" s="23">
        <f>SUM(H1115:H1117)</f>
        <v>579965.12252857967</v>
      </c>
      <c r="I1114" s="23">
        <f t="shared" ref="I1114:M1114" si="1369">SUM(I1115:I1117)</f>
        <v>930825.25061839994</v>
      </c>
      <c r="J1114" s="23">
        <f>SUM(J1115:J1117)</f>
        <v>984235.91301840043</v>
      </c>
      <c r="K1114" s="23">
        <f t="shared" si="1369"/>
        <v>1091304</v>
      </c>
      <c r="L1114" s="23">
        <f t="shared" si="1369"/>
        <v>1045574.0440784004</v>
      </c>
      <c r="M1114" s="23">
        <f t="shared" si="1369"/>
        <v>1055113.7761454864</v>
      </c>
      <c r="N1114" s="23">
        <f t="shared" ref="N1114:S1114" si="1370">N1150</f>
        <v>1037113.7019619618</v>
      </c>
      <c r="O1114" s="23">
        <f t="shared" si="1370"/>
        <v>1019703.4212295514</v>
      </c>
      <c r="P1114" s="23">
        <f t="shared" si="1370"/>
        <v>1049737.4534256875</v>
      </c>
      <c r="Q1114" s="23">
        <f t="shared" si="1370"/>
        <v>1105124.9989577313</v>
      </c>
      <c r="R1114" s="23">
        <f t="shared" si="1370"/>
        <v>1173174.6878563073</v>
      </c>
      <c r="S1114" s="23">
        <f t="shared" si="1370"/>
        <v>1246117.8026905912</v>
      </c>
    </row>
    <row r="1115" spans="1:43">
      <c r="E1115" s="1" t="s">
        <v>117</v>
      </c>
      <c r="H1115" s="394">
        <v>60012.852449999998</v>
      </c>
      <c r="I1115" s="394">
        <v>19779.285469999999</v>
      </c>
      <c r="J1115" s="394">
        <v>2650.550650000001</v>
      </c>
      <c r="K1115" s="394">
        <v>630</v>
      </c>
      <c r="L1115" s="394">
        <v>1107.9568500000003</v>
      </c>
      <c r="M1115" s="394">
        <v>4628.5490199999986</v>
      </c>
      <c r="N1115" s="80">
        <f>N$1114/M$1114*M1115</f>
        <v>4549.5867055978106</v>
      </c>
      <c r="O1115" s="80">
        <f t="shared" ref="O1115:S1115" si="1371">O$1114/N$1114*N1115</f>
        <v>4473.2116836392197</v>
      </c>
      <c r="P1115" s="80">
        <f t="shared" si="1371"/>
        <v>4604.9642902594424</v>
      </c>
      <c r="Q1115" s="80">
        <f t="shared" si="1371"/>
        <v>4847.9371102420309</v>
      </c>
      <c r="R1115" s="80">
        <f t="shared" si="1371"/>
        <v>5146.4559316088153</v>
      </c>
      <c r="S1115" s="80">
        <f t="shared" si="1371"/>
        <v>5466.4411221305036</v>
      </c>
    </row>
    <row r="1116" spans="1:43">
      <c r="E1116" s="1" t="s">
        <v>118</v>
      </c>
      <c r="H1116" s="394">
        <v>529114.96670857968</v>
      </c>
      <c r="I1116" s="394">
        <v>918609.41488839989</v>
      </c>
      <c r="J1116" s="394">
        <v>1002354.2156384003</v>
      </c>
      <c r="K1116" s="394">
        <v>1123226</v>
      </c>
      <c r="L1116" s="394">
        <v>1082800.4580884003</v>
      </c>
      <c r="M1116" s="394">
        <v>1101328.7073754864</v>
      </c>
      <c r="N1116" s="80">
        <f t="shared" ref="N1116:S1117" si="1372">N$1114/M$1114*M1116</f>
        <v>1082540.2137728112</v>
      </c>
      <c r="O1116" s="80">
        <f t="shared" si="1372"/>
        <v>1064367.3471042351</v>
      </c>
      <c r="P1116" s="80">
        <f t="shared" si="1372"/>
        <v>1095716.8968908766</v>
      </c>
      <c r="Q1116" s="80">
        <f t="shared" si="1372"/>
        <v>1153530.4666732273</v>
      </c>
      <c r="R1116" s="80">
        <f t="shared" si="1372"/>
        <v>1224560.793076281</v>
      </c>
      <c r="S1116" s="80">
        <f t="shared" si="1372"/>
        <v>1300698.8818669124</v>
      </c>
    </row>
    <row r="1117" spans="1:43">
      <c r="E1117" s="1" t="s">
        <v>1048</v>
      </c>
      <c r="H1117" s="394">
        <v>-9162.6966300000004</v>
      </c>
      <c r="I1117" s="394">
        <v>-7563.44974</v>
      </c>
      <c r="J1117" s="394">
        <v>-20768.853269999901</v>
      </c>
      <c r="K1117" s="394">
        <v>-32552</v>
      </c>
      <c r="L1117" s="394">
        <v>-38334.370859999901</v>
      </c>
      <c r="M1117" s="394">
        <v>-50843.480250000102</v>
      </c>
      <c r="N1117" s="80">
        <f t="shared" si="1372"/>
        <v>-49976.098516447251</v>
      </c>
      <c r="O1117" s="80">
        <f t="shared" si="1372"/>
        <v>-49137.137558322858</v>
      </c>
      <c r="P1117" s="80">
        <f t="shared" si="1372"/>
        <v>-50584.407755448548</v>
      </c>
      <c r="Q1117" s="80">
        <f t="shared" si="1372"/>
        <v>-53253.4048257381</v>
      </c>
      <c r="R1117" s="80">
        <f t="shared" si="1372"/>
        <v>-56532.561151582835</v>
      </c>
      <c r="S1117" s="80">
        <f t="shared" si="1372"/>
        <v>-60047.520298452146</v>
      </c>
    </row>
    <row r="1118" spans="1:43" s="1126" customFormat="1">
      <c r="A1118" s="18"/>
      <c r="B1118" s="18"/>
      <c r="C1118" s="18"/>
      <c r="D1118" s="18" t="s">
        <v>120</v>
      </c>
      <c r="E1118" s="18"/>
      <c r="F1118" s="18"/>
      <c r="G1118" s="18"/>
      <c r="H1118" s="70">
        <f>360/(SUM(H1106)/H1114)</f>
        <v>144.2739217283181</v>
      </c>
      <c r="I1118" s="70">
        <f>360/(SUM(I1106)/AVERAGE(H1114,I1114))</f>
        <v>163.70847259461544</v>
      </c>
      <c r="J1118" s="70">
        <f>360/(SUM(J1106)/AVERAGE(I1114,J1114))</f>
        <v>191.24345182397641</v>
      </c>
      <c r="K1118" s="70">
        <f>360/(SUM(K1106)/AVERAGE(J1114,K1114))</f>
        <v>156.04221840215746</v>
      </c>
      <c r="L1118" s="70">
        <f>360/(SUM(L1106)/AVERAGE(J1114,L1114))</f>
        <v>150.41012293415093</v>
      </c>
      <c r="M1118" s="70">
        <f>360/(SUM(M1106)/AVERAGE(L1114,M1114))</f>
        <v>153.56673961516566</v>
      </c>
      <c r="N1118" s="70">
        <f>360/(SUM(N1106)/AVERAGE(L1114,N1114))</f>
        <v>148.92055043491555</v>
      </c>
      <c r="O1118" s="70">
        <f t="shared" ref="O1118:S1118" si="1373">360/(SUM(O1106)/AVERAGE(N1114,O1114))</f>
        <v>128.56011585378675</v>
      </c>
      <c r="P1118" s="70">
        <f t="shared" si="1373"/>
        <v>113.04347345114498</v>
      </c>
      <c r="Q1118" s="70">
        <f t="shared" si="1373"/>
        <v>103.40483956632437</v>
      </c>
      <c r="R1118" s="70">
        <f t="shared" si="1373"/>
        <v>96.435281206652562</v>
      </c>
      <c r="S1118" s="70">
        <f t="shared" si="1373"/>
        <v>91.236250527217848</v>
      </c>
      <c r="T1118" s="408"/>
      <c r="U1118" s="1518"/>
      <c r="V1118" s="1518"/>
      <c r="W1118" s="1518"/>
      <c r="X1118" s="1518"/>
      <c r="Y1118" s="1518"/>
      <c r="Z1118" s="1518"/>
      <c r="AA1118" s="1518"/>
      <c r="AC1118" s="18"/>
      <c r="AD1118" s="18"/>
      <c r="AE1118" s="18"/>
      <c r="AF1118" s="18"/>
      <c r="AG1118" s="18"/>
      <c r="AH1118" s="18"/>
      <c r="AI1118" s="18"/>
      <c r="AK1118" s="1518"/>
      <c r="AL1118" s="1518"/>
      <c r="AM1118" s="1518"/>
      <c r="AN1118" s="1518"/>
      <c r="AO1118" s="1518"/>
      <c r="AP1118" s="1518"/>
      <c r="AQ1118" s="1518"/>
    </row>
    <row r="1119" spans="1:43">
      <c r="H1119" s="69"/>
      <c r="I1119" s="69"/>
      <c r="J1119" s="69"/>
      <c r="K1119" s="69"/>
    </row>
    <row r="1120" spans="1:43">
      <c r="D1120" s="1" t="s">
        <v>121</v>
      </c>
      <c r="H1120" s="394">
        <v>272127.28816365701</v>
      </c>
      <c r="I1120" s="394">
        <v>301147.3396492998</v>
      </c>
      <c r="J1120" s="394">
        <v>334591.94245674706</v>
      </c>
      <c r="K1120" s="394">
        <v>412308</v>
      </c>
      <c r="L1120" s="394">
        <v>422700.84961027501</v>
      </c>
      <c r="M1120" s="394">
        <v>474147.45267079509</v>
      </c>
      <c r="N1120" s="42">
        <f>-N1111/(360/N1121)</f>
        <v>447804.27587006619</v>
      </c>
      <c r="O1120" s="42">
        <f t="shared" ref="O1120:S1120" si="1374">-O1111/(360/O1121)</f>
        <v>493261.55104473914</v>
      </c>
      <c r="P1120" s="42">
        <f t="shared" si="1374"/>
        <v>550368.22671332187</v>
      </c>
      <c r="Q1120" s="42">
        <f t="shared" si="1374"/>
        <v>613690.60105085839</v>
      </c>
      <c r="R1120" s="42">
        <f t="shared" si="1374"/>
        <v>683814.77179342532</v>
      </c>
      <c r="S1120" s="42">
        <f t="shared" si="1374"/>
        <v>755182.84459947445</v>
      </c>
    </row>
    <row r="1121" spans="1:43" s="1126" customFormat="1">
      <c r="A1121" s="18"/>
      <c r="B1121" s="18"/>
      <c r="C1121" s="18"/>
      <c r="D1121" s="18" t="s">
        <v>122</v>
      </c>
      <c r="E1121" s="18"/>
      <c r="F1121" s="18"/>
      <c r="G1121" s="18"/>
      <c r="H1121" s="71">
        <f>360/(-H1111/H1120)</f>
        <v>91.882727748337814</v>
      </c>
      <c r="I1121" s="71">
        <f>360/(-I1111/AVERAGE(H1120:I1120))</f>
        <v>88.19282516044467</v>
      </c>
      <c r="J1121" s="71">
        <f t="shared" ref="J1121:K1121" si="1375">360/(-J1111/AVERAGE(I1120:J1120))</f>
        <v>100.42454914517985</v>
      </c>
      <c r="K1121" s="71">
        <f t="shared" si="1375"/>
        <v>86.499413121500709</v>
      </c>
      <c r="L1121" s="71">
        <f>360/(-L1111/AVERAGE(J1120,L1120))</f>
        <v>86.336872685174015</v>
      </c>
      <c r="M1121" s="71">
        <f>360/(-M1111/AVERAGE(L1120,M1120))</f>
        <v>96.604636582287952</v>
      </c>
      <c r="N1121" s="154">
        <v>94</v>
      </c>
      <c r="O1121" s="154">
        <f>N1121-1</f>
        <v>93</v>
      </c>
      <c r="P1121" s="154">
        <f t="shared" ref="P1121:S1121" si="1376">O1121-1</f>
        <v>92</v>
      </c>
      <c r="Q1121" s="154">
        <f t="shared" si="1376"/>
        <v>91</v>
      </c>
      <c r="R1121" s="154">
        <f t="shared" si="1376"/>
        <v>90</v>
      </c>
      <c r="S1121" s="154">
        <f t="shared" si="1376"/>
        <v>89</v>
      </c>
      <c r="T1121" s="408"/>
      <c r="U1121" s="1518"/>
      <c r="V1121" s="1518"/>
      <c r="W1121" s="1518"/>
      <c r="X1121" s="1518"/>
      <c r="Y1121" s="1518"/>
      <c r="Z1121" s="1518"/>
      <c r="AA1121" s="1518"/>
      <c r="AC1121" s="18"/>
      <c r="AD1121" s="18"/>
      <c r="AE1121" s="18"/>
      <c r="AF1121" s="18"/>
      <c r="AG1121" s="18"/>
      <c r="AH1121" s="18"/>
      <c r="AI1121" s="18"/>
      <c r="AK1121" s="1518"/>
      <c r="AL1121" s="1518"/>
      <c r="AM1121" s="1518"/>
      <c r="AN1121" s="1518"/>
      <c r="AO1121" s="1518"/>
      <c r="AP1121" s="1518"/>
      <c r="AQ1121" s="1518"/>
    </row>
    <row r="1122" spans="1:43">
      <c r="L1122" s="71"/>
      <c r="M1122" s="71"/>
    </row>
    <row r="1123" spans="1:43" s="1126" customFormat="1">
      <c r="A1123" s="18"/>
      <c r="B1123" s="18"/>
      <c r="C1123" s="18"/>
      <c r="D1123" s="18" t="s">
        <v>123</v>
      </c>
      <c r="E1123" s="18"/>
      <c r="F1123" s="18"/>
      <c r="G1123" s="18"/>
      <c r="H1123" s="23">
        <f>SUM(H1124:H1126)</f>
        <v>-252528.91097000003</v>
      </c>
      <c r="I1123" s="23">
        <f t="shared" ref="I1123:M1123" si="1377">SUM(I1124:I1126)</f>
        <v>-277431.68151000002</v>
      </c>
      <c r="J1123" s="23">
        <f t="shared" si="1377"/>
        <v>-320149.98922999983</v>
      </c>
      <c r="K1123" s="23">
        <f t="shared" si="1377"/>
        <v>-415518</v>
      </c>
      <c r="L1123" s="23">
        <f t="shared" si="1377"/>
        <v>-331918.95982680086</v>
      </c>
      <c r="M1123" s="23">
        <f t="shared" si="1377"/>
        <v>-549372.45091608446</v>
      </c>
      <c r="N1123" s="23">
        <f>-N1111/(360/N1127)</f>
        <v>-428748.77476921235</v>
      </c>
      <c r="O1123" s="23">
        <f t="shared" ref="O1123:S1123" si="1378">-O1111/(360/O1127)</f>
        <v>-477349.88810781209</v>
      </c>
      <c r="P1123" s="23">
        <f t="shared" si="1378"/>
        <v>-538403.70004564093</v>
      </c>
      <c r="Q1123" s="23">
        <f t="shared" si="1378"/>
        <v>-606946.74829205777</v>
      </c>
      <c r="R1123" s="23">
        <f t="shared" si="1378"/>
        <v>-683814.77179342532</v>
      </c>
      <c r="S1123" s="23">
        <f t="shared" si="1378"/>
        <v>-763668.04510059219</v>
      </c>
      <c r="T1123" s="408"/>
      <c r="U1123" s="1518"/>
      <c r="V1123" s="1518"/>
      <c r="W1123" s="1518"/>
      <c r="X1123" s="1518"/>
      <c r="Y1123" s="1518"/>
      <c r="Z1123" s="1518"/>
      <c r="AA1123" s="1518"/>
      <c r="AC1123" s="18"/>
      <c r="AD1123" s="18"/>
      <c r="AE1123" s="18"/>
      <c r="AF1123" s="18"/>
      <c r="AG1123" s="18"/>
      <c r="AH1123" s="18"/>
      <c r="AI1123" s="18"/>
      <c r="AK1123" s="1518"/>
      <c r="AL1123" s="1518"/>
      <c r="AM1123" s="1518"/>
      <c r="AN1123" s="1518"/>
      <c r="AO1123" s="1518"/>
      <c r="AP1123" s="1518"/>
      <c r="AQ1123" s="1518"/>
    </row>
    <row r="1124" spans="1:43">
      <c r="E1124" s="1" t="s">
        <v>124</v>
      </c>
      <c r="H1124" s="394">
        <v>-71358.844870000001</v>
      </c>
      <c r="I1124" s="394">
        <v>-23149.772349999999</v>
      </c>
      <c r="J1124" s="394">
        <v>-38974.799129999985</v>
      </c>
      <c r="K1124" s="394">
        <v>-89632</v>
      </c>
      <c r="L1124" s="394">
        <v>-72376.491649999996</v>
      </c>
      <c r="M1124" s="394">
        <v>-135123.96226</v>
      </c>
      <c r="N1124" s="80">
        <f>N$1123/M$1123*M1124</f>
        <v>-105455.2938800086</v>
      </c>
      <c r="O1124" s="80">
        <f t="shared" ref="O1124:S1126" si="1379">O$1123/N$1123*N1124</f>
        <v>-117409.25151586765</v>
      </c>
      <c r="P1124" s="80">
        <f t="shared" si="1379"/>
        <v>-132426.08202194716</v>
      </c>
      <c r="Q1124" s="80">
        <f t="shared" si="1379"/>
        <v>-149284.96937421616</v>
      </c>
      <c r="R1124" s="80">
        <f t="shared" si="1379"/>
        <v>-168191.47240195196</v>
      </c>
      <c r="S1124" s="80">
        <f t="shared" si="1379"/>
        <v>-187832.2291794396</v>
      </c>
    </row>
    <row r="1125" spans="1:43">
      <c r="E1125" s="1" t="s">
        <v>125</v>
      </c>
      <c r="H1125" s="394">
        <v>-230178.88746000006</v>
      </c>
      <c r="I1125" s="394">
        <v>-285150.90248000005</v>
      </c>
      <c r="J1125" s="394">
        <v>-351186.37859999988</v>
      </c>
      <c r="K1125" s="394">
        <v>-367031</v>
      </c>
      <c r="L1125" s="394">
        <v>-350105.08620999992</v>
      </c>
      <c r="M1125" s="394">
        <v>-482870.88392931456</v>
      </c>
      <c r="N1125" s="80">
        <f>N$1123/M$1123*M1125</f>
        <v>-376848.71076297131</v>
      </c>
      <c r="O1125" s="80">
        <f t="shared" si="1379"/>
        <v>-419566.65651839681</v>
      </c>
      <c r="P1125" s="80">
        <f t="shared" si="1379"/>
        <v>-473229.90098672337</v>
      </c>
      <c r="Q1125" s="80">
        <f t="shared" si="1379"/>
        <v>-533475.80927492864</v>
      </c>
      <c r="R1125" s="80">
        <f t="shared" si="1379"/>
        <v>-601038.95408153685</v>
      </c>
      <c r="S1125" s="80">
        <f t="shared" si="1379"/>
        <v>-671225.98403213511</v>
      </c>
    </row>
    <row r="1126" spans="1:43">
      <c r="E1126" s="1" t="s">
        <v>126</v>
      </c>
      <c r="H1126" s="394">
        <v>49008.821359999994</v>
      </c>
      <c r="I1126" s="394">
        <v>30868.993320000012</v>
      </c>
      <c r="J1126" s="394">
        <v>70011.188500000047</v>
      </c>
      <c r="K1126" s="394">
        <v>41145</v>
      </c>
      <c r="L1126" s="394">
        <v>90562.618033199018</v>
      </c>
      <c r="M1126" s="394">
        <v>68622.395273230024</v>
      </c>
      <c r="N1126" s="80">
        <f>N$1123/M$1123*M1126</f>
        <v>53555.229873767508</v>
      </c>
      <c r="O1126" s="80">
        <f t="shared" si="1379"/>
        <v>59626.019926452325</v>
      </c>
      <c r="P1126" s="80">
        <f t="shared" si="1379"/>
        <v>67252.282963029502</v>
      </c>
      <c r="Q1126" s="80">
        <f t="shared" si="1379"/>
        <v>75814.030357086871</v>
      </c>
      <c r="R1126" s="80">
        <f t="shared" si="1379"/>
        <v>85415.654690063311</v>
      </c>
      <c r="S1126" s="80">
        <f t="shared" si="1379"/>
        <v>95390.168110982355</v>
      </c>
    </row>
    <row r="1127" spans="1:43" s="1126" customFormat="1">
      <c r="A1127" s="18"/>
      <c r="B1127" s="18"/>
      <c r="C1127" s="18"/>
      <c r="D1127" s="18" t="s">
        <v>127</v>
      </c>
      <c r="E1127" s="18"/>
      <c r="F1127" s="18"/>
      <c r="G1127" s="18"/>
      <c r="H1127" s="71">
        <f>-360/(SUM(H1111)/SUM(H1123))</f>
        <v>-85.265411388241489</v>
      </c>
      <c r="I1127" s="71">
        <f>-360/(SUM(I1111)/AVERAGE(H1123,I1123))</f>
        <v>-81.529374591062208</v>
      </c>
      <c r="J1127" s="71">
        <f t="shared" ref="J1127" si="1380">-360/(SUM(J1111)/AVERAGE(I1123,J1123))</f>
        <v>-94.39698245904097</v>
      </c>
      <c r="K1127" s="71">
        <f>-360/(SUM(K1111)/AVERAGE(J1123,K1123))</f>
        <v>-85.198626621067888</v>
      </c>
      <c r="L1127" s="71">
        <f>-360/(SUM(L1111)/AVERAGE(J1123,L1123))</f>
        <v>-74.340591151024412</v>
      </c>
      <c r="M1127" s="71">
        <f>-360/(SUM(M1111)/AVERAGE(L1123,M1123))</f>
        <v>-94.928915226096535</v>
      </c>
      <c r="N1127" s="154">
        <v>-90</v>
      </c>
      <c r="O1127" s="154">
        <f>N1127</f>
        <v>-90</v>
      </c>
      <c r="P1127" s="154">
        <f t="shared" ref="P1127:S1127" si="1381">O1127</f>
        <v>-90</v>
      </c>
      <c r="Q1127" s="154">
        <f t="shared" si="1381"/>
        <v>-90</v>
      </c>
      <c r="R1127" s="154">
        <f t="shared" si="1381"/>
        <v>-90</v>
      </c>
      <c r="S1127" s="154">
        <f t="shared" si="1381"/>
        <v>-90</v>
      </c>
      <c r="T1127" s="408"/>
      <c r="U1127" s="1518"/>
      <c r="V1127" s="1518"/>
      <c r="W1127" s="1518"/>
      <c r="X1127" s="1518"/>
      <c r="Y1127" s="1518"/>
      <c r="Z1127" s="1518"/>
      <c r="AA1127" s="1518"/>
      <c r="AC1127" s="18"/>
      <c r="AD1127" s="18"/>
      <c r="AE1127" s="18"/>
      <c r="AF1127" s="18"/>
      <c r="AG1127" s="18"/>
      <c r="AH1127" s="18"/>
      <c r="AI1127" s="18"/>
      <c r="AK1127" s="1518"/>
      <c r="AL1127" s="1518"/>
      <c r="AM1127" s="1518"/>
      <c r="AN1127" s="1518"/>
      <c r="AO1127" s="1518"/>
      <c r="AP1127" s="1518"/>
      <c r="AQ1127" s="1518"/>
    </row>
    <row r="1128" spans="1:43" ht="15" thickBot="1">
      <c r="C1128" s="37"/>
      <c r="D1128" s="37"/>
      <c r="E1128" s="37"/>
      <c r="F1128" s="37"/>
      <c r="G1128" s="37"/>
      <c r="H1128" s="72"/>
      <c r="I1128" s="72"/>
      <c r="J1128" s="72"/>
      <c r="K1128" s="72"/>
      <c r="L1128" s="72"/>
      <c r="M1128" s="72"/>
      <c r="N1128" s="72"/>
      <c r="O1128" s="72"/>
      <c r="P1128" s="72"/>
      <c r="Q1128" s="72"/>
      <c r="R1128" s="72"/>
      <c r="S1128" s="72"/>
    </row>
    <row r="1129" spans="1:43" ht="15" thickBot="1">
      <c r="C1129" s="63" t="s">
        <v>128</v>
      </c>
      <c r="D1129" s="37"/>
      <c r="E1129" s="37"/>
      <c r="F1129" s="37"/>
      <c r="G1129" s="37"/>
      <c r="H1129" s="64">
        <f>H1114+H1120+H1123</f>
        <v>599563.49972223653</v>
      </c>
      <c r="I1129" s="64">
        <f t="shared" ref="I1129:S1129" si="1382">I1114+I1120+I1123</f>
        <v>954540.90875769965</v>
      </c>
      <c r="J1129" s="64">
        <f t="shared" si="1382"/>
        <v>998677.86624514766</v>
      </c>
      <c r="K1129" s="64">
        <f t="shared" si="1382"/>
        <v>1088094</v>
      </c>
      <c r="L1129" s="64">
        <f t="shared" si="1382"/>
        <v>1136355.9338618745</v>
      </c>
      <c r="M1129" s="64">
        <f t="shared" si="1382"/>
        <v>979888.77790019708</v>
      </c>
      <c r="N1129" s="64">
        <f t="shared" si="1382"/>
        <v>1056169.2030628156</v>
      </c>
      <c r="O1129" s="64">
        <f t="shared" si="1382"/>
        <v>1035615.0841664786</v>
      </c>
      <c r="P1129" s="64">
        <f t="shared" si="1382"/>
        <v>1061701.9800933683</v>
      </c>
      <c r="Q1129" s="64">
        <f t="shared" si="1382"/>
        <v>1111868.8517165319</v>
      </c>
      <c r="R1129" s="64">
        <f t="shared" si="1382"/>
        <v>1173174.6878563073</v>
      </c>
      <c r="S1129" s="64">
        <f t="shared" si="1382"/>
        <v>1237632.6021894733</v>
      </c>
    </row>
    <row r="1130" spans="1:43">
      <c r="D1130" s="18" t="s">
        <v>129</v>
      </c>
      <c r="H1130" s="70">
        <f>H1118+H1121+H1127</f>
        <v>150.89123808841441</v>
      </c>
      <c r="I1130" s="70">
        <f t="shared" ref="I1130:S1130" si="1383">I1118+I1121+I1127</f>
        <v>170.37192316399791</v>
      </c>
      <c r="J1130" s="70">
        <f t="shared" si="1383"/>
        <v>197.27101851011528</v>
      </c>
      <c r="K1130" s="70">
        <f t="shared" si="1383"/>
        <v>157.34300490259028</v>
      </c>
      <c r="L1130" s="70">
        <f t="shared" si="1383"/>
        <v>162.40640446830054</v>
      </c>
      <c r="M1130" s="70">
        <f t="shared" si="1383"/>
        <v>155.24246097135708</v>
      </c>
      <c r="N1130" s="70">
        <f t="shared" si="1383"/>
        <v>152.92055043491555</v>
      </c>
      <c r="O1130" s="70">
        <f t="shared" si="1383"/>
        <v>131.56011585378675</v>
      </c>
      <c r="P1130" s="70">
        <f t="shared" si="1383"/>
        <v>115.04347345114496</v>
      </c>
      <c r="Q1130" s="70">
        <f t="shared" si="1383"/>
        <v>104.40483956632437</v>
      </c>
      <c r="R1130" s="70">
        <f t="shared" si="1383"/>
        <v>96.435281206652576</v>
      </c>
      <c r="S1130" s="70">
        <f t="shared" si="1383"/>
        <v>90.236250527217862</v>
      </c>
    </row>
    <row r="1131" spans="1:43">
      <c r="D1131" s="22" t="s">
        <v>130</v>
      </c>
      <c r="H1131" s="25">
        <f>H1129/H$14</f>
        <v>0.41430354109028433</v>
      </c>
      <c r="I1131" s="25">
        <f t="shared" ref="I1131:M1131" si="1384">I1129/I$14</f>
        <v>0.57463091644429165</v>
      </c>
      <c r="J1131" s="25">
        <f t="shared" si="1384"/>
        <v>0.55406005947734738</v>
      </c>
      <c r="K1131" s="25">
        <f t="shared" si="1384"/>
        <v>0.54536364417795669</v>
      </c>
      <c r="L1131" s="25">
        <f t="shared" si="1384"/>
        <v>0.46780360756744416</v>
      </c>
      <c r="M1131" s="25">
        <f t="shared" si="1384"/>
        <v>0.68221793316105295</v>
      </c>
      <c r="N1131" s="25">
        <f t="shared" ref="N1131:S1131" si="1385">N1129/N$1106</f>
        <v>0.41955747746192612</v>
      </c>
      <c r="O1131" s="25">
        <f t="shared" si="1385"/>
        <v>0.35961387378362814</v>
      </c>
      <c r="P1131" s="25">
        <f t="shared" si="1385"/>
        <v>0.32219781646121998</v>
      </c>
      <c r="Q1131" s="25">
        <f t="shared" si="1385"/>
        <v>0.29641649672445591</v>
      </c>
      <c r="R1131" s="25">
        <f t="shared" si="1385"/>
        <v>0.27587686354856877</v>
      </c>
      <c r="S1131" s="25">
        <f t="shared" si="1385"/>
        <v>0.25929747504285539</v>
      </c>
    </row>
    <row r="1132" spans="1:43">
      <c r="D1132" s="22"/>
      <c r="H1132" s="25"/>
      <c r="I1132" s="25"/>
      <c r="J1132" s="25"/>
      <c r="K1132" s="25"/>
    </row>
    <row r="1133" spans="1:43">
      <c r="D1133" s="1" t="s">
        <v>131</v>
      </c>
      <c r="H1133" s="394">
        <v>26214</v>
      </c>
      <c r="I1133" s="394">
        <v>18090</v>
      </c>
      <c r="J1133" s="394">
        <v>26024</v>
      </c>
      <c r="K1133" s="394">
        <v>17650</v>
      </c>
      <c r="L1133" s="864">
        <v>18306</v>
      </c>
      <c r="M1133" s="864">
        <v>22953.972586083772</v>
      </c>
      <c r="N1133" s="155">
        <f t="shared" ref="N1133:S1133" si="1386">N1134*N1106</f>
        <v>25173.4091226788</v>
      </c>
      <c r="O1133" s="155">
        <f t="shared" si="1386"/>
        <v>28797.973595134034</v>
      </c>
      <c r="P1133" s="155">
        <f t="shared" si="1386"/>
        <v>32951.867636916642</v>
      </c>
      <c r="Q1133" s="155">
        <f t="shared" si="1386"/>
        <v>37510.356677283977</v>
      </c>
      <c r="R1133" s="155">
        <f t="shared" si="1386"/>
        <v>42525.3017873957</v>
      </c>
      <c r="S1133" s="155">
        <f t="shared" si="1386"/>
        <v>47730.221899959644</v>
      </c>
    </row>
    <row r="1134" spans="1:43" s="1365" customFormat="1">
      <c r="A1134" s="22"/>
      <c r="B1134" s="22"/>
      <c r="C1134" s="22"/>
      <c r="D1134" s="22" t="s">
        <v>138</v>
      </c>
      <c r="E1134" s="22"/>
      <c r="F1134" s="22"/>
      <c r="G1134" s="22"/>
      <c r="H1134" s="25">
        <f>H1133/H$14</f>
        <v>1.8114099726171038E-2</v>
      </c>
      <c r="I1134" s="25">
        <f t="shared" ref="I1134:M1134" si="1387">I1133/I$14</f>
        <v>1.08901286294854E-2</v>
      </c>
      <c r="J1134" s="25">
        <f t="shared" si="1387"/>
        <v>1.4437947886089486E-2</v>
      </c>
      <c r="K1134" s="25">
        <f t="shared" si="1387"/>
        <v>8.8463573181553571E-3</v>
      </c>
      <c r="L1134" s="25">
        <f t="shared" si="1387"/>
        <v>7.5360303800468828E-3</v>
      </c>
      <c r="M1134" s="25">
        <f t="shared" si="1387"/>
        <v>1.5981009364216325E-2</v>
      </c>
      <c r="N1134" s="79">
        <v>0.01</v>
      </c>
      <c r="O1134" s="79">
        <f t="shared" ref="O1134:S1144" si="1388">N1134</f>
        <v>0.01</v>
      </c>
      <c r="P1134" s="79">
        <f t="shared" si="1388"/>
        <v>0.01</v>
      </c>
      <c r="Q1134" s="79">
        <f t="shared" si="1388"/>
        <v>0.01</v>
      </c>
      <c r="R1134" s="79">
        <f t="shared" si="1388"/>
        <v>0.01</v>
      </c>
      <c r="S1134" s="79">
        <f t="shared" si="1388"/>
        <v>0.01</v>
      </c>
      <c r="T1134" s="726"/>
      <c r="U1134" s="1523"/>
      <c r="V1134" s="1523"/>
      <c r="W1134" s="1523"/>
      <c r="X1134" s="1523"/>
      <c r="Y1134" s="1523"/>
      <c r="Z1134" s="1523"/>
      <c r="AA1134" s="1523"/>
      <c r="AC1134" s="22"/>
      <c r="AD1134" s="22"/>
      <c r="AE1134" s="22"/>
      <c r="AF1134" s="22"/>
      <c r="AG1134" s="22"/>
      <c r="AH1134" s="22"/>
      <c r="AI1134" s="22"/>
      <c r="AK1134" s="1523"/>
      <c r="AL1134" s="1523"/>
      <c r="AM1134" s="1523"/>
      <c r="AN1134" s="1523"/>
      <c r="AO1134" s="1523"/>
      <c r="AP1134" s="1523"/>
      <c r="AQ1134" s="1523"/>
    </row>
    <row r="1135" spans="1:43">
      <c r="D1135" s="1" t="s">
        <v>132</v>
      </c>
      <c r="H1135" s="394">
        <v>6586</v>
      </c>
      <c r="I1135" s="394">
        <v>3057</v>
      </c>
      <c r="J1135" s="394">
        <v>2522</v>
      </c>
      <c r="K1135" s="394">
        <v>4396</v>
      </c>
      <c r="L1135" s="864">
        <v>2360</v>
      </c>
      <c r="M1135" s="864">
        <v>4190.3278252001055</v>
      </c>
      <c r="N1135" s="155">
        <f t="shared" ref="N1135:S1135" si="1389">N1136*N1106</f>
        <v>5034.6818245357599</v>
      </c>
      <c r="O1135" s="155">
        <f t="shared" si="1389"/>
        <v>5759.5947190268071</v>
      </c>
      <c r="P1135" s="155">
        <f t="shared" si="1389"/>
        <v>6590.3735273833281</v>
      </c>
      <c r="Q1135" s="155">
        <f t="shared" si="1389"/>
        <v>7502.0713354567952</v>
      </c>
      <c r="R1135" s="155">
        <f t="shared" si="1389"/>
        <v>8505.0603574791403</v>
      </c>
      <c r="S1135" s="155">
        <f t="shared" si="1389"/>
        <v>9546.0443799919285</v>
      </c>
    </row>
    <row r="1136" spans="1:43" s="1365" customFormat="1">
      <c r="A1136" s="22"/>
      <c r="B1136" s="22"/>
      <c r="C1136" s="22"/>
      <c r="D1136" s="22" t="s">
        <v>138</v>
      </c>
      <c r="E1136" s="22"/>
      <c r="F1136" s="22"/>
      <c r="G1136" s="22"/>
      <c r="H1136" s="25">
        <f>H1135/H$14</f>
        <v>4.550982711397057E-3</v>
      </c>
      <c r="I1136" s="25">
        <f t="shared" ref="I1136:M1136" si="1390">I1135/I$14</f>
        <v>1.8403053189793735E-3</v>
      </c>
      <c r="J1136" s="25">
        <f t="shared" si="1390"/>
        <v>1.3991893855178944E-3</v>
      </c>
      <c r="K1136" s="25">
        <f t="shared" si="1390"/>
        <v>2.2033193637739914E-3</v>
      </c>
      <c r="L1136" s="25">
        <f t="shared" si="1390"/>
        <v>9.7154111749757691E-4</v>
      </c>
      <c r="M1136" s="25">
        <f t="shared" si="1390"/>
        <v>2.9173890472561671E-3</v>
      </c>
      <c r="N1136" s="79">
        <v>2E-3</v>
      </c>
      <c r="O1136" s="79">
        <f t="shared" si="1388"/>
        <v>2E-3</v>
      </c>
      <c r="P1136" s="79">
        <f t="shared" si="1388"/>
        <v>2E-3</v>
      </c>
      <c r="Q1136" s="79">
        <f t="shared" si="1388"/>
        <v>2E-3</v>
      </c>
      <c r="R1136" s="79">
        <f t="shared" si="1388"/>
        <v>2E-3</v>
      </c>
      <c r="S1136" s="79">
        <f t="shared" si="1388"/>
        <v>2E-3</v>
      </c>
      <c r="T1136" s="726"/>
      <c r="U1136" s="1523"/>
      <c r="V1136" s="1523"/>
      <c r="W1136" s="1523"/>
      <c r="X1136" s="1523"/>
      <c r="Y1136" s="1523"/>
      <c r="Z1136" s="1523"/>
      <c r="AA1136" s="1523"/>
      <c r="AC1136" s="22"/>
      <c r="AD1136" s="22"/>
      <c r="AE1136" s="22"/>
      <c r="AF1136" s="22"/>
      <c r="AG1136" s="22"/>
      <c r="AH1136" s="22"/>
      <c r="AI1136" s="22"/>
      <c r="AK1136" s="1523"/>
      <c r="AL1136" s="1523"/>
      <c r="AM1136" s="1523"/>
      <c r="AN1136" s="1523"/>
      <c r="AO1136" s="1523"/>
      <c r="AP1136" s="1523"/>
      <c r="AQ1136" s="1523"/>
    </row>
    <row r="1137" spans="1:43">
      <c r="D1137" s="1" t="s">
        <v>133</v>
      </c>
      <c r="H1137" s="394">
        <v>30834</v>
      </c>
      <c r="I1137" s="394">
        <v>14854</v>
      </c>
      <c r="J1137" s="394">
        <v>19038</v>
      </c>
      <c r="K1137" s="394">
        <v>15914</v>
      </c>
      <c r="L1137" s="394">
        <v>30803.24800600006</v>
      </c>
      <c r="M1137" s="394">
        <v>23236.995256000031</v>
      </c>
      <c r="N1137" s="155">
        <f t="shared" ref="N1137:S1137" si="1391">N1138*N1106</f>
        <v>31921.826229732476</v>
      </c>
      <c r="O1137" s="155">
        <f t="shared" si="1391"/>
        <v>36518.053807980548</v>
      </c>
      <c r="P1137" s="155">
        <f t="shared" si="1391"/>
        <v>41785.512145955356</v>
      </c>
      <c r="Q1137" s="155">
        <f t="shared" si="1391"/>
        <v>47566.028178074768</v>
      </c>
      <c r="R1137" s="155">
        <f t="shared" si="1391"/>
        <v>53925.365746398442</v>
      </c>
      <c r="S1137" s="155">
        <f t="shared" si="1391"/>
        <v>60525.606284467642</v>
      </c>
    </row>
    <row r="1138" spans="1:43" s="1365" customFormat="1">
      <c r="A1138" s="22"/>
      <c r="B1138" s="22"/>
      <c r="C1138" s="22"/>
      <c r="D1138" s="22" t="s">
        <v>138</v>
      </c>
      <c r="E1138" s="22"/>
      <c r="F1138" s="22"/>
      <c r="G1138" s="22"/>
      <c r="H1138" s="25">
        <f>H1137/H$14</f>
        <v>2.1306559508535813E-2</v>
      </c>
      <c r="I1138" s="25">
        <f t="shared" ref="I1138:M1138" si="1392">I1137/I$14</f>
        <v>8.942065818815707E-3</v>
      </c>
      <c r="J1138" s="25">
        <f t="shared" si="1392"/>
        <v>1.0562160000590671E-2</v>
      </c>
      <c r="K1138" s="25">
        <f t="shared" si="1392"/>
        <v>7.9762566776840991E-3</v>
      </c>
      <c r="L1138" s="25">
        <f t="shared" si="1392"/>
        <v>1.268077202978996E-2</v>
      </c>
      <c r="M1138" s="25">
        <f t="shared" si="1392"/>
        <v>1.6178055340517587E-2</v>
      </c>
      <c r="N1138" s="79">
        <f>L1138</f>
        <v>1.268077202978996E-2</v>
      </c>
      <c r="O1138" s="79">
        <f t="shared" si="1388"/>
        <v>1.268077202978996E-2</v>
      </c>
      <c r="P1138" s="79">
        <f t="shared" si="1388"/>
        <v>1.268077202978996E-2</v>
      </c>
      <c r="Q1138" s="79">
        <f t="shared" si="1388"/>
        <v>1.268077202978996E-2</v>
      </c>
      <c r="R1138" s="79">
        <f t="shared" si="1388"/>
        <v>1.268077202978996E-2</v>
      </c>
      <c r="S1138" s="79">
        <f t="shared" si="1388"/>
        <v>1.268077202978996E-2</v>
      </c>
      <c r="T1138" s="726"/>
      <c r="U1138" s="1523"/>
      <c r="V1138" s="1523"/>
      <c r="W1138" s="1523"/>
      <c r="X1138" s="1523"/>
      <c r="Y1138" s="1523"/>
      <c r="Z1138" s="1523"/>
      <c r="AA1138" s="1523"/>
      <c r="AC1138" s="22"/>
      <c r="AD1138" s="22"/>
      <c r="AE1138" s="22"/>
      <c r="AF1138" s="22"/>
      <c r="AG1138" s="22"/>
      <c r="AH1138" s="22"/>
      <c r="AI1138" s="22"/>
      <c r="AK1138" s="1523"/>
      <c r="AL1138" s="1523"/>
      <c r="AM1138" s="1523"/>
      <c r="AN1138" s="1523"/>
      <c r="AO1138" s="1523"/>
      <c r="AP1138" s="1523"/>
      <c r="AQ1138" s="1523"/>
    </row>
    <row r="1139" spans="1:43">
      <c r="D1139" s="1" t="s">
        <v>134</v>
      </c>
      <c r="H1139" s="394">
        <v>-39170</v>
      </c>
      <c r="I1139" s="394">
        <v>-51120</v>
      </c>
      <c r="J1139" s="394">
        <v>-59274</v>
      </c>
      <c r="K1139" s="394">
        <v>-51779</v>
      </c>
      <c r="L1139" s="394">
        <v>-64462</v>
      </c>
      <c r="M1139" s="394">
        <v>-56797.975802336834</v>
      </c>
      <c r="N1139" s="20">
        <f t="shared" ref="N1139:S1139" si="1393">N1140*N1111</f>
        <v>-68599.80396307398</v>
      </c>
      <c r="O1139" s="20">
        <f t="shared" si="1393"/>
        <v>-76375.982097249929</v>
      </c>
      <c r="P1139" s="20">
        <f t="shared" si="1393"/>
        <v>-86144.592007302548</v>
      </c>
      <c r="Q1139" s="20">
        <f t="shared" si="1393"/>
        <v>-97111.479726729245</v>
      </c>
      <c r="R1139" s="20">
        <f t="shared" si="1393"/>
        <v>-109410.36348694806</v>
      </c>
      <c r="S1139" s="20">
        <f t="shared" si="1393"/>
        <v>-122186.88721609475</v>
      </c>
    </row>
    <row r="1140" spans="1:43" s="1365" customFormat="1">
      <c r="A1140" s="22"/>
      <c r="B1140" s="22"/>
      <c r="C1140" s="22"/>
      <c r="D1140" s="22" t="s">
        <v>139</v>
      </c>
      <c r="E1140" s="22"/>
      <c r="F1140" s="22"/>
      <c r="G1140" s="22"/>
      <c r="H1140" s="25">
        <f t="shared" ref="H1140:M1140" si="1394">H1139/H21</f>
        <v>3.6737775568488236E-2</v>
      </c>
      <c r="I1140" s="25">
        <f t="shared" si="1394"/>
        <v>4.3690687029216184E-2</v>
      </c>
      <c r="J1140" s="25">
        <f t="shared" si="1394"/>
        <v>5.2017871105833911E-2</v>
      </c>
      <c r="K1140" s="25">
        <f t="shared" si="1394"/>
        <v>3.9977270112746106E-2</v>
      </c>
      <c r="L1140" s="25">
        <f t="shared" si="1394"/>
        <v>4.0828531618976753E-2</v>
      </c>
      <c r="M1140" s="25">
        <f t="shared" si="1394"/>
        <v>5.8266984155606459E-2</v>
      </c>
      <c r="N1140" s="79">
        <v>0.04</v>
      </c>
      <c r="O1140" s="79">
        <f t="shared" si="1388"/>
        <v>0.04</v>
      </c>
      <c r="P1140" s="79">
        <f t="shared" si="1388"/>
        <v>0.04</v>
      </c>
      <c r="Q1140" s="79">
        <f t="shared" si="1388"/>
        <v>0.04</v>
      </c>
      <c r="R1140" s="79">
        <f t="shared" si="1388"/>
        <v>0.04</v>
      </c>
      <c r="S1140" s="79">
        <f t="shared" si="1388"/>
        <v>0.04</v>
      </c>
      <c r="T1140" s="726"/>
      <c r="U1140" s="1523"/>
      <c r="V1140" s="1523"/>
      <c r="W1140" s="1523"/>
      <c r="X1140" s="1523"/>
      <c r="Y1140" s="1523"/>
      <c r="Z1140" s="1523"/>
      <c r="AA1140" s="1523"/>
      <c r="AC1140" s="22"/>
      <c r="AD1140" s="22"/>
      <c r="AE1140" s="22"/>
      <c r="AF1140" s="22"/>
      <c r="AG1140" s="22"/>
      <c r="AH1140" s="22"/>
      <c r="AI1140" s="22"/>
      <c r="AK1140" s="1523"/>
      <c r="AL1140" s="1523"/>
      <c r="AM1140" s="1523"/>
      <c r="AN1140" s="1523"/>
      <c r="AO1140" s="1523"/>
      <c r="AP1140" s="1523"/>
      <c r="AQ1140" s="1523"/>
    </row>
    <row r="1141" spans="1:43">
      <c r="D1141" s="1" t="s">
        <v>135</v>
      </c>
      <c r="H1141" s="394">
        <v>-20473.139980000004</v>
      </c>
      <c r="I1141" s="394">
        <v>-12542.772559999998</v>
      </c>
      <c r="J1141" s="394">
        <v>-29395.805489999992</v>
      </c>
      <c r="K1141" s="394">
        <v>-25352</v>
      </c>
      <c r="L1141" s="394">
        <v>-60047.391349999991</v>
      </c>
      <c r="M1141" s="394">
        <v>-15956.933339999985</v>
      </c>
      <c r="N1141" s="20">
        <f t="shared" ref="N1141:S1141" si="1395">N1142*N1112</f>
        <v>-29828.878525685413</v>
      </c>
      <c r="O1141" s="20">
        <f t="shared" si="1395"/>
        <v>-33962.486774432145</v>
      </c>
      <c r="P1141" s="20">
        <f t="shared" si="1395"/>
        <v>-38676.793068549719</v>
      </c>
      <c r="Q1141" s="20">
        <f t="shared" si="1395"/>
        <v>-43817.197729668522</v>
      </c>
      <c r="R1141" s="20">
        <f t="shared" si="1395"/>
        <v>-49437.193923649771</v>
      </c>
      <c r="S1141" s="20">
        <f t="shared" si="1395"/>
        <v>-55220.811650427357</v>
      </c>
    </row>
    <row r="1142" spans="1:43" s="1365" customFormat="1">
      <c r="A1142" s="22"/>
      <c r="B1142" s="22"/>
      <c r="C1142" s="22"/>
      <c r="D1142" s="22" t="s">
        <v>140</v>
      </c>
      <c r="E1142" s="22"/>
      <c r="F1142" s="22"/>
      <c r="G1142" s="22"/>
      <c r="H1142" s="25">
        <f>H1141/H993</f>
        <v>5.0733101009550342E-2</v>
      </c>
      <c r="I1142" s="25">
        <f>I1141/I993</f>
        <v>3.4748083764817993E-2</v>
      </c>
      <c r="J1142" s="25">
        <f>J1141/J993</f>
        <v>7.7816706215900672E-2</v>
      </c>
      <c r="K1142" s="25">
        <f>K1141/K993</f>
        <v>7.6834719886045066E-2</v>
      </c>
      <c r="L1142" s="25">
        <f t="shared" ref="L1142:M1142" si="1396">L1141/L993</f>
        <v>0.13810286608045466</v>
      </c>
      <c r="M1142" s="25">
        <f t="shared" si="1396"/>
        <v>6.4021590736750816E-2</v>
      </c>
      <c r="N1142" s="79">
        <v>7.0000000000000007E-2</v>
      </c>
      <c r="O1142" s="79">
        <f t="shared" si="1388"/>
        <v>7.0000000000000007E-2</v>
      </c>
      <c r="P1142" s="79">
        <f t="shared" si="1388"/>
        <v>7.0000000000000007E-2</v>
      </c>
      <c r="Q1142" s="79">
        <f t="shared" si="1388"/>
        <v>7.0000000000000007E-2</v>
      </c>
      <c r="R1142" s="79">
        <f t="shared" si="1388"/>
        <v>7.0000000000000007E-2</v>
      </c>
      <c r="S1142" s="79">
        <f t="shared" si="1388"/>
        <v>7.0000000000000007E-2</v>
      </c>
      <c r="T1142" s="726"/>
      <c r="U1142" s="1523"/>
      <c r="V1142" s="1523"/>
      <c r="W1142" s="1523"/>
      <c r="X1142" s="1523"/>
      <c r="Y1142" s="1523"/>
      <c r="Z1142" s="1523"/>
      <c r="AA1142" s="1523"/>
      <c r="AC1142" s="22"/>
      <c r="AD1142" s="22"/>
      <c r="AE1142" s="22"/>
      <c r="AF1142" s="22"/>
      <c r="AG1142" s="22"/>
      <c r="AH1142" s="22"/>
      <c r="AI1142" s="22"/>
      <c r="AK1142" s="1523"/>
      <c r="AL1142" s="1523"/>
      <c r="AM1142" s="1523"/>
      <c r="AN1142" s="1523"/>
      <c r="AO1142" s="1523"/>
      <c r="AP1142" s="1523"/>
      <c r="AQ1142" s="1523"/>
    </row>
    <row r="1143" spans="1:43">
      <c r="D1143" s="1" t="s">
        <v>137</v>
      </c>
      <c r="H1143" s="394">
        <v>-15140</v>
      </c>
      <c r="I1143" s="394">
        <v>-16804</v>
      </c>
      <c r="J1143" s="394">
        <v>-9556</v>
      </c>
      <c r="K1143" s="394">
        <v>-15021</v>
      </c>
      <c r="L1143" s="394">
        <v>-10159</v>
      </c>
      <c r="M1143" s="394">
        <v>-9858.3192800000143</v>
      </c>
      <c r="N1143" s="20">
        <f t="shared" ref="N1143:S1143" si="1397">N1144*N1050</f>
        <v>-12830.834818049838</v>
      </c>
      <c r="O1143" s="20">
        <f t="shared" ca="1" si="1397"/>
        <v>-17995.044638871808</v>
      </c>
      <c r="P1143" s="20">
        <f t="shared" ca="1" si="1397"/>
        <v>-22378.475185920986</v>
      </c>
      <c r="Q1143" s="20">
        <f t="shared" ca="1" si="1397"/>
        <v>-27211.048887964607</v>
      </c>
      <c r="R1143" s="20">
        <f t="shared" ca="1" si="1397"/>
        <v>-32001.240950861742</v>
      </c>
      <c r="S1143" s="20">
        <f t="shared" ca="1" si="1397"/>
        <v>-36985.044912945952</v>
      </c>
    </row>
    <row r="1144" spans="1:43" s="1365" customFormat="1" ht="15" thickBot="1">
      <c r="A1144" s="22"/>
      <c r="B1144" s="22"/>
      <c r="C1144" s="74"/>
      <c r="D1144" s="74" t="s">
        <v>141</v>
      </c>
      <c r="E1144" s="74"/>
      <c r="F1144" s="74"/>
      <c r="G1144" s="74"/>
      <c r="H1144" s="75">
        <f>H1143/H1050</f>
        <v>0.25058329758811188</v>
      </c>
      <c r="I1144" s="75">
        <f>I1143/I1050</f>
        <v>-0.13871301210856635</v>
      </c>
      <c r="J1144" s="75">
        <f>J1143/J1050</f>
        <v>-3.9562605260676863E-2</v>
      </c>
      <c r="K1144" s="75">
        <f>K1143/K1050</f>
        <v>-4.3729703213860986E-2</v>
      </c>
      <c r="L1144" s="75">
        <f t="shared" ref="L1144:M1144" si="1398">L1143/L1050</f>
        <v>-2.6714987719737144E-2</v>
      </c>
      <c r="M1144" s="75">
        <f t="shared" si="1398"/>
        <v>-5.1483068963559288E-2</v>
      </c>
      <c r="N1144" s="79">
        <v>-0.04</v>
      </c>
      <c r="O1144" s="79">
        <f t="shared" si="1388"/>
        <v>-0.04</v>
      </c>
      <c r="P1144" s="79">
        <f t="shared" si="1388"/>
        <v>-0.04</v>
      </c>
      <c r="Q1144" s="79">
        <f t="shared" si="1388"/>
        <v>-0.04</v>
      </c>
      <c r="R1144" s="79">
        <f t="shared" si="1388"/>
        <v>-0.04</v>
      </c>
      <c r="S1144" s="79">
        <f t="shared" si="1388"/>
        <v>-0.04</v>
      </c>
      <c r="T1144" s="726"/>
      <c r="U1144" s="1523"/>
      <c r="V1144" s="1523"/>
      <c r="W1144" s="1523"/>
      <c r="X1144" s="1523"/>
      <c r="Y1144" s="1523"/>
      <c r="Z1144" s="1523"/>
      <c r="AA1144" s="1523"/>
      <c r="AC1144" s="22"/>
      <c r="AD1144" s="22"/>
      <c r="AE1144" s="22"/>
      <c r="AF1144" s="22"/>
      <c r="AG1144" s="22"/>
      <c r="AH1144" s="22"/>
      <c r="AI1144" s="22"/>
      <c r="AK1144" s="1523"/>
      <c r="AL1144" s="1523"/>
      <c r="AM1144" s="1523"/>
      <c r="AN1144" s="1523"/>
      <c r="AO1144" s="1523"/>
      <c r="AP1144" s="1523"/>
      <c r="AQ1144" s="1523"/>
    </row>
    <row r="1145" spans="1:43" s="1126" customFormat="1" ht="15" thickBot="1">
      <c r="A1145" s="18"/>
      <c r="B1145" s="18"/>
      <c r="C1145" s="76" t="s">
        <v>142</v>
      </c>
      <c r="D1145" s="76"/>
      <c r="E1145" s="76"/>
      <c r="F1145" s="76"/>
      <c r="G1145" s="76"/>
      <c r="H1145" s="77">
        <f>SUM(H1133,H1135,H1137,H1139,H1141,H1143)</f>
        <v>-11149.139980000004</v>
      </c>
      <c r="I1145" s="77">
        <f t="shared" ref="I1145:S1145" si="1399">SUM(I1133,I1135,I1137,I1139,I1141,I1143)</f>
        <v>-44465.772559999998</v>
      </c>
      <c r="J1145" s="77">
        <f t="shared" si="1399"/>
        <v>-50641.805489999992</v>
      </c>
      <c r="K1145" s="77">
        <f t="shared" si="1399"/>
        <v>-54192</v>
      </c>
      <c r="L1145" s="77">
        <f>SUM(L1133,L1135,L1137,L1139,L1141,L1143)</f>
        <v>-83199.143343999924</v>
      </c>
      <c r="M1145" s="77">
        <f t="shared" ref="M1145" si="1400">SUM(M1133,M1135,M1137,M1139,M1141,M1143)</f>
        <v>-32231.932755052927</v>
      </c>
      <c r="N1145" s="77">
        <f t="shared" si="1399"/>
        <v>-49129.600129862192</v>
      </c>
      <c r="O1145" s="77">
        <f t="shared" ca="1" si="1399"/>
        <v>-57257.891388412492</v>
      </c>
      <c r="P1145" s="77">
        <f t="shared" ca="1" si="1399"/>
        <v>-65872.106951517926</v>
      </c>
      <c r="Q1145" s="77">
        <f t="shared" ca="1" si="1399"/>
        <v>-75561.270153546822</v>
      </c>
      <c r="R1145" s="77">
        <f t="shared" ca="1" si="1399"/>
        <v>-85893.0704701863</v>
      </c>
      <c r="S1145" s="77">
        <f t="shared" ca="1" si="1399"/>
        <v>-96590.871215048843</v>
      </c>
      <c r="T1145" s="408"/>
      <c r="U1145" s="1518"/>
      <c r="V1145" s="1518"/>
      <c r="W1145" s="1518"/>
      <c r="X1145" s="1518"/>
      <c r="Y1145" s="1518"/>
      <c r="Z1145" s="1518"/>
      <c r="AA1145" s="1518"/>
      <c r="AC1145" s="18"/>
      <c r="AD1145" s="18"/>
      <c r="AE1145" s="18"/>
      <c r="AF1145" s="18"/>
      <c r="AG1145" s="18"/>
      <c r="AH1145" s="18"/>
      <c r="AI1145" s="18"/>
      <c r="AK1145" s="1518"/>
      <c r="AL1145" s="1518"/>
      <c r="AM1145" s="1518"/>
      <c r="AN1145" s="1518"/>
      <c r="AO1145" s="1518"/>
      <c r="AP1145" s="1518"/>
      <c r="AQ1145" s="1518"/>
    </row>
    <row r="1146" spans="1:43" ht="15" thickBot="1"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</row>
    <row r="1147" spans="1:43" s="1126" customFormat="1" ht="15" thickBot="1">
      <c r="A1147" s="18"/>
      <c r="B1147" s="18"/>
      <c r="C1147" s="63" t="s">
        <v>143</v>
      </c>
      <c r="D1147" s="63"/>
      <c r="E1147" s="63"/>
      <c r="F1147" s="63"/>
      <c r="G1147" s="63"/>
      <c r="H1147" s="64">
        <f>H1145+H1129</f>
        <v>588414.35974223656</v>
      </c>
      <c r="I1147" s="64">
        <f t="shared" ref="I1147:S1147" si="1401">I1145+I1129</f>
        <v>910075.1361976997</v>
      </c>
      <c r="J1147" s="64">
        <f t="shared" si="1401"/>
        <v>948036.06075514772</v>
      </c>
      <c r="K1147" s="64">
        <f t="shared" si="1401"/>
        <v>1033902</v>
      </c>
      <c r="L1147" s="64">
        <f>L1145+L1129</f>
        <v>1053156.7905178745</v>
      </c>
      <c r="M1147" s="64">
        <f t="shared" ref="M1147" si="1402">M1145+M1129</f>
        <v>947656.84514514415</v>
      </c>
      <c r="N1147" s="64">
        <f t="shared" si="1401"/>
        <v>1007039.6029329534</v>
      </c>
      <c r="O1147" s="64">
        <f t="shared" ca="1" si="1401"/>
        <v>978357.19277806615</v>
      </c>
      <c r="P1147" s="64">
        <f t="shared" ca="1" si="1401"/>
        <v>995829.87314185034</v>
      </c>
      <c r="Q1147" s="64">
        <f t="shared" ca="1" si="1401"/>
        <v>1036307.5815629851</v>
      </c>
      <c r="R1147" s="64">
        <f t="shared" ca="1" si="1401"/>
        <v>1087281.6173861208</v>
      </c>
      <c r="S1147" s="64">
        <f t="shared" ca="1" si="1401"/>
        <v>1141041.7309744244</v>
      </c>
      <c r="T1147" s="408"/>
      <c r="U1147" s="1518"/>
      <c r="V1147" s="1518"/>
      <c r="W1147" s="1518"/>
      <c r="X1147" s="1518"/>
      <c r="Y1147" s="1518"/>
      <c r="Z1147" s="1518"/>
      <c r="AA1147" s="1518"/>
      <c r="AC1147" s="18"/>
      <c r="AD1147" s="18"/>
      <c r="AE1147" s="18"/>
      <c r="AF1147" s="18"/>
      <c r="AG1147" s="18"/>
      <c r="AH1147" s="18"/>
      <c r="AI1147" s="18"/>
      <c r="AK1147" s="1518"/>
      <c r="AL1147" s="1518"/>
      <c r="AM1147" s="1518"/>
      <c r="AN1147" s="1518"/>
      <c r="AO1147" s="1518"/>
      <c r="AP1147" s="1518"/>
      <c r="AQ1147" s="1518"/>
    </row>
    <row r="1148" spans="1:43">
      <c r="D1148" s="22" t="s">
        <v>138</v>
      </c>
      <c r="H1148" s="25">
        <f>H1147/H$14</f>
        <v>0.4065993893599586</v>
      </c>
      <c r="I1148" s="25">
        <f t="shared" ref="I1148:M1148" si="1403">I1147/I$14</f>
        <v>0.5478626476334657</v>
      </c>
      <c r="J1148" s="25">
        <f t="shared" si="1403"/>
        <v>0.52596431137858857</v>
      </c>
      <c r="K1148" s="25">
        <f t="shared" si="1403"/>
        <v>0.51820206934591839</v>
      </c>
      <c r="L1148" s="25">
        <f t="shared" si="1403"/>
        <v>0.43355301913554972</v>
      </c>
      <c r="M1148" s="25">
        <f t="shared" si="1403"/>
        <v>0.65977742456265986</v>
      </c>
      <c r="N1148" s="25">
        <f t="shared" ref="N1148:S1148" si="1404">N1147/N$1106</f>
        <v>0.40004101074482928</v>
      </c>
      <c r="O1148" s="25">
        <f t="shared" ca="1" si="1404"/>
        <v>0.33973126253000602</v>
      </c>
      <c r="P1148" s="25">
        <f t="shared" ca="1" si="1404"/>
        <v>0.30220741480103608</v>
      </c>
      <c r="Q1148" s="25">
        <f t="shared" ca="1" si="1404"/>
        <v>0.27627238804438403</v>
      </c>
      <c r="R1148" s="25">
        <f t="shared" ca="1" si="1404"/>
        <v>0.25567875398555923</v>
      </c>
      <c r="S1148" s="25">
        <f t="shared" ca="1" si="1404"/>
        <v>0.23906063821911316</v>
      </c>
    </row>
    <row r="1150" spans="1:43" s="1126" customFormat="1">
      <c r="A1150" s="18"/>
      <c r="B1150" s="18"/>
      <c r="C1150" s="18" t="s">
        <v>144</v>
      </c>
      <c r="D1150" s="18"/>
      <c r="E1150" s="18"/>
      <c r="F1150" s="18"/>
      <c r="G1150" s="18"/>
      <c r="H1150" s="73">
        <f>H1151+H1152</f>
        <v>587156</v>
      </c>
      <c r="I1150" s="73">
        <f t="shared" ref="I1150:K1150" si="1405">I1151+I1152</f>
        <v>932844</v>
      </c>
      <c r="J1150" s="73">
        <f t="shared" si="1405"/>
        <v>1004550</v>
      </c>
      <c r="K1150" s="73">
        <f t="shared" si="1405"/>
        <v>1091304</v>
      </c>
      <c r="L1150" s="73">
        <f>L1114</f>
        <v>1045574.0440784004</v>
      </c>
      <c r="M1150" s="73">
        <f>M1114</f>
        <v>1055113.7761454864</v>
      </c>
      <c r="N1150" s="73">
        <f>N1151+N1152</f>
        <v>1037113.7019619618</v>
      </c>
      <c r="O1150" s="73">
        <f t="shared" ref="O1150:S1150" si="1406">O1151+O1152</f>
        <v>1019703.4212295514</v>
      </c>
      <c r="P1150" s="73">
        <f t="shared" si="1406"/>
        <v>1049737.4534256875</v>
      </c>
      <c r="Q1150" s="73">
        <f t="shared" si="1406"/>
        <v>1105124.9989577313</v>
      </c>
      <c r="R1150" s="73">
        <f t="shared" si="1406"/>
        <v>1173174.6878563073</v>
      </c>
      <c r="S1150" s="73">
        <f t="shared" si="1406"/>
        <v>1246117.8026905912</v>
      </c>
      <c r="T1150" s="408"/>
      <c r="U1150" s="1518"/>
      <c r="V1150" s="1518"/>
      <c r="W1150" s="1518"/>
      <c r="X1150" s="1518"/>
      <c r="Y1150" s="1518"/>
      <c r="Z1150" s="1518"/>
      <c r="AA1150" s="1518"/>
      <c r="AC1150" s="18"/>
      <c r="AD1150" s="18"/>
      <c r="AE1150" s="18"/>
      <c r="AF1150" s="18"/>
      <c r="AG1150" s="18"/>
      <c r="AH1150" s="18"/>
      <c r="AI1150" s="18"/>
      <c r="AK1150" s="1518"/>
      <c r="AL1150" s="1518"/>
      <c r="AM1150" s="1518"/>
      <c r="AN1150" s="1518"/>
      <c r="AO1150" s="1518"/>
      <c r="AP1150" s="1518"/>
      <c r="AQ1150" s="1518"/>
    </row>
    <row r="1151" spans="1:43">
      <c r="D1151" s="1" t="s">
        <v>145</v>
      </c>
      <c r="H1151" s="394">
        <v>183023</v>
      </c>
      <c r="I1151" s="394">
        <v>201677</v>
      </c>
      <c r="J1151" s="394">
        <v>175678</v>
      </c>
      <c r="K1151" s="394">
        <v>207376</v>
      </c>
      <c r="L1151" s="234">
        <f>L1150-L1152</f>
        <v>250127.96659000032</v>
      </c>
      <c r="M1151" s="234">
        <f>M1150-M1152</f>
        <v>210670.48408708652</v>
      </c>
      <c r="N1151" s="234">
        <f>N1109/(360/N1156)</f>
        <v>251418.82230192289</v>
      </c>
      <c r="O1151" s="234">
        <f t="shared" ref="O1151:S1151" si="1407">O1109/(360/O1156)</f>
        <v>310929.96385843551</v>
      </c>
      <c r="P1151" s="234">
        <f t="shared" si="1407"/>
        <v>372105.20038080105</v>
      </c>
      <c r="Q1151" s="234">
        <f t="shared" si="1407"/>
        <v>436562.75080108468</v>
      </c>
      <c r="R1151" s="234">
        <f t="shared" si="1407"/>
        <v>506446.31629439595</v>
      </c>
      <c r="S1151" s="234">
        <f t="shared" si="1407"/>
        <v>578642.57316545804</v>
      </c>
    </row>
    <row r="1152" spans="1:43">
      <c r="D1152" s="1" t="s">
        <v>146</v>
      </c>
      <c r="H1152" s="394">
        <v>404133</v>
      </c>
      <c r="I1152" s="394">
        <v>731167</v>
      </c>
      <c r="J1152" s="394">
        <v>828872</v>
      </c>
      <c r="K1152" s="394">
        <v>883928</v>
      </c>
      <c r="L1152" s="865">
        <v>795446.07748840004</v>
      </c>
      <c r="M1152" s="865">
        <v>844443.29205839988</v>
      </c>
      <c r="N1152" s="153">
        <f>N1107/(360/N1155)</f>
        <v>785694.87966003898</v>
      </c>
      <c r="O1152" s="153">
        <f t="shared" ref="O1152:S1152" si="1408">O1107/(360/O1155)</f>
        <v>708773.45737111592</v>
      </c>
      <c r="P1152" s="153">
        <f t="shared" si="1408"/>
        <v>677632.25304488651</v>
      </c>
      <c r="Q1152" s="153">
        <f t="shared" si="1408"/>
        <v>668562.2481566465</v>
      </c>
      <c r="R1152" s="153">
        <f t="shared" si="1408"/>
        <v>666728.37156191131</v>
      </c>
      <c r="S1152" s="153">
        <f t="shared" si="1408"/>
        <v>667475.22952513304</v>
      </c>
    </row>
    <row r="1153" spans="1:43">
      <c r="E1153" s="1" t="s">
        <v>147</v>
      </c>
      <c r="H1153" s="394">
        <v>388263</v>
      </c>
      <c r="I1153" s="394">
        <v>694497</v>
      </c>
      <c r="J1153" s="394">
        <v>776596</v>
      </c>
      <c r="K1153" s="394">
        <v>822015</v>
      </c>
      <c r="L1153" s="394">
        <v>774274</v>
      </c>
      <c r="M1153" s="394">
        <v>825267</v>
      </c>
      <c r="N1153" s="153">
        <f>N1108/(360/N1157)</f>
        <v>687826.65273409535</v>
      </c>
      <c r="O1153" s="153">
        <f t="shared" ref="O1153:S1153" si="1409">O1108/(360/O1157)</f>
        <v>597151.7331767946</v>
      </c>
      <c r="P1153" s="153">
        <f t="shared" si="1409"/>
        <v>547242.33194441302</v>
      </c>
      <c r="Q1153" s="153">
        <f t="shared" si="1409"/>
        <v>513946.28725739662</v>
      </c>
      <c r="R1153" s="153">
        <f t="shared" si="1409"/>
        <v>493027.62785361061</v>
      </c>
      <c r="S1153" s="153">
        <f t="shared" si="1409"/>
        <v>473154.90142001375</v>
      </c>
    </row>
    <row r="1155" spans="1:43">
      <c r="C1155" s="1" t="s">
        <v>148</v>
      </c>
      <c r="H1155" s="42">
        <f>360/((H1107+H1110)/H1152)</f>
        <v>215.42748349499624</v>
      </c>
      <c r="I1155" s="42">
        <f>360/((I1107+I1110)/AVERAGE(I1152,H1152))</f>
        <v>282.31344675383883</v>
      </c>
      <c r="J1155" s="42">
        <f>360/((J1107+J1110)/AVERAGE(J1152,I1152))</f>
        <v>390.77912997572503</v>
      </c>
      <c r="K1155" s="42">
        <f>360/((K1107+K1110)/AVERAGE(K1152,J1152))</f>
        <v>302.66023408300737</v>
      </c>
      <c r="L1155" s="42">
        <f>360/((L1107+L1110)/AVERAGE(L1152,J1152))</f>
        <v>282.33552266976602</v>
      </c>
      <c r="M1155" s="42">
        <f>360/((M1107+M1110)/AVERAGE(M1152,K1152))</f>
        <v>417.04765714801505</v>
      </c>
      <c r="N1155" s="156">
        <v>400</v>
      </c>
      <c r="O1155" s="156">
        <f>N1155-2</f>
        <v>398</v>
      </c>
      <c r="P1155" s="156">
        <f t="shared" ref="P1155" si="1410">O1155-2</f>
        <v>396</v>
      </c>
      <c r="Q1155" s="156">
        <f>P1155</f>
        <v>396</v>
      </c>
      <c r="R1155" s="156">
        <f t="shared" ref="R1155:S1155" si="1411">Q1155</f>
        <v>396</v>
      </c>
      <c r="S1155" s="156">
        <f t="shared" si="1411"/>
        <v>396</v>
      </c>
    </row>
    <row r="1156" spans="1:43">
      <c r="C1156" s="1" t="s">
        <v>149</v>
      </c>
      <c r="H1156" s="42">
        <f>360/(H1109/H1151)</f>
        <v>85.368080910685734</v>
      </c>
      <c r="I1156" s="42">
        <f>360/(I1109/AVERAGE(I1151,H1151))</f>
        <v>73.879579464878233</v>
      </c>
      <c r="J1156" s="42">
        <f>360/(J1109/AVERAGE(J1151,I1151))</f>
        <v>62.66678352969398</v>
      </c>
      <c r="K1156" s="42">
        <f>360/(K1109/AVERAGE(K1151,J1151))</f>
        <v>50.124872869865996</v>
      </c>
      <c r="L1156" s="42">
        <f>360/(L1109/AVERAGE(L1151,J1151))</f>
        <v>54.999333953734101</v>
      </c>
      <c r="M1156" s="42">
        <f>360/(M1109/AVERAGE(M1151,K1151))</f>
        <v>43.843303008419049</v>
      </c>
      <c r="N1156" s="156">
        <v>50</v>
      </c>
      <c r="O1156" s="156">
        <v>50</v>
      </c>
      <c r="P1156" s="156">
        <v>50</v>
      </c>
      <c r="Q1156" s="156">
        <v>50</v>
      </c>
      <c r="R1156" s="156">
        <v>50</v>
      </c>
      <c r="S1156" s="156">
        <v>50</v>
      </c>
    </row>
    <row r="1157" spans="1:43">
      <c r="C1157" s="1" t="s">
        <v>150</v>
      </c>
      <c r="H1157" s="42">
        <f>360/((H1110+H1108)/H1153)</f>
        <v>241.77533494484371</v>
      </c>
      <c r="I1157" s="42">
        <f>360/((I1110+I1108)/AVERAGE(I1153,H1153))</f>
        <v>296.47284315887947</v>
      </c>
      <c r="J1157" s="42">
        <f>360/((J1110+J1108)/AVERAGE(J1153,I1153))</f>
        <v>434.30045668880939</v>
      </c>
      <c r="K1157" s="42">
        <f>360/((K1110+K1108)/AVERAGE(K1153,J1153))</f>
        <v>330.24255356069779</v>
      </c>
      <c r="L1157" s="42">
        <f>360/((L1110+L1108)/AVERAGE(L1153,J1153))</f>
        <v>315.43367384013879</v>
      </c>
      <c r="M1157" s="42">
        <f>360/((M1110+M1108)/AVERAGE(M1153,K1153))</f>
        <v>481.26121082262273</v>
      </c>
      <c r="N1157" s="156">
        <v>450</v>
      </c>
      <c r="O1157" s="156">
        <v>450</v>
      </c>
      <c r="P1157" s="156">
        <v>450</v>
      </c>
      <c r="Q1157" s="156">
        <v>450</v>
      </c>
      <c r="R1157" s="156">
        <v>450</v>
      </c>
      <c r="S1157" s="156">
        <v>450</v>
      </c>
    </row>
    <row r="1159" spans="1:43" s="1125" customFormat="1">
      <c r="A1159" s="10" t="s">
        <v>8</v>
      </c>
      <c r="B1159" s="10"/>
      <c r="C1159" s="10" t="s">
        <v>110</v>
      </c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103"/>
      <c r="U1159" s="1515"/>
      <c r="V1159" s="1515"/>
      <c r="W1159" s="1515"/>
      <c r="X1159" s="1515"/>
      <c r="Y1159" s="1515"/>
      <c r="Z1159" s="1515"/>
      <c r="AA1159" s="1515"/>
      <c r="AC1159" s="62"/>
      <c r="AD1159" s="62"/>
      <c r="AE1159" s="62"/>
      <c r="AF1159" s="62"/>
      <c r="AG1159" s="62"/>
      <c r="AH1159" s="62"/>
      <c r="AI1159" s="96"/>
      <c r="AK1159" s="1515"/>
      <c r="AL1159" s="1515"/>
      <c r="AM1159" s="1515"/>
      <c r="AN1159" s="1515"/>
      <c r="AO1159" s="1515"/>
      <c r="AP1159" s="1515"/>
      <c r="AQ1159" s="1515"/>
    </row>
  </sheetData>
  <mergeCells count="5">
    <mergeCell ref="A1:S1"/>
    <mergeCell ref="A2:S2"/>
    <mergeCell ref="U4:AA4"/>
    <mergeCell ref="AC4:AI4"/>
    <mergeCell ref="AK4:AQ4"/>
  </mergeCells>
  <phoneticPr fontId="5" type="noConversion"/>
  <conditionalFormatting sqref="H4:H5 P5:S5">
    <cfRule type="containsText" dxfId="48" priority="13" operator="containsText" text="Error">
      <formula>NOT(ISERROR(SEARCH("Error",H4)))</formula>
    </cfRule>
  </conditionalFormatting>
  <conditionalFormatting sqref="J5:N5">
    <cfRule type="containsText" dxfId="47" priority="5" operator="containsText" text="Error">
      <formula>NOT(ISERROR(SEARCH("Error",J5)))</formula>
    </cfRule>
  </conditionalFormatting>
  <conditionalFormatting sqref="U5">
    <cfRule type="containsText" dxfId="46" priority="11" operator="containsText" text="Error">
      <formula>NOT(ISERROR(SEARCH("Error",U5)))</formula>
    </cfRule>
  </conditionalFormatting>
  <conditionalFormatting sqref="W5:AA5">
    <cfRule type="containsText" dxfId="45" priority="10" operator="containsText" text="Error">
      <formula>NOT(ISERROR(SEARCH("Error",W5)))</formula>
    </cfRule>
  </conditionalFormatting>
  <conditionalFormatting sqref="AC5">
    <cfRule type="containsText" dxfId="44" priority="9" operator="containsText" text="Error">
      <formula>NOT(ISERROR(SEARCH("Error",AC5)))</formula>
    </cfRule>
  </conditionalFormatting>
  <conditionalFormatting sqref="AE5:AI5">
    <cfRule type="containsText" dxfId="43" priority="8" operator="containsText" text="Error">
      <formula>NOT(ISERROR(SEARCH("Error",AE5)))</formula>
    </cfRule>
  </conditionalFormatting>
  <conditionalFormatting sqref="AK5">
    <cfRule type="containsText" dxfId="42" priority="7" operator="containsText" text="Error">
      <formula>NOT(ISERROR(SEARCH("Error",AK5)))</formula>
    </cfRule>
  </conditionalFormatting>
  <conditionalFormatting sqref="AM5:AQ5">
    <cfRule type="containsText" dxfId="41" priority="6" operator="containsText" text="Error">
      <formula>NOT(ISERROR(SEARCH("Error",AM5)))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B2:Q102"/>
  <sheetViews>
    <sheetView workbookViewId="0">
      <selection activeCell="I52" sqref="I52"/>
    </sheetView>
  </sheetViews>
  <sheetFormatPr defaultRowHeight="16.5"/>
  <cols>
    <col min="1" max="4" width="2.08203125" style="569" customWidth="1"/>
    <col min="5" max="5" width="23.75" style="569" customWidth="1"/>
    <col min="6" max="6" width="9" style="569" bestFit="1" customWidth="1"/>
    <col min="7" max="16384" width="8.6640625" style="569"/>
  </cols>
  <sheetData>
    <row r="2" spans="2:17">
      <c r="B2" s="569" t="s">
        <v>1141</v>
      </c>
      <c r="F2" s="8">
        <v>44561</v>
      </c>
      <c r="G2" s="8">
        <v>44926</v>
      </c>
      <c r="H2" s="8">
        <v>45291</v>
      </c>
      <c r="I2" s="7" t="s">
        <v>5</v>
      </c>
      <c r="J2" s="8">
        <v>45657</v>
      </c>
      <c r="K2" s="8" t="s">
        <v>838</v>
      </c>
      <c r="L2" s="9">
        <v>46022</v>
      </c>
      <c r="M2" s="9">
        <v>46387</v>
      </c>
      <c r="N2" s="9">
        <v>46752</v>
      </c>
      <c r="O2" s="9">
        <v>46753</v>
      </c>
      <c r="P2" s="9">
        <v>47483</v>
      </c>
      <c r="Q2" s="9">
        <v>47848</v>
      </c>
    </row>
    <row r="3" spans="2:17" s="1299" customFormat="1">
      <c r="B3" s="1299" t="s">
        <v>1140</v>
      </c>
    </row>
    <row r="4" spans="2:17" s="1297" customFormat="1">
      <c r="C4" s="1297" t="str">
        <f>中国!B26</f>
        <v>1. Supply Chain</v>
      </c>
      <c r="F4" s="1298">
        <f>中国!H42/1000</f>
        <v>1259.4229691</v>
      </c>
      <c r="G4" s="1298">
        <f>中国!I42/1000</f>
        <v>1423.2604039256707</v>
      </c>
      <c r="H4" s="1298">
        <f>中国!J42/1000</f>
        <v>1610.518821490238</v>
      </c>
      <c r="I4" s="1298">
        <f>中国!K42/1000</f>
        <v>1809.8965000000001</v>
      </c>
      <c r="J4" s="1298">
        <f>中国!L42/1000</f>
        <v>2199.0063347805926</v>
      </c>
      <c r="K4" s="1298">
        <f>中国!M42/1000</f>
        <v>1199.9100856014559</v>
      </c>
      <c r="L4" s="1298">
        <f>中国!N42/1000</f>
        <v>2117.4271682855547</v>
      </c>
      <c r="M4" s="1298">
        <f>中国!O42/1000</f>
        <v>2423.7134859017492</v>
      </c>
      <c r="N4" s="1298">
        <f>中国!P42/1000</f>
        <v>2776.1726658225134</v>
      </c>
      <c r="O4" s="1298">
        <f>中国!Q42/1000</f>
        <v>3160.4212692308543</v>
      </c>
      <c r="P4" s="1298">
        <f>中国!R42/1000</f>
        <v>3579.974876944158</v>
      </c>
      <c r="Q4" s="1298">
        <f>中国!S42/1000</f>
        <v>4006.492101575363</v>
      </c>
    </row>
    <row r="5" spans="2:17" s="1297" customFormat="1">
      <c r="C5" s="1297" t="str">
        <f>中国!B53</f>
        <v>1.1 Intra-group supply chain</v>
      </c>
      <c r="F5" s="1298">
        <f>中国!H69/1000</f>
        <v>654.99702859000013</v>
      </c>
      <c r="G5" s="1298">
        <f>中国!I69/1000</f>
        <v>705.78300000000002</v>
      </c>
      <c r="H5" s="1298">
        <f>中国!J69/1000</f>
        <v>712.52043815999991</v>
      </c>
      <c r="I5" s="1298">
        <f>中国!K69/1000</f>
        <v>847.01850000000002</v>
      </c>
      <c r="J5" s="1298">
        <f>中国!L69/1000</f>
        <v>1035.5666590700005</v>
      </c>
      <c r="K5" s="1298">
        <f>中国!M69/1000</f>
        <v>435.15167284999995</v>
      </c>
      <c r="L5" s="1298">
        <f>中国!N69/1000</f>
        <v>707.1253916940351</v>
      </c>
      <c r="M5" s="1298">
        <f>中国!O69/1000</f>
        <v>641.1016197326677</v>
      </c>
      <c r="N5" s="1298">
        <f>中国!P69/1000</f>
        <v>616.02932094989683</v>
      </c>
      <c r="O5" s="1298">
        <f>中国!Q69/1000</f>
        <v>607.78386196058773</v>
      </c>
      <c r="P5" s="1298">
        <f>中国!R69/1000</f>
        <v>606.11670141991942</v>
      </c>
      <c r="Q5" s="1298">
        <f>中国!S69/1000</f>
        <v>606.79566320466631</v>
      </c>
    </row>
    <row r="6" spans="2:17" s="1297" customFormat="1">
      <c r="C6" s="1297" t="str">
        <f>中国!C80</f>
        <v>1.1.1 Intra-group: Aland US</v>
      </c>
      <c r="F6" s="1298">
        <f>中国!H106/1000</f>
        <v>557.77002859000015</v>
      </c>
      <c r="G6" s="1298">
        <f>中国!I106/1000</f>
        <v>639.31299999999999</v>
      </c>
      <c r="H6" s="1298">
        <f>中国!J106/1000</f>
        <v>603.64663815999995</v>
      </c>
      <c r="I6" s="1298">
        <f>中国!K106/1000</f>
        <v>724.25350000000003</v>
      </c>
      <c r="J6" s="1298">
        <f>中国!L106/1000</f>
        <v>884.99302120000038</v>
      </c>
      <c r="K6" s="1298">
        <f>中国!M106/1000</f>
        <v>359.39860954999995</v>
      </c>
      <c r="L6" s="1298">
        <f>中国!N106/1000</f>
        <v>550.26132218727628</v>
      </c>
      <c r="M6" s="1298">
        <f>中国!O106/1000</f>
        <v>477.72138654143572</v>
      </c>
      <c r="N6" s="1298">
        <f>中国!P106/1000</f>
        <v>437.79386555553043</v>
      </c>
      <c r="O6" s="1298">
        <f>中国!Q106/1000</f>
        <v>411.15702980591732</v>
      </c>
      <c r="P6" s="1298">
        <f>中国!R106/1000</f>
        <v>394.42210228288849</v>
      </c>
      <c r="Q6" s="1298">
        <f>中国!S106/1000</f>
        <v>378.52392113601104</v>
      </c>
    </row>
    <row r="7" spans="2:17" s="1297" customFormat="1">
      <c r="C7" s="1297" t="str">
        <f>中国!C119</f>
        <v>1.1.2 Intra-group: Brunel</v>
      </c>
      <c r="F7" s="1298">
        <f>中国!H145/1000</f>
        <v>86.534000000000006</v>
      </c>
      <c r="G7" s="1298">
        <f>中国!I145/1000</f>
        <v>49.036000000000001</v>
      </c>
      <c r="H7" s="1298">
        <f>中国!J145/1000</f>
        <v>82.152000000000001</v>
      </c>
      <c r="I7" s="1298">
        <f>中国!K145/1000</f>
        <v>83.319000000000003</v>
      </c>
      <c r="J7" s="1298">
        <f>中国!L145/1000</f>
        <v>99.614202270000007</v>
      </c>
      <c r="K7" s="1298">
        <f>中国!M145/1000</f>
        <v>46.862501310000013</v>
      </c>
      <c r="L7" s="1298">
        <f>中国!N145/1000</f>
        <v>92.939177809968157</v>
      </c>
      <c r="M7" s="1298">
        <f>中国!O145/1000</f>
        <v>93.574533056227168</v>
      </c>
      <c r="N7" s="1298">
        <f>中国!P145/1000</f>
        <v>101.1061121152288</v>
      </c>
      <c r="O7" s="1298">
        <f>中国!Q145/1000</f>
        <v>109.83967362721246</v>
      </c>
      <c r="P7" s="1298">
        <f>中国!R145/1000</f>
        <v>117.15739922656988</v>
      </c>
      <c r="Q7" s="1298">
        <f>中国!S145/1000</f>
        <v>125.20949663689092</v>
      </c>
    </row>
    <row r="8" spans="2:17" s="1297" customFormat="1">
      <c r="C8" s="1297" t="str">
        <f>中国!C158</f>
        <v>1.1.3 Intra-group: Vita Health</v>
      </c>
      <c r="F8" s="1298">
        <f>中国!H184/1000</f>
        <v>0</v>
      </c>
      <c r="G8" s="1298">
        <f>中国!I184/1000</f>
        <v>1.0580000000000001</v>
      </c>
      <c r="H8" s="1298">
        <f>中国!J184/1000</f>
        <v>14.550799999999999</v>
      </c>
      <c r="I8" s="1298">
        <f>中国!K184/1000</f>
        <v>27.401</v>
      </c>
      <c r="J8" s="1298">
        <f>中国!L184/1000</f>
        <v>34.043632240000008</v>
      </c>
      <c r="K8" s="1298">
        <f>中国!M184/1000</f>
        <v>24.772535680000004</v>
      </c>
      <c r="L8" s="1298">
        <f>中国!N184/1000</f>
        <v>45.778635504800988</v>
      </c>
      <c r="M8" s="1298">
        <f>中国!O184/1000</f>
        <v>55.729873136612007</v>
      </c>
      <c r="N8" s="1298">
        <f>中国!P184/1000</f>
        <v>64.006043864003715</v>
      </c>
      <c r="O8" s="1298">
        <f>中国!Q184/1000</f>
        <v>73.650468346880714</v>
      </c>
      <c r="P8" s="1298">
        <f>中国!R184/1000</f>
        <v>81.015515181568787</v>
      </c>
      <c r="Q8" s="1298">
        <f>中国!S184/1000</f>
        <v>89.117066699725683</v>
      </c>
    </row>
    <row r="9" spans="2:17" s="1297" customFormat="1">
      <c r="C9" s="1297" t="str">
        <f>中国!C197</f>
        <v>1.1.4 Intra-group:Pragen</v>
      </c>
      <c r="F9" s="1298">
        <f>中国!H223/1000</f>
        <v>9.4979999999999993</v>
      </c>
      <c r="G9" s="1298">
        <f>中国!I223/1000</f>
        <v>15.712999999999999</v>
      </c>
      <c r="H9" s="1298">
        <f>中国!J223/1000</f>
        <v>11.05</v>
      </c>
      <c r="I9" s="1298">
        <f>中国!K223/1000</f>
        <v>11.186</v>
      </c>
      <c r="J9" s="1298">
        <f>中国!L223/1000</f>
        <v>16.057398570000004</v>
      </c>
      <c r="K9" s="1298">
        <f>中国!M223/1000</f>
        <v>2.9947423300000007</v>
      </c>
      <c r="L9" s="1298">
        <f>中国!N223/1000</f>
        <v>16.429446611989746</v>
      </c>
      <c r="M9" s="1298">
        <f>中国!O223/1000</f>
        <v>11.500612628392824</v>
      </c>
      <c r="N9" s="1298">
        <f>中国!P223/1000</f>
        <v>9.7755207341339005</v>
      </c>
      <c r="O9" s="1298">
        <f>中国!Q223/1000</f>
        <v>9.2867446974272045</v>
      </c>
      <c r="P9" s="1298">
        <f>中国!R223/1000</f>
        <v>9.2867446974272045</v>
      </c>
      <c r="Q9" s="1298">
        <f>中国!S223/1000</f>
        <v>9.2867446974272045</v>
      </c>
    </row>
    <row r="10" spans="2:17" s="1297" customFormat="1">
      <c r="C10" s="1297" t="str">
        <f>中国!C236</f>
        <v>1.1.5 Intra-group:Bloem</v>
      </c>
      <c r="F10" s="1298">
        <f>中国!H262/1000</f>
        <v>1.1950000000000001</v>
      </c>
      <c r="G10" s="1298">
        <f>中国!I262/1000</f>
        <v>0.66300000000000003</v>
      </c>
      <c r="H10" s="1298">
        <f>中国!J262/1000</f>
        <v>1.121</v>
      </c>
      <c r="I10" s="1298">
        <f>中国!K262/1000</f>
        <v>0.85899999999999999</v>
      </c>
      <c r="J10" s="1298">
        <f>中国!L262/1000</f>
        <v>0.85840479000000003</v>
      </c>
      <c r="K10" s="1298">
        <f>中国!M262/1000</f>
        <v>1.1232839799999998</v>
      </c>
      <c r="L10" s="1298">
        <f>中国!N262/1000</f>
        <v>1.7168095800000001</v>
      </c>
      <c r="M10" s="1298">
        <f>中国!O262/1000</f>
        <v>2.5752143699999999</v>
      </c>
      <c r="N10" s="1298">
        <f>中国!P262/1000</f>
        <v>3.3477786810000003</v>
      </c>
      <c r="O10" s="1298">
        <f>中国!Q262/1000</f>
        <v>3.84994548315</v>
      </c>
      <c r="P10" s="1298">
        <f>中国!R262/1000</f>
        <v>4.2349400314650003</v>
      </c>
      <c r="Q10" s="1298">
        <f>中国!S262/1000</f>
        <v>4.6584340346115001</v>
      </c>
    </row>
    <row r="11" spans="2:17" s="1297" customFormat="1">
      <c r="C11" s="1297" t="str">
        <f>中国!B275</f>
        <v>1.2 Supply Chain to other China BU</v>
      </c>
      <c r="F11" s="1298">
        <f>中国!H301/1000</f>
        <v>64.287999999999997</v>
      </c>
      <c r="G11" s="1298">
        <f>中国!I301/1000</f>
        <v>69.69</v>
      </c>
      <c r="H11" s="1298">
        <f>中国!J301/1000</f>
        <v>67.209999999999994</v>
      </c>
      <c r="I11" s="1298">
        <f>中国!K301/1000</f>
        <v>33.777000000000001</v>
      </c>
      <c r="J11" s="1298">
        <f>中国!L301/1000</f>
        <v>38.716000000000001</v>
      </c>
      <c r="K11" s="1298">
        <f>中国!M301/1000</f>
        <v>22.475999999999999</v>
      </c>
      <c r="L11" s="1298">
        <f>中国!N301/1000</f>
        <v>38.716000000000001</v>
      </c>
      <c r="M11" s="1298">
        <f>中国!O301/1000</f>
        <v>38.716000000000001</v>
      </c>
      <c r="N11" s="1298">
        <f>中国!P301/1000</f>
        <v>38.716000000000001</v>
      </c>
      <c r="O11" s="1298">
        <f>中国!Q301/1000</f>
        <v>38.716000000000001</v>
      </c>
      <c r="P11" s="1298">
        <f>中国!R301/1000</f>
        <v>38.716000000000001</v>
      </c>
      <c r="Q11" s="1298">
        <f>中国!S301/1000</f>
        <v>38.716000000000001</v>
      </c>
    </row>
    <row r="12" spans="2:17" s="1297" customFormat="1">
      <c r="C12" s="1297" t="str">
        <f>中国!B314</f>
        <v>1.3 Domestic CDMO</v>
      </c>
      <c r="F12" s="1298">
        <f>中国!H330/1000</f>
        <v>175.84696825999998</v>
      </c>
      <c r="G12" s="1298">
        <f>中国!I330/1000</f>
        <v>273.66599340567097</v>
      </c>
      <c r="H12" s="1298">
        <f>中国!J330/1000</f>
        <v>450.987383330238</v>
      </c>
      <c r="I12" s="1298">
        <f>中国!K330/1000</f>
        <v>524.25900000000001</v>
      </c>
      <c r="J12" s="1298">
        <f>中国!L330/1000</f>
        <v>629.83010332309163</v>
      </c>
      <c r="K12" s="1298">
        <f>中国!M330/1000</f>
        <v>410.33597346145592</v>
      </c>
      <c r="L12" s="1298">
        <f>中国!N330/1000</f>
        <v>794.10655543747146</v>
      </c>
      <c r="M12" s="1298">
        <f>中国!O330/1000</f>
        <v>1027.6504525885759</v>
      </c>
      <c r="N12" s="1298">
        <f>中国!P330/1000</f>
        <v>1262.6478804121411</v>
      </c>
      <c r="O12" s="1298">
        <f>中国!Q330/1000</f>
        <v>1514.9894783601762</v>
      </c>
      <c r="P12" s="1298">
        <f>中国!R330/1000</f>
        <v>1793.0359644504424</v>
      </c>
      <c r="Q12" s="1298">
        <f>中国!S330/1000</f>
        <v>2071.2900182885405</v>
      </c>
    </row>
    <row r="13" spans="2:17" s="1297" customFormat="1">
      <c r="C13" s="1297" t="str">
        <f>中国!C341</f>
        <v>1.3.1 Sam's club</v>
      </c>
      <c r="F13" s="1298">
        <f>中国!H367/1000</f>
        <v>30.416505499999992</v>
      </c>
      <c r="G13" s="1298">
        <f>中国!I367/1000</f>
        <v>73.698712449999974</v>
      </c>
      <c r="H13" s="1298">
        <f>中国!J367/1000</f>
        <v>135.98060318646196</v>
      </c>
      <c r="I13" s="1298">
        <f>中国!K367/1000</f>
        <v>187.38300000000001</v>
      </c>
      <c r="J13" s="1298">
        <f>中国!L367/1000</f>
        <v>219.09872553999995</v>
      </c>
      <c r="K13" s="1298">
        <f>中国!M367/1000</f>
        <v>136.45268307000001</v>
      </c>
      <c r="L13" s="1298">
        <f>中国!N367/1000</f>
        <v>267.6246228057762</v>
      </c>
      <c r="M13" s="1298">
        <f>中国!O367/1000</f>
        <v>350.27381196274433</v>
      </c>
      <c r="N13" s="1298">
        <f>中国!P367/1000</f>
        <v>425.66109502581696</v>
      </c>
      <c r="O13" s="1298">
        <f>中国!Q367/1000</f>
        <v>496.73926417443045</v>
      </c>
      <c r="P13" s="1298">
        <f>中国!R367/1000</f>
        <v>563.15285892170584</v>
      </c>
      <c r="Q13" s="1298">
        <f>中国!S367/1000</f>
        <v>619.46814481387651</v>
      </c>
    </row>
    <row r="14" spans="2:17" s="1297" customFormat="1">
      <c r="C14" s="1297" t="str">
        <f>中国!C380</f>
        <v>1.3.2 T</v>
      </c>
      <c r="F14" s="1298">
        <f>中国!H406/1000</f>
        <v>30.126462759999999</v>
      </c>
      <c r="G14" s="1298">
        <f>中国!I406/1000</f>
        <v>74.05545693000002</v>
      </c>
      <c r="H14" s="1298">
        <f>中国!J406/1000</f>
        <v>105.49947193000001</v>
      </c>
      <c r="I14" s="1298">
        <f>中国!K406/1000</f>
        <v>108.23</v>
      </c>
      <c r="J14" s="1298">
        <f>中国!L406/1000</f>
        <v>126.15462990999998</v>
      </c>
      <c r="K14" s="1298">
        <f>中国!M406/1000</f>
        <v>66.691485220000004</v>
      </c>
      <c r="L14" s="1298">
        <f>中国!N406/1000</f>
        <v>117.69204804612684</v>
      </c>
      <c r="M14" s="1298">
        <f>中国!O406/1000</f>
        <v>136.79377628748713</v>
      </c>
      <c r="N14" s="1298">
        <f>中国!P406/1000</f>
        <v>164.44843947174397</v>
      </c>
      <c r="O14" s="1298">
        <f>中国!Q406/1000</f>
        <v>198.00913622842316</v>
      </c>
      <c r="P14" s="1298">
        <f>中国!R406/1000</f>
        <v>238.82836925657799</v>
      </c>
      <c r="Q14" s="1298">
        <f>中国!S406/1000</f>
        <v>282.51649260728823</v>
      </c>
    </row>
    <row r="15" spans="2:17" s="1297" customFormat="1">
      <c r="C15" s="1297" t="str">
        <f>中国!C419</f>
        <v xml:space="preserve">1.3.3 B </v>
      </c>
      <c r="F15" s="1298">
        <f>中国!H445/1000</f>
        <v>2.851</v>
      </c>
      <c r="G15" s="1298">
        <f>中国!I445/1000</f>
        <v>12.82995551</v>
      </c>
      <c r="H15" s="1298">
        <f>中国!J445/1000</f>
        <v>48.303291529999996</v>
      </c>
      <c r="I15" s="1298">
        <f>中国!K445/1000</f>
        <v>77.394000000000005</v>
      </c>
      <c r="J15" s="1298">
        <f>中国!L445/1000</f>
        <v>89.399000000000001</v>
      </c>
      <c r="K15" s="1298">
        <f>中国!M445/1000</f>
        <v>65.48610724000001</v>
      </c>
      <c r="L15" s="1298">
        <f>中国!N445/1000</f>
        <v>120.50619156712024</v>
      </c>
      <c r="M15" s="1298">
        <f>中国!O445/1000</f>
        <v>167.83843124428259</v>
      </c>
      <c r="N15" s="1298">
        <f>中国!P445/1000</f>
        <v>201.14504640823338</v>
      </c>
      <c r="O15" s="1298">
        <f>中国!Q445/1000</f>
        <v>231.17321427277022</v>
      </c>
      <c r="P15" s="1298">
        <f>中国!R445/1000</f>
        <v>265.69124840731774</v>
      </c>
      <c r="Q15" s="1298">
        <f>中国!S445/1000</f>
        <v>292.26037324804952</v>
      </c>
    </row>
    <row r="16" spans="2:17" s="1297" customFormat="1">
      <c r="C16" s="1297" t="str">
        <f>中国!C458</f>
        <v xml:space="preserve">1.3.4 JD </v>
      </c>
      <c r="F16" s="1298">
        <f>中国!H484/1000</f>
        <v>0</v>
      </c>
      <c r="G16" s="1298">
        <f>中国!I484/1000</f>
        <v>9.8188685156710012</v>
      </c>
      <c r="H16" s="1298">
        <f>中国!J484/1000</f>
        <v>28.449016683775998</v>
      </c>
      <c r="I16" s="1298">
        <f>中国!K484/1000</f>
        <v>39.018000000000001</v>
      </c>
      <c r="J16" s="1298">
        <f>中国!L484/1000</f>
        <v>50.356011861679001</v>
      </c>
      <c r="K16" s="1298">
        <f>中国!M484/1000</f>
        <v>41.462000000000003</v>
      </c>
      <c r="L16" s="1298">
        <f>中国!N484/1000</f>
        <v>87.288184262825723</v>
      </c>
      <c r="M16" s="1298">
        <f>中国!O484/1000</f>
        <v>113.47463954167344</v>
      </c>
      <c r="N16" s="1298">
        <f>中国!P484/1000</f>
        <v>147.5170314041755</v>
      </c>
      <c r="O16" s="1298">
        <f>中国!Q484/1000</f>
        <v>191.77214082542812</v>
      </c>
      <c r="P16" s="1298">
        <f>中国!R484/1000</f>
        <v>249.30378307305656</v>
      </c>
      <c r="Q16" s="1298">
        <f>中国!S484/1000</f>
        <v>313.40959470886895</v>
      </c>
    </row>
    <row r="17" spans="2:17" s="1297" customFormat="1">
      <c r="C17" s="1297" t="str">
        <f>中国!C497</f>
        <v>1.3.5 Others (含已有和新增）</v>
      </c>
      <c r="F17" s="1298">
        <f>中国!H523/1000</f>
        <v>112.453</v>
      </c>
      <c r="G17" s="1298">
        <f>中国!I523/1000</f>
        <v>103.26300000000001</v>
      </c>
      <c r="H17" s="1298">
        <f>中国!J523/1000</f>
        <v>132.755</v>
      </c>
      <c r="I17" s="1298">
        <f>中国!K523/1000</f>
        <v>112.23399999999999</v>
      </c>
      <c r="J17" s="1298">
        <f>中国!L523/1000</f>
        <v>144.82173601141272</v>
      </c>
      <c r="K17" s="1298">
        <f>中国!M523/1000</f>
        <v>100.24369793145591</v>
      </c>
      <c r="L17" s="1298">
        <f>中国!N523/1000</f>
        <v>200.9955087556223</v>
      </c>
      <c r="M17" s="1298">
        <f>中国!O523/1000</f>
        <v>259.26979355238853</v>
      </c>
      <c r="N17" s="1298">
        <f>中国!P523/1000</f>
        <v>323.87626810217131</v>
      </c>
      <c r="O17" s="1298">
        <f>中国!Q523/1000</f>
        <v>397.29572285912434</v>
      </c>
      <c r="P17" s="1298">
        <f>中国!R523/1000</f>
        <v>476.05970479178416</v>
      </c>
      <c r="Q17" s="1298">
        <f>中国!S523/1000</f>
        <v>563.63541291045738</v>
      </c>
    </row>
    <row r="18" spans="2:17" s="1297" customFormat="1">
      <c r="C18" s="1297" t="str">
        <f>中国!B614</f>
        <v>1.4 International CDMO</v>
      </c>
      <c r="F18" s="1298">
        <f>中国!H630/1000</f>
        <v>318.70697224999998</v>
      </c>
      <c r="G18" s="1298"/>
      <c r="H18" s="1298"/>
      <c r="I18" s="1298"/>
      <c r="J18" s="1298"/>
      <c r="K18" s="1298"/>
      <c r="L18" s="1298"/>
      <c r="M18" s="1298"/>
      <c r="N18" s="1298"/>
      <c r="O18" s="1298"/>
      <c r="P18" s="1298"/>
      <c r="Q18" s="1298"/>
    </row>
    <row r="19" spans="2:17" s="1297" customFormat="1">
      <c r="C19" s="1297" t="str">
        <f>中国!C641</f>
        <v>1.4.1 Dr.Max</v>
      </c>
      <c r="F19" s="1298">
        <f>中国!H667/1000</f>
        <v>43.159783589999996</v>
      </c>
      <c r="G19" s="1298"/>
      <c r="H19" s="1298"/>
      <c r="I19" s="1298"/>
      <c r="J19" s="1298"/>
      <c r="K19" s="1298"/>
      <c r="L19" s="1298"/>
      <c r="M19" s="1298"/>
      <c r="N19" s="1298"/>
      <c r="O19" s="1298"/>
      <c r="P19" s="1298"/>
      <c r="Q19" s="1298"/>
    </row>
    <row r="20" spans="2:17" s="1297" customFormat="1">
      <c r="C20" s="1297" t="str">
        <f>中国!C680</f>
        <v>1.4.2 CMG</v>
      </c>
      <c r="F20" s="1298">
        <f>中国!H694/1000</f>
        <v>5.4749999999999996</v>
      </c>
      <c r="G20" s="1298"/>
      <c r="H20" s="1298"/>
      <c r="I20" s="1298"/>
      <c r="J20" s="1298"/>
      <c r="K20" s="1298"/>
      <c r="L20" s="1298"/>
      <c r="M20" s="1298"/>
      <c r="N20" s="1298"/>
      <c r="O20" s="1298"/>
      <c r="P20" s="1298"/>
      <c r="Q20" s="1298"/>
    </row>
    <row r="21" spans="2:17" s="1297" customFormat="1">
      <c r="C21" s="1297" t="str">
        <f>中国!C705</f>
        <v>1.4.3 Medpharm</v>
      </c>
      <c r="F21" s="1298">
        <f>中国!H731/1000</f>
        <v>15.056397250000005</v>
      </c>
      <c r="G21" s="1298"/>
      <c r="H21" s="1298"/>
      <c r="I21" s="1298"/>
      <c r="J21" s="1298"/>
      <c r="K21" s="1298"/>
      <c r="L21" s="1298"/>
      <c r="M21" s="1298"/>
      <c r="N21" s="1298"/>
      <c r="O21" s="1298"/>
      <c r="P21" s="1298"/>
      <c r="Q21" s="1298"/>
    </row>
    <row r="22" spans="2:17" s="1297" customFormat="1">
      <c r="F22" s="1298"/>
      <c r="G22" s="1298"/>
      <c r="H22" s="1298"/>
      <c r="I22" s="1298"/>
      <c r="J22" s="1298"/>
      <c r="K22" s="1298"/>
      <c r="L22" s="1298"/>
      <c r="M22" s="1298"/>
      <c r="N22" s="1298"/>
      <c r="O22" s="1298"/>
      <c r="P22" s="1298"/>
      <c r="Q22" s="1298"/>
    </row>
    <row r="23" spans="2:17" s="1297" customFormat="1">
      <c r="F23" s="1298"/>
      <c r="G23" s="1298"/>
      <c r="H23" s="1298"/>
      <c r="I23" s="1298"/>
      <c r="J23" s="1298"/>
      <c r="K23" s="1298"/>
      <c r="L23" s="1298"/>
      <c r="M23" s="1298"/>
      <c r="N23" s="1298"/>
      <c r="O23" s="1298"/>
      <c r="P23" s="1298"/>
      <c r="Q23" s="1298"/>
    </row>
    <row r="24" spans="2:17" s="1297" customFormat="1">
      <c r="F24" s="1298"/>
      <c r="G24" s="1298"/>
      <c r="H24" s="1298"/>
      <c r="I24" s="1298"/>
      <c r="J24" s="1298"/>
      <c r="K24" s="1298"/>
      <c r="L24" s="1298"/>
      <c r="M24" s="1298"/>
      <c r="N24" s="1298"/>
      <c r="O24" s="1298"/>
      <c r="P24" s="1298"/>
      <c r="Q24" s="1298"/>
    </row>
    <row r="25" spans="2:17" s="1297" customFormat="1">
      <c r="F25" s="1298"/>
      <c r="G25" s="1298"/>
      <c r="H25" s="1298"/>
      <c r="I25" s="1298"/>
      <c r="J25" s="1298"/>
      <c r="K25" s="1298"/>
      <c r="L25" s="1298"/>
      <c r="M25" s="1298"/>
      <c r="N25" s="1298"/>
      <c r="O25" s="1298"/>
      <c r="P25" s="1298"/>
      <c r="Q25" s="1298"/>
    </row>
    <row r="26" spans="2:17" s="1297" customFormat="1">
      <c r="F26" s="1298"/>
      <c r="G26" s="1298"/>
      <c r="H26" s="1298"/>
      <c r="I26" s="1298"/>
      <c r="J26" s="1298"/>
      <c r="K26" s="1298"/>
      <c r="L26" s="1298"/>
      <c r="M26" s="1298"/>
      <c r="N26" s="1298"/>
      <c r="O26" s="1298"/>
      <c r="P26" s="1298"/>
      <c r="Q26" s="1298"/>
    </row>
    <row r="27" spans="2:17" s="1297" customFormat="1">
      <c r="F27" s="1298"/>
      <c r="G27" s="1298"/>
      <c r="H27" s="1298"/>
      <c r="I27" s="1298"/>
      <c r="J27" s="1298"/>
      <c r="K27" s="1298"/>
      <c r="L27" s="1298"/>
      <c r="M27" s="1298"/>
      <c r="N27" s="1298"/>
      <c r="O27" s="1298"/>
      <c r="P27" s="1298"/>
      <c r="Q27" s="1298"/>
    </row>
    <row r="28" spans="2:17" s="1297" customFormat="1">
      <c r="F28" s="1298"/>
      <c r="G28" s="1298"/>
      <c r="H28" s="1298"/>
      <c r="I28" s="1298"/>
      <c r="J28" s="1298"/>
      <c r="K28" s="1298"/>
      <c r="L28" s="1298"/>
      <c r="M28" s="1298"/>
      <c r="N28" s="1298"/>
      <c r="O28" s="1298"/>
      <c r="P28" s="1298"/>
      <c r="Q28" s="1298"/>
    </row>
    <row r="29" spans="2:17" s="1297" customFormat="1">
      <c r="F29" s="1298"/>
      <c r="G29" s="1298"/>
      <c r="H29" s="1298"/>
      <c r="I29" s="1298"/>
      <c r="J29" s="1298"/>
      <c r="K29" s="1298"/>
      <c r="L29" s="1298"/>
      <c r="M29" s="1298"/>
      <c r="N29" s="1298"/>
      <c r="O29" s="1298"/>
      <c r="P29" s="1298"/>
      <c r="Q29" s="1298"/>
    </row>
    <row r="30" spans="2:17" s="1299" customFormat="1">
      <c r="B30" s="1299" t="s">
        <v>651</v>
      </c>
      <c r="F30" s="1300"/>
      <c r="G30" s="1300"/>
      <c r="H30" s="1300"/>
      <c r="I30" s="1300"/>
      <c r="J30" s="1300"/>
      <c r="K30" s="1300"/>
      <c r="L30" s="1300"/>
      <c r="M30" s="1300"/>
      <c r="N30" s="1300"/>
      <c r="O30" s="1300"/>
      <c r="P30" s="1300"/>
      <c r="Q30" s="1300"/>
    </row>
    <row r="31" spans="2:17" s="1297" customFormat="1">
      <c r="C31" s="1297" t="str">
        <f t="shared" ref="C31:C45" si="0">C4</f>
        <v>1. Supply Chain</v>
      </c>
      <c r="F31" s="1298">
        <f>中国!H50/1000</f>
        <v>238.35296910000011</v>
      </c>
      <c r="G31" s="1298">
        <f>中国!I50/1000</f>
        <v>334.21740392567079</v>
      </c>
      <c r="H31" s="1298">
        <f>中国!J50/1000</f>
        <v>518.94782149023797</v>
      </c>
      <c r="I31" s="1298">
        <f>中国!K50/1000</f>
        <v>589.27549999999997</v>
      </c>
      <c r="J31" s="1298">
        <f>中国!L50/1000</f>
        <v>708.14444894160704</v>
      </c>
      <c r="K31" s="1298">
        <f>中国!M50/1000</f>
        <v>337.281762068982</v>
      </c>
      <c r="L31" s="1298">
        <f>中国!N50/1000</f>
        <v>617.25198123072857</v>
      </c>
      <c r="M31" s="1298">
        <f>中国!O50/1000</f>
        <v>764.64394812574938</v>
      </c>
      <c r="N31" s="1298">
        <f>中国!P50/1000</f>
        <v>910.92123553165516</v>
      </c>
      <c r="O31" s="1298">
        <f>中国!Q50/1000</f>
        <v>1063.4770934525777</v>
      </c>
      <c r="P31" s="1298">
        <f>中国!R50/1000</f>
        <v>1223.7880651206588</v>
      </c>
      <c r="Q31" s="1298">
        <f>中国!S50/1000</f>
        <v>1385.9775419696816</v>
      </c>
    </row>
    <row r="32" spans="2:17" s="1297" customFormat="1">
      <c r="C32" s="1297" t="str">
        <f t="shared" si="0"/>
        <v>1.1 Intra-group supply chain</v>
      </c>
      <c r="F32" s="1298">
        <f>中国!H77/1000</f>
        <v>83.499028590000123</v>
      </c>
      <c r="G32" s="1298">
        <f>中国!I77/1000</f>
        <v>132.45099999999999</v>
      </c>
      <c r="H32" s="1298">
        <f>中国!J77/1000</f>
        <v>209.2794381599999</v>
      </c>
      <c r="I32" s="1298">
        <f>中国!K77/1000</f>
        <v>242.77989999999991</v>
      </c>
      <c r="J32" s="1298">
        <f>中国!L77/1000</f>
        <v>291.23278855456817</v>
      </c>
      <c r="K32" s="1298">
        <f>中国!M77/1000</f>
        <v>59.17691883887607</v>
      </c>
      <c r="L32" s="1298">
        <f>中国!N77/1000</f>
        <v>103.96047913073643</v>
      </c>
      <c r="M32" s="1298">
        <f>中国!O77/1000</f>
        <v>109.73133098880446</v>
      </c>
      <c r="N32" s="1298">
        <f>中国!P77/1000</f>
        <v>117.38785305249493</v>
      </c>
      <c r="O32" s="1298">
        <f>中国!Q77/1000</f>
        <v>125.15492861148488</v>
      </c>
      <c r="P32" s="1298">
        <f>中国!R77/1000</f>
        <v>131.94301562852587</v>
      </c>
      <c r="Q32" s="1298">
        <f>中国!S77/1000</f>
        <v>139.49835076354026</v>
      </c>
    </row>
    <row r="33" spans="3:17" s="1297" customFormat="1">
      <c r="C33" s="1297" t="str">
        <f t="shared" si="0"/>
        <v>1.1.1 Intra-group: Aland US</v>
      </c>
      <c r="F33" s="1298">
        <f>中国!H116/1000</f>
        <v>70.381028590000113</v>
      </c>
      <c r="G33" s="1298">
        <f>中国!I116/1000</f>
        <v>125.33799999999999</v>
      </c>
      <c r="H33" s="1298">
        <f>中国!J116/1000</f>
        <v>179.35863815999997</v>
      </c>
      <c r="I33" s="1298">
        <f>中国!K116/1000</f>
        <v>203.87409999999997</v>
      </c>
      <c r="J33" s="1298">
        <f>中国!L116/1000</f>
        <v>244.27091691310937</v>
      </c>
      <c r="K33" s="1298">
        <f>中国!M116/1000</f>
        <v>32.096758581480188</v>
      </c>
      <c r="L33" s="1298">
        <f>中国!N116/1000</f>
        <v>49.142106690632588</v>
      </c>
      <c r="M33" s="1298">
        <f>中国!O116/1000</f>
        <v>48.166715910997006</v>
      </c>
      <c r="N33" s="1298">
        <f>中国!P116/1000</f>
        <v>48.141220261627339</v>
      </c>
      <c r="O33" s="1298">
        <f>中国!Q116/1000</f>
        <v>46.698781706822864</v>
      </c>
      <c r="P33" s="1298">
        <f>中国!R116/1000</f>
        <v>45.938073809103578</v>
      </c>
      <c r="Q33" s="1298">
        <f>中国!S116/1000</f>
        <v>45.177450231384192</v>
      </c>
    </row>
    <row r="34" spans="3:17" s="1297" customFormat="1">
      <c r="C34" s="1297" t="str">
        <f t="shared" si="0"/>
        <v>1.1.2 Intra-group: Brunel</v>
      </c>
      <c r="F34" s="1298">
        <f>中国!H155/1000</f>
        <v>11.617000000000001</v>
      </c>
      <c r="G34" s="1298">
        <f>中国!I155/1000</f>
        <v>3.8719999999999999</v>
      </c>
      <c r="H34" s="1298">
        <f>中国!J155/1000</f>
        <v>22.66</v>
      </c>
      <c r="I34" s="1298">
        <f>中国!K155/1000</f>
        <v>23.673599999999997</v>
      </c>
      <c r="J34" s="1298">
        <f>中国!L155/1000</f>
        <v>27.524713968942159</v>
      </c>
      <c r="K34" s="1298">
        <f>中国!M155/1000</f>
        <v>15.011929502163861</v>
      </c>
      <c r="L34" s="1298">
        <f>中国!N155/1000</f>
        <v>29.772127954565505</v>
      </c>
      <c r="M34" s="1298">
        <f>中国!O155/1000</f>
        <v>32.541355420048006</v>
      </c>
      <c r="N34" s="1298">
        <f>中国!P155/1000</f>
        <v>36.314494148330574</v>
      </c>
      <c r="O34" s="1298">
        <f>中国!Q155/1000</f>
        <v>40.71573915924516</v>
      </c>
      <c r="P34" s="1298">
        <f>中国!R155/1000</f>
        <v>44.567330989597323</v>
      </c>
      <c r="Q34" s="1298">
        <f>中国!S155/1000</f>
        <v>48.803768795030543</v>
      </c>
    </row>
    <row r="35" spans="3:17" s="1297" customFormat="1">
      <c r="C35" s="1297" t="str">
        <f t="shared" si="0"/>
        <v>1.1.3 Intra-group: Vita Health</v>
      </c>
      <c r="F35" s="1298">
        <f>中国!H194/1000</f>
        <v>0</v>
      </c>
      <c r="G35" s="1298">
        <f>中国!I194/1000</f>
        <v>0.28799999999999998</v>
      </c>
      <c r="H35" s="1298">
        <f>中国!J194/1000</f>
        <v>4.3737999999999992</v>
      </c>
      <c r="I35" s="1298">
        <f>中国!K194/1000</f>
        <v>11.614600000000001</v>
      </c>
      <c r="J35" s="1298">
        <f>中国!L194/1000</f>
        <v>14.896386772320467</v>
      </c>
      <c r="K35" s="1298">
        <f>中国!M194/1000</f>
        <v>10.728885411712733</v>
      </c>
      <c r="L35" s="1298">
        <f>中国!N194/1000</f>
        <v>19.826542626885978</v>
      </c>
      <c r="M35" s="1298">
        <f>中国!O194/1000</f>
        <v>24.679594858823908</v>
      </c>
      <c r="N35" s="1298">
        <f>中国!P194/1000</f>
        <v>28.653736720241774</v>
      </c>
      <c r="O35" s="1298">
        <f>中国!Q194/1000</f>
        <v>33.323950767799928</v>
      </c>
      <c r="P35" s="1298">
        <f>中国!R194/1000</f>
        <v>36.80517117897039</v>
      </c>
      <c r="Q35" s="1298">
        <f>中国!S194/1000</f>
        <v>40.648712724246927</v>
      </c>
    </row>
    <row r="36" spans="3:17" s="1297" customFormat="1">
      <c r="C36" s="1297" t="str">
        <f t="shared" si="0"/>
        <v>1.1.4 Intra-group:Pragen</v>
      </c>
      <c r="F36" s="1298">
        <f>中国!H233/1000</f>
        <v>1.1839999999999999</v>
      </c>
      <c r="G36" s="1298">
        <f>中国!I233/1000</f>
        <v>2.702</v>
      </c>
      <c r="H36" s="1298">
        <f>中国!J233/1000</f>
        <v>2.3210000000000002</v>
      </c>
      <c r="I36" s="1298">
        <f>中国!K233/1000</f>
        <v>3.2726000000000002</v>
      </c>
      <c r="J36" s="1298">
        <f>中国!L233/1000</f>
        <v>4.1962216062923492</v>
      </c>
      <c r="K36" s="1298">
        <f>中国!M233/1000</f>
        <v>0.80164170407625857</v>
      </c>
      <c r="L36" s="1298">
        <f>中国!N233/1000</f>
        <v>4.3978840673966699</v>
      </c>
      <c r="M36" s="1298">
        <f>中国!O233/1000</f>
        <v>3.1063517739093496</v>
      </c>
      <c r="N36" s="1298">
        <f>中国!P233/1000</f>
        <v>2.6639575160958131</v>
      </c>
      <c r="O36" s="1298">
        <f>中国!Q233/1000</f>
        <v>2.5530461636713362</v>
      </c>
      <c r="P36" s="1298">
        <f>中国!R233/1000</f>
        <v>2.5752390712575624</v>
      </c>
      <c r="Q36" s="1298">
        <f>中国!S233/1000</f>
        <v>2.5973388044344237</v>
      </c>
    </row>
    <row r="37" spans="3:17" s="1297" customFormat="1">
      <c r="C37" s="1297" t="str">
        <f t="shared" si="0"/>
        <v>1.1.5 Intra-group:Bloem</v>
      </c>
      <c r="F37" s="1298">
        <f>中国!H272/1000</f>
        <v>0.317</v>
      </c>
      <c r="G37" s="1298">
        <f>中国!I272/1000</f>
        <v>0.251</v>
      </c>
      <c r="H37" s="1298">
        <f>中国!J272/1000</f>
        <v>0.56599999999999995</v>
      </c>
      <c r="I37" s="1298">
        <f>中国!K272/1000</f>
        <v>0.34499999999999997</v>
      </c>
      <c r="J37" s="1298">
        <f>中国!L272/1000</f>
        <v>0.34454929390381051</v>
      </c>
      <c r="K37" s="1298">
        <f>中国!M272/1000</f>
        <v>0.53770363944295552</v>
      </c>
      <c r="L37" s="1298">
        <f>中国!N272/1000</f>
        <v>0.82181779125571786</v>
      </c>
      <c r="M37" s="1298">
        <f>中国!O272/1000</f>
        <v>1.2373130250261903</v>
      </c>
      <c r="N37" s="1298">
        <f>中国!P272/1000</f>
        <v>1.6144444061994758</v>
      </c>
      <c r="O37" s="1298">
        <f>中国!Q272/1000</f>
        <v>1.8634108139455865</v>
      </c>
      <c r="P37" s="1298">
        <f>中国!R272/1000</f>
        <v>2.057200579596921</v>
      </c>
      <c r="Q37" s="1298">
        <f>中国!S272/1000</f>
        <v>2.2710802084441317</v>
      </c>
    </row>
    <row r="38" spans="3:17" s="1297" customFormat="1">
      <c r="C38" s="1297" t="str">
        <f t="shared" si="0"/>
        <v>1.2 Supply Chain to other China BU</v>
      </c>
      <c r="F38" s="1298">
        <f>中国!H311/1000</f>
        <v>12.131</v>
      </c>
      <c r="G38" s="1298">
        <f>中国!I311/1000</f>
        <v>12.031000000000001</v>
      </c>
      <c r="H38" s="1298">
        <f>中国!J311/1000</f>
        <v>12.707000000000001</v>
      </c>
      <c r="I38" s="1298">
        <f>中国!K311/1000</f>
        <v>7.9565999999999981</v>
      </c>
      <c r="J38" s="1298">
        <f>中国!L311/1000</f>
        <v>8.8559999999999999</v>
      </c>
      <c r="K38" s="1298">
        <f>中国!M311/1000</f>
        <v>4.5830000000000002</v>
      </c>
      <c r="L38" s="1298">
        <f>中国!N311/1000</f>
        <v>7.8944397579640464</v>
      </c>
      <c r="M38" s="1298">
        <f>中国!O311/1000</f>
        <v>7.9961875733487835</v>
      </c>
      <c r="N38" s="1298">
        <f>中国!P311/1000</f>
        <v>8.0974998002721517</v>
      </c>
      <c r="O38" s="1298">
        <f>中国!Q311/1000</f>
        <v>8.198378527569643</v>
      </c>
      <c r="P38" s="1298">
        <f>中国!R311/1000</f>
        <v>8.2988258331178155</v>
      </c>
      <c r="Q38" s="1298">
        <f>中国!S311/1000</f>
        <v>8.3988437838953072</v>
      </c>
    </row>
    <row r="39" spans="3:17" s="1297" customFormat="1">
      <c r="C39" s="1297" t="str">
        <f t="shared" si="0"/>
        <v>1.3 Domestic CDMO</v>
      </c>
      <c r="F39" s="1298">
        <f>中国!H338/1000</f>
        <v>60.943968259999991</v>
      </c>
      <c r="G39" s="1298">
        <f>中国!I338/1000</f>
        <v>88.18199340567098</v>
      </c>
      <c r="H39" s="1298">
        <f>中国!J338/1000</f>
        <v>177.706383330238</v>
      </c>
      <c r="I39" s="1298">
        <f>中国!K338/1000</f>
        <v>209.74299999999999</v>
      </c>
      <c r="J39" s="1298">
        <f>中国!L338/1000</f>
        <v>249.0073744694435</v>
      </c>
      <c r="K39" s="1298">
        <f>中国!M338/1000</f>
        <v>153.46208288218651</v>
      </c>
      <c r="L39" s="1298">
        <f>中国!N338/1000</f>
        <v>296.1966533279558</v>
      </c>
      <c r="M39" s="1298">
        <f>中国!O338/1000</f>
        <v>389.45064631176484</v>
      </c>
      <c r="N39" s="1298">
        <f>中国!P338/1000</f>
        <v>479.20848534894151</v>
      </c>
      <c r="O39" s="1298">
        <f>中国!Q338/1000</f>
        <v>573.20150942179168</v>
      </c>
      <c r="P39" s="1298">
        <f>中国!R338/1000</f>
        <v>674.51665764149629</v>
      </c>
      <c r="Q39" s="1298">
        <f>中国!S338/1000</f>
        <v>773.67464546894564</v>
      </c>
    </row>
    <row r="40" spans="3:17" s="1297" customFormat="1">
      <c r="C40" s="1297" t="str">
        <f t="shared" si="0"/>
        <v>1.3.1 Sam's club</v>
      </c>
      <c r="F40" s="1298">
        <f>中国!H377/1000</f>
        <v>16.848505499999991</v>
      </c>
      <c r="G40" s="1298">
        <f>中国!I377/1000</f>
        <v>33.154712449999977</v>
      </c>
      <c r="H40" s="1298">
        <f>中国!J377/1000</f>
        <v>72.816603186461961</v>
      </c>
      <c r="I40" s="1298">
        <f>中国!K377/1000</f>
        <v>93.042000000000002</v>
      </c>
      <c r="J40" s="1298">
        <f>中国!L377/1000</f>
        <v>107.57002431048613</v>
      </c>
      <c r="K40" s="1298">
        <f>中国!M377/1000</f>
        <v>60.471229004578987</v>
      </c>
      <c r="L40" s="1298">
        <f>中国!N377/1000</f>
        <v>118.60221058936604</v>
      </c>
      <c r="M40" s="1298">
        <f>中国!O377/1000</f>
        <v>151.78322415507921</v>
      </c>
      <c r="N40" s="1298">
        <f>中国!P377/1000</f>
        <v>182.87589467068591</v>
      </c>
      <c r="O40" s="1298">
        <f>中国!Q377/1000</f>
        <v>212.2336443705731</v>
      </c>
      <c r="P40" s="1298">
        <f>中国!R377/1000</f>
        <v>240.429996431246</v>
      </c>
      <c r="Q40" s="1298">
        <f>中国!S377/1000</f>
        <v>265.65507700843551</v>
      </c>
    </row>
    <row r="41" spans="3:17" s="1297" customFormat="1">
      <c r="C41" s="1297" t="str">
        <f t="shared" si="0"/>
        <v>1.3.2 T</v>
      </c>
      <c r="F41" s="1298">
        <f>中国!H416/1000</f>
        <v>8.953462759999999</v>
      </c>
      <c r="G41" s="1298">
        <f>中国!I416/1000</f>
        <v>20.626456930000014</v>
      </c>
      <c r="H41" s="1298">
        <f>中国!J416/1000</f>
        <v>34.676471930000012</v>
      </c>
      <c r="I41" s="1298">
        <f>中国!K416/1000</f>
        <v>34.210999999999999</v>
      </c>
      <c r="J41" s="1298">
        <f>中国!L416/1000</f>
        <v>40.15636426708916</v>
      </c>
      <c r="K41" s="1298">
        <f>中国!M416/1000</f>
        <v>19.880133815952984</v>
      </c>
      <c r="L41" s="1298">
        <f>中国!N416/1000</f>
        <v>35.082944344578962</v>
      </c>
      <c r="M41" s="1298">
        <f>中国!O416/1000</f>
        <v>42.194015644471627</v>
      </c>
      <c r="N41" s="1298">
        <f>中国!P416/1000</f>
        <v>50.45144959475634</v>
      </c>
      <c r="O41" s="1298">
        <f>中国!Q416/1000</f>
        <v>60.272945179675503</v>
      </c>
      <c r="P41" s="1298">
        <f>中国!R416/1000</f>
        <v>72.203632517612533</v>
      </c>
      <c r="Q41" s="1298">
        <f>中国!S416/1000</f>
        <v>85.222058612157738</v>
      </c>
    </row>
    <row r="42" spans="3:17" s="1297" customFormat="1">
      <c r="C42" s="1297" t="str">
        <f t="shared" si="0"/>
        <v xml:space="preserve">1.3.3 B </v>
      </c>
      <c r="F42" s="1298">
        <f>中国!H455/1000</f>
        <v>1.0189999999999999</v>
      </c>
      <c r="G42" s="1298">
        <f>中国!I455/1000</f>
        <v>3.7139555099999999</v>
      </c>
      <c r="H42" s="1298">
        <f>中国!J455/1000</f>
        <v>19.669291529999995</v>
      </c>
      <c r="I42" s="1298">
        <f>中国!K455/1000</f>
        <v>35.454999999999998</v>
      </c>
      <c r="J42" s="1298">
        <f>中国!L455/1000</f>
        <v>41.745433939175072</v>
      </c>
      <c r="K42" s="1298">
        <f>中国!M455/1000</f>
        <v>32.068109309620716</v>
      </c>
      <c r="L42" s="1298">
        <f>中国!N455/1000</f>
        <v>59.011077105222448</v>
      </c>
      <c r="M42" s="1298">
        <f>中国!O455/1000</f>
        <v>82.098621835198472</v>
      </c>
      <c r="N42" s="1298">
        <f>中国!P455/1000</f>
        <v>98.640925284633695</v>
      </c>
      <c r="O42" s="1298">
        <f>中国!Q455/1000</f>
        <v>113.72518473699122</v>
      </c>
      <c r="P42" s="1298">
        <f>中国!R455/1000</f>
        <v>131.12012310305144</v>
      </c>
      <c r="Q42" s="1298">
        <f>中国!S455/1000</f>
        <v>144.76498700525579</v>
      </c>
    </row>
    <row r="43" spans="3:17" s="1297" customFormat="1">
      <c r="C43" s="1297" t="str">
        <f t="shared" si="0"/>
        <v xml:space="preserve">1.3.4 JD </v>
      </c>
      <c r="F43" s="1298">
        <f>中国!H494/1000</f>
        <v>0</v>
      </c>
      <c r="G43" s="1298">
        <f>中国!I494/1000</f>
        <v>2.3568685156710019</v>
      </c>
      <c r="H43" s="1298">
        <f>中国!J494/1000</f>
        <v>9.1020166837759966</v>
      </c>
      <c r="I43" s="1298">
        <f>中国!K494/1000</f>
        <v>12.256</v>
      </c>
      <c r="J43" s="1298">
        <f>中国!L494/1000</f>
        <v>15.140170481145665</v>
      </c>
      <c r="K43" s="1298">
        <f>中国!M494/1000</f>
        <v>12.048906941163219</v>
      </c>
      <c r="L43" s="1298">
        <f>中国!N494/1000</f>
        <v>25.366051064731444</v>
      </c>
      <c r="M43" s="1298">
        <f>中国!O494/1000</f>
        <v>33.244637233199377</v>
      </c>
      <c r="N43" s="1298">
        <f>中国!P494/1000</f>
        <v>43.565967448285384</v>
      </c>
      <c r="O43" s="1298">
        <f>中国!Q494/1000</f>
        <v>57.086185406983859</v>
      </c>
      <c r="P43" s="1298">
        <f>中国!R494/1000</f>
        <v>74.795147689966626</v>
      </c>
      <c r="Q43" s="1298">
        <f>中国!S494/1000</f>
        <v>92.759033834752628</v>
      </c>
    </row>
    <row r="44" spans="3:17" s="1297" customFormat="1">
      <c r="C44" s="1297" t="str">
        <f t="shared" si="0"/>
        <v>1.3.5 Others (含已有和新增）</v>
      </c>
      <c r="F44" s="1298">
        <f>中国!H533/1000</f>
        <v>34.122999999999998</v>
      </c>
      <c r="G44" s="1298">
        <f>中国!I533/1000</f>
        <v>28.33</v>
      </c>
      <c r="H44" s="1298">
        <f>中国!J533/1000</f>
        <v>41.442</v>
      </c>
      <c r="I44" s="1298">
        <f>中国!K533/1000</f>
        <v>34.779000000000003</v>
      </c>
      <c r="J44" s="1298">
        <f>中国!L533/1000</f>
        <v>44.395381471547502</v>
      </c>
      <c r="K44" s="1298">
        <f>中国!M533/1000</f>
        <v>28.993703810870649</v>
      </c>
      <c r="L44" s="1298">
        <f>中国!N533/1000</f>
        <v>58.134370224056738</v>
      </c>
      <c r="M44" s="1298">
        <f>中国!O533/1000</f>
        <v>80.130147443816156</v>
      </c>
      <c r="N44" s="1298">
        <f>中国!P533/1000</f>
        <v>103.67424835058034</v>
      </c>
      <c r="O44" s="1298">
        <f>中国!Q533/1000</f>
        <v>129.88354972756798</v>
      </c>
      <c r="P44" s="1298">
        <f>中国!R533/1000</f>
        <v>155.96775789961941</v>
      </c>
      <c r="Q44" s="1298">
        <f>中国!S533/1000</f>
        <v>185.27348900834389</v>
      </c>
    </row>
    <row r="45" spans="3:17" s="1297" customFormat="1">
      <c r="C45" s="1297" t="str">
        <f t="shared" si="0"/>
        <v>1.4 International CDMO</v>
      </c>
      <c r="F45" s="1298">
        <f>中国!H638/1000</f>
        <v>73.238972249999989</v>
      </c>
      <c r="G45" s="1298"/>
      <c r="H45" s="1298"/>
      <c r="I45" s="1298"/>
      <c r="J45" s="1298"/>
      <c r="K45" s="1298"/>
      <c r="L45" s="1298"/>
      <c r="M45" s="1298"/>
      <c r="N45" s="1298"/>
      <c r="O45" s="1298"/>
      <c r="P45" s="1298"/>
      <c r="Q45" s="1298"/>
    </row>
    <row r="46" spans="3:17" s="1297" customFormat="1">
      <c r="C46" s="1297" t="str">
        <f t="shared" ref="C46:C51" si="1">C19</f>
        <v>1.4.1 Dr.Max</v>
      </c>
      <c r="F46" s="1298">
        <f>中国!H677/1000</f>
        <v>9.2567835899999995</v>
      </c>
      <c r="G46" s="1298"/>
      <c r="H46" s="1298"/>
      <c r="I46" s="1298"/>
      <c r="J46" s="1298"/>
      <c r="K46" s="1298"/>
      <c r="L46" s="1298"/>
      <c r="M46" s="1298"/>
      <c r="N46" s="1298"/>
      <c r="O46" s="1298"/>
      <c r="P46" s="1298"/>
      <c r="Q46" s="1298"/>
    </row>
    <row r="47" spans="3:17" s="1297" customFormat="1">
      <c r="C47" s="1297" t="str">
        <f t="shared" si="1"/>
        <v>1.4.2 CMG</v>
      </c>
      <c r="F47" s="1298">
        <f>中国!H702/1000</f>
        <v>0.376</v>
      </c>
      <c r="G47" s="1298"/>
      <c r="H47" s="1298"/>
      <c r="I47" s="1298"/>
      <c r="J47" s="1298"/>
      <c r="K47" s="1298"/>
      <c r="L47" s="1298"/>
      <c r="M47" s="1298"/>
      <c r="N47" s="1298"/>
      <c r="O47" s="1298"/>
      <c r="P47" s="1298"/>
      <c r="Q47" s="1298"/>
    </row>
    <row r="48" spans="3:17" s="1297" customFormat="1">
      <c r="C48" s="1297" t="str">
        <f t="shared" si="1"/>
        <v>1.4.3 Medpharm</v>
      </c>
      <c r="F48" s="1298">
        <f>中国!H741/1000</f>
        <v>4.3143972500000052</v>
      </c>
      <c r="G48" s="1298"/>
      <c r="H48" s="1298"/>
      <c r="I48" s="1298"/>
      <c r="J48" s="1298"/>
      <c r="K48" s="1298"/>
      <c r="L48" s="1298"/>
      <c r="M48" s="1298"/>
      <c r="N48" s="1298"/>
      <c r="O48" s="1298"/>
      <c r="P48" s="1298"/>
      <c r="Q48" s="1298"/>
    </row>
    <row r="49" spans="2:17" s="1297" customFormat="1">
      <c r="C49" s="1297">
        <f t="shared" si="1"/>
        <v>0</v>
      </c>
      <c r="F49" s="1298"/>
      <c r="G49" s="1298"/>
      <c r="H49" s="1298"/>
      <c r="I49" s="1298"/>
      <c r="J49" s="1298"/>
      <c r="K49" s="1298"/>
      <c r="L49" s="1298"/>
      <c r="M49" s="1298"/>
      <c r="N49" s="1298"/>
      <c r="O49" s="1298"/>
      <c r="P49" s="1298"/>
      <c r="Q49" s="1298"/>
    </row>
    <row r="50" spans="2:17" s="1297" customFormat="1">
      <c r="C50" s="1297">
        <f t="shared" si="1"/>
        <v>0</v>
      </c>
      <c r="F50" s="1298"/>
      <c r="G50" s="1298"/>
      <c r="H50" s="1298"/>
      <c r="I50" s="1298"/>
      <c r="J50" s="1298"/>
      <c r="K50" s="1298"/>
      <c r="L50" s="1298"/>
      <c r="M50" s="1298"/>
      <c r="N50" s="1298"/>
      <c r="O50" s="1298"/>
      <c r="P50" s="1298"/>
      <c r="Q50" s="1298"/>
    </row>
    <row r="51" spans="2:17" s="1297" customFormat="1">
      <c r="C51" s="1297">
        <f t="shared" si="1"/>
        <v>0</v>
      </c>
      <c r="F51" s="1298"/>
      <c r="G51" s="1298"/>
      <c r="H51" s="1298"/>
      <c r="I51" s="1298"/>
      <c r="J51" s="1298"/>
      <c r="K51" s="1298"/>
      <c r="L51" s="1298"/>
      <c r="M51" s="1298"/>
      <c r="N51" s="1298"/>
      <c r="O51" s="1298"/>
      <c r="P51" s="1298"/>
      <c r="Q51" s="1298"/>
    </row>
    <row r="52" spans="2:17" s="1297" customFormat="1"/>
    <row r="53" spans="2:17" s="1299" customFormat="1">
      <c r="B53" s="1299" t="s">
        <v>652</v>
      </c>
    </row>
    <row r="54" spans="2:17" s="1297" customFormat="1">
      <c r="C54" s="1297" t="str">
        <f>C31</f>
        <v>1. Supply Chain</v>
      </c>
      <c r="F54" s="1301">
        <f>F31/F4</f>
        <v>0.18925569482850566</v>
      </c>
      <c r="G54" s="1301">
        <f t="shared" ref="G54:Q54" si="2">G31/G4</f>
        <v>0.2348251964319561</v>
      </c>
      <c r="H54" s="1301">
        <f t="shared" si="2"/>
        <v>0.32222400295207199</v>
      </c>
      <c r="I54" s="1301">
        <f t="shared" si="2"/>
        <v>0.32558519230243271</v>
      </c>
      <c r="J54" s="1301">
        <f t="shared" si="2"/>
        <v>0.32202929011219178</v>
      </c>
      <c r="K54" s="1301">
        <f t="shared" si="2"/>
        <v>0.28108919669586679</v>
      </c>
      <c r="L54" s="1301">
        <f t="shared" si="2"/>
        <v>0.29151037186818907</v>
      </c>
      <c r="M54" s="1301">
        <f t="shared" si="2"/>
        <v>0.31548446323112384</v>
      </c>
      <c r="N54" s="1301">
        <f t="shared" si="2"/>
        <v>0.32812124647217178</v>
      </c>
      <c r="O54" s="1301">
        <f t="shared" si="2"/>
        <v>0.33649852436013827</v>
      </c>
      <c r="P54" s="1301">
        <f t="shared" si="2"/>
        <v>0.34184264057329805</v>
      </c>
      <c r="Q54" s="1301">
        <f t="shared" si="2"/>
        <v>0.34593292756641442</v>
      </c>
    </row>
    <row r="55" spans="2:17" s="1297" customFormat="1">
      <c r="C55" s="1297" t="str">
        <f t="shared" ref="C55:C70" si="3">C32</f>
        <v>1.1 Intra-group supply chain</v>
      </c>
      <c r="F55" s="1301">
        <f t="shared" ref="F55:Q55" si="4">F32/F5</f>
        <v>0.12748001127538994</v>
      </c>
      <c r="G55" s="1301">
        <f t="shared" si="4"/>
        <v>0.18766533056194323</v>
      </c>
      <c r="H55" s="1301">
        <f t="shared" si="4"/>
        <v>0.29371710192684353</v>
      </c>
      <c r="I55" s="1301">
        <f t="shared" si="4"/>
        <v>0.28662880444760053</v>
      </c>
      <c r="J55" s="1301">
        <f t="shared" si="4"/>
        <v>0.28123036407536744</v>
      </c>
      <c r="K55" s="1301">
        <f t="shared" si="4"/>
        <v>0.13599147729641109</v>
      </c>
      <c r="L55" s="1301">
        <f t="shared" si="4"/>
        <v>0.14701845012478199</v>
      </c>
      <c r="M55" s="1301">
        <f t="shared" si="4"/>
        <v>0.1711605892285239</v>
      </c>
      <c r="N55" s="1301">
        <f t="shared" si="4"/>
        <v>0.19055562626708539</v>
      </c>
      <c r="O55" s="1301">
        <f t="shared" si="4"/>
        <v>0.20592012464391601</v>
      </c>
      <c r="P55" s="1301">
        <f t="shared" si="4"/>
        <v>0.21768582736530695</v>
      </c>
      <c r="Q55" s="1301">
        <f t="shared" si="4"/>
        <v>0.22989345379762349</v>
      </c>
    </row>
    <row r="56" spans="2:17" s="1297" customFormat="1">
      <c r="C56" s="1297" t="str">
        <f t="shared" si="3"/>
        <v>1.1.1 Intra-group: Aland US</v>
      </c>
      <c r="F56" s="1301">
        <f t="shared" ref="F56:Q56" si="5">F33/F6</f>
        <v>0.12618288000866226</v>
      </c>
      <c r="G56" s="1301">
        <f t="shared" si="5"/>
        <v>0.19605107357428989</v>
      </c>
      <c r="H56" s="1301">
        <f t="shared" si="5"/>
        <v>0.29712521667760861</v>
      </c>
      <c r="I56" s="1301">
        <f t="shared" si="5"/>
        <v>0.28149549846842298</v>
      </c>
      <c r="J56" s="1301">
        <f t="shared" si="5"/>
        <v>0.27601451204879768</v>
      </c>
      <c r="K56" s="1301">
        <f t="shared" si="5"/>
        <v>8.9306852415673724E-2</v>
      </c>
      <c r="L56" s="1301">
        <f t="shared" si="5"/>
        <v>8.9306852415673751E-2</v>
      </c>
      <c r="M56" s="1301">
        <f t="shared" si="5"/>
        <v>0.10082595686098555</v>
      </c>
      <c r="N56" s="1301">
        <f t="shared" si="5"/>
        <v>0.10996321339619372</v>
      </c>
      <c r="O56" s="1301">
        <f t="shared" si="5"/>
        <v>0.11357894507815315</v>
      </c>
      <c r="P56" s="1301">
        <f t="shared" si="5"/>
        <v>0.11646931939974232</v>
      </c>
      <c r="Q56" s="1301">
        <f t="shared" si="5"/>
        <v>0.11935163858548072</v>
      </c>
    </row>
    <row r="57" spans="2:17" s="1297" customFormat="1">
      <c r="C57" s="1297" t="str">
        <f t="shared" si="3"/>
        <v>1.1.2 Intra-group: Brunel</v>
      </c>
      <c r="F57" s="1301">
        <f t="shared" ref="F57:Q57" si="6">F34/F7</f>
        <v>0.13424781010932119</v>
      </c>
      <c r="G57" s="1301">
        <f t="shared" si="6"/>
        <v>7.8962394975120309E-2</v>
      </c>
      <c r="H57" s="1301">
        <f t="shared" si="6"/>
        <v>0.27583016846820529</v>
      </c>
      <c r="I57" s="1301">
        <f t="shared" si="6"/>
        <v>0.28413207071616314</v>
      </c>
      <c r="J57" s="1301">
        <f t="shared" si="6"/>
        <v>0.27631314954806951</v>
      </c>
      <c r="K57" s="1301">
        <f t="shared" si="6"/>
        <v>0.32033991107001492</v>
      </c>
      <c r="L57" s="1301">
        <f t="shared" si="6"/>
        <v>0.32033991107001492</v>
      </c>
      <c r="M57" s="1301">
        <f t="shared" si="6"/>
        <v>0.34775867276296768</v>
      </c>
      <c r="N57" s="1301">
        <f t="shared" si="6"/>
        <v>0.35917209542132927</v>
      </c>
      <c r="O57" s="1301">
        <f t="shared" si="6"/>
        <v>0.37068335888753001</v>
      </c>
      <c r="P57" s="1301">
        <f t="shared" si="6"/>
        <v>0.38040560206879354</v>
      </c>
      <c r="Q57" s="1301">
        <f t="shared" si="6"/>
        <v>0.38977689477150501</v>
      </c>
    </row>
    <row r="58" spans="2:17" s="1297" customFormat="1">
      <c r="C58" s="1297" t="str">
        <f t="shared" si="3"/>
        <v>1.1.3 Intra-group: Vita Health</v>
      </c>
      <c r="F58" s="1301" t="e">
        <f t="shared" ref="F58:Q58" si="7">F35/F8</f>
        <v>#DIV/0!</v>
      </c>
      <c r="G58" s="1301">
        <f t="shared" si="7"/>
        <v>0.27221172022684309</v>
      </c>
      <c r="H58" s="1301">
        <f t="shared" si="7"/>
        <v>0.30058828380570135</v>
      </c>
      <c r="I58" s="1301">
        <f t="shared" si="7"/>
        <v>0.42387504105689577</v>
      </c>
      <c r="J58" s="1301">
        <f t="shared" si="7"/>
        <v>0.43756749183824645</v>
      </c>
      <c r="K58" s="1301">
        <f t="shared" si="7"/>
        <v>0.43309597169637548</v>
      </c>
      <c r="L58" s="1301">
        <f t="shared" si="7"/>
        <v>0.43309597169637548</v>
      </c>
      <c r="M58" s="1301">
        <f t="shared" si="7"/>
        <v>0.44284319108938597</v>
      </c>
      <c r="N58" s="1301">
        <f t="shared" si="7"/>
        <v>0.44767236014654416</v>
      </c>
      <c r="O58" s="1301">
        <f t="shared" si="7"/>
        <v>0.45246081275206557</v>
      </c>
      <c r="P58" s="1301">
        <f t="shared" si="7"/>
        <v>0.45429781069075581</v>
      </c>
      <c r="Q58" s="1301">
        <f t="shared" si="7"/>
        <v>0.45612713961075707</v>
      </c>
    </row>
    <row r="59" spans="2:17" s="1297" customFormat="1">
      <c r="C59" s="1297" t="str">
        <f t="shared" si="3"/>
        <v>1.1.4 Intra-group:Pragen</v>
      </c>
      <c r="F59" s="1301">
        <f t="shared" ref="F59:Q59" si="8">F36/F9</f>
        <v>0.1246578226995157</v>
      </c>
      <c r="G59" s="1301">
        <f t="shared" si="8"/>
        <v>0.17195952396105135</v>
      </c>
      <c r="H59" s="1301">
        <f t="shared" si="8"/>
        <v>0.21004524886877829</v>
      </c>
      <c r="I59" s="1301">
        <f t="shared" si="8"/>
        <v>0.29256213123547292</v>
      </c>
      <c r="J59" s="1301">
        <f t="shared" si="8"/>
        <v>0.2613263654133951</v>
      </c>
      <c r="K59" s="1301">
        <f t="shared" si="8"/>
        <v>0.26768303103935437</v>
      </c>
      <c r="L59" s="1301">
        <f t="shared" si="8"/>
        <v>0.26768303103935454</v>
      </c>
      <c r="M59" s="1301">
        <f t="shared" si="8"/>
        <v>0.27010315661274931</v>
      </c>
      <c r="N59" s="1301">
        <f t="shared" si="8"/>
        <v>0.27251310580252547</v>
      </c>
      <c r="O59" s="1301">
        <f t="shared" si="8"/>
        <v>0.27491292663387534</v>
      </c>
      <c r="P59" s="1301">
        <f t="shared" si="8"/>
        <v>0.27730266688293964</v>
      </c>
      <c r="Q59" s="1301">
        <f t="shared" si="8"/>
        <v>0.27968237407818364</v>
      </c>
    </row>
    <row r="60" spans="2:17" s="1297" customFormat="1">
      <c r="C60" s="1297" t="str">
        <f t="shared" si="3"/>
        <v>1.1.5 Intra-group:Bloem</v>
      </c>
      <c r="F60" s="1301">
        <f t="shared" ref="F60:Q60" si="9">F37/F10</f>
        <v>0.26527196652719665</v>
      </c>
      <c r="G60" s="1301">
        <f t="shared" si="9"/>
        <v>0.37858220211161386</v>
      </c>
      <c r="H60" s="1301">
        <f t="shared" si="9"/>
        <v>0.50490633363068682</v>
      </c>
      <c r="I60" s="1301">
        <f t="shared" si="9"/>
        <v>0.40162980209545979</v>
      </c>
      <c r="J60" s="1301">
        <f t="shared" si="9"/>
        <v>0.40138323774242979</v>
      </c>
      <c r="K60" s="1301">
        <f t="shared" si="9"/>
        <v>0.47868895935198469</v>
      </c>
      <c r="L60" s="1301">
        <f t="shared" si="9"/>
        <v>0.47868895935198463</v>
      </c>
      <c r="M60" s="1301">
        <f t="shared" si="9"/>
        <v>0.48046991327801203</v>
      </c>
      <c r="N60" s="1301">
        <f t="shared" si="9"/>
        <v>0.48224346948682767</v>
      </c>
      <c r="O60" s="1301">
        <f t="shared" si="9"/>
        <v>0.48400966250071575</v>
      </c>
      <c r="P60" s="1301">
        <f t="shared" si="9"/>
        <v>0.48576852666441889</v>
      </c>
      <c r="Q60" s="1301">
        <f t="shared" si="9"/>
        <v>0.48752009614611475</v>
      </c>
    </row>
    <row r="61" spans="2:17" s="1297" customFormat="1">
      <c r="C61" s="1297" t="str">
        <f t="shared" si="3"/>
        <v>1.2 Supply Chain to other China BU</v>
      </c>
      <c r="F61" s="1301">
        <f t="shared" ref="F61:Q61" si="10">F38/F11</f>
        <v>0.18869773519163766</v>
      </c>
      <c r="G61" s="1301">
        <f t="shared" si="10"/>
        <v>0.17263595924809874</v>
      </c>
      <c r="H61" s="1301">
        <f t="shared" si="10"/>
        <v>0.18906412736199973</v>
      </c>
      <c r="I61" s="1301">
        <f t="shared" si="10"/>
        <v>0.2355626609823252</v>
      </c>
      <c r="J61" s="1301">
        <f t="shared" si="10"/>
        <v>0.22874263870234526</v>
      </c>
      <c r="K61" s="1301">
        <f t="shared" si="10"/>
        <v>0.20390638903719524</v>
      </c>
      <c r="L61" s="1301">
        <f t="shared" si="10"/>
        <v>0.20390638903719513</v>
      </c>
      <c r="M61" s="1301">
        <f t="shared" si="10"/>
        <v>0.20653444501882381</v>
      </c>
      <c r="N61" s="1301">
        <f t="shared" si="10"/>
        <v>0.209151250136175</v>
      </c>
      <c r="O61" s="1301">
        <f t="shared" si="10"/>
        <v>0.2117568583420199</v>
      </c>
      <c r="P61" s="1301">
        <f t="shared" si="10"/>
        <v>0.21435132330607023</v>
      </c>
      <c r="Q61" s="1301">
        <f t="shared" si="10"/>
        <v>0.21693469841655405</v>
      </c>
    </row>
    <row r="62" spans="2:17" s="1297" customFormat="1">
      <c r="C62" s="1297" t="str">
        <f t="shared" si="3"/>
        <v>1.3 Domestic CDMO</v>
      </c>
      <c r="F62" s="1301">
        <f t="shared" ref="F62:Q62" si="11">F39/F12</f>
        <v>0.3465738924192926</v>
      </c>
      <c r="G62" s="1301">
        <f t="shared" si="11"/>
        <v>0.32222488555585238</v>
      </c>
      <c r="H62" s="1301">
        <f t="shared" si="11"/>
        <v>0.39403848067321989</v>
      </c>
      <c r="I62" s="1301">
        <f t="shared" si="11"/>
        <v>0.4000751536931173</v>
      </c>
      <c r="J62" s="1301">
        <f t="shared" si="11"/>
        <v>0.3953564193830017</v>
      </c>
      <c r="K62" s="1301">
        <f t="shared" si="11"/>
        <v>0.37399129690636707</v>
      </c>
      <c r="L62" s="1301">
        <f t="shared" si="11"/>
        <v>0.37299358795090382</v>
      </c>
      <c r="M62" s="1301">
        <f t="shared" si="11"/>
        <v>0.37897190171109962</v>
      </c>
      <c r="N62" s="1301">
        <f t="shared" si="11"/>
        <v>0.37952662241235696</v>
      </c>
      <c r="O62" s="1301">
        <f t="shared" si="11"/>
        <v>0.37835345895750028</v>
      </c>
      <c r="P62" s="1301">
        <f t="shared" si="11"/>
        <v>0.3761869092504414</v>
      </c>
      <c r="Q62" s="1301">
        <f t="shared" si="11"/>
        <v>0.37352308881796054</v>
      </c>
    </row>
    <row r="63" spans="2:17" s="1297" customFormat="1">
      <c r="C63" s="1297" t="str">
        <f t="shared" si="3"/>
        <v>1.3.1 Sam's club</v>
      </c>
      <c r="F63" s="1301">
        <f t="shared" ref="F63:Q63" si="12">F40/F13</f>
        <v>0.55392640354428602</v>
      </c>
      <c r="G63" s="1301">
        <f t="shared" si="12"/>
        <v>0.44986827242732907</v>
      </c>
      <c r="H63" s="1301">
        <f t="shared" si="12"/>
        <v>0.53549257379460924</v>
      </c>
      <c r="I63" s="1301">
        <f t="shared" si="12"/>
        <v>0.49653383711435933</v>
      </c>
      <c r="J63" s="1301">
        <f t="shared" si="12"/>
        <v>0.4909659973848069</v>
      </c>
      <c r="K63" s="1301">
        <f t="shared" si="12"/>
        <v>0.44316628771276961</v>
      </c>
      <c r="L63" s="1301">
        <f t="shared" si="12"/>
        <v>0.44316628771276956</v>
      </c>
      <c r="M63" s="1301">
        <f t="shared" si="12"/>
        <v>0.43332735411924861</v>
      </c>
      <c r="N63" s="1301">
        <f t="shared" si="12"/>
        <v>0.42962792890337848</v>
      </c>
      <c r="O63" s="1301">
        <f t="shared" si="12"/>
        <v>0.42725361105347825</v>
      </c>
      <c r="P63" s="1301">
        <f t="shared" si="12"/>
        <v>0.42693558706530965</v>
      </c>
      <c r="Q63" s="1301">
        <f t="shared" si="12"/>
        <v>0.42884380614640549</v>
      </c>
    </row>
    <row r="64" spans="2:17" s="1297" customFormat="1">
      <c r="C64" s="1297" t="str">
        <f t="shared" si="3"/>
        <v>1.3.2 T</v>
      </c>
      <c r="F64" s="1301">
        <f t="shared" ref="F64:Q64" si="13">F41/F14</f>
        <v>0.29719595132448928</v>
      </c>
      <c r="G64" s="1301">
        <f t="shared" si="13"/>
        <v>0.27852717119140741</v>
      </c>
      <c r="H64" s="1301">
        <f t="shared" si="13"/>
        <v>0.32868858294388631</v>
      </c>
      <c r="I64" s="1301">
        <f t="shared" si="13"/>
        <v>0.31609535249006743</v>
      </c>
      <c r="J64" s="1301">
        <f t="shared" si="13"/>
        <v>0.31831066601152191</v>
      </c>
      <c r="K64" s="1301">
        <f t="shared" si="13"/>
        <v>0.29809103441575718</v>
      </c>
      <c r="L64" s="1301">
        <f t="shared" si="13"/>
        <v>0.29809103441575735</v>
      </c>
      <c r="M64" s="1301">
        <f t="shared" si="13"/>
        <v>0.30844981979148139</v>
      </c>
      <c r="N64" s="1301">
        <f t="shared" si="13"/>
        <v>0.30679190241525561</v>
      </c>
      <c r="O64" s="1301">
        <f t="shared" si="13"/>
        <v>0.30439476848252439</v>
      </c>
      <c r="P64" s="1301">
        <f t="shared" si="13"/>
        <v>0.30232435427318416</v>
      </c>
      <c r="Q64" s="1301">
        <f t="shared" si="13"/>
        <v>0.30165339313701794</v>
      </c>
    </row>
    <row r="65" spans="3:17" s="1297" customFormat="1">
      <c r="C65" s="1297" t="str">
        <f t="shared" si="3"/>
        <v xml:space="preserve">1.3.3 B </v>
      </c>
      <c r="F65" s="1301">
        <f t="shared" ref="F65:Q65" si="14">F42/F15</f>
        <v>0.35741844966678354</v>
      </c>
      <c r="G65" s="1301">
        <f t="shared" si="14"/>
        <v>0.28947532258434155</v>
      </c>
      <c r="H65" s="1301">
        <f t="shared" si="14"/>
        <v>0.40720395871539888</v>
      </c>
      <c r="I65" s="1301">
        <f t="shared" si="14"/>
        <v>0.45811044783833366</v>
      </c>
      <c r="J65" s="1301">
        <f t="shared" si="14"/>
        <v>0.46695638585638621</v>
      </c>
      <c r="K65" s="1301">
        <f t="shared" si="14"/>
        <v>0.48969332063202831</v>
      </c>
      <c r="L65" s="1301">
        <f t="shared" si="14"/>
        <v>0.48969332063202842</v>
      </c>
      <c r="M65" s="1301">
        <f t="shared" si="14"/>
        <v>0.48915270016857454</v>
      </c>
      <c r="N65" s="1301">
        <f t="shared" si="14"/>
        <v>0.49039698986390784</v>
      </c>
      <c r="O65" s="1301">
        <f t="shared" si="14"/>
        <v>0.49194793218042326</v>
      </c>
      <c r="P65" s="1301">
        <f t="shared" si="14"/>
        <v>0.49350561559347206</v>
      </c>
      <c r="Q65" s="1301">
        <f t="shared" si="14"/>
        <v>0.49532882407698053</v>
      </c>
    </row>
    <row r="66" spans="3:17" s="1297" customFormat="1">
      <c r="C66" s="1297" t="str">
        <f t="shared" si="3"/>
        <v xml:space="preserve">1.3.4 JD </v>
      </c>
    </row>
    <row r="67" spans="3:17" s="1297" customFormat="1">
      <c r="C67" s="1297" t="str">
        <f t="shared" si="3"/>
        <v>1.3.5 Others (含已有和新增）</v>
      </c>
    </row>
    <row r="68" spans="3:17" s="1297" customFormat="1">
      <c r="C68" s="1297" t="str">
        <f t="shared" si="3"/>
        <v>1.4 International CDMO</v>
      </c>
    </row>
    <row r="69" spans="3:17" s="1297" customFormat="1">
      <c r="C69" s="1297" t="str">
        <f t="shared" si="3"/>
        <v>1.4.1 Dr.Max</v>
      </c>
    </row>
    <row r="70" spans="3:17" s="1297" customFormat="1">
      <c r="C70" s="1297" t="str">
        <f t="shared" si="3"/>
        <v>1.4.2 CMG</v>
      </c>
    </row>
    <row r="71" spans="3:17" s="1297" customFormat="1"/>
    <row r="72" spans="3:17" s="1297" customFormat="1"/>
    <row r="73" spans="3:17" s="1297" customFormat="1"/>
    <row r="74" spans="3:17" s="1297" customFormat="1"/>
    <row r="75" spans="3:17" s="1297" customFormat="1"/>
    <row r="76" spans="3:17" s="1297" customFormat="1"/>
    <row r="77" spans="3:17" s="1297" customFormat="1"/>
    <row r="78" spans="3:17" s="1297" customFormat="1"/>
    <row r="79" spans="3:17" s="1297" customFormat="1"/>
    <row r="80" spans="3:17" s="1297" customFormat="1"/>
    <row r="81" s="1297" customFormat="1"/>
    <row r="82" s="1297" customFormat="1"/>
    <row r="83" s="1297" customFormat="1"/>
    <row r="84" s="1297" customFormat="1"/>
    <row r="85" s="1297" customFormat="1"/>
    <row r="86" s="1297" customFormat="1"/>
    <row r="87" s="1297" customFormat="1"/>
    <row r="88" s="1297" customFormat="1"/>
    <row r="89" s="1297" customFormat="1"/>
    <row r="90" s="1297" customFormat="1"/>
    <row r="91" s="1297" customFormat="1"/>
    <row r="92" s="1297" customFormat="1"/>
    <row r="93" s="1297" customFormat="1"/>
    <row r="94" s="1297" customFormat="1"/>
    <row r="95" s="1297" customFormat="1"/>
    <row r="96" s="1297" customFormat="1"/>
    <row r="97" s="1297" customFormat="1"/>
    <row r="98" s="1297" customFormat="1"/>
    <row r="99" s="1297" customFormat="1"/>
    <row r="100" s="1297" customFormat="1"/>
    <row r="101" s="1297" customFormat="1"/>
    <row r="102" s="1297" customFormat="1"/>
  </sheetData>
  <phoneticPr fontId="5" type="noConversion"/>
  <conditionalFormatting sqref="F2 N2:Q2">
    <cfRule type="containsText" dxfId="40" priority="2" operator="containsText" text="Error">
      <formula>NOT(ISERROR(SEARCH("Error",F2)))</formula>
    </cfRule>
  </conditionalFormatting>
  <conditionalFormatting sqref="H2:L2">
    <cfRule type="containsText" dxfId="39" priority="1" operator="containsText" text="Error">
      <formula>NOT(ISERROR(SEARCH("Error",H2)))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/>
  </sheetPr>
  <dimension ref="A1:AP795"/>
  <sheetViews>
    <sheetView showGridLines="0" zoomScale="60" zoomScaleNormal="60" workbookViewId="0">
      <pane xSplit="7" ySplit="6" topLeftCell="L7" activePane="bottomRight" state="frozen"/>
      <selection activeCell="AB799" sqref="AB799"/>
      <selection pane="topRight" activeCell="AB799" sqref="AB799"/>
      <selection pane="bottomLeft" activeCell="AB799" sqref="AB799"/>
      <selection pane="bottomRight" activeCell="AB799" sqref="AB799"/>
    </sheetView>
  </sheetViews>
  <sheetFormatPr defaultColWidth="8.6640625" defaultRowHeight="14.5" outlineLevelRow="3"/>
  <cols>
    <col min="1" max="1" width="2.33203125" style="1" customWidth="1"/>
    <col min="2" max="3" width="3.08203125" style="1" customWidth="1"/>
    <col min="4" max="4" width="2.6640625" style="1" customWidth="1"/>
    <col min="5" max="7" width="11.6640625" style="1" customWidth="1"/>
    <col min="8" max="10" width="11.75" style="1" customWidth="1"/>
    <col min="11" max="11" width="13.08203125" style="1" customWidth="1"/>
    <col min="12" max="18" width="12.58203125" style="1" customWidth="1"/>
    <col min="19" max="19" width="8.6640625" style="1"/>
    <col min="20" max="20" width="11.33203125" style="1" bestFit="1" customWidth="1"/>
    <col min="21" max="25" width="10.75" style="1" customWidth="1"/>
    <col min="26" max="27" width="8.6640625" style="1"/>
    <col min="28" max="33" width="11.5" style="1" customWidth="1"/>
    <col min="34" max="35" width="8.6640625" style="1"/>
    <col min="36" max="41" width="11.25" style="1" customWidth="1"/>
    <col min="42" max="16384" width="8.6640625" style="1"/>
  </cols>
  <sheetData>
    <row r="1" spans="1:42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</row>
    <row r="2" spans="1:42" ht="20.25" customHeight="1">
      <c r="A2" s="1579" t="s">
        <v>6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</row>
    <row r="3" spans="1:42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>
        <v>2025</v>
      </c>
      <c r="N3" s="4">
        <v>2026</v>
      </c>
      <c r="O3" s="4">
        <v>2027</v>
      </c>
      <c r="P3" s="4">
        <v>2028</v>
      </c>
      <c r="Q3" s="4">
        <v>2029</v>
      </c>
      <c r="R3" s="4">
        <v>2030</v>
      </c>
    </row>
    <row r="4" spans="1:42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T4" s="1584" t="s">
        <v>646</v>
      </c>
      <c r="U4" s="1585"/>
      <c r="V4" s="1585"/>
      <c r="W4" s="1585"/>
      <c r="X4" s="1585"/>
      <c r="Y4" s="1585"/>
      <c r="Z4" s="1585"/>
      <c r="AB4" s="1584" t="s">
        <v>647</v>
      </c>
      <c r="AC4" s="1585"/>
      <c r="AD4" s="1585"/>
      <c r="AE4" s="1585"/>
      <c r="AF4" s="1585"/>
      <c r="AG4" s="1585"/>
      <c r="AH4" s="1585"/>
      <c r="AJ4" s="1584" t="s">
        <v>648</v>
      </c>
      <c r="AK4" s="1585"/>
      <c r="AL4" s="1585"/>
      <c r="AM4" s="1585"/>
      <c r="AN4" s="1585"/>
      <c r="AO4" s="1585"/>
      <c r="AP4" s="1585"/>
    </row>
    <row r="5" spans="1:42" ht="14.25" customHeight="1">
      <c r="A5" s="5" t="s">
        <v>7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9">
        <v>45657</v>
      </c>
      <c r="M5" s="9">
        <v>46022</v>
      </c>
      <c r="N5" s="9">
        <v>46387</v>
      </c>
      <c r="O5" s="9">
        <v>46752</v>
      </c>
      <c r="P5" s="9">
        <v>46753</v>
      </c>
      <c r="Q5" s="9">
        <v>47483</v>
      </c>
      <c r="R5" s="9">
        <v>47848</v>
      </c>
      <c r="T5" s="435">
        <v>46022</v>
      </c>
      <c r="U5" s="435">
        <v>46387</v>
      </c>
      <c r="V5" s="435">
        <v>46752</v>
      </c>
      <c r="W5" s="435">
        <v>46753</v>
      </c>
      <c r="X5" s="435">
        <v>47483</v>
      </c>
      <c r="Y5" s="435">
        <v>47848</v>
      </c>
      <c r="Z5" s="435" t="s">
        <v>356</v>
      </c>
      <c r="AB5" s="435">
        <v>46022</v>
      </c>
      <c r="AC5" s="435">
        <v>46387</v>
      </c>
      <c r="AD5" s="435">
        <v>46752</v>
      </c>
      <c r="AE5" s="435">
        <v>46753</v>
      </c>
      <c r="AF5" s="435">
        <v>47483</v>
      </c>
      <c r="AG5" s="435">
        <v>47848</v>
      </c>
      <c r="AH5" s="435" t="s">
        <v>356</v>
      </c>
      <c r="AJ5" s="435">
        <v>46022</v>
      </c>
      <c r="AK5" s="435">
        <v>46387</v>
      </c>
      <c r="AL5" s="435">
        <v>46752</v>
      </c>
      <c r="AM5" s="435">
        <v>46753</v>
      </c>
      <c r="AN5" s="435">
        <v>47483</v>
      </c>
      <c r="AO5" s="435">
        <v>47848</v>
      </c>
      <c r="AP5" s="435" t="s">
        <v>356</v>
      </c>
    </row>
    <row r="6" spans="1:42" ht="14.25" customHeight="1">
      <c r="A6" s="5" t="s">
        <v>9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42" s="14" customFormat="1" ht="14.25" customHeight="1">
      <c r="A7" s="11"/>
      <c r="B7" s="11"/>
      <c r="C7" s="11"/>
      <c r="D7" s="12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42" s="59" customFormat="1">
      <c r="A8" s="58" t="s">
        <v>8</v>
      </c>
      <c r="B8" s="58" t="s">
        <v>21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</row>
    <row r="9" spans="1:42">
      <c r="L9" s="42"/>
      <c r="M9" s="42"/>
      <c r="R9" s="42"/>
      <c r="S9" s="526"/>
    </row>
    <row r="10" spans="1:42" s="18" customFormat="1" hidden="1">
      <c r="C10" s="18" t="s">
        <v>10</v>
      </c>
      <c r="H10" s="395">
        <v>1447160</v>
      </c>
      <c r="I10" s="395">
        <v>1688701</v>
      </c>
      <c r="J10" s="395">
        <v>1802473</v>
      </c>
      <c r="K10" s="395">
        <v>1995172</v>
      </c>
      <c r="L10" s="151"/>
      <c r="M10" s="151"/>
      <c r="N10" s="151"/>
      <c r="O10" s="151"/>
      <c r="P10" s="151"/>
      <c r="Q10" s="151"/>
      <c r="R10" s="151"/>
    </row>
    <row r="11" spans="1:42" s="22" customFormat="1" hidden="1">
      <c r="D11" s="22" t="s">
        <v>11</v>
      </c>
      <c r="H11" s="61">
        <f>H12-H10</f>
        <v>-1</v>
      </c>
      <c r="I11" s="61">
        <f t="shared" ref="I11:K11" si="0">I12-I10</f>
        <v>-27563</v>
      </c>
      <c r="J11" s="61">
        <f t="shared" si="0"/>
        <v>-0.89999999990686774</v>
      </c>
      <c r="K11" s="61">
        <f t="shared" si="0"/>
        <v>-0.5</v>
      </c>
      <c r="L11" s="149"/>
      <c r="M11" s="149"/>
      <c r="N11" s="149"/>
      <c r="O11" s="149"/>
      <c r="P11" s="149"/>
      <c r="Q11" s="149"/>
      <c r="R11" s="149"/>
    </row>
    <row r="12" spans="1:42">
      <c r="C12" s="397" t="s">
        <v>12</v>
      </c>
      <c r="H12" s="19">
        <f t="shared" ref="H12:R12" si="1">H40+H556+H571+H579+H588</f>
        <v>1447159</v>
      </c>
      <c r="I12" s="19">
        <f t="shared" si="1"/>
        <v>1661138</v>
      </c>
      <c r="J12" s="19">
        <f t="shared" si="1"/>
        <v>1802472.1</v>
      </c>
      <c r="K12" s="19">
        <f t="shared" si="1"/>
        <v>1995171.5</v>
      </c>
      <c r="L12" s="19">
        <f t="shared" si="1"/>
        <v>2394205.7999999998</v>
      </c>
      <c r="M12" s="19">
        <f t="shared" si="1"/>
        <v>2662696.5900932993</v>
      </c>
      <c r="N12" s="19">
        <f t="shared" si="1"/>
        <v>2948509.8256939999</v>
      </c>
      <c r="O12" s="19">
        <f t="shared" si="1"/>
        <v>3297304.1161998953</v>
      </c>
      <c r="P12" s="19">
        <f t="shared" si="1"/>
        <v>3724614.348171602</v>
      </c>
      <c r="Q12" s="19">
        <f t="shared" si="1"/>
        <v>4250172.1679822821</v>
      </c>
      <c r="R12" s="19">
        <f t="shared" si="1"/>
        <v>4899096.8801323036</v>
      </c>
      <c r="S12" s="463"/>
    </row>
    <row r="13" spans="1:42" hidden="1"/>
    <row r="14" spans="1:42" s="22" customFormat="1" hidden="1">
      <c r="D14" s="22" t="s">
        <v>13</v>
      </c>
      <c r="H14" s="396">
        <v>0</v>
      </c>
      <c r="I14" s="396">
        <v>-15478</v>
      </c>
      <c r="J14" s="396">
        <v>-20781</v>
      </c>
      <c r="K14" s="396">
        <v>-60289.4</v>
      </c>
      <c r="L14" s="149"/>
      <c r="M14" s="149"/>
      <c r="N14" s="149"/>
      <c r="O14" s="149"/>
      <c r="P14" s="149"/>
      <c r="Q14" s="149"/>
      <c r="R14" s="149"/>
    </row>
    <row r="15" spans="1:42" s="22" customFormat="1" hidden="1">
      <c r="D15" s="22" t="s">
        <v>14</v>
      </c>
      <c r="H15" s="396">
        <v>-37132.5</v>
      </c>
      <c r="I15" s="396">
        <v>-21551</v>
      </c>
      <c r="J15" s="396">
        <v>-3926</v>
      </c>
      <c r="K15" s="396">
        <v>-4442.3999999999996</v>
      </c>
      <c r="L15" s="149"/>
      <c r="M15" s="149"/>
      <c r="N15" s="149"/>
      <c r="O15" s="149"/>
      <c r="P15" s="149"/>
      <c r="Q15" s="149"/>
      <c r="R15" s="149"/>
    </row>
    <row r="16" spans="1:42" s="22" customFormat="1" hidden="1">
      <c r="D16" s="22" t="s">
        <v>15</v>
      </c>
      <c r="H16" s="396">
        <v>-3864.5</v>
      </c>
      <c r="I16" s="396">
        <v>0</v>
      </c>
      <c r="J16" s="396">
        <v>0</v>
      </c>
      <c r="K16" s="396">
        <v>0</v>
      </c>
      <c r="L16" s="149"/>
      <c r="M16" s="149"/>
      <c r="N16" s="149"/>
      <c r="O16" s="149"/>
      <c r="P16" s="149"/>
      <c r="Q16" s="149"/>
      <c r="R16" s="149"/>
    </row>
    <row r="17" spans="1:19" s="18" customFormat="1" hidden="1">
      <c r="C17" s="18" t="s">
        <v>16</v>
      </c>
      <c r="H17" s="19">
        <f>SUM(H12,H14:H16)</f>
        <v>1406162</v>
      </c>
      <c r="I17" s="19">
        <f t="shared" ref="I17:K17" si="2">SUM(I12,I14:I16)</f>
        <v>1624109</v>
      </c>
      <c r="J17" s="19">
        <f t="shared" si="2"/>
        <v>1777765.1</v>
      </c>
      <c r="K17" s="19">
        <f t="shared" si="2"/>
        <v>1930439.7000000002</v>
      </c>
      <c r="L17" s="150"/>
      <c r="M17" s="150"/>
      <c r="N17" s="150"/>
      <c r="O17" s="150"/>
      <c r="P17" s="150"/>
      <c r="Q17" s="150"/>
      <c r="R17" s="150"/>
    </row>
    <row r="18" spans="1:19" hidden="1"/>
    <row r="19" spans="1:19">
      <c r="C19" s="397" t="s">
        <v>17</v>
      </c>
      <c r="H19" s="23">
        <f t="shared" ref="H19:R19" si="3">H47+H563+H573+H582+H591</f>
        <v>-1066205</v>
      </c>
      <c r="I19" s="23">
        <f t="shared" si="3"/>
        <v>-1170043.3999999999</v>
      </c>
      <c r="J19" s="23">
        <f t="shared" si="3"/>
        <v>-1139493</v>
      </c>
      <c r="K19" s="23">
        <f t="shared" si="3"/>
        <v>-1295211</v>
      </c>
      <c r="L19" s="23">
        <f t="shared" si="3"/>
        <v>-1554253.2000000002</v>
      </c>
      <c r="M19" s="23">
        <f t="shared" si="3"/>
        <v>-1711442.9462406959</v>
      </c>
      <c r="N19" s="23">
        <f t="shared" si="3"/>
        <v>-1895859.6538540656</v>
      </c>
      <c r="O19" s="23">
        <f t="shared" si="3"/>
        <v>-2119910.3036546521</v>
      </c>
      <c r="P19" s="23">
        <f t="shared" si="3"/>
        <v>-2393294.7499645213</v>
      </c>
      <c r="Q19" s="23">
        <f t="shared" si="3"/>
        <v>-2728341.0494717816</v>
      </c>
      <c r="R19" s="23">
        <f t="shared" si="3"/>
        <v>-3140757.2276263237</v>
      </c>
    </row>
    <row r="20" spans="1:19" hidden="1">
      <c r="H20" s="17"/>
      <c r="I20" s="17"/>
      <c r="J20" s="17"/>
      <c r="K20" s="17"/>
    </row>
    <row r="21" spans="1:19">
      <c r="C21" s="18" t="s">
        <v>18</v>
      </c>
      <c r="H21" s="23">
        <f>H12+H19</f>
        <v>380954</v>
      </c>
      <c r="I21" s="23">
        <f t="shared" ref="I21:R21" si="4">I12+I19</f>
        <v>491094.60000000009</v>
      </c>
      <c r="J21" s="23">
        <f t="shared" si="4"/>
        <v>662979.10000000009</v>
      </c>
      <c r="K21" s="23">
        <f>K12+K19</f>
        <v>699960.5</v>
      </c>
      <c r="L21" s="23">
        <f>L12+L19</f>
        <v>839952.59999999963</v>
      </c>
      <c r="M21" s="23">
        <f t="shared" si="4"/>
        <v>951253.64385260339</v>
      </c>
      <c r="N21" s="23">
        <f t="shared" si="4"/>
        <v>1052650.1718399343</v>
      </c>
      <c r="O21" s="23">
        <f t="shared" si="4"/>
        <v>1177393.8125452432</v>
      </c>
      <c r="P21" s="23">
        <f t="shared" si="4"/>
        <v>1331319.5982070807</v>
      </c>
      <c r="Q21" s="23">
        <f t="shared" si="4"/>
        <v>1521831.1185105005</v>
      </c>
      <c r="R21" s="23">
        <f t="shared" si="4"/>
        <v>1758339.6525059799</v>
      </c>
    </row>
    <row r="22" spans="1:19">
      <c r="D22" s="1" t="s">
        <v>20</v>
      </c>
      <c r="H22" s="25">
        <f>H21/H12</f>
        <v>0.26324267063950818</v>
      </c>
      <c r="I22" s="25">
        <f>I21/I12</f>
        <v>0.29563744854431123</v>
      </c>
      <c r="J22" s="25">
        <f>J21/J12</f>
        <v>0.36781656703590587</v>
      </c>
      <c r="K22" s="25">
        <f>K21/K12</f>
        <v>0.35082723465125681</v>
      </c>
      <c r="L22" s="25">
        <f t="shared" ref="L22:R22" si="5">L21/L12</f>
        <v>0.35082723465125665</v>
      </c>
      <c r="M22" s="25">
        <f t="shared" si="5"/>
        <v>0.35725198559677879</v>
      </c>
      <c r="N22" s="25">
        <f t="shared" si="5"/>
        <v>0.35701090858402307</v>
      </c>
      <c r="O22" s="25">
        <f t="shared" si="5"/>
        <v>0.35707771289903822</v>
      </c>
      <c r="P22" s="25">
        <f t="shared" si="5"/>
        <v>0.35743824024643522</v>
      </c>
      <c r="Q22" s="25">
        <f t="shared" si="5"/>
        <v>0.35806340504859396</v>
      </c>
      <c r="R22" s="25">
        <f t="shared" si="5"/>
        <v>0.35891097798794597</v>
      </c>
    </row>
    <row r="24" spans="1:19" s="62" customFormat="1" outlineLevel="1">
      <c r="A24" s="10" t="s">
        <v>8</v>
      </c>
      <c r="B24" s="10" t="s">
        <v>22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9" outlineLevel="1"/>
    <row r="26" spans="1:19" s="26" customFormat="1" outlineLevel="1">
      <c r="A26" s="26" t="s">
        <v>8</v>
      </c>
      <c r="C26" s="26" t="s">
        <v>23</v>
      </c>
    </row>
    <row r="27" spans="1:19" outlineLevel="1">
      <c r="L27" s="20">
        <f>L40/7.1</f>
        <v>305898</v>
      </c>
      <c r="M27" s="20">
        <f>M40/7.1</f>
        <v>340545.87150000001</v>
      </c>
      <c r="R27" s="20">
        <f>R40/7.1</f>
        <v>628722.20034478407</v>
      </c>
    </row>
    <row r="28" spans="1:19" s="18" customFormat="1" outlineLevel="1">
      <c r="C28" s="18" t="s">
        <v>24</v>
      </c>
      <c r="H28" s="23">
        <f>SUM(H29:H33)</f>
        <v>17361716</v>
      </c>
      <c r="I28" s="23">
        <f t="shared" ref="I28:K28" si="6">SUM(I29:I33)</f>
        <v>13703574</v>
      </c>
      <c r="J28" s="23">
        <f t="shared" si="6"/>
        <v>15374638</v>
      </c>
      <c r="K28" s="23">
        <f t="shared" si="6"/>
        <v>18269834</v>
      </c>
      <c r="L28" s="23">
        <f>L55+L205+L232+L384</f>
        <v>21923800.800000001</v>
      </c>
      <c r="M28" s="23">
        <f t="shared" ref="M28:R28" si="7">M55+M205+M232+M384</f>
        <v>23184805.968000002</v>
      </c>
      <c r="N28" s="23">
        <f t="shared" si="7"/>
        <v>24441130.430399999</v>
      </c>
      <c r="O28" s="23">
        <f t="shared" si="7"/>
        <v>25984176.828239996</v>
      </c>
      <c r="P28" s="23">
        <f t="shared" si="7"/>
        <v>27878515.509275042</v>
      </c>
      <c r="Q28" s="23">
        <f t="shared" si="7"/>
        <v>30205380.367941476</v>
      </c>
      <c r="R28" s="23">
        <f t="shared" si="7"/>
        <v>33067225.721423373</v>
      </c>
      <c r="S28" s="463"/>
    </row>
    <row r="29" spans="1:19" outlineLevel="1">
      <c r="D29" s="27" t="s">
        <v>25</v>
      </c>
      <c r="E29" s="28"/>
      <c r="F29" s="28"/>
      <c r="G29" s="28"/>
      <c r="H29" s="29">
        <f>H56+H206+H233+H385</f>
        <v>418517</v>
      </c>
      <c r="I29" s="29">
        <f t="shared" ref="I29:J29" si="8">I56+I206+I233+I385</f>
        <v>1197834</v>
      </c>
      <c r="J29" s="29">
        <f t="shared" si="8"/>
        <v>381587</v>
      </c>
      <c r="K29" s="29">
        <f t="shared" ref="K29:N29" si="9">K56+K206+K233+K385</f>
        <v>786395</v>
      </c>
      <c r="L29" s="29">
        <f>L56+L206+L233+L385</f>
        <v>943674</v>
      </c>
      <c r="M29" s="449">
        <f t="shared" si="9"/>
        <v>0</v>
      </c>
      <c r="N29" s="449">
        <f t="shared" si="9"/>
        <v>0</v>
      </c>
      <c r="O29" s="449">
        <f t="shared" ref="O29:R29" si="10">O56+O206+O233+O385</f>
        <v>0</v>
      </c>
      <c r="P29" s="449">
        <f t="shared" si="10"/>
        <v>0</v>
      </c>
      <c r="Q29" s="449">
        <f t="shared" si="10"/>
        <v>0</v>
      </c>
      <c r="R29" s="449">
        <f t="shared" si="10"/>
        <v>0</v>
      </c>
    </row>
    <row r="30" spans="1:19" outlineLevel="1">
      <c r="D30" s="31" t="s">
        <v>26</v>
      </c>
      <c r="H30" s="20">
        <f t="shared" ref="H30:J33" si="11">H57+H207+H234+H386</f>
        <v>414317</v>
      </c>
      <c r="I30" s="20">
        <f t="shared" si="11"/>
        <v>891096</v>
      </c>
      <c r="J30" s="20">
        <f t="shared" si="11"/>
        <v>1076476</v>
      </c>
      <c r="K30" s="20">
        <f t="shared" ref="K30:N30" si="12">K57+K207+K234+K386</f>
        <v>1586718</v>
      </c>
      <c r="L30" s="20">
        <f t="shared" si="12"/>
        <v>1904061.5999999999</v>
      </c>
      <c r="M30" s="450">
        <f t="shared" si="12"/>
        <v>0</v>
      </c>
      <c r="N30" s="450">
        <f t="shared" si="12"/>
        <v>0</v>
      </c>
      <c r="O30" s="450">
        <f t="shared" ref="O30:R30" si="13">O57+O207+O234+O386</f>
        <v>0</v>
      </c>
      <c r="P30" s="450">
        <f t="shared" si="13"/>
        <v>0</v>
      </c>
      <c r="Q30" s="450">
        <f t="shared" si="13"/>
        <v>0</v>
      </c>
      <c r="R30" s="450">
        <f t="shared" si="13"/>
        <v>0</v>
      </c>
    </row>
    <row r="31" spans="1:19" outlineLevel="1">
      <c r="D31" s="31" t="s">
        <v>27</v>
      </c>
      <c r="H31" s="20">
        <f t="shared" si="11"/>
        <v>2665061</v>
      </c>
      <c r="I31" s="20">
        <f t="shared" si="11"/>
        <v>1199484</v>
      </c>
      <c r="J31" s="20">
        <f t="shared" si="11"/>
        <v>3026902</v>
      </c>
      <c r="K31" s="20">
        <f t="shared" ref="K31:N31" si="14">K58+K208+K235+K387</f>
        <v>3134751</v>
      </c>
      <c r="L31" s="20">
        <f t="shared" si="14"/>
        <v>3761701.1999999997</v>
      </c>
      <c r="M31" s="450">
        <f t="shared" si="14"/>
        <v>0</v>
      </c>
      <c r="N31" s="450">
        <f t="shared" si="14"/>
        <v>0</v>
      </c>
      <c r="O31" s="450">
        <f t="shared" ref="O31:R31" si="15">O58+O208+O235+O387</f>
        <v>0</v>
      </c>
      <c r="P31" s="450">
        <f t="shared" si="15"/>
        <v>0</v>
      </c>
      <c r="Q31" s="450">
        <f t="shared" si="15"/>
        <v>0</v>
      </c>
      <c r="R31" s="450">
        <f t="shared" si="15"/>
        <v>0</v>
      </c>
    </row>
    <row r="32" spans="1:19" outlineLevel="1">
      <c r="D32" s="31" t="s">
        <v>28</v>
      </c>
      <c r="H32" s="20">
        <f t="shared" si="11"/>
        <v>11896701</v>
      </c>
      <c r="I32" s="20">
        <f t="shared" si="11"/>
        <v>8925190</v>
      </c>
      <c r="J32" s="20">
        <f t="shared" si="11"/>
        <v>9956878</v>
      </c>
      <c r="K32" s="20">
        <f t="shared" ref="K32:N32" si="16">K59+K209+K236+K388</f>
        <v>12428953</v>
      </c>
      <c r="L32" s="20">
        <f t="shared" si="16"/>
        <v>14914743.6</v>
      </c>
      <c r="M32" s="450">
        <f t="shared" si="16"/>
        <v>0</v>
      </c>
      <c r="N32" s="450">
        <f t="shared" si="16"/>
        <v>0</v>
      </c>
      <c r="O32" s="450">
        <f t="shared" ref="O32:R32" si="17">O59+O209+O236+O388</f>
        <v>0</v>
      </c>
      <c r="P32" s="450">
        <f t="shared" si="17"/>
        <v>0</v>
      </c>
      <c r="Q32" s="450">
        <f t="shared" si="17"/>
        <v>0</v>
      </c>
      <c r="R32" s="450">
        <f t="shared" si="17"/>
        <v>0</v>
      </c>
    </row>
    <row r="33" spans="3:19" outlineLevel="1">
      <c r="D33" s="33" t="s">
        <v>29</v>
      </c>
      <c r="E33" s="34"/>
      <c r="F33" s="34"/>
      <c r="G33" s="34"/>
      <c r="H33" s="35">
        <f t="shared" si="11"/>
        <v>1967120</v>
      </c>
      <c r="I33" s="35">
        <f t="shared" si="11"/>
        <v>1489970</v>
      </c>
      <c r="J33" s="35">
        <f t="shared" si="11"/>
        <v>932795</v>
      </c>
      <c r="K33" s="35">
        <f t="shared" ref="K33:N33" si="18">K60+K210+K237+K389</f>
        <v>333017</v>
      </c>
      <c r="L33" s="35">
        <f t="shared" si="18"/>
        <v>399620.4</v>
      </c>
      <c r="M33" s="451">
        <f t="shared" si="18"/>
        <v>0</v>
      </c>
      <c r="N33" s="451">
        <f t="shared" si="18"/>
        <v>0</v>
      </c>
      <c r="O33" s="451">
        <f t="shared" ref="O33:R33" si="19">O60+O210+O237+O389</f>
        <v>0</v>
      </c>
      <c r="P33" s="451">
        <f t="shared" si="19"/>
        <v>0</v>
      </c>
      <c r="Q33" s="451">
        <f t="shared" si="19"/>
        <v>0</v>
      </c>
      <c r="R33" s="451">
        <f t="shared" si="19"/>
        <v>0</v>
      </c>
    </row>
    <row r="34" spans="3:19" outlineLevel="1">
      <c r="C34" s="1" t="s">
        <v>31</v>
      </c>
      <c r="H34" s="40">
        <f>H40/H28</f>
        <v>7.2540294980058428E-2</v>
      </c>
      <c r="I34" s="40">
        <f t="shared" ref="I34:K34" si="20">I40/I28</f>
        <v>0.10386056951274171</v>
      </c>
      <c r="J34" s="40">
        <f t="shared" si="20"/>
        <v>0.10475168260872225</v>
      </c>
      <c r="K34" s="40">
        <f t="shared" si="20"/>
        <v>9.906474793367033E-2</v>
      </c>
      <c r="L34" s="40">
        <f>L40/L28</f>
        <v>9.9064747933670316E-2</v>
      </c>
      <c r="M34" s="40">
        <f>M40/M28</f>
        <v>0.10428707883029886</v>
      </c>
      <c r="N34" s="40">
        <f t="shared" ref="N34:P34" si="21">N40/N28</f>
        <v>0.10936831703515601</v>
      </c>
      <c r="O34" s="40">
        <f t="shared" si="21"/>
        <v>0.11499048258717776</v>
      </c>
      <c r="P34" s="40">
        <f t="shared" si="21"/>
        <v>0.12115367172868155</v>
      </c>
      <c r="Q34" s="40">
        <f t="shared" ref="Q34:R34" si="22">Q40/Q28</f>
        <v>0.1278368730678347</v>
      </c>
      <c r="R34" s="40">
        <f t="shared" si="22"/>
        <v>0.13499552880712054</v>
      </c>
    </row>
    <row r="35" spans="3:19" outlineLevel="1">
      <c r="D35" s="27" t="s">
        <v>25</v>
      </c>
      <c r="E35" s="28"/>
      <c r="F35" s="28"/>
      <c r="G35" s="28"/>
      <c r="H35" s="50">
        <f>IFERROR(H41/H29,"NA")</f>
        <v>0.119161228815078</v>
      </c>
      <c r="I35" s="50">
        <f t="shared" ref="I35:J35" si="23">IFERROR(I41/I29,"NA")</f>
        <v>6.7409173558272681E-2</v>
      </c>
      <c r="J35" s="50">
        <f t="shared" si="23"/>
        <v>0.1837599289283964</v>
      </c>
      <c r="K35" s="50">
        <f t="shared" ref="K35:N35" si="24">IFERROR(K41/K29,"NA")</f>
        <v>0.11118521862422828</v>
      </c>
      <c r="L35" s="50">
        <f t="shared" si="24"/>
        <v>0.11118521862422828</v>
      </c>
      <c r="M35" s="455" t="str">
        <f t="shared" si="24"/>
        <v>NA</v>
      </c>
      <c r="N35" s="455" t="str">
        <f t="shared" si="24"/>
        <v>NA</v>
      </c>
      <c r="O35" s="455" t="str">
        <f t="shared" ref="O35:R35" si="25">IFERROR(O41/O29,"NA")</f>
        <v>NA</v>
      </c>
      <c r="P35" s="455" t="str">
        <f t="shared" si="25"/>
        <v>NA</v>
      </c>
      <c r="Q35" s="455" t="str">
        <f t="shared" si="25"/>
        <v>NA</v>
      </c>
      <c r="R35" s="455" t="str">
        <f t="shared" si="25"/>
        <v>NA</v>
      </c>
    </row>
    <row r="36" spans="3:19" outlineLevel="1">
      <c r="D36" s="31" t="s">
        <v>26</v>
      </c>
      <c r="H36" s="52">
        <f t="shared" ref="H36:J36" si="26">IFERROR(H42/H30,"NA")</f>
        <v>0.16522131604544346</v>
      </c>
      <c r="I36" s="52">
        <f t="shared" si="26"/>
        <v>0.23264384533204055</v>
      </c>
      <c r="J36" s="52">
        <f t="shared" si="26"/>
        <v>0.22519443071652318</v>
      </c>
      <c r="K36" s="52">
        <f t="shared" ref="K36:N36" si="27">IFERROR(K42/K30,"NA")</f>
        <v>0.19696158989814194</v>
      </c>
      <c r="L36" s="52">
        <f t="shared" si="27"/>
        <v>0.19696158989814197</v>
      </c>
      <c r="M36" s="456" t="str">
        <f t="shared" si="27"/>
        <v>NA</v>
      </c>
      <c r="N36" s="456" t="str">
        <f t="shared" si="27"/>
        <v>NA</v>
      </c>
      <c r="O36" s="456" t="str">
        <f t="shared" ref="O36:R36" si="28">IFERROR(O42/O30,"NA")</f>
        <v>NA</v>
      </c>
      <c r="P36" s="456" t="str">
        <f t="shared" si="28"/>
        <v>NA</v>
      </c>
      <c r="Q36" s="456" t="str">
        <f t="shared" si="28"/>
        <v>NA</v>
      </c>
      <c r="R36" s="456" t="str">
        <f t="shared" si="28"/>
        <v>NA</v>
      </c>
    </row>
    <row r="37" spans="3:19" outlineLevel="1">
      <c r="D37" s="31" t="s">
        <v>27</v>
      </c>
      <c r="H37" s="52">
        <f t="shared" ref="H37:J37" si="29">IFERROR(H43/H31,"NA")</f>
        <v>8.4675360151231061E-2</v>
      </c>
      <c r="I37" s="52">
        <f t="shared" si="29"/>
        <v>0.2110857668797583</v>
      </c>
      <c r="J37" s="52">
        <f t="shared" si="29"/>
        <v>0.14377736709017999</v>
      </c>
      <c r="K37" s="52">
        <f t="shared" ref="K37:N37" si="30">IFERROR(K43/K31,"NA")</f>
        <v>0.14434671206740185</v>
      </c>
      <c r="L37" s="52">
        <f t="shared" si="30"/>
        <v>0.14434671206740188</v>
      </c>
      <c r="M37" s="456" t="str">
        <f t="shared" si="30"/>
        <v>NA</v>
      </c>
      <c r="N37" s="456" t="str">
        <f t="shared" si="30"/>
        <v>NA</v>
      </c>
      <c r="O37" s="456" t="str">
        <f t="shared" ref="O37:R37" si="31">IFERROR(O43/O31,"NA")</f>
        <v>NA</v>
      </c>
      <c r="P37" s="456" t="str">
        <f t="shared" si="31"/>
        <v>NA</v>
      </c>
      <c r="Q37" s="456" t="str">
        <f t="shared" si="31"/>
        <v>NA</v>
      </c>
      <c r="R37" s="456" t="str">
        <f t="shared" si="31"/>
        <v>NA</v>
      </c>
    </row>
    <row r="38" spans="3:19" outlineLevel="1">
      <c r="D38" s="31" t="s">
        <v>28</v>
      </c>
      <c r="H38" s="52">
        <f t="shared" ref="H38:J38" si="32">IFERROR(H44/H32,"NA")</f>
        <v>6.5652066064365244E-2</v>
      </c>
      <c r="I38" s="52">
        <f t="shared" si="32"/>
        <v>7.9055571926199886E-2</v>
      </c>
      <c r="J38" s="52">
        <f t="shared" si="32"/>
        <v>7.398799101485426E-2</v>
      </c>
      <c r="K38" s="52">
        <f t="shared" ref="K38:N38" si="33">IFERROR(K44/K32,"NA")</f>
        <v>7.1245864394209227E-2</v>
      </c>
      <c r="L38" s="52">
        <f t="shared" si="33"/>
        <v>7.1245864394209227E-2</v>
      </c>
      <c r="M38" s="456" t="str">
        <f t="shared" si="33"/>
        <v>NA</v>
      </c>
      <c r="N38" s="456" t="str">
        <f t="shared" si="33"/>
        <v>NA</v>
      </c>
      <c r="O38" s="456" t="str">
        <f t="shared" ref="O38:R38" si="34">IFERROR(O44/O32,"NA")</f>
        <v>NA</v>
      </c>
      <c r="P38" s="456" t="str">
        <f t="shared" si="34"/>
        <v>NA</v>
      </c>
      <c r="Q38" s="456" t="str">
        <f t="shared" si="34"/>
        <v>NA</v>
      </c>
      <c r="R38" s="456" t="str">
        <f t="shared" si="34"/>
        <v>NA</v>
      </c>
    </row>
    <row r="39" spans="3:19" ht="15" outlineLevel="1" thickBot="1">
      <c r="C39" s="37"/>
      <c r="D39" s="33" t="s">
        <v>29</v>
      </c>
      <c r="E39" s="34"/>
      <c r="F39" s="34"/>
      <c r="G39" s="34"/>
      <c r="H39" s="78">
        <f t="shared" ref="H39:J39" si="35">IFERROR(H45/H33,"NA")</f>
        <v>6.8318658749847494E-2</v>
      </c>
      <c r="I39" s="78">
        <f t="shared" si="35"/>
        <v>0.11841043779404954</v>
      </c>
      <c r="J39" s="78">
        <f t="shared" si="35"/>
        <v>0.13517761137227366</v>
      </c>
      <c r="K39" s="78">
        <f t="shared" ref="K39:N39" si="36">IFERROR(K45/K33,"NA")</f>
        <v>0.2160129963335205</v>
      </c>
      <c r="L39" s="78">
        <f t="shared" si="36"/>
        <v>0.2160129963335205</v>
      </c>
      <c r="M39" s="457" t="str">
        <f t="shared" si="36"/>
        <v>NA</v>
      </c>
      <c r="N39" s="457" t="str">
        <f t="shared" si="36"/>
        <v>NA</v>
      </c>
      <c r="O39" s="457" t="str">
        <f t="shared" ref="O39:R39" si="37">IFERROR(O45/O33,"NA")</f>
        <v>NA</v>
      </c>
      <c r="P39" s="457" t="str">
        <f t="shared" si="37"/>
        <v>NA</v>
      </c>
      <c r="Q39" s="457" t="str">
        <f t="shared" si="37"/>
        <v>NA</v>
      </c>
      <c r="R39" s="457" t="str">
        <f t="shared" si="37"/>
        <v>NA</v>
      </c>
    </row>
    <row r="40" spans="3:19" outlineLevel="1">
      <c r="C40" s="18" t="s">
        <v>33</v>
      </c>
      <c r="H40" s="23">
        <f>SUM(H41:H45)</f>
        <v>1259424</v>
      </c>
      <c r="I40" s="23">
        <f t="shared" ref="I40:K40" si="38">SUM(I41:I45)</f>
        <v>1423261</v>
      </c>
      <c r="J40" s="23">
        <f t="shared" si="38"/>
        <v>1610519.2000000002</v>
      </c>
      <c r="K40" s="23">
        <f t="shared" si="38"/>
        <v>1809896.5</v>
      </c>
      <c r="L40" s="23">
        <f>L67+L217+L244+L396+L534</f>
        <v>2171875.7999999998</v>
      </c>
      <c r="M40" s="23">
        <f t="shared" ref="M40:R40" si="39">M67+M217+M244+M396+M534</f>
        <v>2417875.6876499997</v>
      </c>
      <c r="N40" s="23">
        <f t="shared" si="39"/>
        <v>2673085.301609586</v>
      </c>
      <c r="O40" s="23">
        <f t="shared" si="39"/>
        <v>2987933.0331098791</v>
      </c>
      <c r="P40" s="23">
        <f t="shared" si="39"/>
        <v>3377584.5162936659</v>
      </c>
      <c r="Q40" s="23">
        <f t="shared" si="39"/>
        <v>3861361.3760622009</v>
      </c>
      <c r="R40" s="23">
        <f t="shared" si="39"/>
        <v>4463927.6224479666</v>
      </c>
      <c r="S40" s="526">
        <f>POWER(R40/M40,1/5)-1</f>
        <v>0.13046373595408811</v>
      </c>
    </row>
    <row r="41" spans="3:19" outlineLevel="1">
      <c r="D41" s="27" t="s">
        <v>25</v>
      </c>
      <c r="E41" s="28"/>
      <c r="F41" s="28"/>
      <c r="G41" s="28"/>
      <c r="H41" s="29">
        <f>H68+H218+H245+H397</f>
        <v>49871</v>
      </c>
      <c r="I41" s="29">
        <f t="shared" ref="I41:J41" si="40">I68+I218+I245+I397</f>
        <v>80745</v>
      </c>
      <c r="J41" s="29">
        <f t="shared" si="40"/>
        <v>70120.399999999994</v>
      </c>
      <c r="K41" s="29">
        <f t="shared" ref="K41:N41" si="41">K68+K218+K245+K397</f>
        <v>87435.5</v>
      </c>
      <c r="L41" s="29">
        <f t="shared" si="41"/>
        <v>104922.6</v>
      </c>
      <c r="M41" s="449">
        <f t="shared" si="41"/>
        <v>0</v>
      </c>
      <c r="N41" s="449">
        <f t="shared" si="41"/>
        <v>0</v>
      </c>
      <c r="O41" s="449">
        <f t="shared" ref="O41:R41" si="42">O68+O218+O245+O397</f>
        <v>0</v>
      </c>
      <c r="P41" s="449">
        <f t="shared" si="42"/>
        <v>0</v>
      </c>
      <c r="Q41" s="449">
        <f t="shared" si="42"/>
        <v>0</v>
      </c>
      <c r="R41" s="449">
        <f t="shared" si="42"/>
        <v>0</v>
      </c>
    </row>
    <row r="42" spans="3:19" outlineLevel="1">
      <c r="D42" s="31" t="s">
        <v>26</v>
      </c>
      <c r="H42" s="20">
        <f t="shared" ref="H42" si="43">H69+H219+H246+H398</f>
        <v>68454</v>
      </c>
      <c r="I42" s="20">
        <f t="shared" ref="I42:J42" si="44">I69+I219+I246+I398</f>
        <v>207308</v>
      </c>
      <c r="J42" s="20">
        <f t="shared" si="44"/>
        <v>242416.4</v>
      </c>
      <c r="K42" s="20">
        <f t="shared" ref="K42:N42" si="45">K69+K219+K246+K398</f>
        <v>312522.5</v>
      </c>
      <c r="L42" s="20">
        <f t="shared" si="45"/>
        <v>375027</v>
      </c>
      <c r="M42" s="450">
        <f>M69+M219+M246+M398</f>
        <v>0</v>
      </c>
      <c r="N42" s="450">
        <f t="shared" si="45"/>
        <v>0</v>
      </c>
      <c r="O42" s="450">
        <f t="shared" ref="O42:R42" si="46">O69+O219+O246+O398</f>
        <v>0</v>
      </c>
      <c r="P42" s="450">
        <f t="shared" si="46"/>
        <v>0</v>
      </c>
      <c r="Q42" s="450">
        <f t="shared" si="46"/>
        <v>0</v>
      </c>
      <c r="R42" s="450">
        <f t="shared" si="46"/>
        <v>0</v>
      </c>
    </row>
    <row r="43" spans="3:19" outlineLevel="1">
      <c r="D43" s="31" t="s">
        <v>27</v>
      </c>
      <c r="H43" s="20">
        <f t="shared" ref="H43" si="47">H70+H220+H247+H399</f>
        <v>225665</v>
      </c>
      <c r="I43" s="20">
        <f t="shared" ref="I43:J43" si="48">I70+I220+I247+I399</f>
        <v>253194</v>
      </c>
      <c r="J43" s="20">
        <f t="shared" si="48"/>
        <v>435200</v>
      </c>
      <c r="K43" s="20">
        <f t="shared" ref="K43:N43" si="49">K70+K220+K247+K399</f>
        <v>452491</v>
      </c>
      <c r="L43" s="20">
        <f t="shared" si="49"/>
        <v>542989.20000000007</v>
      </c>
      <c r="M43" s="450">
        <f t="shared" si="49"/>
        <v>0</v>
      </c>
      <c r="N43" s="450">
        <f t="shared" si="49"/>
        <v>0</v>
      </c>
      <c r="O43" s="450">
        <f t="shared" ref="O43:R43" si="50">O70+O220+O247+O399</f>
        <v>0</v>
      </c>
      <c r="P43" s="450">
        <f t="shared" si="50"/>
        <v>0</v>
      </c>
      <c r="Q43" s="450">
        <f t="shared" si="50"/>
        <v>0</v>
      </c>
      <c r="R43" s="450">
        <f t="shared" si="50"/>
        <v>0</v>
      </c>
    </row>
    <row r="44" spans="3:19" outlineLevel="1">
      <c r="D44" s="31" t="s">
        <v>28</v>
      </c>
      <c r="H44" s="20">
        <f t="shared" ref="H44" si="51">H71+H221+H248+H400</f>
        <v>781043</v>
      </c>
      <c r="I44" s="20">
        <f t="shared" ref="I44:J44" si="52">I71+I221+I248+I400</f>
        <v>705586</v>
      </c>
      <c r="J44" s="20">
        <f t="shared" si="52"/>
        <v>736689.4</v>
      </c>
      <c r="K44" s="20">
        <f t="shared" ref="K44:N44" si="53">K71+K221+K248+K400</f>
        <v>885511.5</v>
      </c>
      <c r="L44" s="20">
        <f t="shared" si="53"/>
        <v>1062613.7999999998</v>
      </c>
      <c r="M44" s="450">
        <f t="shared" si="53"/>
        <v>0</v>
      </c>
      <c r="N44" s="450">
        <f t="shared" si="53"/>
        <v>0</v>
      </c>
      <c r="O44" s="450">
        <f t="shared" ref="O44:R44" si="54">O71+O221+O248+O400</f>
        <v>0</v>
      </c>
      <c r="P44" s="450">
        <f t="shared" si="54"/>
        <v>0</v>
      </c>
      <c r="Q44" s="450">
        <f t="shared" si="54"/>
        <v>0</v>
      </c>
      <c r="R44" s="450">
        <f t="shared" si="54"/>
        <v>0</v>
      </c>
    </row>
    <row r="45" spans="3:19" outlineLevel="1">
      <c r="D45" s="33" t="s">
        <v>29</v>
      </c>
      <c r="E45" s="34"/>
      <c r="F45" s="34"/>
      <c r="G45" s="34"/>
      <c r="H45" s="35">
        <f>H72+H222+H249+H401+H534</f>
        <v>134391</v>
      </c>
      <c r="I45" s="35">
        <f t="shared" ref="I45:J45" si="55">I72+I222+I249+I401+I534</f>
        <v>176428</v>
      </c>
      <c r="J45" s="35">
        <f t="shared" si="55"/>
        <v>126093</v>
      </c>
      <c r="K45" s="35">
        <f t="shared" ref="K45:N45" si="56">K72+K222+K249+K401+K534</f>
        <v>71936</v>
      </c>
      <c r="L45" s="35">
        <f t="shared" si="56"/>
        <v>86323.199999999997</v>
      </c>
      <c r="M45" s="451">
        <f t="shared" si="56"/>
        <v>13447.199999999999</v>
      </c>
      <c r="N45" s="451">
        <f t="shared" si="56"/>
        <v>13447.199999999999</v>
      </c>
      <c r="O45" s="451">
        <f t="shared" ref="O45:R45" si="57">O72+O222+O249+O401+O534</f>
        <v>13447.199999999999</v>
      </c>
      <c r="P45" s="451">
        <f t="shared" si="57"/>
        <v>13447.199999999999</v>
      </c>
      <c r="Q45" s="451">
        <f t="shared" si="57"/>
        <v>13447.199999999999</v>
      </c>
      <c r="R45" s="451">
        <f t="shared" si="57"/>
        <v>13447.199999999999</v>
      </c>
    </row>
    <row r="46" spans="3:19" outlineLevel="1"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</row>
    <row r="47" spans="3:19" ht="14.5" customHeight="1" outlineLevel="1" thickBot="1">
      <c r="C47" s="37" t="s">
        <v>34</v>
      </c>
      <c r="D47" s="37"/>
      <c r="E47" s="37"/>
      <c r="F47" s="37"/>
      <c r="G47" s="37"/>
      <c r="H47" s="39">
        <f>H74+H224+H251+H403+H537</f>
        <v>-1021070</v>
      </c>
      <c r="I47" s="39">
        <f t="shared" ref="I47:J47" si="58">I74+I224+I251+I403+I537</f>
        <v>-1089043</v>
      </c>
      <c r="J47" s="39">
        <f t="shared" si="58"/>
        <v>-1091571</v>
      </c>
      <c r="K47" s="39">
        <f>K74+K224+K251+K403+K537</f>
        <v>-1220621</v>
      </c>
      <c r="L47" s="39">
        <f t="shared" ref="L47:R47" si="59">L74+L224+L251+L403+L537</f>
        <v>-1464745.2000000002</v>
      </c>
      <c r="M47" s="39">
        <f t="shared" si="59"/>
        <v>-1620582.87805683</v>
      </c>
      <c r="N47" s="39">
        <f t="shared" si="59"/>
        <v>-1779500.1928682213</v>
      </c>
      <c r="O47" s="39">
        <f t="shared" si="59"/>
        <v>-1975377.8909253147</v>
      </c>
      <c r="P47" s="39">
        <f t="shared" si="59"/>
        <v>-2217619.376332825</v>
      </c>
      <c r="Q47" s="39">
        <f t="shared" si="59"/>
        <v>-2518223.5376748336</v>
      </c>
      <c r="R47" s="39">
        <f t="shared" si="59"/>
        <v>-2892532.8999365102</v>
      </c>
    </row>
    <row r="48" spans="3:19" s="18" customFormat="1" outlineLevel="1">
      <c r="C48" s="18" t="s">
        <v>36</v>
      </c>
      <c r="H48" s="23">
        <f>H40+H47</f>
        <v>238354</v>
      </c>
      <c r="I48" s="23">
        <f t="shared" ref="I48:K48" si="60">I40+I47</f>
        <v>334218</v>
      </c>
      <c r="J48" s="23">
        <f t="shared" si="60"/>
        <v>518948.20000000019</v>
      </c>
      <c r="K48" s="23">
        <f t="shared" si="60"/>
        <v>589275.5</v>
      </c>
      <c r="L48" s="23">
        <f t="shared" ref="L48" si="61">L40+L47</f>
        <v>707130.59999999963</v>
      </c>
      <c r="M48" s="23">
        <f>M40+M47</f>
        <v>797292.80959316972</v>
      </c>
      <c r="N48" s="23">
        <f t="shared" ref="N48" si="62">N40+N47</f>
        <v>893585.10874136467</v>
      </c>
      <c r="O48" s="23">
        <f t="shared" ref="O48" si="63">O40+O47</f>
        <v>1012555.1421845644</v>
      </c>
      <c r="P48" s="23">
        <f t="shared" ref="P48" si="64">P40+P47</f>
        <v>1159965.1399608408</v>
      </c>
      <c r="Q48" s="23">
        <f t="shared" ref="Q48" si="65">Q40+Q47</f>
        <v>1343137.8383873673</v>
      </c>
      <c r="R48" s="23">
        <f t="shared" ref="R48" si="66">R40+R47</f>
        <v>1571394.7225114563</v>
      </c>
    </row>
    <row r="49" spans="1:19" s="22" customFormat="1" outlineLevel="1">
      <c r="C49" s="22" t="s">
        <v>19</v>
      </c>
      <c r="H49" s="25">
        <f>H48/H40</f>
        <v>0.18925635846228117</v>
      </c>
      <c r="I49" s="25">
        <f t="shared" ref="I49:K49" si="67">I48/I40</f>
        <v>0.23482551689394987</v>
      </c>
      <c r="J49" s="25">
        <f t="shared" si="67"/>
        <v>0.32222416224531825</v>
      </c>
      <c r="K49" s="25">
        <f t="shared" si="67"/>
        <v>0.32558519230243277</v>
      </c>
      <c r="L49" s="25">
        <f t="shared" ref="L49" si="68">L48/L40</f>
        <v>0.3255851923024326</v>
      </c>
      <c r="M49" s="25">
        <f>M48/M40</f>
        <v>0.32974929756131532</v>
      </c>
      <c r="N49" s="25">
        <f t="shared" ref="N49" si="69">N48/N40</f>
        <v>0.33428978424418276</v>
      </c>
      <c r="O49" s="25">
        <f t="shared" ref="O49" si="70">O48/O40</f>
        <v>0.33888147122584067</v>
      </c>
      <c r="P49" s="25">
        <f t="shared" ref="P49" si="71">P48/P40</f>
        <v>0.34343038179062607</v>
      </c>
      <c r="Q49" s="25">
        <f t="shared" ref="Q49" si="72">Q48/Q40</f>
        <v>0.34784049136501521</v>
      </c>
      <c r="R49" s="25">
        <f t="shared" ref="R49" si="73">R48/R40</f>
        <v>0.35202065432452545</v>
      </c>
    </row>
    <row r="50" spans="1:19" outlineLevel="1"/>
    <row r="51" spans="1:19" s="16" customFormat="1" outlineLevel="2">
      <c r="A51" s="15" t="s">
        <v>8</v>
      </c>
      <c r="B51" s="15" t="s">
        <v>37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9" outlineLevel="2"/>
    <row r="53" spans="1:19" s="26" customFormat="1" outlineLevel="2">
      <c r="A53" s="26" t="s">
        <v>8</v>
      </c>
      <c r="C53" s="26" t="s">
        <v>38</v>
      </c>
    </row>
    <row r="54" spans="1:19" outlineLevel="2">
      <c r="L54" s="20">
        <f>L67/7.1</f>
        <v>143158.05633802817</v>
      </c>
      <c r="M54" s="20">
        <f>M67/7.1</f>
        <v>142706.49744929577</v>
      </c>
      <c r="R54" s="20">
        <f>R67/7.1</f>
        <v>136517.69155400246</v>
      </c>
      <c r="S54" s="526">
        <f>POWER(R54/M54,1/5)-1</f>
        <v>-8.8279708054426198E-3</v>
      </c>
    </row>
    <row r="55" spans="1:19" s="18" customFormat="1" outlineLevel="2">
      <c r="C55" s="18" t="s">
        <v>24</v>
      </c>
      <c r="H55" s="23">
        <f>SUM(H56:H60)</f>
        <v>9639935</v>
      </c>
      <c r="I55" s="23">
        <f t="shared" ref="I55:K55" si="74">SUM(I56:I60)</f>
        <v>7598006</v>
      </c>
      <c r="J55" s="23">
        <f t="shared" si="74"/>
        <v>9224304</v>
      </c>
      <c r="K55" s="23">
        <f t="shared" si="74"/>
        <v>11075004</v>
      </c>
      <c r="L55" s="23">
        <f>SUM(L56:L60)</f>
        <v>13290004.800000001</v>
      </c>
      <c r="M55" s="23">
        <f>M80+M105+M130+M155+M180</f>
        <v>13124310.263999999</v>
      </c>
      <c r="N55" s="23">
        <f t="shared" ref="N55:R55" si="75">N80+N105+N130+N155+N180</f>
        <v>12884261.082719998</v>
      </c>
      <c r="O55" s="23">
        <f t="shared" si="75"/>
        <v>12648788.514825597</v>
      </c>
      <c r="P55" s="23">
        <f t="shared" si="75"/>
        <v>12417803.271751488</v>
      </c>
      <c r="Q55" s="23">
        <f t="shared" si="75"/>
        <v>12191217.828266634</v>
      </c>
      <c r="R55" s="23">
        <f t="shared" si="75"/>
        <v>11968946.387431974</v>
      </c>
      <c r="S55" s="463"/>
    </row>
    <row r="56" spans="1:19" outlineLevel="2">
      <c r="D56" s="27" t="s">
        <v>25</v>
      </c>
      <c r="E56" s="28"/>
      <c r="F56" s="28"/>
      <c r="G56" s="28"/>
      <c r="H56" s="29">
        <f>H81+H106+H131+H156+H181</f>
        <v>130388</v>
      </c>
      <c r="I56" s="29">
        <f t="shared" ref="I56:K56" si="76">I81+I106+I131+I156+I181</f>
        <v>105600</v>
      </c>
      <c r="J56" s="29">
        <f t="shared" si="76"/>
        <v>119985</v>
      </c>
      <c r="K56" s="29">
        <f t="shared" si="76"/>
        <v>159112</v>
      </c>
      <c r="L56" s="29">
        <f t="shared" ref="L56:R56" si="77">L81+L106+L131+L156+L181</f>
        <v>190934.39999999999</v>
      </c>
      <c r="M56" s="449">
        <f t="shared" si="77"/>
        <v>0</v>
      </c>
      <c r="N56" s="449">
        <f t="shared" si="77"/>
        <v>0</v>
      </c>
      <c r="O56" s="449">
        <f t="shared" si="77"/>
        <v>0</v>
      </c>
      <c r="P56" s="449">
        <f t="shared" si="77"/>
        <v>0</v>
      </c>
      <c r="Q56" s="449">
        <f t="shared" si="77"/>
        <v>0</v>
      </c>
      <c r="R56" s="449">
        <f t="shared" si="77"/>
        <v>0</v>
      </c>
    </row>
    <row r="57" spans="1:19" outlineLevel="2">
      <c r="D57" s="31" t="s">
        <v>26</v>
      </c>
      <c r="H57" s="20">
        <f t="shared" ref="H57:K57" si="78">H82+H107+H132+H157+H182</f>
        <v>324571</v>
      </c>
      <c r="I57" s="20">
        <f t="shared" si="78"/>
        <v>647785</v>
      </c>
      <c r="J57" s="20">
        <f t="shared" si="78"/>
        <v>672995</v>
      </c>
      <c r="K57" s="20">
        <f t="shared" si="78"/>
        <v>1141278</v>
      </c>
      <c r="L57" s="20">
        <f t="shared" ref="L57:R57" si="79">L82+L107+L132+L157+L182</f>
        <v>1369533.5999999999</v>
      </c>
      <c r="M57" s="450">
        <f t="shared" si="79"/>
        <v>0</v>
      </c>
      <c r="N57" s="450">
        <f t="shared" si="79"/>
        <v>0</v>
      </c>
      <c r="O57" s="450">
        <f t="shared" si="79"/>
        <v>0</v>
      </c>
      <c r="P57" s="450">
        <f t="shared" si="79"/>
        <v>0</v>
      </c>
      <c r="Q57" s="450">
        <f t="shared" si="79"/>
        <v>0</v>
      </c>
      <c r="R57" s="450">
        <f t="shared" si="79"/>
        <v>0</v>
      </c>
    </row>
    <row r="58" spans="1:19" outlineLevel="2">
      <c r="D58" s="31" t="s">
        <v>27</v>
      </c>
      <c r="H58" s="20">
        <f t="shared" ref="H58:K58" si="80">H83+H108+H133+H158+H183</f>
        <v>1104737</v>
      </c>
      <c r="I58" s="20">
        <f t="shared" si="80"/>
        <v>837792</v>
      </c>
      <c r="J58" s="20">
        <f t="shared" si="80"/>
        <v>1349003</v>
      </c>
      <c r="K58" s="20">
        <f t="shared" si="80"/>
        <v>1297588</v>
      </c>
      <c r="L58" s="20">
        <f t="shared" ref="L58:R58" si="81">L83+L108+L133+L158+L183</f>
        <v>1557105.5999999999</v>
      </c>
      <c r="M58" s="450">
        <f t="shared" si="81"/>
        <v>0</v>
      </c>
      <c r="N58" s="450">
        <f t="shared" si="81"/>
        <v>0</v>
      </c>
      <c r="O58" s="450">
        <f t="shared" si="81"/>
        <v>0</v>
      </c>
      <c r="P58" s="450">
        <f t="shared" si="81"/>
        <v>0</v>
      </c>
      <c r="Q58" s="450">
        <f t="shared" si="81"/>
        <v>0</v>
      </c>
      <c r="R58" s="450">
        <f t="shared" si="81"/>
        <v>0</v>
      </c>
    </row>
    <row r="59" spans="1:19" outlineLevel="2">
      <c r="D59" s="31" t="s">
        <v>28</v>
      </c>
      <c r="H59" s="20">
        <f t="shared" ref="H59:K59" si="82">H84+H109+H134+H159+H184</f>
        <v>7537326</v>
      </c>
      <c r="I59" s="20">
        <f t="shared" si="82"/>
        <v>5325428</v>
      </c>
      <c r="J59" s="20">
        <f t="shared" si="82"/>
        <v>6301280</v>
      </c>
      <c r="K59" s="20">
        <f t="shared" si="82"/>
        <v>8422087</v>
      </c>
      <c r="L59" s="20">
        <f t="shared" ref="L59:R59" si="83">L84+L109+L134+L159+L184</f>
        <v>10106504.4</v>
      </c>
      <c r="M59" s="450">
        <f t="shared" si="83"/>
        <v>0</v>
      </c>
      <c r="N59" s="450">
        <f t="shared" si="83"/>
        <v>0</v>
      </c>
      <c r="O59" s="450">
        <f t="shared" si="83"/>
        <v>0</v>
      </c>
      <c r="P59" s="450">
        <f t="shared" si="83"/>
        <v>0</v>
      </c>
      <c r="Q59" s="450">
        <f t="shared" si="83"/>
        <v>0</v>
      </c>
      <c r="R59" s="450">
        <f t="shared" si="83"/>
        <v>0</v>
      </c>
    </row>
    <row r="60" spans="1:19" outlineLevel="2">
      <c r="D60" s="33" t="s">
        <v>29</v>
      </c>
      <c r="E60" s="34"/>
      <c r="F60" s="34"/>
      <c r="G60" s="34"/>
      <c r="H60" s="35">
        <f t="shared" ref="H60:K60" si="84">H85+H110+H135+H160+H185</f>
        <v>542913</v>
      </c>
      <c r="I60" s="35">
        <f t="shared" si="84"/>
        <v>681401</v>
      </c>
      <c r="J60" s="35">
        <f t="shared" si="84"/>
        <v>781041</v>
      </c>
      <c r="K60" s="35">
        <f t="shared" si="84"/>
        <v>54939</v>
      </c>
      <c r="L60" s="35">
        <f t="shared" ref="L60:R60" si="85">L85+L110+L135+L160+L185</f>
        <v>65926.8</v>
      </c>
      <c r="M60" s="451">
        <f t="shared" si="85"/>
        <v>0</v>
      </c>
      <c r="N60" s="451">
        <f t="shared" si="85"/>
        <v>0</v>
      </c>
      <c r="O60" s="451">
        <f t="shared" si="85"/>
        <v>0</v>
      </c>
      <c r="P60" s="451">
        <f t="shared" si="85"/>
        <v>0</v>
      </c>
      <c r="Q60" s="451">
        <f t="shared" si="85"/>
        <v>0</v>
      </c>
      <c r="R60" s="451">
        <f t="shared" si="85"/>
        <v>0</v>
      </c>
    </row>
    <row r="61" spans="1:19" outlineLevel="2">
      <c r="C61" s="1" t="s">
        <v>31</v>
      </c>
      <c r="H61" s="40">
        <f>H67/H55</f>
        <v>6.7946205031465465E-2</v>
      </c>
      <c r="I61" s="40">
        <f t="shared" ref="I61:K61" si="86">I67/I55</f>
        <v>9.2890555758971496E-2</v>
      </c>
      <c r="J61" s="40">
        <f t="shared" si="86"/>
        <v>7.7243898293031105E-2</v>
      </c>
      <c r="K61" s="40">
        <f t="shared" si="86"/>
        <v>7.6480198110989397E-2</v>
      </c>
      <c r="L61" s="40">
        <f t="shared" ref="L61:R61" si="87">L67/L55</f>
        <v>7.6480198110989384E-2</v>
      </c>
      <c r="M61" s="40">
        <f t="shared" si="87"/>
        <v>7.7201476611632167E-2</v>
      </c>
      <c r="N61" s="40">
        <f t="shared" si="87"/>
        <v>7.7943716116276901E-2</v>
      </c>
      <c r="O61" s="40">
        <f t="shared" si="87"/>
        <v>7.8692879557748355E-2</v>
      </c>
      <c r="P61" s="40">
        <f t="shared" si="87"/>
        <v>7.9449028739204647E-2</v>
      </c>
      <c r="Q61" s="40">
        <f t="shared" si="87"/>
        <v>8.0212225993813918E-2</v>
      </c>
      <c r="R61" s="40">
        <f t="shared" si="87"/>
        <v>8.0982534189576461E-2</v>
      </c>
    </row>
    <row r="62" spans="1:19" outlineLevel="2">
      <c r="D62" s="27" t="s">
        <v>25</v>
      </c>
      <c r="E62" s="28"/>
      <c r="F62" s="28"/>
      <c r="G62" s="28"/>
      <c r="H62" s="50">
        <f>IFERROR(H68/H56,"NA")</f>
        <v>0.123891769181213</v>
      </c>
      <c r="I62" s="50">
        <f t="shared" ref="I62:K62" si="88">IFERROR(I68/I56,"NA")</f>
        <v>0.20142045454545454</v>
      </c>
      <c r="J62" s="50">
        <f t="shared" si="88"/>
        <v>0.16742426136600411</v>
      </c>
      <c r="K62" s="50">
        <f t="shared" si="88"/>
        <v>0.13128173864950476</v>
      </c>
      <c r="L62" s="50">
        <f t="shared" ref="L62:R62" si="89">IFERROR(L68/L56,"NA")</f>
        <v>0.13128173864950476</v>
      </c>
      <c r="M62" s="452" t="str">
        <f t="shared" si="89"/>
        <v>NA</v>
      </c>
      <c r="N62" s="452" t="str">
        <f t="shared" si="89"/>
        <v>NA</v>
      </c>
      <c r="O62" s="452" t="str">
        <f t="shared" si="89"/>
        <v>NA</v>
      </c>
      <c r="P62" s="452" t="str">
        <f t="shared" si="89"/>
        <v>NA</v>
      </c>
      <c r="Q62" s="452" t="str">
        <f t="shared" si="89"/>
        <v>NA</v>
      </c>
      <c r="R62" s="452" t="str">
        <f t="shared" si="89"/>
        <v>NA</v>
      </c>
    </row>
    <row r="63" spans="1:19" outlineLevel="2">
      <c r="D63" s="31" t="s">
        <v>26</v>
      </c>
      <c r="H63" s="52">
        <f t="shared" ref="H63:K63" si="90">IFERROR(H69/H57,"NA")</f>
        <v>0.10914407017262787</v>
      </c>
      <c r="I63" s="52">
        <f t="shared" si="90"/>
        <v>0.19581342575082783</v>
      </c>
      <c r="J63" s="52">
        <f t="shared" si="90"/>
        <v>0.16085617277988692</v>
      </c>
      <c r="K63" s="52">
        <f t="shared" si="90"/>
        <v>0.15239275619086673</v>
      </c>
      <c r="L63" s="52">
        <f t="shared" ref="L63:R63" si="91">IFERROR(L69/L57,"NA")</f>
        <v>0.15239275619086673</v>
      </c>
      <c r="M63" s="453" t="str">
        <f t="shared" si="91"/>
        <v>NA</v>
      </c>
      <c r="N63" s="453" t="str">
        <f t="shared" si="91"/>
        <v>NA</v>
      </c>
      <c r="O63" s="453" t="str">
        <f t="shared" si="91"/>
        <v>NA</v>
      </c>
      <c r="P63" s="453" t="str">
        <f t="shared" si="91"/>
        <v>NA</v>
      </c>
      <c r="Q63" s="453" t="str">
        <f t="shared" si="91"/>
        <v>NA</v>
      </c>
      <c r="R63" s="453" t="str">
        <f t="shared" si="91"/>
        <v>NA</v>
      </c>
    </row>
    <row r="64" spans="1:19" outlineLevel="2">
      <c r="D64" s="31" t="s">
        <v>27</v>
      </c>
      <c r="H64" s="52">
        <f t="shared" ref="H64:K64" si="92">IFERROR(H70/H58,"NA")</f>
        <v>8.9052869597017206E-2</v>
      </c>
      <c r="I64" s="52">
        <f t="shared" si="92"/>
        <v>0.11196931935372981</v>
      </c>
      <c r="J64" s="52">
        <f t="shared" si="92"/>
        <v>8.4297069761890817E-2</v>
      </c>
      <c r="K64" s="52">
        <f t="shared" si="92"/>
        <v>8.1921996812547582E-2</v>
      </c>
      <c r="L64" s="52">
        <f t="shared" ref="L64:R64" si="93">IFERROR(L70/L58,"NA")</f>
        <v>8.1921996812547609E-2</v>
      </c>
      <c r="M64" s="453" t="str">
        <f t="shared" si="93"/>
        <v>NA</v>
      </c>
      <c r="N64" s="453" t="str">
        <f t="shared" si="93"/>
        <v>NA</v>
      </c>
      <c r="O64" s="453" t="str">
        <f t="shared" si="93"/>
        <v>NA</v>
      </c>
      <c r="P64" s="453" t="str">
        <f t="shared" si="93"/>
        <v>NA</v>
      </c>
      <c r="Q64" s="453" t="str">
        <f t="shared" si="93"/>
        <v>NA</v>
      </c>
      <c r="R64" s="453" t="str">
        <f t="shared" si="93"/>
        <v>NA</v>
      </c>
    </row>
    <row r="65" spans="1:42" outlineLevel="2">
      <c r="D65" s="31" t="s">
        <v>28</v>
      </c>
      <c r="H65" s="52">
        <f t="shared" ref="H65:K65" si="94">IFERROR(H71/H59,"NA")</f>
        <v>6.2254704121859662E-2</v>
      </c>
      <c r="I65" s="52">
        <f t="shared" si="94"/>
        <v>7.8883424956641982E-2</v>
      </c>
      <c r="J65" s="52">
        <f t="shared" si="94"/>
        <v>6.2429760302668669E-2</v>
      </c>
      <c r="K65" s="52">
        <f t="shared" si="94"/>
        <v>6.1202704270331094E-2</v>
      </c>
      <c r="L65" s="52">
        <f t="shared" ref="L65:R65" si="95">IFERROR(L71/L59,"NA")</f>
        <v>6.1202704270331081E-2</v>
      </c>
      <c r="M65" s="453" t="str">
        <f t="shared" si="95"/>
        <v>NA</v>
      </c>
      <c r="N65" s="453" t="str">
        <f t="shared" si="95"/>
        <v>NA</v>
      </c>
      <c r="O65" s="453" t="str">
        <f t="shared" si="95"/>
        <v>NA</v>
      </c>
      <c r="P65" s="453" t="str">
        <f t="shared" si="95"/>
        <v>NA</v>
      </c>
      <c r="Q65" s="453" t="str">
        <f t="shared" si="95"/>
        <v>NA</v>
      </c>
      <c r="R65" s="453" t="str">
        <f t="shared" si="95"/>
        <v>NA</v>
      </c>
    </row>
    <row r="66" spans="1:42" ht="15" outlineLevel="2" thickBot="1">
      <c r="C66" s="37"/>
      <c r="D66" s="38" t="s">
        <v>29</v>
      </c>
      <c r="E66" s="37"/>
      <c r="F66" s="37"/>
      <c r="G66" s="37"/>
      <c r="H66" s="54">
        <f t="shared" ref="H66:K66" si="96">IFERROR(H72/H60,"NA")</f>
        <v>6.5947951145026926E-2</v>
      </c>
      <c r="I66" s="54">
        <f t="shared" si="96"/>
        <v>6.423970613486038E-2</v>
      </c>
      <c r="J66" s="54">
        <f t="shared" si="96"/>
        <v>9.8679838830483937E-2</v>
      </c>
      <c r="K66" s="54">
        <f t="shared" si="96"/>
        <v>0.55428748248056936</v>
      </c>
      <c r="L66" s="54">
        <f t="shared" ref="L66:R66" si="97">IFERROR(L72/L60,"NA")</f>
        <v>0.55428748248056925</v>
      </c>
      <c r="M66" s="454" t="str">
        <f t="shared" si="97"/>
        <v>NA</v>
      </c>
      <c r="N66" s="454" t="str">
        <f t="shared" si="97"/>
        <v>NA</v>
      </c>
      <c r="O66" s="454" t="str">
        <f t="shared" si="97"/>
        <v>NA</v>
      </c>
      <c r="P66" s="454" t="str">
        <f t="shared" si="97"/>
        <v>NA</v>
      </c>
      <c r="Q66" s="454" t="str">
        <f t="shared" si="97"/>
        <v>NA</v>
      </c>
      <c r="R66" s="454" t="str">
        <f t="shared" si="97"/>
        <v>NA</v>
      </c>
    </row>
    <row r="67" spans="1:42" outlineLevel="2">
      <c r="C67" s="18" t="s">
        <v>33</v>
      </c>
      <c r="H67" s="23">
        <f>SUM(H68:H72)</f>
        <v>654997</v>
      </c>
      <c r="I67" s="23">
        <f t="shared" ref="I67" si="98">SUM(I68:I72)</f>
        <v>705783</v>
      </c>
      <c r="J67" s="23">
        <f t="shared" ref="J67" si="99">SUM(J68:J72)</f>
        <v>712521.2</v>
      </c>
      <c r="K67" s="23">
        <f t="shared" ref="K67" si="100">SUM(K68:K72)</f>
        <v>847018.5</v>
      </c>
      <c r="L67" s="23">
        <f t="shared" ref="L67" si="101">SUM(L68:L72)</f>
        <v>1016422.2</v>
      </c>
      <c r="M67" s="23">
        <f>M92+M117+M142+M167+M192</f>
        <v>1013216.13189</v>
      </c>
      <c r="N67" s="23">
        <f t="shared" ref="N67:R67" si="102">N92+N117+N142+N167+N192</f>
        <v>1004247.188199522</v>
      </c>
      <c r="O67" s="23">
        <f t="shared" si="102"/>
        <v>995369.59114860138</v>
      </c>
      <c r="P67" s="23">
        <f t="shared" si="102"/>
        <v>986582.40901517344</v>
      </c>
      <c r="Q67" s="23">
        <f t="shared" si="102"/>
        <v>977884.71958073659</v>
      </c>
      <c r="R67" s="23">
        <f t="shared" si="102"/>
        <v>969275.61003341747</v>
      </c>
    </row>
    <row r="68" spans="1:42" outlineLevel="2">
      <c r="D68" s="27" t="s">
        <v>25</v>
      </c>
      <c r="E68" s="28"/>
      <c r="F68" s="28"/>
      <c r="G68" s="28"/>
      <c r="H68" s="29">
        <f>H93+H118+H143+H168+H193</f>
        <v>16154</v>
      </c>
      <c r="I68" s="29">
        <f t="shared" ref="I68:K68" si="103">I93+I118+I143+I168+I193</f>
        <v>21270</v>
      </c>
      <c r="J68" s="29">
        <f t="shared" si="103"/>
        <v>20088.400000000001</v>
      </c>
      <c r="K68" s="29">
        <f t="shared" si="103"/>
        <v>20888.5</v>
      </c>
      <c r="L68" s="29">
        <f t="shared" ref="L68:R68" si="104">L93+L118+L143+L168+L193</f>
        <v>25066.2</v>
      </c>
      <c r="M68" s="449">
        <f t="shared" si="104"/>
        <v>0</v>
      </c>
      <c r="N68" s="449">
        <f t="shared" si="104"/>
        <v>0</v>
      </c>
      <c r="O68" s="449">
        <f t="shared" si="104"/>
        <v>0</v>
      </c>
      <c r="P68" s="449">
        <f t="shared" si="104"/>
        <v>0</v>
      </c>
      <c r="Q68" s="449">
        <f t="shared" si="104"/>
        <v>0</v>
      </c>
      <c r="R68" s="449">
        <f t="shared" si="104"/>
        <v>0</v>
      </c>
    </row>
    <row r="69" spans="1:42" outlineLevel="2">
      <c r="D69" s="31" t="s">
        <v>26</v>
      </c>
      <c r="H69" s="20">
        <f t="shared" ref="H69:K69" si="105">H94+H119+H144+H169+H194</f>
        <v>35425</v>
      </c>
      <c r="I69" s="20">
        <f t="shared" si="105"/>
        <v>126845</v>
      </c>
      <c r="J69" s="20">
        <f t="shared" si="105"/>
        <v>108255.4</v>
      </c>
      <c r="K69" s="20">
        <f t="shared" si="105"/>
        <v>173922.5</v>
      </c>
      <c r="L69" s="20">
        <f t="shared" ref="L69:R69" si="106">L94+L119+L144+L169+L194</f>
        <v>208706.99999999997</v>
      </c>
      <c r="M69" s="450">
        <f t="shared" si="106"/>
        <v>0</v>
      </c>
      <c r="N69" s="450">
        <f t="shared" si="106"/>
        <v>0</v>
      </c>
      <c r="O69" s="450">
        <f t="shared" si="106"/>
        <v>0</v>
      </c>
      <c r="P69" s="450">
        <f t="shared" si="106"/>
        <v>0</v>
      </c>
      <c r="Q69" s="450">
        <f t="shared" si="106"/>
        <v>0</v>
      </c>
      <c r="R69" s="450">
        <f t="shared" si="106"/>
        <v>0</v>
      </c>
    </row>
    <row r="70" spans="1:42" outlineLevel="2">
      <c r="D70" s="31" t="s">
        <v>27</v>
      </c>
      <c r="H70" s="20">
        <f t="shared" ref="H70:K70" si="107">H95+H120+H145+H170+H195</f>
        <v>98380</v>
      </c>
      <c r="I70" s="20">
        <f t="shared" si="107"/>
        <v>93807</v>
      </c>
      <c r="J70" s="20">
        <f t="shared" si="107"/>
        <v>113717</v>
      </c>
      <c r="K70" s="20">
        <f t="shared" si="107"/>
        <v>106301</v>
      </c>
      <c r="L70" s="20">
        <f t="shared" ref="L70:R70" si="108">L95+L120+L145+L170+L195</f>
        <v>127561.20000000001</v>
      </c>
      <c r="M70" s="450">
        <f t="shared" si="108"/>
        <v>0</v>
      </c>
      <c r="N70" s="450">
        <f t="shared" si="108"/>
        <v>0</v>
      </c>
      <c r="O70" s="450">
        <f t="shared" si="108"/>
        <v>0</v>
      </c>
      <c r="P70" s="450">
        <f t="shared" si="108"/>
        <v>0</v>
      </c>
      <c r="Q70" s="450">
        <f t="shared" si="108"/>
        <v>0</v>
      </c>
      <c r="R70" s="450">
        <f t="shared" si="108"/>
        <v>0</v>
      </c>
    </row>
    <row r="71" spans="1:42" outlineLevel="2">
      <c r="D71" s="31" t="s">
        <v>28</v>
      </c>
      <c r="H71" s="20">
        <f t="shared" ref="H71:K71" si="109">H96+H121+H146+H171+H196</f>
        <v>469234</v>
      </c>
      <c r="I71" s="20">
        <f t="shared" si="109"/>
        <v>420088</v>
      </c>
      <c r="J71" s="20">
        <f t="shared" si="109"/>
        <v>393387.4</v>
      </c>
      <c r="K71" s="20">
        <f t="shared" si="109"/>
        <v>515454.5</v>
      </c>
      <c r="L71" s="20">
        <f t="shared" ref="L71:R71" si="110">L96+L121+L146+L171+L196</f>
        <v>618545.39999999991</v>
      </c>
      <c r="M71" s="450">
        <f t="shared" si="110"/>
        <v>0</v>
      </c>
      <c r="N71" s="450">
        <f t="shared" si="110"/>
        <v>0</v>
      </c>
      <c r="O71" s="450">
        <f t="shared" si="110"/>
        <v>0</v>
      </c>
      <c r="P71" s="450">
        <f t="shared" si="110"/>
        <v>0</v>
      </c>
      <c r="Q71" s="450">
        <f t="shared" si="110"/>
        <v>0</v>
      </c>
      <c r="R71" s="450">
        <f t="shared" si="110"/>
        <v>0</v>
      </c>
    </row>
    <row r="72" spans="1:42" outlineLevel="2">
      <c r="D72" s="33" t="s">
        <v>29</v>
      </c>
      <c r="E72" s="34"/>
      <c r="F72" s="34"/>
      <c r="G72" s="34"/>
      <c r="H72" s="35">
        <f t="shared" ref="H72:K72" si="111">H97+H122+H147+H172+H197</f>
        <v>35804</v>
      </c>
      <c r="I72" s="35">
        <f t="shared" si="111"/>
        <v>43773</v>
      </c>
      <c r="J72" s="35">
        <f t="shared" si="111"/>
        <v>77073</v>
      </c>
      <c r="K72" s="35">
        <f t="shared" si="111"/>
        <v>30452</v>
      </c>
      <c r="L72" s="35">
        <f t="shared" ref="L72:R72" si="112">L97+L122+L147+L172+L197</f>
        <v>36542.399999999994</v>
      </c>
      <c r="M72" s="451">
        <f t="shared" si="112"/>
        <v>0</v>
      </c>
      <c r="N72" s="451">
        <f t="shared" si="112"/>
        <v>0</v>
      </c>
      <c r="O72" s="451">
        <f t="shared" si="112"/>
        <v>0</v>
      </c>
      <c r="P72" s="451">
        <f t="shared" si="112"/>
        <v>0</v>
      </c>
      <c r="Q72" s="451">
        <f t="shared" si="112"/>
        <v>0</v>
      </c>
      <c r="R72" s="451">
        <f t="shared" si="112"/>
        <v>0</v>
      </c>
    </row>
    <row r="73" spans="1:42" outlineLevel="2"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spans="1:42" ht="15" outlineLevel="2" thickBot="1">
      <c r="C74" s="37" t="s">
        <v>34</v>
      </c>
      <c r="D74" s="37"/>
      <c r="E74" s="37"/>
      <c r="F74" s="37"/>
      <c r="G74" s="37"/>
      <c r="H74" s="39">
        <f t="shared" ref="H74:K74" si="113">H99+H124+H149+H174+H199</f>
        <v>-571498</v>
      </c>
      <c r="I74" s="39">
        <f t="shared" si="113"/>
        <v>-573332</v>
      </c>
      <c r="J74" s="39">
        <f t="shared" si="113"/>
        <v>-503241</v>
      </c>
      <c r="K74" s="39">
        <f t="shared" si="113"/>
        <v>-604238.60000000009</v>
      </c>
      <c r="L74" s="39">
        <f t="shared" ref="L74:R74" si="114">L99+L124+L149+L174+L199</f>
        <v>-725086.32</v>
      </c>
      <c r="M74" s="39">
        <f>M99+M124+M149+M174+M199</f>
        <v>-723164.19631466991</v>
      </c>
      <c r="N74" s="39">
        <f t="shared" si="114"/>
        <v>-716717.67813481484</v>
      </c>
      <c r="O74" s="39">
        <f t="shared" si="114"/>
        <v>-710336.82146473194</v>
      </c>
      <c r="P74" s="39">
        <f t="shared" si="114"/>
        <v>-704020.95656631899</v>
      </c>
      <c r="Q74" s="39">
        <f t="shared" si="114"/>
        <v>-697769.420532802</v>
      </c>
      <c r="R74" s="39">
        <f t="shared" si="114"/>
        <v>-691581.55721905443</v>
      </c>
    </row>
    <row r="75" spans="1:42" outlineLevel="2">
      <c r="C75" s="18" t="s">
        <v>36</v>
      </c>
      <c r="D75" s="18"/>
      <c r="E75" s="18"/>
      <c r="F75" s="18"/>
      <c r="G75" s="18"/>
      <c r="H75" s="23">
        <f>H74+H67</f>
        <v>83499</v>
      </c>
      <c r="I75" s="23">
        <f t="shared" ref="I75:K75" si="115">I74+I67</f>
        <v>132451</v>
      </c>
      <c r="J75" s="23">
        <f t="shared" si="115"/>
        <v>209280.19999999995</v>
      </c>
      <c r="K75" s="23">
        <f t="shared" si="115"/>
        <v>242779.89999999991</v>
      </c>
      <c r="L75" s="23">
        <f t="shared" ref="L75" si="116">L74+L67</f>
        <v>291335.88</v>
      </c>
      <c r="M75" s="23">
        <f>M74+M67</f>
        <v>290051.93557533005</v>
      </c>
      <c r="N75" s="23">
        <f t="shared" ref="N75" si="117">N74+N67</f>
        <v>287529.51006470714</v>
      </c>
      <c r="O75" s="23">
        <f t="shared" ref="O75" si="118">O74+O67</f>
        <v>285032.76968386944</v>
      </c>
      <c r="P75" s="23">
        <f t="shared" ref="P75" si="119">P74+P67</f>
        <v>282561.45244885446</v>
      </c>
      <c r="Q75" s="23">
        <f t="shared" ref="Q75" si="120">Q74+Q67</f>
        <v>280115.29904793459</v>
      </c>
      <c r="R75" s="23">
        <f t="shared" ref="R75" si="121">R74+R67</f>
        <v>277694.05281436304</v>
      </c>
    </row>
    <row r="76" spans="1:42" outlineLevel="2">
      <c r="C76" s="22" t="s">
        <v>19</v>
      </c>
      <c r="D76" s="22"/>
      <c r="E76" s="22"/>
      <c r="F76" s="22"/>
      <c r="G76" s="22"/>
      <c r="H76" s="56">
        <f>IFERROR(H75/H67,"NA")</f>
        <v>0.12747997319071691</v>
      </c>
      <c r="I76" s="56">
        <f t="shared" ref="I76" si="122">IFERROR(I75/I67,"NA")</f>
        <v>0.18766533056194326</v>
      </c>
      <c r="J76" s="56">
        <f t="shared" ref="J76" si="123">IFERROR(J75/J67,"NA")</f>
        <v>0.2937178570967432</v>
      </c>
      <c r="K76" s="56">
        <f t="shared" ref="K76" si="124">IFERROR(K75/K67,"NA")</f>
        <v>0.28662880444760053</v>
      </c>
      <c r="L76" s="56">
        <f t="shared" ref="L76" si="125">IFERROR(L75/L67,"NA")</f>
        <v>0.28662880444760064</v>
      </c>
      <c r="M76" s="56">
        <f t="shared" ref="M76" si="126">IFERROR(M75/M67,"NA")</f>
        <v>0.28626857236696623</v>
      </c>
      <c r="N76" s="56">
        <f t="shared" ref="N76" si="127">IFERROR(N75/N67,"NA")</f>
        <v>0.28631348281911378</v>
      </c>
      <c r="O76" s="56">
        <f t="shared" ref="O76" si="128">IFERROR(O75/O67,"NA")</f>
        <v>0.28635872767115317</v>
      </c>
      <c r="P76" s="56">
        <f t="shared" ref="P76" si="129">IFERROR(P75/P67,"NA")</f>
        <v>0.28640430831410529</v>
      </c>
      <c r="Q76" s="56">
        <f t="shared" ref="Q76" si="130">IFERROR(Q75/Q67,"NA")</f>
        <v>0.286450226124847</v>
      </c>
      <c r="R76" s="56">
        <f t="shared" ref="R76" si="131">IFERROR(R75/R67,"NA")</f>
        <v>0.28649648246569315</v>
      </c>
    </row>
    <row r="77" spans="1:42" outlineLevel="2"/>
    <row r="78" spans="1:42" s="26" customFormat="1" outlineLevel="3">
      <c r="A78" s="26" t="s">
        <v>8</v>
      </c>
      <c r="C78" s="26" t="s">
        <v>39</v>
      </c>
    </row>
    <row r="79" spans="1:42" outlineLevel="3"/>
    <row r="80" spans="1:42" s="18" customFormat="1" outlineLevel="3">
      <c r="C80" s="18" t="s">
        <v>24</v>
      </c>
      <c r="H80" s="23">
        <f>SUM(H81:H85)</f>
        <v>7138042</v>
      </c>
      <c r="I80" s="23">
        <f t="shared" ref="I80" si="132">SUM(I81:I85)</f>
        <v>5989054</v>
      </c>
      <c r="J80" s="23">
        <f t="shared" ref="J80" si="133">SUM(J81:J85)</f>
        <v>6945745</v>
      </c>
      <c r="K80" s="23">
        <f t="shared" ref="K80" si="134">SUM(K81:K85)</f>
        <v>9064060</v>
      </c>
      <c r="L80" s="23">
        <f>SUM(L81:L85)</f>
        <v>10876871.999999998</v>
      </c>
      <c r="M80" s="23">
        <f t="shared" ref="M80:R80" si="135">CHOOSE(case,T80,AB80,AJ80)</f>
        <v>10713718.919999998</v>
      </c>
      <c r="N80" s="23">
        <f t="shared" si="135"/>
        <v>10499444.541599998</v>
      </c>
      <c r="O80" s="23">
        <f t="shared" si="135"/>
        <v>10289455.650767999</v>
      </c>
      <c r="P80" s="23">
        <f t="shared" si="135"/>
        <v>10083666.53775264</v>
      </c>
      <c r="Q80" s="23">
        <f t="shared" si="135"/>
        <v>9881993.2069975864</v>
      </c>
      <c r="R80" s="23">
        <f t="shared" si="135"/>
        <v>9684353.3428576346</v>
      </c>
      <c r="T80" s="20">
        <f>$L80*(1+$Z80)</f>
        <v>10713718.919999998</v>
      </c>
      <c r="U80" s="20">
        <f>T80*(1+$Z80)</f>
        <v>10553013.136199998</v>
      </c>
      <c r="V80" s="20">
        <f t="shared" ref="V80:Y80" si="136">U80*(1+$Z80)</f>
        <v>10394717.939156998</v>
      </c>
      <c r="W80" s="20">
        <f t="shared" si="136"/>
        <v>10238797.170069642</v>
      </c>
      <c r="X80" s="20">
        <f t="shared" si="136"/>
        <v>10085215.212518597</v>
      </c>
      <c r="Y80" s="20">
        <f t="shared" si="136"/>
        <v>9933936.9843308181</v>
      </c>
      <c r="Z80" s="472">
        <f>'回报测算-EVEBITDA（核心假设）'!G200-1.5%</f>
        <v>-1.4999999999999999E-2</v>
      </c>
      <c r="AA80" s="1"/>
      <c r="AB80" s="20">
        <f>$L80*(1+$AH80+0.5%)</f>
        <v>10713718.919999998</v>
      </c>
      <c r="AC80" s="20">
        <f>AB80*(1+$AH80)</f>
        <v>10499444.541599998</v>
      </c>
      <c r="AD80" s="20">
        <f t="shared" ref="AD80:AF80" si="137">AC80*(1+$AH80)</f>
        <v>10289455.650767999</v>
      </c>
      <c r="AE80" s="20">
        <f>AD80*(1+$AH80)</f>
        <v>10083666.53775264</v>
      </c>
      <c r="AF80" s="20">
        <f t="shared" si="137"/>
        <v>9881993.2069975864</v>
      </c>
      <c r="AG80" s="20">
        <f>AF80*(1+$AH80)</f>
        <v>9684353.3428576346</v>
      </c>
      <c r="AH80" s="472">
        <f>'回报测算-EVEBITDA（核心假设）'!G201-2%</f>
        <v>-0.02</v>
      </c>
      <c r="AI80" s="1"/>
      <c r="AJ80" s="20">
        <f>$L80*(1+$AP80)</f>
        <v>10768103.279999997</v>
      </c>
      <c r="AK80" s="20">
        <f>AJ80*(1+$AP80)</f>
        <v>10660422.247199997</v>
      </c>
      <c r="AL80" s="20">
        <f t="shared" ref="AL80:AO80" si="138">AK80*(1+$AP80)</f>
        <v>10553818.024727996</v>
      </c>
      <c r="AM80" s="20">
        <f t="shared" si="138"/>
        <v>10448279.844480716</v>
      </c>
      <c r="AN80" s="20">
        <f>AM80*(1+$AP80)</f>
        <v>10343797.046035908</v>
      </c>
      <c r="AO80" s="20">
        <f t="shared" si="138"/>
        <v>10240359.075575549</v>
      </c>
      <c r="AP80" s="472">
        <f>'回报测算-EVEBITDA（核心假设）'!G202-1%</f>
        <v>-0.01</v>
      </c>
    </row>
    <row r="81" spans="3:42" outlineLevel="3">
      <c r="D81" s="27" t="s">
        <v>25</v>
      </c>
      <c r="E81" s="28"/>
      <c r="F81" s="28"/>
      <c r="G81" s="28"/>
      <c r="H81" s="398">
        <v>121924</v>
      </c>
      <c r="I81" s="398">
        <v>85008</v>
      </c>
      <c r="J81" s="398">
        <v>99027</v>
      </c>
      <c r="K81" s="399">
        <v>124859</v>
      </c>
      <c r="L81" s="159">
        <f>K81*1.2</f>
        <v>149830.79999999999</v>
      </c>
      <c r="M81" s="436"/>
      <c r="N81" s="436"/>
      <c r="O81" s="436"/>
      <c r="P81" s="436"/>
      <c r="Q81" s="436"/>
      <c r="R81" s="437"/>
    </row>
    <row r="82" spans="3:42" outlineLevel="3">
      <c r="D82" s="31" t="s">
        <v>26</v>
      </c>
      <c r="H82" s="400">
        <v>322105</v>
      </c>
      <c r="I82" s="400">
        <v>637757</v>
      </c>
      <c r="J82" s="400">
        <v>608665</v>
      </c>
      <c r="K82" s="401">
        <v>1041248</v>
      </c>
      <c r="L82" s="162">
        <f t="shared" ref="L82:L85" si="139">K82*1.2</f>
        <v>1249497.5999999999</v>
      </c>
      <c r="M82" s="438"/>
      <c r="N82" s="438"/>
      <c r="O82" s="438"/>
      <c r="P82" s="438"/>
      <c r="Q82" s="438"/>
      <c r="R82" s="439"/>
    </row>
    <row r="83" spans="3:42" outlineLevel="3">
      <c r="D83" s="31" t="s">
        <v>27</v>
      </c>
      <c r="H83" s="400">
        <v>751529</v>
      </c>
      <c r="I83" s="400">
        <v>692876</v>
      </c>
      <c r="J83" s="400">
        <v>1141623</v>
      </c>
      <c r="K83" s="401">
        <v>888431</v>
      </c>
      <c r="L83" s="162">
        <f t="shared" si="139"/>
        <v>1066117.2</v>
      </c>
      <c r="M83" s="438"/>
      <c r="N83" s="438"/>
      <c r="O83" s="438"/>
      <c r="P83" s="438"/>
      <c r="Q83" s="438"/>
      <c r="R83" s="439"/>
    </row>
    <row r="84" spans="3:42" outlineLevel="3">
      <c r="D84" s="31" t="s">
        <v>28</v>
      </c>
      <c r="H84" s="400">
        <v>5761448</v>
      </c>
      <c r="I84" s="400">
        <v>4353420</v>
      </c>
      <c r="J84" s="400">
        <v>4733140</v>
      </c>
      <c r="K84" s="401">
        <v>6979746</v>
      </c>
      <c r="L84" s="162">
        <f t="shared" si="139"/>
        <v>8375695.1999999993</v>
      </c>
      <c r="M84" s="438"/>
      <c r="N84" s="438"/>
      <c r="O84" s="438"/>
      <c r="P84" s="438"/>
      <c r="Q84" s="438"/>
      <c r="R84" s="439"/>
    </row>
    <row r="85" spans="3:42" outlineLevel="3">
      <c r="D85" s="33" t="s">
        <v>29</v>
      </c>
      <c r="E85" s="34"/>
      <c r="F85" s="34"/>
      <c r="G85" s="34"/>
      <c r="H85" s="402">
        <v>181036</v>
      </c>
      <c r="I85" s="402">
        <v>219993</v>
      </c>
      <c r="J85" s="402">
        <v>363290</v>
      </c>
      <c r="K85" s="403">
        <v>29776</v>
      </c>
      <c r="L85" s="163">
        <f t="shared" si="139"/>
        <v>35731.199999999997</v>
      </c>
      <c r="M85" s="440"/>
      <c r="N85" s="440"/>
      <c r="O85" s="440"/>
      <c r="P85" s="440"/>
      <c r="Q85" s="440"/>
      <c r="R85" s="441"/>
      <c r="AB85" s="448"/>
      <c r="AC85" s="448"/>
      <c r="AD85" s="448"/>
      <c r="AE85" s="448"/>
      <c r="AF85" s="448"/>
      <c r="AG85" s="448"/>
    </row>
    <row r="86" spans="3:42" outlineLevel="3">
      <c r="C86" s="1" t="s">
        <v>31</v>
      </c>
      <c r="H86" s="40">
        <f>H92/H80</f>
        <v>7.8140476057720024E-2</v>
      </c>
      <c r="I86" s="40">
        <f t="shared" ref="I86:K86" si="140">I92/I80</f>
        <v>0.10674690861027468</v>
      </c>
      <c r="J86" s="40">
        <f t="shared" si="140"/>
        <v>8.6908949291976609E-2</v>
      </c>
      <c r="K86" s="40">
        <f t="shared" si="140"/>
        <v>7.990387309881003E-2</v>
      </c>
      <c r="L86" s="57">
        <f>IFERROR(L92/L80,"NA")</f>
        <v>7.990387309881003E-2</v>
      </c>
      <c r="M86" s="57">
        <f t="shared" ref="M86:R86" si="141">CHOOSE(case,T86,AB86,AJ86)</f>
        <v>8.0702911829798135E-2</v>
      </c>
      <c r="N86" s="57">
        <f t="shared" si="141"/>
        <v>8.1509940948096118E-2</v>
      </c>
      <c r="O86" s="57">
        <f t="shared" si="141"/>
        <v>8.2325040357577081E-2</v>
      </c>
      <c r="P86" s="57">
        <f t="shared" si="141"/>
        <v>8.3148290761152849E-2</v>
      </c>
      <c r="Q86" s="57">
        <f t="shared" si="141"/>
        <v>8.3979773668764385E-2</v>
      </c>
      <c r="R86" s="57">
        <f t="shared" si="141"/>
        <v>8.4819571405452029E-2</v>
      </c>
      <c r="T86" s="448">
        <f>$L86*(1+$Z86)</f>
        <v>8.1501950560786227E-2</v>
      </c>
      <c r="U86" s="448">
        <f>T86*(1+$Z86)</f>
        <v>8.3131989572001949E-2</v>
      </c>
      <c r="V86" s="448">
        <f t="shared" ref="V86:Y86" si="142">U86*(1+$Z86)</f>
        <v>8.4794629363441995E-2</v>
      </c>
      <c r="W86" s="448">
        <f t="shared" si="142"/>
        <v>8.649052195071083E-2</v>
      </c>
      <c r="X86" s="448">
        <f t="shared" si="142"/>
        <v>8.8220332389725042E-2</v>
      </c>
      <c r="Y86" s="448">
        <f t="shared" si="142"/>
        <v>8.9984739037519551E-2</v>
      </c>
      <c r="Z86" s="472">
        <v>0.02</v>
      </c>
      <c r="AB86" s="448">
        <f>$L86*(1+$AH86)</f>
        <v>8.0702911829798135E-2</v>
      </c>
      <c r="AC86" s="448">
        <f>AB86*(1+$AH86)</f>
        <v>8.1509940948096118E-2</v>
      </c>
      <c r="AD86" s="448">
        <f t="shared" ref="AD86:AF86" si="143">AC86*(1+$AH86)</f>
        <v>8.2325040357577081E-2</v>
      </c>
      <c r="AE86" s="448">
        <f t="shared" si="143"/>
        <v>8.3148290761152849E-2</v>
      </c>
      <c r="AF86" s="448">
        <f t="shared" si="143"/>
        <v>8.3979773668764385E-2</v>
      </c>
      <c r="AG86" s="448">
        <f>AF86*(1+$AH86)</f>
        <v>8.4819571405452029E-2</v>
      </c>
      <c r="AH86" s="472">
        <v>0.01</v>
      </c>
      <c r="AJ86" s="448">
        <f>$L86*(1+$AP86)</f>
        <v>7.990387309881003E-2</v>
      </c>
      <c r="AK86" s="448">
        <f>AJ86*(1+$AP86)</f>
        <v>7.990387309881003E-2</v>
      </c>
      <c r="AL86" s="448">
        <f t="shared" ref="AL86:AO86" si="144">AK86*(1+$AP86)</f>
        <v>7.990387309881003E-2</v>
      </c>
      <c r="AM86" s="448">
        <f t="shared" si="144"/>
        <v>7.990387309881003E-2</v>
      </c>
      <c r="AN86" s="448">
        <f>AM86*(1+$AP86)</f>
        <v>7.990387309881003E-2</v>
      </c>
      <c r="AO86" s="448">
        <f t="shared" si="144"/>
        <v>7.990387309881003E-2</v>
      </c>
      <c r="AP86" s="472">
        <v>0</v>
      </c>
    </row>
    <row r="87" spans="3:42" outlineLevel="3">
      <c r="D87" s="27" t="s">
        <v>25</v>
      </c>
      <c r="E87" s="28"/>
      <c r="F87" s="28"/>
      <c r="G87" s="28"/>
      <c r="H87" s="50">
        <f>IFERROR(H93/H81,"NA")</f>
        <v>0.12541419244775434</v>
      </c>
      <c r="I87" s="50">
        <f t="shared" ref="I87:K87" si="145">IFERROR(I93/I81,"NA")</f>
        <v>0.22811970638057594</v>
      </c>
      <c r="J87" s="50">
        <f t="shared" si="145"/>
        <v>0.18176254960768276</v>
      </c>
      <c r="K87" s="51">
        <f t="shared" si="145"/>
        <v>0.14089893399754924</v>
      </c>
      <c r="L87" s="81">
        <f>K87</f>
        <v>0.14089893399754924</v>
      </c>
      <c r="M87" s="442"/>
      <c r="N87" s="442"/>
      <c r="O87" s="442"/>
      <c r="P87" s="442"/>
      <c r="Q87" s="442"/>
      <c r="R87" s="443"/>
    </row>
    <row r="88" spans="3:42" outlineLevel="3">
      <c r="D88" s="31" t="s">
        <v>26</v>
      </c>
      <c r="H88" s="52">
        <f t="shared" ref="H88:K88" si="146">IFERROR(H94/H82,"NA")</f>
        <v>0.10811691839617515</v>
      </c>
      <c r="I88" s="52">
        <f t="shared" si="146"/>
        <v>0.19633339971180247</v>
      </c>
      <c r="J88" s="52">
        <f t="shared" si="146"/>
        <v>0.15997634166577673</v>
      </c>
      <c r="K88" s="53">
        <f t="shared" si="146"/>
        <v>0.15239981253265311</v>
      </c>
      <c r="L88" s="82">
        <f>K88</f>
        <v>0.15239981253265311</v>
      </c>
      <c r="M88" s="444"/>
      <c r="N88" s="444"/>
      <c r="O88" s="444"/>
      <c r="P88" s="444"/>
      <c r="Q88" s="444"/>
      <c r="R88" s="445"/>
    </row>
    <row r="89" spans="3:42" outlineLevel="3">
      <c r="D89" s="31" t="s">
        <v>27</v>
      </c>
      <c r="H89" s="52">
        <f t="shared" ref="H89:K89" si="147">IFERROR(H95/H83,"NA")</f>
        <v>9.3850004457579142E-2</v>
      </c>
      <c r="I89" s="52">
        <f t="shared" si="147"/>
        <v>0.11083801430559004</v>
      </c>
      <c r="J89" s="52">
        <f t="shared" si="147"/>
        <v>7.4326638478727211E-2</v>
      </c>
      <c r="K89" s="53">
        <f t="shared" si="147"/>
        <v>7.2431623840230705E-2</v>
      </c>
      <c r="L89" s="82">
        <f t="shared" ref="L89" si="148">K89</f>
        <v>7.2431623840230705E-2</v>
      </c>
      <c r="M89" s="444"/>
      <c r="N89" s="444"/>
      <c r="O89" s="444"/>
      <c r="P89" s="444"/>
      <c r="Q89" s="444"/>
      <c r="R89" s="445"/>
    </row>
    <row r="90" spans="3:42" outlineLevel="3">
      <c r="D90" s="31" t="s">
        <v>28</v>
      </c>
      <c r="H90" s="52">
        <f t="shared" ref="H90:K90" si="149">IFERROR(H96/H84,"NA")</f>
        <v>7.0286497422175812E-2</v>
      </c>
      <c r="I90" s="52">
        <f t="shared" si="149"/>
        <v>8.701595527194711E-2</v>
      </c>
      <c r="J90" s="52">
        <f t="shared" si="149"/>
        <v>6.9819189797893158E-2</v>
      </c>
      <c r="K90" s="53">
        <f t="shared" si="149"/>
        <v>6.5303021055494001E-2</v>
      </c>
      <c r="L90" s="82">
        <f t="shared" ref="L90" si="150">K90</f>
        <v>6.5303021055494001E-2</v>
      </c>
      <c r="M90" s="444"/>
      <c r="N90" s="444"/>
      <c r="O90" s="444"/>
      <c r="P90" s="444"/>
      <c r="Q90" s="444"/>
      <c r="R90" s="445"/>
    </row>
    <row r="91" spans="3:42" ht="15" outlineLevel="3" thickBot="1">
      <c r="C91" s="37"/>
      <c r="D91" s="38" t="s">
        <v>29</v>
      </c>
      <c r="E91" s="37"/>
      <c r="F91" s="37"/>
      <c r="G91" s="37"/>
      <c r="H91" s="54">
        <f t="shared" ref="H91:K91" si="151">IFERROR(H97/H85,"NA")</f>
        <v>0.17770498685344352</v>
      </c>
      <c r="I91" s="54">
        <f t="shared" si="151"/>
        <v>0.17770565427081772</v>
      </c>
      <c r="J91" s="54">
        <f t="shared" si="151"/>
        <v>0.20082853918357235</v>
      </c>
      <c r="K91" s="55">
        <f t="shared" si="151"/>
        <v>0.93451101558301986</v>
      </c>
      <c r="L91" s="86">
        <f>K91</f>
        <v>0.93451101558301986</v>
      </c>
      <c r="M91" s="446"/>
      <c r="N91" s="446"/>
      <c r="O91" s="446"/>
      <c r="P91" s="446"/>
      <c r="Q91" s="446"/>
      <c r="R91" s="447"/>
    </row>
    <row r="92" spans="3:42" outlineLevel="3">
      <c r="C92" s="18" t="s">
        <v>33</v>
      </c>
      <c r="H92" s="23">
        <f>SUM(H93:H97)</f>
        <v>557770</v>
      </c>
      <c r="I92" s="23">
        <f t="shared" ref="I92" si="152">SUM(I93:I97)</f>
        <v>639313</v>
      </c>
      <c r="J92" s="23">
        <f t="shared" ref="J92" si="153">SUM(J93:J97)</f>
        <v>603647.4</v>
      </c>
      <c r="K92" s="23">
        <f t="shared" ref="K92" si="154">SUM(K93:K97)</f>
        <v>724253.5</v>
      </c>
      <c r="L92" s="23">
        <f>SUM(L93:L97)</f>
        <v>869104.19999999984</v>
      </c>
      <c r="M92" s="23">
        <f>M80*M86</f>
        <v>864628.31336999999</v>
      </c>
      <c r="N92" s="23">
        <f t="shared" ref="N92:R92" si="155">N80*N86</f>
        <v>855809.10457362595</v>
      </c>
      <c r="O92" s="23">
        <f t="shared" si="155"/>
        <v>847079.85170697502</v>
      </c>
      <c r="P92" s="23">
        <f t="shared" si="155"/>
        <v>838439.63721956394</v>
      </c>
      <c r="Q92" s="23">
        <f t="shared" si="155"/>
        <v>829887.55291992438</v>
      </c>
      <c r="R92" s="23">
        <f t="shared" si="155"/>
        <v>821422.69988014118</v>
      </c>
    </row>
    <row r="93" spans="3:42" outlineLevel="3">
      <c r="D93" s="27" t="s">
        <v>25</v>
      </c>
      <c r="E93" s="28"/>
      <c r="F93" s="28"/>
      <c r="G93" s="28"/>
      <c r="H93" s="398">
        <v>15291</v>
      </c>
      <c r="I93" s="398">
        <v>19392</v>
      </c>
      <c r="J93" s="398">
        <v>17999.400000000001</v>
      </c>
      <c r="K93" s="399">
        <v>17592.5</v>
      </c>
      <c r="L93" s="83">
        <f>L87*L81</f>
        <v>21111</v>
      </c>
      <c r="M93" s="436"/>
      <c r="N93" s="436"/>
      <c r="O93" s="436"/>
      <c r="P93" s="436"/>
      <c r="Q93" s="436"/>
      <c r="R93" s="437"/>
    </row>
    <row r="94" spans="3:42" outlineLevel="3">
      <c r="D94" s="31" t="s">
        <v>26</v>
      </c>
      <c r="H94" s="400">
        <v>34825</v>
      </c>
      <c r="I94" s="400">
        <v>125213</v>
      </c>
      <c r="J94" s="400">
        <v>97372</v>
      </c>
      <c r="K94" s="401">
        <v>158686</v>
      </c>
      <c r="L94" s="84">
        <f>L82*L88</f>
        <v>190423.19999999995</v>
      </c>
      <c r="M94" s="438"/>
      <c r="N94" s="438"/>
      <c r="O94" s="438"/>
      <c r="P94" s="438"/>
      <c r="Q94" s="438"/>
      <c r="R94" s="439"/>
    </row>
    <row r="95" spans="3:42" outlineLevel="3">
      <c r="D95" s="31" t="s">
        <v>27</v>
      </c>
      <c r="H95" s="400">
        <v>70531</v>
      </c>
      <c r="I95" s="400">
        <v>76797</v>
      </c>
      <c r="J95" s="400">
        <v>84853</v>
      </c>
      <c r="K95" s="401">
        <v>64350.5</v>
      </c>
      <c r="L95" s="84">
        <f t="shared" ref="L95" si="156">L83*L89</f>
        <v>77220.600000000006</v>
      </c>
      <c r="M95" s="438"/>
      <c r="N95" s="438"/>
      <c r="O95" s="438"/>
      <c r="P95" s="438"/>
      <c r="Q95" s="438"/>
      <c r="R95" s="439"/>
    </row>
    <row r="96" spans="3:42" outlineLevel="3">
      <c r="D96" s="31" t="s">
        <v>28</v>
      </c>
      <c r="H96" s="400">
        <v>404952</v>
      </c>
      <c r="I96" s="400">
        <v>378817</v>
      </c>
      <c r="J96" s="400">
        <v>330464</v>
      </c>
      <c r="K96" s="401">
        <v>455798.5</v>
      </c>
      <c r="L96" s="84">
        <f t="shared" ref="L96" si="157">L84*L90</f>
        <v>546958.19999999995</v>
      </c>
      <c r="M96" s="438"/>
      <c r="N96" s="438"/>
      <c r="O96" s="438"/>
      <c r="P96" s="438"/>
      <c r="Q96" s="438"/>
      <c r="R96" s="439"/>
    </row>
    <row r="97" spans="1:42" outlineLevel="3">
      <c r="D97" s="33" t="s">
        <v>29</v>
      </c>
      <c r="E97" s="34"/>
      <c r="F97" s="34"/>
      <c r="G97" s="34"/>
      <c r="H97" s="402">
        <v>32171</v>
      </c>
      <c r="I97" s="402">
        <v>39094</v>
      </c>
      <c r="J97" s="402">
        <v>72959</v>
      </c>
      <c r="K97" s="403">
        <v>27826</v>
      </c>
      <c r="L97" s="85">
        <f>L85*L91</f>
        <v>33391.199999999997</v>
      </c>
      <c r="M97" s="440"/>
      <c r="N97" s="440"/>
      <c r="O97" s="440"/>
      <c r="P97" s="440"/>
      <c r="Q97" s="440"/>
      <c r="R97" s="441"/>
    </row>
    <row r="98" spans="1:42" outlineLevel="3">
      <c r="H98" s="43"/>
      <c r="I98" s="43"/>
      <c r="J98" s="43"/>
      <c r="K98" s="43"/>
    </row>
    <row r="99" spans="1:42" ht="15" outlineLevel="3" thickBot="1">
      <c r="C99" s="37" t="s">
        <v>34</v>
      </c>
      <c r="D99" s="37"/>
      <c r="E99" s="37"/>
      <c r="F99" s="37"/>
      <c r="G99" s="37"/>
      <c r="H99" s="404">
        <v>-487389</v>
      </c>
      <c r="I99" s="404">
        <v>-513975</v>
      </c>
      <c r="J99" s="404">
        <v>-424288</v>
      </c>
      <c r="K99" s="404">
        <v>-520379.4</v>
      </c>
      <c r="L99" s="39">
        <f>L100-L92</f>
        <v>-624455.27999999991</v>
      </c>
      <c r="M99" s="39">
        <f t="shared" ref="M99" si="158">M100-M92</f>
        <v>-621667.75731302996</v>
      </c>
      <c r="N99" s="39">
        <f t="shared" ref="N99" si="159">N100-N92</f>
        <v>-615326.7461884371</v>
      </c>
      <c r="O99" s="39">
        <f t="shared" ref="O99" si="160">O100-O92</f>
        <v>-609050.41337731504</v>
      </c>
      <c r="P99" s="39">
        <f t="shared" ref="P99" si="161">P100-P92</f>
        <v>-602838.09916086646</v>
      </c>
      <c r="Q99" s="39">
        <f t="shared" ref="Q99" si="162">Q100-Q92</f>
        <v>-596689.15054942563</v>
      </c>
      <c r="R99" s="39">
        <f t="shared" ref="R99" si="163">R100-R92</f>
        <v>-590602.92121382151</v>
      </c>
    </row>
    <row r="100" spans="1:42" outlineLevel="3">
      <c r="C100" s="18" t="s">
        <v>36</v>
      </c>
      <c r="D100" s="18"/>
      <c r="E100" s="18"/>
      <c r="F100" s="18"/>
      <c r="G100" s="18"/>
      <c r="H100" s="23">
        <f>H99+H92</f>
        <v>70381</v>
      </c>
      <c r="I100" s="23">
        <f t="shared" ref="I100" si="164">I99+I92</f>
        <v>125338</v>
      </c>
      <c r="J100" s="23">
        <f t="shared" ref="J100" si="165">J99+J92</f>
        <v>179359.40000000002</v>
      </c>
      <c r="K100" s="23">
        <f t="shared" ref="K100" si="166">K99+K92</f>
        <v>203874.09999999998</v>
      </c>
      <c r="L100" s="23">
        <f>L101*L92</f>
        <v>244648.91999999993</v>
      </c>
      <c r="M100" s="23">
        <f t="shared" ref="M100" si="167">M101*M92</f>
        <v>242960.55605697003</v>
      </c>
      <c r="N100" s="23">
        <f t="shared" ref="N100" si="168">N101*N92</f>
        <v>240482.35838518891</v>
      </c>
      <c r="O100" s="23">
        <f t="shared" ref="O100" si="169">O101*O92</f>
        <v>238029.43832966001</v>
      </c>
      <c r="P100" s="23">
        <f t="shared" ref="P100" si="170">P101*P92</f>
        <v>235601.53805869748</v>
      </c>
      <c r="Q100" s="23">
        <f t="shared" ref="Q100" si="171">Q101*Q92</f>
        <v>233198.40237049878</v>
      </c>
      <c r="R100" s="23">
        <f t="shared" ref="R100" si="172">R101*R92</f>
        <v>230819.7786663197</v>
      </c>
    </row>
    <row r="101" spans="1:42" outlineLevel="3">
      <c r="C101" s="22" t="s">
        <v>19</v>
      </c>
      <c r="D101" s="22"/>
      <c r="E101" s="22"/>
      <c r="F101" s="22"/>
      <c r="G101" s="22"/>
      <c r="H101" s="56">
        <f>IFERROR(H100/H92,"NA")</f>
        <v>0.12618283521881779</v>
      </c>
      <c r="I101" s="56">
        <f t="shared" ref="I101" si="173">IFERROR(I100/I92,"NA")</f>
        <v>0.19605107357428991</v>
      </c>
      <c r="J101" s="56">
        <f t="shared" ref="J101" si="174">IFERROR(J100/J92,"NA")</f>
        <v>0.29712610374864534</v>
      </c>
      <c r="K101" s="56">
        <f t="shared" ref="K101" si="175">IFERROR(K100/K92,"NA")</f>
        <v>0.28149549846842298</v>
      </c>
      <c r="L101" s="79">
        <f>K101</f>
        <v>0.28149549846842298</v>
      </c>
      <c r="M101" s="65">
        <f t="shared" ref="M101:R101" si="176">CHOOSE(case,T101,AB101,AJ101)</f>
        <v>0.28100000000000003</v>
      </c>
      <c r="N101" s="65">
        <f t="shared" si="176"/>
        <v>0.28100000000000003</v>
      </c>
      <c r="O101" s="65">
        <f t="shared" si="176"/>
        <v>0.28100000000000003</v>
      </c>
      <c r="P101" s="65">
        <f t="shared" si="176"/>
        <v>0.28100000000000003</v>
      </c>
      <c r="Q101" s="65">
        <f t="shared" si="176"/>
        <v>0.28100000000000003</v>
      </c>
      <c r="R101" s="65">
        <f t="shared" si="176"/>
        <v>0.28100000000000003</v>
      </c>
      <c r="T101" s="471">
        <f>AB101+1%</f>
        <v>0.29100000000000004</v>
      </c>
      <c r="U101" s="79">
        <f t="shared" ref="U101" si="177">T101</f>
        <v>0.29100000000000004</v>
      </c>
      <c r="V101" s="79">
        <f t="shared" ref="V101" si="178">U101</f>
        <v>0.29100000000000004</v>
      </c>
      <c r="W101" s="79">
        <f>V101</f>
        <v>0.29100000000000004</v>
      </c>
      <c r="X101" s="79">
        <f t="shared" ref="X101" si="179">W101</f>
        <v>0.29100000000000004</v>
      </c>
      <c r="Y101" s="79">
        <f t="shared" ref="Y101" si="180">X101</f>
        <v>0.29100000000000004</v>
      </c>
      <c r="AB101" s="471">
        <v>0.28100000000000003</v>
      </c>
      <c r="AC101" s="79">
        <f t="shared" ref="AC101" si="181">AB101</f>
        <v>0.28100000000000003</v>
      </c>
      <c r="AD101" s="79">
        <f t="shared" ref="AD101" si="182">AC101</f>
        <v>0.28100000000000003</v>
      </c>
      <c r="AE101" s="79">
        <f t="shared" ref="AE101" si="183">AD101</f>
        <v>0.28100000000000003</v>
      </c>
      <c r="AF101" s="79">
        <f t="shared" ref="AF101" si="184">AE101</f>
        <v>0.28100000000000003</v>
      </c>
      <c r="AG101" s="79">
        <f t="shared" ref="AG101" si="185">AF101</f>
        <v>0.28100000000000003</v>
      </c>
      <c r="AJ101" s="471">
        <f>AB101-1%</f>
        <v>0.27100000000000002</v>
      </c>
      <c r="AK101" s="79">
        <f t="shared" ref="AK101" si="186">AJ101</f>
        <v>0.27100000000000002</v>
      </c>
      <c r="AL101" s="79">
        <f t="shared" ref="AL101" si="187">AK101</f>
        <v>0.27100000000000002</v>
      </c>
      <c r="AM101" s="79">
        <f t="shared" ref="AM101" si="188">AL101</f>
        <v>0.27100000000000002</v>
      </c>
      <c r="AN101" s="79">
        <f t="shared" ref="AN101" si="189">AM101</f>
        <v>0.27100000000000002</v>
      </c>
      <c r="AO101" s="79">
        <f t="shared" ref="AO101" si="190">AN101</f>
        <v>0.27100000000000002</v>
      </c>
    </row>
    <row r="102" spans="1:42" outlineLevel="3"/>
    <row r="103" spans="1:42" s="26" customFormat="1" outlineLevel="3">
      <c r="A103" s="26" t="s">
        <v>8</v>
      </c>
      <c r="C103" s="26" t="s">
        <v>40</v>
      </c>
    </row>
    <row r="104" spans="1:42" outlineLevel="3"/>
    <row r="105" spans="1:42" s="18" customFormat="1" outlineLevel="3">
      <c r="C105" s="18" t="s">
        <v>24</v>
      </c>
      <c r="H105" s="23">
        <f>SUM(H106:H110)</f>
        <v>2337101</v>
      </c>
      <c r="I105" s="23">
        <f t="shared" ref="I105" si="191">SUM(I106:I110)</f>
        <v>1350018</v>
      </c>
      <c r="J105" s="23">
        <f t="shared" ref="J105" si="192">SUM(J106:J110)</f>
        <v>2005706</v>
      </c>
      <c r="K105" s="23">
        <f t="shared" ref="K105" si="193">SUM(K106:K110)</f>
        <v>1508997</v>
      </c>
      <c r="L105" s="23">
        <f>SUM(L106:L110)</f>
        <v>1810796.4</v>
      </c>
      <c r="M105" s="23">
        <f t="shared" ref="M105:R105" si="194">CHOOSE(case,T105,AB105,AJ105)</f>
        <v>1810796.4</v>
      </c>
      <c r="N105" s="23">
        <f t="shared" si="194"/>
        <v>1792688.436</v>
      </c>
      <c r="O105" s="23">
        <f t="shared" si="194"/>
        <v>1774761.55164</v>
      </c>
      <c r="P105" s="23">
        <f t="shared" si="194"/>
        <v>1757013.9361236</v>
      </c>
      <c r="Q105" s="23">
        <f t="shared" si="194"/>
        <v>1739443.796762364</v>
      </c>
      <c r="R105" s="23">
        <f t="shared" si="194"/>
        <v>1722049.3587947404</v>
      </c>
      <c r="T105" s="20">
        <f>$L105*(1+$Z105)</f>
        <v>1810796.4</v>
      </c>
      <c r="U105" s="20">
        <f>T105*(1+$Z105)</f>
        <v>1810796.4</v>
      </c>
      <c r="V105" s="20">
        <f t="shared" ref="V105:Y105" si="195">U105*(1+$Z105)</f>
        <v>1810796.4</v>
      </c>
      <c r="W105" s="20">
        <f>V105*(1+$Z105)</f>
        <v>1810796.4</v>
      </c>
      <c r="X105" s="20">
        <f t="shared" si="195"/>
        <v>1810796.4</v>
      </c>
      <c r="Y105" s="20">
        <f t="shared" si="195"/>
        <v>1810796.4</v>
      </c>
      <c r="Z105" s="472">
        <f>'回报测算-EVEBITDA（核心假设）'!H200</f>
        <v>0</v>
      </c>
      <c r="AA105" s="1"/>
      <c r="AB105" s="20">
        <f>$L105*(1+$AH105+1%)</f>
        <v>1810796.4</v>
      </c>
      <c r="AC105" s="20">
        <f>AB105*(1+$AH105)</f>
        <v>1792688.436</v>
      </c>
      <c r="AD105" s="20">
        <f t="shared" ref="AD105" si="196">AC105*(1+$AH105)</f>
        <v>1774761.55164</v>
      </c>
      <c r="AE105" s="20">
        <f>AD105*(1+$AH105)</f>
        <v>1757013.9361236</v>
      </c>
      <c r="AF105" s="20">
        <f t="shared" ref="AF105" si="197">AE105*(1+$AH105)</f>
        <v>1739443.796762364</v>
      </c>
      <c r="AG105" s="20">
        <f>AF105*(1+$AH105)</f>
        <v>1722049.3587947404</v>
      </c>
      <c r="AH105" s="472">
        <f>'回报测算-EVEBITDA（核心假设）'!H201-1%</f>
        <v>-0.01</v>
      </c>
      <c r="AI105" s="1"/>
      <c r="AJ105" s="20">
        <f>$L105*(1+$AP105)</f>
        <v>1810796.4</v>
      </c>
      <c r="AK105" s="20">
        <f>AJ105*(1+$AP105)</f>
        <v>1810796.4</v>
      </c>
      <c r="AL105" s="20">
        <f t="shared" ref="AL105:AM105" si="198">AK105*(1+$AP105)</f>
        <v>1810796.4</v>
      </c>
      <c r="AM105" s="20">
        <f t="shared" si="198"/>
        <v>1810796.4</v>
      </c>
      <c r="AN105" s="20">
        <f>AM105*(1+$AP105)</f>
        <v>1810796.4</v>
      </c>
      <c r="AO105" s="20">
        <f t="shared" ref="AO105" si="199">AN105*(1+$AP105)</f>
        <v>1810796.4</v>
      </c>
      <c r="AP105" s="472">
        <f>'回报测算-EVEBITDA（核心假设）'!H202</f>
        <v>0</v>
      </c>
    </row>
    <row r="106" spans="1:42" outlineLevel="3">
      <c r="D106" s="27" t="s">
        <v>25</v>
      </c>
      <c r="E106" s="28"/>
      <c r="F106" s="28"/>
      <c r="G106" s="28"/>
      <c r="H106" s="45"/>
      <c r="I106" s="45"/>
      <c r="J106" s="45"/>
      <c r="K106" s="46"/>
      <c r="L106" s="159">
        <f>K106*1.2</f>
        <v>0</v>
      </c>
      <c r="M106" s="436"/>
      <c r="N106" s="436"/>
      <c r="O106" s="436"/>
      <c r="P106" s="436"/>
      <c r="Q106" s="436"/>
      <c r="R106" s="437"/>
    </row>
    <row r="107" spans="1:42" outlineLevel="3">
      <c r="D107" s="31" t="s">
        <v>26</v>
      </c>
      <c r="H107" s="400">
        <v>1213</v>
      </c>
      <c r="I107" s="400">
        <v>1996</v>
      </c>
      <c r="J107" s="400">
        <v>31656</v>
      </c>
      <c r="K107" s="401">
        <v>47275</v>
      </c>
      <c r="L107" s="162">
        <f t="shared" ref="L107:L110" si="200">K107*1.2</f>
        <v>56730</v>
      </c>
      <c r="M107" s="438"/>
      <c r="N107" s="438"/>
      <c r="O107" s="438"/>
      <c r="P107" s="438"/>
      <c r="Q107" s="438"/>
      <c r="R107" s="439"/>
    </row>
    <row r="108" spans="1:42" outlineLevel="3">
      <c r="D108" s="31" t="s">
        <v>27</v>
      </c>
      <c r="H108" s="400">
        <v>344151</v>
      </c>
      <c r="I108" s="400">
        <v>131553</v>
      </c>
      <c r="J108" s="400">
        <v>137377</v>
      </c>
      <c r="K108" s="401">
        <v>194715</v>
      </c>
      <c r="L108" s="162">
        <f t="shared" si="200"/>
        <v>233658</v>
      </c>
      <c r="M108" s="438"/>
      <c r="N108" s="438"/>
      <c r="O108" s="438"/>
      <c r="P108" s="438"/>
      <c r="Q108" s="438"/>
      <c r="R108" s="439"/>
    </row>
    <row r="109" spans="1:42" outlineLevel="3">
      <c r="D109" s="31" t="s">
        <v>28</v>
      </c>
      <c r="H109" s="400">
        <v>1662360</v>
      </c>
      <c r="I109" s="400">
        <v>790061</v>
      </c>
      <c r="J109" s="400">
        <v>1419572</v>
      </c>
      <c r="K109" s="401">
        <v>1244228</v>
      </c>
      <c r="L109" s="162">
        <f t="shared" si="200"/>
        <v>1493073.5999999999</v>
      </c>
      <c r="M109" s="438"/>
      <c r="N109" s="438"/>
      <c r="O109" s="438"/>
      <c r="P109" s="438"/>
      <c r="Q109" s="438"/>
      <c r="R109" s="439"/>
    </row>
    <row r="110" spans="1:42" outlineLevel="3">
      <c r="D110" s="33" t="s">
        <v>29</v>
      </c>
      <c r="E110" s="34"/>
      <c r="F110" s="34"/>
      <c r="G110" s="34"/>
      <c r="H110" s="402">
        <v>329377</v>
      </c>
      <c r="I110" s="402">
        <v>426408</v>
      </c>
      <c r="J110" s="402">
        <v>417101</v>
      </c>
      <c r="K110" s="403">
        <v>22779</v>
      </c>
      <c r="L110" s="163">
        <f t="shared" si="200"/>
        <v>27334.799999999999</v>
      </c>
      <c r="M110" s="440"/>
      <c r="N110" s="440"/>
      <c r="O110" s="440"/>
      <c r="P110" s="440"/>
      <c r="Q110" s="440"/>
      <c r="R110" s="441"/>
      <c r="AB110" s="448"/>
      <c r="AC110" s="448"/>
      <c r="AD110" s="448"/>
      <c r="AE110" s="448"/>
      <c r="AF110" s="448"/>
      <c r="AG110" s="448"/>
    </row>
    <row r="111" spans="1:42" outlineLevel="3">
      <c r="C111" s="1" t="s">
        <v>31</v>
      </c>
      <c r="H111" s="40">
        <f>H117/H105</f>
        <v>3.7026213244528157E-2</v>
      </c>
      <c r="I111" s="40">
        <f t="shared" ref="I111:K111" si="201">I117/I105</f>
        <v>3.6322478663247455E-2</v>
      </c>
      <c r="J111" s="40">
        <f t="shared" si="201"/>
        <v>4.0959143563413583E-2</v>
      </c>
      <c r="K111" s="40">
        <f t="shared" si="201"/>
        <v>5.5214821500639166E-2</v>
      </c>
      <c r="L111" s="57">
        <f>IFERROR(L117/L105,"NA")</f>
        <v>5.5214821500639173E-2</v>
      </c>
      <c r="M111" s="57">
        <f t="shared" ref="M111:R111" si="202">CHOOSE(case,T111,AB111,AJ111)</f>
        <v>5.5766969715645563E-2</v>
      </c>
      <c r="N111" s="57">
        <f t="shared" si="202"/>
        <v>5.6324639412802018E-2</v>
      </c>
      <c r="O111" s="57">
        <f t="shared" si="202"/>
        <v>5.6887885806930036E-2</v>
      </c>
      <c r="P111" s="57">
        <f t="shared" si="202"/>
        <v>5.7456764664999334E-2</v>
      </c>
      <c r="Q111" s="57">
        <f t="shared" si="202"/>
        <v>5.8031332311649329E-2</v>
      </c>
      <c r="R111" s="57">
        <f t="shared" si="202"/>
        <v>5.861164563476582E-2</v>
      </c>
      <c r="T111" s="448">
        <f>$L111*(1+$Z111)</f>
        <v>5.631911793065196E-2</v>
      </c>
      <c r="U111" s="448">
        <f>T111*(1+$Z111)</f>
        <v>5.7445500289264997E-2</v>
      </c>
      <c r="V111" s="448">
        <f>U111*(1+$Z111)</f>
        <v>5.8594410295050296E-2</v>
      </c>
      <c r="W111" s="448">
        <f t="shared" ref="W111:Y111" si="203">V111*(1+$Z111)</f>
        <v>5.9766298500951304E-2</v>
      </c>
      <c r="X111" s="448">
        <f t="shared" si="203"/>
        <v>6.0961624470970331E-2</v>
      </c>
      <c r="Y111" s="448">
        <f t="shared" si="203"/>
        <v>6.218085696038974E-2</v>
      </c>
      <c r="Z111" s="472">
        <v>0.02</v>
      </c>
      <c r="AB111" s="448">
        <f>$L111*(1+$AH111)</f>
        <v>5.5766969715645563E-2</v>
      </c>
      <c r="AC111" s="448">
        <f>AB111*(1+$AH111)</f>
        <v>5.6324639412802018E-2</v>
      </c>
      <c r="AD111" s="448">
        <f t="shared" ref="AD111:AF111" si="204">AC111*(1+$AH111)</f>
        <v>5.6887885806930036E-2</v>
      </c>
      <c r="AE111" s="448">
        <f t="shared" si="204"/>
        <v>5.7456764664999334E-2</v>
      </c>
      <c r="AF111" s="448">
        <f t="shared" si="204"/>
        <v>5.8031332311649329E-2</v>
      </c>
      <c r="AG111" s="448">
        <f>AF111*(1+$AH111)</f>
        <v>5.861164563476582E-2</v>
      </c>
      <c r="AH111" s="472">
        <v>0.01</v>
      </c>
      <c r="AJ111" s="448">
        <f>$L111*(1+$AP111)</f>
        <v>5.5214821500639173E-2</v>
      </c>
      <c r="AK111" s="448">
        <f>AJ111*(1+$AP111)</f>
        <v>5.5214821500639173E-2</v>
      </c>
      <c r="AL111" s="448">
        <f t="shared" ref="AL111:AM111" si="205">AK111*(1+$AP111)</f>
        <v>5.5214821500639173E-2</v>
      </c>
      <c r="AM111" s="448">
        <f t="shared" si="205"/>
        <v>5.5214821500639173E-2</v>
      </c>
      <c r="AN111" s="448">
        <f>AM111*(1+$AP111)</f>
        <v>5.5214821500639173E-2</v>
      </c>
      <c r="AO111" s="448">
        <f t="shared" ref="AO111" si="206">AN111*(1+$AP111)</f>
        <v>5.5214821500639173E-2</v>
      </c>
      <c r="AP111" s="472">
        <v>0</v>
      </c>
    </row>
    <row r="112" spans="1:42" outlineLevel="3">
      <c r="D112" s="27" t="s">
        <v>25</v>
      </c>
      <c r="E112" s="28"/>
      <c r="F112" s="28"/>
      <c r="G112" s="28"/>
      <c r="H112" s="50" t="str">
        <f>IFERROR(H118/H106,"NA")</f>
        <v>NA</v>
      </c>
      <c r="I112" s="50" t="str">
        <f t="shared" ref="I112:K112" si="207">IFERROR(I118/I106,"NA")</f>
        <v>NA</v>
      </c>
      <c r="J112" s="50" t="str">
        <f t="shared" si="207"/>
        <v>NA</v>
      </c>
      <c r="K112" s="51" t="str">
        <f t="shared" si="207"/>
        <v>NA</v>
      </c>
      <c r="L112" s="81"/>
      <c r="M112" s="442"/>
      <c r="N112" s="442"/>
      <c r="O112" s="442"/>
      <c r="P112" s="442"/>
      <c r="Q112" s="442"/>
      <c r="R112" s="443"/>
    </row>
    <row r="113" spans="1:41" outlineLevel="3">
      <c r="D113" s="31" t="s">
        <v>26</v>
      </c>
      <c r="H113" s="52">
        <f t="shared" ref="H113:K113" si="208">IFERROR(H119/H107,"NA")</f>
        <v>0.19538334707337179</v>
      </c>
      <c r="I113" s="52">
        <f t="shared" si="208"/>
        <v>0.19839679358717435</v>
      </c>
      <c r="J113" s="52">
        <f t="shared" si="208"/>
        <v>0.1958238564569118</v>
      </c>
      <c r="K113" s="53">
        <f t="shared" si="208"/>
        <v>0.16096245372818616</v>
      </c>
      <c r="L113" s="82">
        <f>K113</f>
        <v>0.16096245372818616</v>
      </c>
      <c r="M113" s="444"/>
      <c r="N113" s="444"/>
      <c r="O113" s="444"/>
      <c r="P113" s="444"/>
      <c r="Q113" s="444"/>
      <c r="R113" s="445"/>
    </row>
    <row r="114" spans="1:41" outlineLevel="3">
      <c r="D114" s="31" t="s">
        <v>27</v>
      </c>
      <c r="H114" s="52">
        <f t="shared" ref="H114:K114" si="209">IFERROR(H120/H108,"NA")</f>
        <v>7.8212761258866018E-2</v>
      </c>
      <c r="I114" s="52">
        <f t="shared" si="209"/>
        <v>0.11842375316412397</v>
      </c>
      <c r="J114" s="52">
        <f t="shared" si="209"/>
        <v>0.15909504502209248</v>
      </c>
      <c r="K114" s="53">
        <f t="shared" si="209"/>
        <v>0.14334026654340959</v>
      </c>
      <c r="L114" s="82">
        <f t="shared" ref="L114:L115" si="210">K114</f>
        <v>0.14334026654340959</v>
      </c>
      <c r="M114" s="444"/>
      <c r="N114" s="444"/>
      <c r="O114" s="444"/>
      <c r="P114" s="444"/>
      <c r="Q114" s="444"/>
      <c r="R114" s="445"/>
    </row>
    <row r="115" spans="1:41" outlineLevel="3">
      <c r="D115" s="31" t="s">
        <v>28</v>
      </c>
      <c r="H115" s="52">
        <f t="shared" ref="H115:K115" si="211">IFERROR(H121/H109,"NA")</f>
        <v>3.3623282562140575E-2</v>
      </c>
      <c r="I115" s="52">
        <f t="shared" si="211"/>
        <v>3.6133918773360536E-2</v>
      </c>
      <c r="J115" s="52">
        <f t="shared" si="211"/>
        <v>3.5444486084538158E-2</v>
      </c>
      <c r="K115" s="53">
        <f t="shared" si="211"/>
        <v>3.6581719749113506E-2</v>
      </c>
      <c r="L115" s="82">
        <f t="shared" si="210"/>
        <v>3.6581719749113506E-2</v>
      </c>
      <c r="M115" s="444"/>
      <c r="N115" s="444"/>
      <c r="O115" s="444"/>
      <c r="P115" s="444"/>
      <c r="Q115" s="444"/>
      <c r="R115" s="445"/>
    </row>
    <row r="116" spans="1:41" ht="15" outlineLevel="3" thickBot="1">
      <c r="C116" s="37"/>
      <c r="D116" s="38" t="s">
        <v>29</v>
      </c>
      <c r="E116" s="37"/>
      <c r="F116" s="37"/>
      <c r="G116" s="37"/>
      <c r="H116" s="54">
        <f t="shared" ref="H116:K116" si="212">IFERROR(H122/H110,"NA")</f>
        <v>1.0583616949574499E-2</v>
      </c>
      <c r="I116" s="54">
        <f t="shared" si="212"/>
        <v>1.0583760154593723E-2</v>
      </c>
      <c r="J116" s="54">
        <f t="shared" si="212"/>
        <v>9.0649506953951204E-3</v>
      </c>
      <c r="K116" s="55">
        <f t="shared" si="212"/>
        <v>0.10022389042539182</v>
      </c>
      <c r="L116" s="86">
        <f>K116</f>
        <v>0.10022389042539182</v>
      </c>
      <c r="M116" s="446"/>
      <c r="N116" s="446"/>
      <c r="O116" s="446"/>
      <c r="P116" s="446"/>
      <c r="Q116" s="446"/>
      <c r="R116" s="447"/>
    </row>
    <row r="117" spans="1:41" outlineLevel="3">
      <c r="C117" s="18" t="s">
        <v>33</v>
      </c>
      <c r="H117" s="23">
        <f>SUM(H118:H122)</f>
        <v>86534</v>
      </c>
      <c r="I117" s="23">
        <f t="shared" ref="I117" si="213">SUM(I118:I122)</f>
        <v>49036</v>
      </c>
      <c r="J117" s="23">
        <f t="shared" ref="J117" si="214">SUM(J118:J122)</f>
        <v>82152</v>
      </c>
      <c r="K117" s="23">
        <f t="shared" ref="K117" si="215">SUM(K118:K122)</f>
        <v>83319</v>
      </c>
      <c r="L117" s="23">
        <f>SUM(L118:L122)</f>
        <v>99982.8</v>
      </c>
      <c r="M117" s="23">
        <f>M105*M111</f>
        <v>100982.62800000001</v>
      </c>
      <c r="N117" s="23">
        <f t="shared" ref="N117:R117" si="216">N105*N111</f>
        <v>100972.52973720001</v>
      </c>
      <c r="O117" s="23">
        <f t="shared" si="216"/>
        <v>100962.43248422629</v>
      </c>
      <c r="P117" s="23">
        <f t="shared" si="216"/>
        <v>100952.33624097786</v>
      </c>
      <c r="Q117" s="23">
        <f t="shared" si="216"/>
        <v>100942.24100735376</v>
      </c>
      <c r="R117" s="23">
        <f t="shared" si="216"/>
        <v>100932.14678325303</v>
      </c>
    </row>
    <row r="118" spans="1:41" outlineLevel="3">
      <c r="D118" s="27" t="s">
        <v>25</v>
      </c>
      <c r="E118" s="28"/>
      <c r="F118" s="28"/>
      <c r="G118" s="28"/>
      <c r="H118" s="45"/>
      <c r="I118" s="45"/>
      <c r="J118" s="45"/>
      <c r="K118" s="46"/>
      <c r="L118" s="83">
        <f>L112*L106</f>
        <v>0</v>
      </c>
      <c r="M118" s="436"/>
      <c r="N118" s="436"/>
      <c r="O118" s="436"/>
      <c r="P118" s="436"/>
      <c r="Q118" s="436"/>
      <c r="R118" s="437"/>
    </row>
    <row r="119" spans="1:41" outlineLevel="3">
      <c r="D119" s="31" t="s">
        <v>26</v>
      </c>
      <c r="H119" s="400">
        <v>237</v>
      </c>
      <c r="I119" s="400">
        <v>396</v>
      </c>
      <c r="J119" s="400">
        <v>6199</v>
      </c>
      <c r="K119" s="401">
        <v>7609.5</v>
      </c>
      <c r="L119" s="84">
        <f>L107*L113</f>
        <v>9131.4000000000015</v>
      </c>
      <c r="M119" s="438"/>
      <c r="N119" s="438"/>
      <c r="O119" s="438"/>
      <c r="P119" s="438"/>
      <c r="Q119" s="438"/>
      <c r="R119" s="439"/>
    </row>
    <row r="120" spans="1:41" outlineLevel="3">
      <c r="D120" s="31" t="s">
        <v>27</v>
      </c>
      <c r="H120" s="400">
        <v>26917</v>
      </c>
      <c r="I120" s="400">
        <v>15579</v>
      </c>
      <c r="J120" s="400">
        <v>21856</v>
      </c>
      <c r="K120" s="401">
        <v>27910.5</v>
      </c>
      <c r="L120" s="84">
        <f t="shared" ref="L120" si="217">L108*L114</f>
        <v>33492.6</v>
      </c>
      <c r="M120" s="438"/>
      <c r="N120" s="438"/>
      <c r="O120" s="438"/>
      <c r="P120" s="438"/>
      <c r="Q120" s="438"/>
      <c r="R120" s="439"/>
    </row>
    <row r="121" spans="1:41" outlineLevel="3">
      <c r="D121" s="31" t="s">
        <v>28</v>
      </c>
      <c r="H121" s="400">
        <v>55894</v>
      </c>
      <c r="I121" s="400">
        <v>28548</v>
      </c>
      <c r="J121" s="400">
        <v>50316</v>
      </c>
      <c r="K121" s="401">
        <v>45516</v>
      </c>
      <c r="L121" s="84">
        <f t="shared" ref="L121" si="218">L109*L115</f>
        <v>54619.199999999997</v>
      </c>
      <c r="M121" s="438"/>
      <c r="N121" s="438"/>
      <c r="O121" s="438"/>
      <c r="P121" s="438"/>
      <c r="Q121" s="438"/>
      <c r="R121" s="439"/>
    </row>
    <row r="122" spans="1:41" outlineLevel="3">
      <c r="D122" s="33" t="s">
        <v>29</v>
      </c>
      <c r="E122" s="34"/>
      <c r="F122" s="34"/>
      <c r="G122" s="34"/>
      <c r="H122" s="402">
        <v>3486</v>
      </c>
      <c r="I122" s="402">
        <v>4513</v>
      </c>
      <c r="J122" s="402">
        <v>3781</v>
      </c>
      <c r="K122" s="403">
        <v>2283</v>
      </c>
      <c r="L122" s="85">
        <f>L110*L116</f>
        <v>2739.6</v>
      </c>
      <c r="M122" s="440"/>
      <c r="N122" s="440"/>
      <c r="O122" s="440"/>
      <c r="P122" s="440"/>
      <c r="Q122" s="440"/>
      <c r="R122" s="441"/>
    </row>
    <row r="123" spans="1:41" outlineLevel="3">
      <c r="H123" s="43"/>
      <c r="I123" s="43"/>
      <c r="J123" s="43"/>
      <c r="K123" s="43"/>
    </row>
    <row r="124" spans="1:41" ht="15" outlineLevel="3" thickBot="1">
      <c r="C124" s="37" t="s">
        <v>34</v>
      </c>
      <c r="D124" s="37"/>
      <c r="E124" s="37"/>
      <c r="F124" s="37"/>
      <c r="G124" s="37"/>
      <c r="H124" s="404">
        <v>-74917</v>
      </c>
      <c r="I124" s="404">
        <v>-45164</v>
      </c>
      <c r="J124" s="404">
        <v>-59492</v>
      </c>
      <c r="K124" s="404">
        <v>-59645.4</v>
      </c>
      <c r="L124" s="39">
        <f>L125-L117</f>
        <v>-71574.48000000001</v>
      </c>
      <c r="M124" s="39">
        <f t="shared" ref="M124:R124" si="219">M125-M117</f>
        <v>-72303.561648000003</v>
      </c>
      <c r="N124" s="39">
        <f t="shared" si="219"/>
        <v>-72296.331291835202</v>
      </c>
      <c r="O124" s="39">
        <f t="shared" si="219"/>
        <v>-72289.101658706029</v>
      </c>
      <c r="P124" s="39">
        <f t="shared" si="219"/>
        <v>-72281.872748540161</v>
      </c>
      <c r="Q124" s="39">
        <f t="shared" si="219"/>
        <v>-72274.644561265304</v>
      </c>
      <c r="R124" s="39">
        <f t="shared" si="219"/>
        <v>-72267.417096809178</v>
      </c>
    </row>
    <row r="125" spans="1:41" outlineLevel="3">
      <c r="C125" s="18" t="s">
        <v>36</v>
      </c>
      <c r="D125" s="18"/>
      <c r="E125" s="18"/>
      <c r="F125" s="18"/>
      <c r="G125" s="18"/>
      <c r="H125" s="23">
        <f>H124+H117</f>
        <v>11617</v>
      </c>
      <c r="I125" s="23">
        <f t="shared" ref="I125" si="220">I124+I117</f>
        <v>3872</v>
      </c>
      <c r="J125" s="23">
        <f t="shared" ref="J125" si="221">J124+J117</f>
        <v>22660</v>
      </c>
      <c r="K125" s="23">
        <f t="shared" ref="K125" si="222">K124+K117</f>
        <v>23673.599999999999</v>
      </c>
      <c r="L125" s="23">
        <f>L126*L117</f>
        <v>28408.319999999996</v>
      </c>
      <c r="M125" s="23">
        <f t="shared" ref="M125:R125" si="223">M126*M117</f>
        <v>28679.066352000002</v>
      </c>
      <c r="N125" s="23">
        <f t="shared" si="223"/>
        <v>28676.1984453648</v>
      </c>
      <c r="O125" s="23">
        <f t="shared" si="223"/>
        <v>28673.330825520265</v>
      </c>
      <c r="P125" s="23">
        <f t="shared" si="223"/>
        <v>28670.46349243771</v>
      </c>
      <c r="Q125" s="23">
        <f t="shared" si="223"/>
        <v>28667.596446088464</v>
      </c>
      <c r="R125" s="23">
        <f t="shared" si="223"/>
        <v>28664.729686443858</v>
      </c>
    </row>
    <row r="126" spans="1:41" outlineLevel="3">
      <c r="C126" s="22" t="s">
        <v>19</v>
      </c>
      <c r="D126" s="22"/>
      <c r="E126" s="22"/>
      <c r="F126" s="22"/>
      <c r="G126" s="22"/>
      <c r="H126" s="56">
        <f>IFERROR(H125/H117,"NA")</f>
        <v>0.13424781010932119</v>
      </c>
      <c r="I126" s="56">
        <f t="shared" ref="I126" si="224">IFERROR(I125/I117,"NA")</f>
        <v>7.8962394975120323E-2</v>
      </c>
      <c r="J126" s="56">
        <f t="shared" ref="J126" si="225">IFERROR(J125/J117,"NA")</f>
        <v>0.27583016846820529</v>
      </c>
      <c r="K126" s="56">
        <f t="shared" ref="K126" si="226">IFERROR(K125/K117,"NA")</f>
        <v>0.28413207071616314</v>
      </c>
      <c r="L126" s="79">
        <f>K126</f>
        <v>0.28413207071616314</v>
      </c>
      <c r="M126" s="65">
        <f t="shared" ref="M126:R126" si="227">CHOOSE(case,T126,AB126,AJ126)</f>
        <v>0.28399999999999997</v>
      </c>
      <c r="N126" s="65">
        <f t="shared" si="227"/>
        <v>0.28399999999999997</v>
      </c>
      <c r="O126" s="65">
        <f t="shared" si="227"/>
        <v>0.28399999999999997</v>
      </c>
      <c r="P126" s="65">
        <f t="shared" si="227"/>
        <v>0.28399999999999997</v>
      </c>
      <c r="Q126" s="65">
        <f t="shared" si="227"/>
        <v>0.28399999999999997</v>
      </c>
      <c r="R126" s="65">
        <f t="shared" si="227"/>
        <v>0.28399999999999997</v>
      </c>
      <c r="T126" s="471">
        <f>AB126+1%</f>
        <v>0.29399999999999998</v>
      </c>
      <c r="U126" s="79">
        <f t="shared" ref="U126" si="228">T126</f>
        <v>0.29399999999999998</v>
      </c>
      <c r="V126" s="79">
        <f t="shared" ref="V126" si="229">U126</f>
        <v>0.29399999999999998</v>
      </c>
      <c r="W126" s="79">
        <f t="shared" ref="W126" si="230">V126</f>
        <v>0.29399999999999998</v>
      </c>
      <c r="X126" s="79">
        <f t="shared" ref="X126" si="231">W126</f>
        <v>0.29399999999999998</v>
      </c>
      <c r="Y126" s="79">
        <f t="shared" ref="Y126" si="232">X126</f>
        <v>0.29399999999999998</v>
      </c>
      <c r="AB126" s="471">
        <v>0.28399999999999997</v>
      </c>
      <c r="AC126" s="79">
        <f t="shared" ref="AC126" si="233">AB126</f>
        <v>0.28399999999999997</v>
      </c>
      <c r="AD126" s="79">
        <f t="shared" ref="AD126" si="234">AC126</f>
        <v>0.28399999999999997</v>
      </c>
      <c r="AE126" s="79">
        <f t="shared" ref="AE126" si="235">AD126</f>
        <v>0.28399999999999997</v>
      </c>
      <c r="AF126" s="79">
        <f t="shared" ref="AF126" si="236">AE126</f>
        <v>0.28399999999999997</v>
      </c>
      <c r="AG126" s="79">
        <f t="shared" ref="AG126" si="237">AF126</f>
        <v>0.28399999999999997</v>
      </c>
      <c r="AJ126" s="471">
        <f>AB126-1%</f>
        <v>0.27399999999999997</v>
      </c>
      <c r="AK126" s="79">
        <f t="shared" ref="AK126" si="238">AJ126</f>
        <v>0.27399999999999997</v>
      </c>
      <c r="AL126" s="79">
        <f t="shared" ref="AL126" si="239">AK126</f>
        <v>0.27399999999999997</v>
      </c>
      <c r="AM126" s="79">
        <f t="shared" ref="AM126" si="240">AL126</f>
        <v>0.27399999999999997</v>
      </c>
      <c r="AN126" s="79">
        <f t="shared" ref="AN126" si="241">AM126</f>
        <v>0.27399999999999997</v>
      </c>
      <c r="AO126" s="79">
        <f t="shared" ref="AO126" si="242">AN126</f>
        <v>0.27399999999999997</v>
      </c>
    </row>
    <row r="127" spans="1:41" outlineLevel="3"/>
    <row r="128" spans="1:41" s="26" customFormat="1" outlineLevel="3">
      <c r="A128" s="26" t="s">
        <v>8</v>
      </c>
      <c r="C128" s="26" t="s">
        <v>41</v>
      </c>
    </row>
    <row r="129" spans="3:42" outlineLevel="3"/>
    <row r="130" spans="3:42" s="18" customFormat="1" outlineLevel="3">
      <c r="C130" s="18" t="s">
        <v>24</v>
      </c>
      <c r="H130" s="23">
        <f>SUM(H131:H135)</f>
        <v>0</v>
      </c>
      <c r="I130" s="23">
        <f t="shared" ref="I130" si="243">SUM(I131:I135)</f>
        <v>7468</v>
      </c>
      <c r="J130" s="23">
        <f t="shared" ref="J130" si="244">SUM(J131:J135)</f>
        <v>149753</v>
      </c>
      <c r="K130" s="23">
        <f t="shared" ref="K130" si="245">SUM(K131:K135)</f>
        <v>356119</v>
      </c>
      <c r="L130" s="23">
        <f>SUM(L131:L135)</f>
        <v>427342.80000000005</v>
      </c>
      <c r="M130" s="23">
        <f t="shared" ref="M130:R130" si="246">CHOOSE(case,T130,AB130,AJ130)</f>
        <v>427342.80000000005</v>
      </c>
      <c r="N130" s="23">
        <f t="shared" si="246"/>
        <v>423069.37200000003</v>
      </c>
      <c r="O130" s="23">
        <f t="shared" si="246"/>
        <v>418838.67828000005</v>
      </c>
      <c r="P130" s="23">
        <f t="shared" si="246"/>
        <v>414650.29149720003</v>
      </c>
      <c r="Q130" s="23">
        <f t="shared" si="246"/>
        <v>410503.78858222801</v>
      </c>
      <c r="R130" s="23">
        <f t="shared" si="246"/>
        <v>406398.75069640571</v>
      </c>
      <c r="T130" s="20">
        <f>$L130*(1+$Z130)</f>
        <v>427342.80000000005</v>
      </c>
      <c r="U130" s="20">
        <f>T130*(1+$Z130)</f>
        <v>427342.80000000005</v>
      </c>
      <c r="V130" s="20">
        <f t="shared" ref="V130:Y130" si="247">U130*(1+$Z130)</f>
        <v>427342.80000000005</v>
      </c>
      <c r="W130" s="20">
        <f t="shared" si="247"/>
        <v>427342.80000000005</v>
      </c>
      <c r="X130" s="20">
        <f t="shared" si="247"/>
        <v>427342.80000000005</v>
      </c>
      <c r="Y130" s="20">
        <f t="shared" si="247"/>
        <v>427342.80000000005</v>
      </c>
      <c r="Z130" s="472">
        <f>'回报测算-EVEBITDA（核心假设）'!I200</f>
        <v>0</v>
      </c>
      <c r="AA130" s="1"/>
      <c r="AB130" s="20">
        <f>$L130*(1+$AH130+1%)</f>
        <v>427342.80000000005</v>
      </c>
      <c r="AC130" s="20">
        <f>AB130*(1+$AH130)</f>
        <v>423069.37200000003</v>
      </c>
      <c r="AD130" s="20">
        <f t="shared" ref="AD130" si="248">AC130*(1+$AH130)</f>
        <v>418838.67828000005</v>
      </c>
      <c r="AE130" s="20">
        <f>AD130*(1+$AH130)</f>
        <v>414650.29149720003</v>
      </c>
      <c r="AF130" s="20">
        <f t="shared" ref="AF130" si="249">AE130*(1+$AH130)</f>
        <v>410503.78858222801</v>
      </c>
      <c r="AG130" s="20">
        <f>AF130*(1+$AH130)</f>
        <v>406398.75069640571</v>
      </c>
      <c r="AH130" s="472">
        <f>'回报测算-EVEBITDA（核心假设）'!I201-1%</f>
        <v>-0.01</v>
      </c>
      <c r="AI130" s="1"/>
      <c r="AJ130" s="20">
        <f>$L130*(1+$AP130)</f>
        <v>427342.80000000005</v>
      </c>
      <c r="AK130" s="20">
        <f>AJ130*(1+$AP130)</f>
        <v>427342.80000000005</v>
      </c>
      <c r="AL130" s="20">
        <f t="shared" ref="AL130:AM130" si="250">AK130*(1+$AP130)</f>
        <v>427342.80000000005</v>
      </c>
      <c r="AM130" s="20">
        <f t="shared" si="250"/>
        <v>427342.80000000005</v>
      </c>
      <c r="AN130" s="20">
        <f>AM130*(1+$AP130)</f>
        <v>427342.80000000005</v>
      </c>
      <c r="AO130" s="20">
        <f t="shared" ref="AO130" si="251">AN130*(1+$AP130)</f>
        <v>427342.80000000005</v>
      </c>
      <c r="AP130" s="472">
        <f>'回报测算-EVEBITDA（核心假设）'!I202</f>
        <v>0</v>
      </c>
    </row>
    <row r="131" spans="3:42" outlineLevel="3">
      <c r="D131" s="27" t="s">
        <v>25</v>
      </c>
      <c r="E131" s="28"/>
      <c r="F131" s="28"/>
      <c r="G131" s="28"/>
      <c r="H131" s="398"/>
      <c r="I131" s="398"/>
      <c r="J131" s="398">
        <v>15154</v>
      </c>
      <c r="K131" s="399">
        <v>31088</v>
      </c>
      <c r="L131" s="159">
        <f>K131*1.2</f>
        <v>37305.599999999999</v>
      </c>
      <c r="M131" s="436"/>
      <c r="N131" s="436"/>
      <c r="O131" s="436"/>
      <c r="P131" s="436"/>
      <c r="Q131" s="436"/>
      <c r="R131" s="437"/>
    </row>
    <row r="132" spans="3:42" outlineLevel="3">
      <c r="D132" s="31" t="s">
        <v>26</v>
      </c>
      <c r="H132" s="400"/>
      <c r="I132" s="400">
        <v>7468</v>
      </c>
      <c r="J132" s="400">
        <v>30658</v>
      </c>
      <c r="K132" s="401">
        <v>50475</v>
      </c>
      <c r="L132" s="162">
        <f t="shared" ref="L132:L135" si="252">K132*1.2</f>
        <v>60570</v>
      </c>
      <c r="M132" s="438"/>
      <c r="N132" s="438"/>
      <c r="O132" s="438"/>
      <c r="P132" s="438"/>
      <c r="Q132" s="438"/>
      <c r="R132" s="439"/>
    </row>
    <row r="133" spans="3:42" outlineLevel="3">
      <c r="D133" s="31" t="s">
        <v>27</v>
      </c>
      <c r="H133" s="400"/>
      <c r="I133" s="400"/>
      <c r="J133" s="400">
        <v>50119</v>
      </c>
      <c r="K133" s="401">
        <v>199134</v>
      </c>
      <c r="L133" s="162">
        <f t="shared" si="252"/>
        <v>238960.8</v>
      </c>
      <c r="M133" s="438"/>
      <c r="N133" s="438"/>
      <c r="O133" s="438"/>
      <c r="P133" s="438"/>
      <c r="Q133" s="438"/>
      <c r="R133" s="439"/>
    </row>
    <row r="134" spans="3:42" outlineLevel="3">
      <c r="D134" s="31" t="s">
        <v>28</v>
      </c>
      <c r="H134" s="400"/>
      <c r="I134" s="400"/>
      <c r="J134" s="400">
        <v>53822</v>
      </c>
      <c r="K134" s="401">
        <v>75422</v>
      </c>
      <c r="L134" s="162">
        <f t="shared" si="252"/>
        <v>90506.4</v>
      </c>
      <c r="M134" s="438"/>
      <c r="N134" s="438"/>
      <c r="O134" s="438"/>
      <c r="P134" s="438"/>
      <c r="Q134" s="438"/>
      <c r="R134" s="439"/>
    </row>
    <row r="135" spans="3:42" outlineLevel="3">
      <c r="D135" s="33" t="s">
        <v>29</v>
      </c>
      <c r="E135" s="34"/>
      <c r="F135" s="34"/>
      <c r="G135" s="34"/>
      <c r="H135" s="402"/>
      <c r="I135" s="402"/>
      <c r="J135" s="402"/>
      <c r="K135" s="403"/>
      <c r="L135" s="163">
        <f t="shared" si="252"/>
        <v>0</v>
      </c>
      <c r="M135" s="440"/>
      <c r="N135" s="440"/>
      <c r="O135" s="440"/>
      <c r="P135" s="440"/>
      <c r="Q135" s="440"/>
      <c r="R135" s="441"/>
      <c r="AB135" s="448"/>
      <c r="AC135" s="448"/>
      <c r="AD135" s="448"/>
      <c r="AE135" s="448"/>
      <c r="AF135" s="448"/>
      <c r="AG135" s="448"/>
    </row>
    <row r="136" spans="3:42" outlineLevel="3">
      <c r="C136" s="1" t="s">
        <v>31</v>
      </c>
      <c r="H136" s="47" t="str">
        <f>IFERROR(H142/H130,"NA")</f>
        <v>NA</v>
      </c>
      <c r="I136" s="50">
        <f t="shared" ref="I136:K136" si="253">IFERROR(I142/I130,"NA")</f>
        <v>0.14167113015532939</v>
      </c>
      <c r="J136" s="50">
        <f t="shared" si="253"/>
        <v>9.7165332247100222E-2</v>
      </c>
      <c r="K136" s="50">
        <f t="shared" si="253"/>
        <v>7.6943381285469181E-2</v>
      </c>
      <c r="L136" s="57">
        <f>IFERROR(L142/L130,"NA")</f>
        <v>7.6943381285469167E-2</v>
      </c>
      <c r="M136" s="57">
        <f t="shared" ref="M136:R136" si="254">CHOOSE(case,T136,AB136,AJ136)</f>
        <v>7.7712815098323854E-2</v>
      </c>
      <c r="N136" s="57">
        <f t="shared" si="254"/>
        <v>7.8489943249307095E-2</v>
      </c>
      <c r="O136" s="57">
        <f t="shared" si="254"/>
        <v>7.927484268180017E-2</v>
      </c>
      <c r="P136" s="57">
        <f t="shared" si="254"/>
        <v>8.0067591108618177E-2</v>
      </c>
      <c r="Q136" s="57">
        <f t="shared" si="254"/>
        <v>8.0868267019704357E-2</v>
      </c>
      <c r="R136" s="57">
        <f t="shared" si="254"/>
        <v>8.1676949689901399E-2</v>
      </c>
      <c r="T136" s="448">
        <f>$L136*(1+$Z136)</f>
        <v>7.8482248911178554E-2</v>
      </c>
      <c r="U136" s="448">
        <f>T136*(1+$Z136)</f>
        <v>8.005189388940212E-2</v>
      </c>
      <c r="V136" s="448">
        <f t="shared" ref="V136:Y136" si="255">U136*(1+$Z136)</f>
        <v>8.1652931767190171E-2</v>
      </c>
      <c r="W136" s="448">
        <f t="shared" si="255"/>
        <v>8.3285990402533969E-2</v>
      </c>
      <c r="X136" s="448">
        <f t="shared" si="255"/>
        <v>8.4951710210584647E-2</v>
      </c>
      <c r="Y136" s="448">
        <f t="shared" si="255"/>
        <v>8.6650744414796338E-2</v>
      </c>
      <c r="Z136" s="472">
        <v>0.02</v>
      </c>
      <c r="AB136" s="448">
        <f>$L136*(1+$AH136)</f>
        <v>7.7712815098323854E-2</v>
      </c>
      <c r="AC136" s="448">
        <f>AB136*(1+$AH136)</f>
        <v>7.8489943249307095E-2</v>
      </c>
      <c r="AD136" s="448">
        <f t="shared" ref="AD136:AF136" si="256">AC136*(1+$AH136)</f>
        <v>7.927484268180017E-2</v>
      </c>
      <c r="AE136" s="448">
        <f t="shared" si="256"/>
        <v>8.0067591108618177E-2</v>
      </c>
      <c r="AF136" s="448">
        <f t="shared" si="256"/>
        <v>8.0868267019704357E-2</v>
      </c>
      <c r="AG136" s="448">
        <f>AF136*(1+$AH136)</f>
        <v>8.1676949689901399E-2</v>
      </c>
      <c r="AH136" s="472">
        <v>0.01</v>
      </c>
      <c r="AJ136" s="448">
        <f>$L136*(1+$AP136)</f>
        <v>7.6943381285469167E-2</v>
      </c>
      <c r="AK136" s="448">
        <f>AJ136*(1+$AP136)</f>
        <v>7.6943381285469167E-2</v>
      </c>
      <c r="AL136" s="448">
        <f t="shared" ref="AL136:AM136" si="257">AK136*(1+$AP136)</f>
        <v>7.6943381285469167E-2</v>
      </c>
      <c r="AM136" s="448">
        <f t="shared" si="257"/>
        <v>7.6943381285469167E-2</v>
      </c>
      <c r="AN136" s="448">
        <f>AM136*(1+$AP136)</f>
        <v>7.6943381285469167E-2</v>
      </c>
      <c r="AO136" s="448">
        <f t="shared" ref="AO136" si="258">AN136*(1+$AP136)</f>
        <v>7.6943381285469167E-2</v>
      </c>
      <c r="AP136" s="472">
        <v>0</v>
      </c>
    </row>
    <row r="137" spans="3:42" outlineLevel="3">
      <c r="D137" s="27" t="s">
        <v>25</v>
      </c>
      <c r="E137" s="28"/>
      <c r="F137" s="28"/>
      <c r="G137" s="28"/>
      <c r="H137" s="47" t="str">
        <f>IFERROR(H143/H131,"NA")</f>
        <v>NA</v>
      </c>
      <c r="I137" s="50" t="str">
        <f t="shared" ref="I137:K137" si="259">IFERROR(I143/I131,"NA")</f>
        <v>NA</v>
      </c>
      <c r="J137" s="50">
        <f t="shared" si="259"/>
        <v>0.10347103075095684</v>
      </c>
      <c r="K137" s="51">
        <f t="shared" si="259"/>
        <v>9.109624292331446E-2</v>
      </c>
      <c r="L137" s="81">
        <f>K137</f>
        <v>9.109624292331446E-2</v>
      </c>
      <c r="M137" s="442"/>
      <c r="N137" s="442"/>
      <c r="O137" s="442"/>
      <c r="P137" s="442"/>
      <c r="Q137" s="442"/>
      <c r="R137" s="443"/>
    </row>
    <row r="138" spans="3:42" outlineLevel="3">
      <c r="D138" s="31" t="s">
        <v>26</v>
      </c>
      <c r="H138" s="48" t="str">
        <f t="shared" ref="H138:K138" si="260">IFERROR(H144/H132,"NA")</f>
        <v>NA</v>
      </c>
      <c r="I138" s="52">
        <f t="shared" si="260"/>
        <v>0.14167113015532939</v>
      </c>
      <c r="J138" s="52">
        <f t="shared" si="260"/>
        <v>0.13661686998499575</v>
      </c>
      <c r="K138" s="53">
        <f t="shared" si="260"/>
        <v>0.14137691926696383</v>
      </c>
      <c r="L138" s="82">
        <f>K138</f>
        <v>0.14137691926696383</v>
      </c>
      <c r="M138" s="444"/>
      <c r="N138" s="444"/>
      <c r="O138" s="444"/>
      <c r="P138" s="444"/>
      <c r="Q138" s="444"/>
      <c r="R138" s="445"/>
    </row>
    <row r="139" spans="3:42" outlineLevel="3">
      <c r="D139" s="31" t="s">
        <v>27</v>
      </c>
      <c r="H139" s="48" t="str">
        <f t="shared" ref="H139:K139" si="261">IFERROR(H145/H133,"NA")</f>
        <v>NA</v>
      </c>
      <c r="I139" s="52" t="str">
        <f t="shared" si="261"/>
        <v>NA</v>
      </c>
      <c r="J139" s="52">
        <f t="shared" si="261"/>
        <v>7.6058979628484208E-2</v>
      </c>
      <c r="K139" s="53">
        <f t="shared" si="261"/>
        <v>5.7935862283688369E-2</v>
      </c>
      <c r="L139" s="82">
        <f t="shared" ref="L139:L140" si="262">K139</f>
        <v>5.7935862283688369E-2</v>
      </c>
      <c r="M139" s="444"/>
      <c r="N139" s="444"/>
      <c r="O139" s="444"/>
      <c r="P139" s="444"/>
      <c r="Q139" s="444"/>
      <c r="R139" s="445"/>
    </row>
    <row r="140" spans="3:42" outlineLevel="3">
      <c r="D140" s="31" t="s">
        <v>28</v>
      </c>
      <c r="H140" s="48" t="str">
        <f t="shared" ref="H140:K140" si="263">IFERROR(H146/H134,"NA")</f>
        <v>NA</v>
      </c>
      <c r="I140" s="52" t="str">
        <f t="shared" si="263"/>
        <v>NA</v>
      </c>
      <c r="J140" s="52">
        <f t="shared" si="263"/>
        <v>9.2571810783694392E-2</v>
      </c>
      <c r="K140" s="53">
        <f t="shared" si="263"/>
        <v>7.8173477234759092E-2</v>
      </c>
      <c r="L140" s="82">
        <f t="shared" si="262"/>
        <v>7.8173477234759092E-2</v>
      </c>
      <c r="M140" s="444"/>
      <c r="N140" s="444"/>
      <c r="O140" s="444"/>
      <c r="P140" s="444"/>
      <c r="Q140" s="444"/>
      <c r="R140" s="445"/>
    </row>
    <row r="141" spans="3:42" ht="15" outlineLevel="3" thickBot="1">
      <c r="C141" s="37"/>
      <c r="D141" s="38" t="s">
        <v>29</v>
      </c>
      <c r="E141" s="37"/>
      <c r="F141" s="37"/>
      <c r="G141" s="37"/>
      <c r="H141" s="49" t="str">
        <f t="shared" ref="H141:K141" si="264">IFERROR(H147/H135,"NA")</f>
        <v>NA</v>
      </c>
      <c r="I141" s="54" t="str">
        <f t="shared" si="264"/>
        <v>NA</v>
      </c>
      <c r="J141" s="54" t="str">
        <f t="shared" si="264"/>
        <v>NA</v>
      </c>
      <c r="K141" s="55" t="str">
        <f t="shared" si="264"/>
        <v>NA</v>
      </c>
      <c r="L141" s="86"/>
      <c r="M141" s="446"/>
      <c r="N141" s="446"/>
      <c r="O141" s="446"/>
      <c r="P141" s="446"/>
      <c r="Q141" s="446"/>
      <c r="R141" s="447"/>
    </row>
    <row r="142" spans="3:42" outlineLevel="3">
      <c r="C142" s="18" t="s">
        <v>33</v>
      </c>
      <c r="H142" s="23">
        <f>SUM(H143:H147)</f>
        <v>0</v>
      </c>
      <c r="I142" s="23">
        <f t="shared" ref="I142" si="265">SUM(I143:I147)</f>
        <v>1058</v>
      </c>
      <c r="J142" s="23">
        <f t="shared" ref="J142" si="266">SUM(J143:J147)</f>
        <v>14550.8</v>
      </c>
      <c r="K142" s="23">
        <f t="shared" ref="K142" si="267">SUM(K143:K147)</f>
        <v>27401</v>
      </c>
      <c r="L142" s="23">
        <f>SUM(L143:L147)</f>
        <v>32881.199999999997</v>
      </c>
      <c r="M142" s="23">
        <f>M130*M136</f>
        <v>33210.011999999995</v>
      </c>
      <c r="N142" s="23">
        <f>N130*N136</f>
        <v>33206.690998799997</v>
      </c>
      <c r="O142" s="23">
        <f t="shared" ref="O142:R142" si="268">O130*O136</f>
        <v>33203.370329700119</v>
      </c>
      <c r="P142" s="23">
        <f t="shared" si="268"/>
        <v>33200.049992667147</v>
      </c>
      <c r="Q142" s="23">
        <f t="shared" si="268"/>
        <v>33196.729987667881</v>
      </c>
      <c r="R142" s="23">
        <f t="shared" si="268"/>
        <v>33193.410314669112</v>
      </c>
    </row>
    <row r="143" spans="3:42" outlineLevel="3">
      <c r="D143" s="27" t="s">
        <v>25</v>
      </c>
      <c r="E143" s="28"/>
      <c r="F143" s="28"/>
      <c r="G143" s="28"/>
      <c r="H143" s="398"/>
      <c r="I143" s="398"/>
      <c r="J143" s="398">
        <v>1568</v>
      </c>
      <c r="K143" s="399">
        <v>2832</v>
      </c>
      <c r="L143" s="83">
        <f>L137*L131</f>
        <v>3398.3999999999996</v>
      </c>
      <c r="M143" s="436"/>
      <c r="N143" s="436"/>
      <c r="O143" s="436"/>
      <c r="P143" s="436"/>
      <c r="Q143" s="436"/>
      <c r="R143" s="437"/>
    </row>
    <row r="144" spans="3:42" outlineLevel="3">
      <c r="D144" s="31" t="s">
        <v>26</v>
      </c>
      <c r="H144" s="400"/>
      <c r="I144" s="400">
        <v>1058</v>
      </c>
      <c r="J144" s="400">
        <v>4188.3999999999996</v>
      </c>
      <c r="K144" s="401">
        <v>7136</v>
      </c>
      <c r="L144" s="84">
        <f>L132*L138</f>
        <v>8563.1999999999989</v>
      </c>
      <c r="M144" s="438"/>
      <c r="N144" s="438"/>
      <c r="O144" s="438"/>
      <c r="P144" s="438"/>
      <c r="Q144" s="438"/>
      <c r="R144" s="439"/>
    </row>
    <row r="145" spans="1:42" outlineLevel="3">
      <c r="D145" s="31" t="s">
        <v>27</v>
      </c>
      <c r="H145" s="400"/>
      <c r="I145" s="400"/>
      <c r="J145" s="400">
        <v>3812</v>
      </c>
      <c r="K145" s="401">
        <v>11537</v>
      </c>
      <c r="L145" s="84">
        <f t="shared" ref="L145" si="269">L133*L139</f>
        <v>13844.4</v>
      </c>
      <c r="M145" s="438"/>
      <c r="N145" s="438"/>
      <c r="O145" s="438"/>
      <c r="P145" s="438"/>
      <c r="Q145" s="438"/>
      <c r="R145" s="439"/>
    </row>
    <row r="146" spans="1:42" outlineLevel="3">
      <c r="D146" s="31" t="s">
        <v>28</v>
      </c>
      <c r="H146" s="400"/>
      <c r="I146" s="400"/>
      <c r="J146" s="400">
        <v>4982.3999999999996</v>
      </c>
      <c r="K146" s="401">
        <v>5896</v>
      </c>
      <c r="L146" s="84">
        <f t="shared" ref="L146" si="270">L134*L140</f>
        <v>7075.2</v>
      </c>
      <c r="M146" s="438"/>
      <c r="N146" s="438"/>
      <c r="O146" s="438"/>
      <c r="P146" s="438"/>
      <c r="Q146" s="438"/>
      <c r="R146" s="439"/>
    </row>
    <row r="147" spans="1:42" outlineLevel="3">
      <c r="D147" s="33" t="s">
        <v>29</v>
      </c>
      <c r="E147" s="34"/>
      <c r="F147" s="34"/>
      <c r="G147" s="34"/>
      <c r="H147" s="402"/>
      <c r="I147" s="402"/>
      <c r="J147" s="402"/>
      <c r="K147" s="403"/>
      <c r="L147" s="85">
        <f>L135*L141</f>
        <v>0</v>
      </c>
      <c r="M147" s="440"/>
      <c r="N147" s="440"/>
      <c r="O147" s="440"/>
      <c r="P147" s="440"/>
      <c r="Q147" s="440"/>
      <c r="R147" s="441"/>
    </row>
    <row r="148" spans="1:42" outlineLevel="3">
      <c r="H148" s="43"/>
      <c r="I148" s="43"/>
      <c r="J148" s="43"/>
      <c r="K148" s="43"/>
    </row>
    <row r="149" spans="1:42" ht="15" outlineLevel="3" thickBot="1">
      <c r="C149" s="37" t="s">
        <v>34</v>
      </c>
      <c r="D149" s="37"/>
      <c r="E149" s="37"/>
      <c r="F149" s="37"/>
      <c r="G149" s="37"/>
      <c r="H149" s="404">
        <v>0</v>
      </c>
      <c r="I149" s="404">
        <v>-770</v>
      </c>
      <c r="J149" s="404">
        <v>-10177</v>
      </c>
      <c r="K149" s="404">
        <v>-15786.4</v>
      </c>
      <c r="L149" s="39">
        <f>L150-L142</f>
        <v>-18943.679999999997</v>
      </c>
      <c r="M149" s="39">
        <f t="shared" ref="M149:R149" si="271">M150-M142</f>
        <v>-19128.966911999996</v>
      </c>
      <c r="N149" s="39">
        <f t="shared" si="271"/>
        <v>-19127.0540153088</v>
      </c>
      <c r="O149" s="39">
        <f t="shared" si="271"/>
        <v>-19125.141309907267</v>
      </c>
      <c r="P149" s="39">
        <f t="shared" si="271"/>
        <v>-19123.228795776275</v>
      </c>
      <c r="Q149" s="39">
        <f t="shared" si="271"/>
        <v>-19121.316472896702</v>
      </c>
      <c r="R149" s="39">
        <f t="shared" si="271"/>
        <v>-19119.404341249407</v>
      </c>
    </row>
    <row r="150" spans="1:42" outlineLevel="3">
      <c r="C150" s="18" t="s">
        <v>36</v>
      </c>
      <c r="D150" s="18"/>
      <c r="E150" s="18"/>
      <c r="F150" s="18"/>
      <c r="G150" s="18"/>
      <c r="H150" s="23">
        <f>H149+H142</f>
        <v>0</v>
      </c>
      <c r="I150" s="23">
        <f t="shared" ref="I150" si="272">I149+I142</f>
        <v>288</v>
      </c>
      <c r="J150" s="23">
        <f t="shared" ref="J150" si="273">J149+J142</f>
        <v>4373.7999999999993</v>
      </c>
      <c r="K150" s="23">
        <f t="shared" ref="K150" si="274">K149+K142</f>
        <v>11614.6</v>
      </c>
      <c r="L150" s="23">
        <f>L151*L142</f>
        <v>13937.52</v>
      </c>
      <c r="M150" s="23">
        <f t="shared" ref="M150:R150" si="275">M151*M142</f>
        <v>14081.045087999997</v>
      </c>
      <c r="N150" s="23">
        <f t="shared" si="275"/>
        <v>14079.636983491198</v>
      </c>
      <c r="O150" s="23">
        <f t="shared" si="275"/>
        <v>14078.229019792851</v>
      </c>
      <c r="P150" s="23">
        <f t="shared" si="275"/>
        <v>14076.821196890871</v>
      </c>
      <c r="Q150" s="23">
        <f t="shared" si="275"/>
        <v>14075.41351477118</v>
      </c>
      <c r="R150" s="23">
        <f t="shared" si="275"/>
        <v>14074.005973419704</v>
      </c>
    </row>
    <row r="151" spans="1:42" outlineLevel="3">
      <c r="C151" s="22" t="s">
        <v>19</v>
      </c>
      <c r="D151" s="22"/>
      <c r="E151" s="22"/>
      <c r="F151" s="22"/>
      <c r="G151" s="22"/>
      <c r="H151" s="56" t="str">
        <f>IFERROR(H150/H142,"NA")</f>
        <v>NA</v>
      </c>
      <c r="I151" s="56">
        <f t="shared" ref="I151:K151" si="276">IFERROR(I150/I142,"NA")</f>
        <v>0.27221172022684309</v>
      </c>
      <c r="J151" s="56">
        <f t="shared" si="276"/>
        <v>0.30058828380570135</v>
      </c>
      <c r="K151" s="56">
        <f t="shared" si="276"/>
        <v>0.42387504105689577</v>
      </c>
      <c r="L151" s="79">
        <f>K151</f>
        <v>0.42387504105689577</v>
      </c>
      <c r="M151" s="65">
        <f t="shared" ref="M151:R151" si="277">CHOOSE(case,T151,AB151,AJ151)</f>
        <v>0.42399999999999999</v>
      </c>
      <c r="N151" s="65">
        <f t="shared" si="277"/>
        <v>0.42399999999999999</v>
      </c>
      <c r="O151" s="65">
        <f t="shared" si="277"/>
        <v>0.42399999999999999</v>
      </c>
      <c r="P151" s="65">
        <f t="shared" si="277"/>
        <v>0.42399999999999999</v>
      </c>
      <c r="Q151" s="65">
        <f t="shared" si="277"/>
        <v>0.42399999999999999</v>
      </c>
      <c r="R151" s="65">
        <f t="shared" si="277"/>
        <v>0.42399999999999999</v>
      </c>
      <c r="T151" s="471">
        <f>AB151+1%</f>
        <v>0.434</v>
      </c>
      <c r="U151" s="79">
        <f t="shared" ref="U151" si="278">T151</f>
        <v>0.434</v>
      </c>
      <c r="V151" s="79">
        <f t="shared" ref="V151" si="279">U151</f>
        <v>0.434</v>
      </c>
      <c r="W151" s="79">
        <f t="shared" ref="W151" si="280">V151</f>
        <v>0.434</v>
      </c>
      <c r="X151" s="79">
        <f t="shared" ref="X151" si="281">W151</f>
        <v>0.434</v>
      </c>
      <c r="Y151" s="79">
        <f t="shared" ref="Y151" si="282">X151</f>
        <v>0.434</v>
      </c>
      <c r="AB151" s="471">
        <v>0.42399999999999999</v>
      </c>
      <c r="AC151" s="79">
        <f t="shared" ref="AC151" si="283">AB151</f>
        <v>0.42399999999999999</v>
      </c>
      <c r="AD151" s="79">
        <f t="shared" ref="AD151" si="284">AC151</f>
        <v>0.42399999999999999</v>
      </c>
      <c r="AE151" s="79">
        <f t="shared" ref="AE151" si="285">AD151</f>
        <v>0.42399999999999999</v>
      </c>
      <c r="AF151" s="79">
        <f t="shared" ref="AF151" si="286">AE151</f>
        <v>0.42399999999999999</v>
      </c>
      <c r="AG151" s="79">
        <f t="shared" ref="AG151" si="287">AF151</f>
        <v>0.42399999999999999</v>
      </c>
      <c r="AJ151" s="471">
        <f>AB151-1%</f>
        <v>0.41399999999999998</v>
      </c>
      <c r="AK151" s="79">
        <f t="shared" ref="AK151" si="288">AJ151</f>
        <v>0.41399999999999998</v>
      </c>
      <c r="AL151" s="79">
        <f t="shared" ref="AL151" si="289">AK151</f>
        <v>0.41399999999999998</v>
      </c>
      <c r="AM151" s="79">
        <f t="shared" ref="AM151" si="290">AL151</f>
        <v>0.41399999999999998</v>
      </c>
      <c r="AN151" s="79">
        <f t="shared" ref="AN151" si="291">AM151</f>
        <v>0.41399999999999998</v>
      </c>
      <c r="AO151" s="79">
        <f t="shared" ref="AO151" si="292">AN151</f>
        <v>0.41399999999999998</v>
      </c>
    </row>
    <row r="152" spans="1:42" outlineLevel="3"/>
    <row r="153" spans="1:42" s="26" customFormat="1" outlineLevel="3">
      <c r="A153" s="26" t="s">
        <v>8</v>
      </c>
      <c r="C153" s="26" t="s">
        <v>42</v>
      </c>
    </row>
    <row r="154" spans="1:42" outlineLevel="3"/>
    <row r="155" spans="1:42" s="18" customFormat="1" outlineLevel="3">
      <c r="C155" s="18" t="s">
        <v>24</v>
      </c>
      <c r="H155" s="23">
        <f>SUM(H156:H160)</f>
        <v>152718</v>
      </c>
      <c r="I155" s="23">
        <f t="shared" ref="I155" si="293">SUM(I156:I160)</f>
        <v>247220</v>
      </c>
      <c r="J155" s="23">
        <f t="shared" ref="J155" si="294">SUM(J156:J160)</f>
        <v>116721</v>
      </c>
      <c r="K155" s="23">
        <f t="shared" ref="K155" si="295">SUM(K156:K160)</f>
        <v>141192</v>
      </c>
      <c r="L155" s="23">
        <f>SUM(L156:L160)</f>
        <v>169430.39999999999</v>
      </c>
      <c r="M155" s="23">
        <f t="shared" ref="M155:R155" si="296">CHOOSE(case,T155,AB155,AJ155)</f>
        <v>166888.94399999999</v>
      </c>
      <c r="N155" s="23">
        <f t="shared" si="296"/>
        <v>163551.16511999999</v>
      </c>
      <c r="O155" s="23">
        <f t="shared" si="296"/>
        <v>160280.1418176</v>
      </c>
      <c r="P155" s="23">
        <f t="shared" si="296"/>
        <v>157074.53898124798</v>
      </c>
      <c r="Q155" s="23">
        <f t="shared" si="296"/>
        <v>153933.04820162302</v>
      </c>
      <c r="R155" s="23">
        <f t="shared" si="296"/>
        <v>150854.38723759056</v>
      </c>
      <c r="T155" s="20">
        <f>$L155*(1+$Z155)</f>
        <v>166888.94399999999</v>
      </c>
      <c r="U155" s="20">
        <f>T155*(1+$Z155)</f>
        <v>164385.60983999999</v>
      </c>
      <c r="V155" s="20">
        <f t="shared" ref="V155:Y155" si="297">U155*(1+$Z155)</f>
        <v>161919.82569239999</v>
      </c>
      <c r="W155" s="20">
        <f t="shared" si="297"/>
        <v>159491.028307014</v>
      </c>
      <c r="X155" s="20">
        <f t="shared" si="297"/>
        <v>157098.6628824088</v>
      </c>
      <c r="Y155" s="20">
        <f t="shared" si="297"/>
        <v>154742.18293917266</v>
      </c>
      <c r="Z155" s="472">
        <f>'回报测算-EVEBITDA（核心假设）'!G200-1.5%</f>
        <v>-1.4999999999999999E-2</v>
      </c>
      <c r="AA155" s="1"/>
      <c r="AB155" s="20">
        <f>$L155*(1+$AH155+0.5%)</f>
        <v>166888.94399999999</v>
      </c>
      <c r="AC155" s="20">
        <f>AB155*(1+$AH155)</f>
        <v>163551.16511999999</v>
      </c>
      <c r="AD155" s="20">
        <f t="shared" ref="AD155" si="298">AC155*(1+$AH155)</f>
        <v>160280.1418176</v>
      </c>
      <c r="AE155" s="20">
        <f>AD155*(1+$AH155)</f>
        <v>157074.53898124798</v>
      </c>
      <c r="AF155" s="20">
        <f t="shared" ref="AF155" si="299">AE155*(1+$AH155)</f>
        <v>153933.04820162302</v>
      </c>
      <c r="AG155" s="20">
        <f>AF155*(1+$AH155)</f>
        <v>150854.38723759056</v>
      </c>
      <c r="AH155" s="472">
        <f>'回报测算-EVEBITDA（核心假设）'!G201-2%</f>
        <v>-0.02</v>
      </c>
      <c r="AI155" s="1"/>
      <c r="AJ155" s="20">
        <f>$L155*(1+$AP155)</f>
        <v>167736.09599999999</v>
      </c>
      <c r="AK155" s="20">
        <f>AJ155*(1+$AP155)</f>
        <v>166058.73504</v>
      </c>
      <c r="AL155" s="20">
        <f t="shared" ref="AL155:AM155" si="300">AK155*(1+$AP155)</f>
        <v>164398.14768960001</v>
      </c>
      <c r="AM155" s="20">
        <f t="shared" si="300"/>
        <v>162754.166212704</v>
      </c>
      <c r="AN155" s="20">
        <f>AM155*(1+$AP155)</f>
        <v>161126.62455057696</v>
      </c>
      <c r="AO155" s="20">
        <f t="shared" ref="AO155" si="301">AN155*(1+$AP155)</f>
        <v>159515.35830507119</v>
      </c>
      <c r="AP155" s="472">
        <f>'回报测算-EVEBITDA（核心假设）'!G202-1%</f>
        <v>-0.01</v>
      </c>
    </row>
    <row r="156" spans="1:42" outlineLevel="3">
      <c r="D156" s="27" t="s">
        <v>25</v>
      </c>
      <c r="E156" s="28"/>
      <c r="F156" s="28"/>
      <c r="G156" s="28"/>
      <c r="H156" s="398">
        <v>8464</v>
      </c>
      <c r="I156" s="398">
        <v>20592</v>
      </c>
      <c r="J156" s="398">
        <v>5804</v>
      </c>
      <c r="K156" s="399">
        <v>3165</v>
      </c>
      <c r="L156" s="159">
        <f>K156*1.2</f>
        <v>3798</v>
      </c>
      <c r="M156" s="436"/>
      <c r="N156" s="436"/>
      <c r="O156" s="436"/>
      <c r="P156" s="436"/>
      <c r="Q156" s="436"/>
      <c r="R156" s="437"/>
    </row>
    <row r="157" spans="1:42" outlineLevel="3">
      <c r="D157" s="31" t="s">
        <v>26</v>
      </c>
      <c r="H157" s="400">
        <v>1253</v>
      </c>
      <c r="I157" s="400">
        <v>564</v>
      </c>
      <c r="J157" s="400">
        <v>2016</v>
      </c>
      <c r="K157" s="401">
        <v>2280</v>
      </c>
      <c r="L157" s="162">
        <f t="shared" ref="L157:L160" si="302">K157*1.2</f>
        <v>2736</v>
      </c>
      <c r="M157" s="438"/>
      <c r="N157" s="438"/>
      <c r="O157" s="438"/>
      <c r="P157" s="438"/>
      <c r="Q157" s="438"/>
      <c r="R157" s="439"/>
    </row>
    <row r="158" spans="1:42" outlineLevel="3">
      <c r="D158" s="31" t="s">
        <v>27</v>
      </c>
      <c r="H158" s="400">
        <v>4917</v>
      </c>
      <c r="I158" s="400">
        <v>11221</v>
      </c>
      <c r="J158" s="400">
        <v>18318</v>
      </c>
      <c r="K158" s="401">
        <v>13811</v>
      </c>
      <c r="L158" s="162">
        <f t="shared" si="302"/>
        <v>16573.2</v>
      </c>
      <c r="M158" s="438"/>
      <c r="N158" s="438"/>
      <c r="O158" s="438"/>
      <c r="P158" s="438"/>
      <c r="Q158" s="438"/>
      <c r="R158" s="439"/>
    </row>
    <row r="159" spans="1:42" outlineLevel="3">
      <c r="D159" s="31" t="s">
        <v>28</v>
      </c>
      <c r="H159" s="400">
        <v>105584</v>
      </c>
      <c r="I159" s="400">
        <v>179843</v>
      </c>
      <c r="J159" s="400">
        <v>89933</v>
      </c>
      <c r="K159" s="401">
        <v>119552</v>
      </c>
      <c r="L159" s="162">
        <f t="shared" si="302"/>
        <v>143462.39999999999</v>
      </c>
      <c r="M159" s="438"/>
      <c r="N159" s="438"/>
      <c r="O159" s="438"/>
      <c r="P159" s="438"/>
      <c r="Q159" s="438"/>
      <c r="R159" s="439"/>
    </row>
    <row r="160" spans="1:42" outlineLevel="3">
      <c r="D160" s="33" t="s">
        <v>29</v>
      </c>
      <c r="E160" s="34"/>
      <c r="F160" s="34"/>
      <c r="G160" s="34"/>
      <c r="H160" s="402">
        <v>32500</v>
      </c>
      <c r="I160" s="402">
        <v>35000</v>
      </c>
      <c r="J160" s="402">
        <v>650</v>
      </c>
      <c r="K160" s="403">
        <v>2384</v>
      </c>
      <c r="L160" s="163">
        <f t="shared" si="302"/>
        <v>2860.7999999999997</v>
      </c>
      <c r="M160" s="440"/>
      <c r="N160" s="440"/>
      <c r="O160" s="440"/>
      <c r="P160" s="440"/>
      <c r="Q160" s="440"/>
      <c r="R160" s="441"/>
      <c r="AB160" s="448"/>
      <c r="AC160" s="448"/>
      <c r="AD160" s="448"/>
      <c r="AE160" s="448"/>
      <c r="AF160" s="448"/>
      <c r="AG160" s="448"/>
    </row>
    <row r="161" spans="3:42" outlineLevel="3">
      <c r="C161" s="1" t="s">
        <v>31</v>
      </c>
      <c r="H161" s="50">
        <f>IFERROR(H167/H155,"NA")</f>
        <v>6.2193061721604527E-2</v>
      </c>
      <c r="I161" s="50">
        <f t="shared" ref="I161:K161" si="303">IFERROR(I167/I155,"NA")</f>
        <v>6.3558773562009549E-2</v>
      </c>
      <c r="J161" s="50">
        <f t="shared" si="303"/>
        <v>9.4670196451366928E-2</v>
      </c>
      <c r="K161" s="50">
        <f t="shared" si="303"/>
        <v>7.9225451866961297E-2</v>
      </c>
      <c r="L161" s="57">
        <f>IFERROR(L167/L155,"NA")</f>
        <v>7.9225451866961311E-2</v>
      </c>
      <c r="M161" s="57">
        <f t="shared" ref="M161:R161" si="304">CHOOSE(case,T161,AB161,AJ161)</f>
        <v>8.0017706385630924E-2</v>
      </c>
      <c r="N161" s="57">
        <f t="shared" si="304"/>
        <v>8.0817883449487232E-2</v>
      </c>
      <c r="O161" s="57">
        <f t="shared" si="304"/>
        <v>8.1626062283982101E-2</v>
      </c>
      <c r="P161" s="57">
        <f t="shared" si="304"/>
        <v>8.2442322906821922E-2</v>
      </c>
      <c r="Q161" s="57">
        <f t="shared" si="304"/>
        <v>8.3266746135890135E-2</v>
      </c>
      <c r="R161" s="57">
        <f t="shared" si="304"/>
        <v>8.409941359724904E-2</v>
      </c>
      <c r="T161" s="448">
        <f>$L161*(1+$Z161)</f>
        <v>8.0809960904300537E-2</v>
      </c>
      <c r="U161" s="448">
        <f>T161*(1+$Z161)</f>
        <v>8.2426160122386544E-2</v>
      </c>
      <c r="V161" s="448">
        <f t="shared" ref="V161:Y161" si="305">U161*(1+$Z161)</f>
        <v>8.4074683324834282E-2</v>
      </c>
      <c r="W161" s="448">
        <f t="shared" si="305"/>
        <v>8.5756176991330965E-2</v>
      </c>
      <c r="X161" s="448">
        <f t="shared" si="305"/>
        <v>8.7471300531157592E-2</v>
      </c>
      <c r="Y161" s="448">
        <f t="shared" si="305"/>
        <v>8.9220726541780745E-2</v>
      </c>
      <c r="Z161" s="472">
        <v>0.02</v>
      </c>
      <c r="AB161" s="448">
        <f>$L161*(1+$AH161)</f>
        <v>8.0017706385630924E-2</v>
      </c>
      <c r="AC161" s="448">
        <f>AB161*(1+$AH161)</f>
        <v>8.0817883449487232E-2</v>
      </c>
      <c r="AD161" s="448">
        <f t="shared" ref="AD161:AF161" si="306">AC161*(1+$AH161)</f>
        <v>8.1626062283982101E-2</v>
      </c>
      <c r="AE161" s="448">
        <f t="shared" si="306"/>
        <v>8.2442322906821922E-2</v>
      </c>
      <c r="AF161" s="448">
        <f t="shared" si="306"/>
        <v>8.3266746135890135E-2</v>
      </c>
      <c r="AG161" s="448">
        <f>AF161*(1+$AH161)</f>
        <v>8.409941359724904E-2</v>
      </c>
      <c r="AH161" s="472">
        <v>0.01</v>
      </c>
      <c r="AJ161" s="448">
        <f>$L161*(1+$AP161)</f>
        <v>7.9225451866961311E-2</v>
      </c>
      <c r="AK161" s="448">
        <f>AJ161*(1+$AP161)</f>
        <v>7.9225451866961311E-2</v>
      </c>
      <c r="AL161" s="448">
        <f t="shared" ref="AL161:AM161" si="307">AK161*(1+$AP161)</f>
        <v>7.9225451866961311E-2</v>
      </c>
      <c r="AM161" s="448">
        <f t="shared" si="307"/>
        <v>7.9225451866961311E-2</v>
      </c>
      <c r="AN161" s="448">
        <f>AM161*(1+$AP161)</f>
        <v>7.9225451866961311E-2</v>
      </c>
      <c r="AO161" s="448">
        <f t="shared" ref="AO161" si="308">AN161*(1+$AP161)</f>
        <v>7.9225451866961311E-2</v>
      </c>
      <c r="AP161" s="472">
        <v>0</v>
      </c>
    </row>
    <row r="162" spans="3:42" outlineLevel="3">
      <c r="D162" s="27" t="s">
        <v>25</v>
      </c>
      <c r="E162" s="28"/>
      <c r="F162" s="28"/>
      <c r="G162" s="28"/>
      <c r="H162" s="50">
        <f>IFERROR(H168/H156,"NA")</f>
        <v>0.10196124763705104</v>
      </c>
      <c r="I162" s="50">
        <f t="shared" ref="I162:K162" si="309">IFERROR(I168/I156,"NA")</f>
        <v>9.1200466200466207E-2</v>
      </c>
      <c r="J162" s="50">
        <f t="shared" si="309"/>
        <v>8.9765678842177815E-2</v>
      </c>
      <c r="K162" s="51">
        <f t="shared" si="309"/>
        <v>0.14660347551342812</v>
      </c>
      <c r="L162" s="81">
        <f>K162</f>
        <v>0.14660347551342812</v>
      </c>
      <c r="M162" s="442"/>
      <c r="N162" s="442"/>
      <c r="O162" s="442"/>
      <c r="P162" s="442"/>
      <c r="Q162" s="442"/>
      <c r="R162" s="443"/>
    </row>
    <row r="163" spans="3:42" outlineLevel="3">
      <c r="D163" s="31" t="s">
        <v>26</v>
      </c>
      <c r="H163" s="52">
        <f t="shared" ref="H163:K163" si="310">IFERROR(H169/H157,"NA")</f>
        <v>0.28970470869912213</v>
      </c>
      <c r="I163" s="52">
        <f t="shared" si="310"/>
        <v>0.31560283687943264</v>
      </c>
      <c r="J163" s="52">
        <f t="shared" si="310"/>
        <v>0.24603174603174602</v>
      </c>
      <c r="K163" s="53">
        <f t="shared" si="310"/>
        <v>0.21535087719298246</v>
      </c>
      <c r="L163" s="82">
        <f>K163</f>
        <v>0.21535087719298246</v>
      </c>
      <c r="M163" s="444"/>
      <c r="N163" s="444"/>
      <c r="O163" s="444"/>
      <c r="P163" s="444"/>
      <c r="Q163" s="444"/>
      <c r="R163" s="445"/>
    </row>
    <row r="164" spans="3:42" outlineLevel="3">
      <c r="D164" s="31" t="s">
        <v>27</v>
      </c>
      <c r="H164" s="52">
        <f t="shared" ref="H164:K164" si="311">IFERROR(H170/H158,"NA")</f>
        <v>0.12121212121212122</v>
      </c>
      <c r="I164" s="52">
        <f t="shared" si="311"/>
        <v>9.4733089742447193E-2</v>
      </c>
      <c r="J164" s="52">
        <f t="shared" si="311"/>
        <v>0.15443825745168688</v>
      </c>
      <c r="K164" s="53">
        <f t="shared" si="311"/>
        <v>0.15444211136050973</v>
      </c>
      <c r="L164" s="82">
        <f t="shared" ref="L164:L165" si="312">K164</f>
        <v>0.15444211136050973</v>
      </c>
      <c r="M164" s="444"/>
      <c r="N164" s="444"/>
      <c r="O164" s="444"/>
      <c r="P164" s="444"/>
      <c r="Q164" s="444"/>
      <c r="R164" s="445"/>
    </row>
    <row r="165" spans="3:42" outlineLevel="3">
      <c r="D165" s="31" t="s">
        <v>28</v>
      </c>
      <c r="H165" s="52">
        <f t="shared" ref="H165:K165" si="313">IFERROR(H171/H159,"NA")</f>
        <v>7.1308152750416728E-2</v>
      </c>
      <c r="I165" s="52">
        <f t="shared" si="313"/>
        <v>6.9104719116117944E-2</v>
      </c>
      <c r="J165" s="52">
        <f t="shared" si="313"/>
        <v>7.6401320983398746E-2</v>
      </c>
      <c r="K165" s="53">
        <f t="shared" si="313"/>
        <v>6.4867170770877947E-2</v>
      </c>
      <c r="L165" s="82">
        <f t="shared" si="312"/>
        <v>6.4867170770877947E-2</v>
      </c>
      <c r="M165" s="444"/>
      <c r="N165" s="444"/>
      <c r="O165" s="444"/>
      <c r="P165" s="444"/>
      <c r="Q165" s="444"/>
      <c r="R165" s="445"/>
    </row>
    <row r="166" spans="3:42" ht="15" outlineLevel="3" thickBot="1">
      <c r="C166" s="37"/>
      <c r="D166" s="38" t="s">
        <v>29</v>
      </c>
      <c r="E166" s="37"/>
      <c r="F166" s="37"/>
      <c r="G166" s="37"/>
      <c r="H166" s="54">
        <f t="shared" ref="H166:K166" si="314">IFERROR(H172/H160,"NA")</f>
        <v>4.5230769230769231E-3</v>
      </c>
      <c r="I166" s="54">
        <f t="shared" si="314"/>
        <v>4.7428571428571433E-3</v>
      </c>
      <c r="J166" s="54">
        <f t="shared" si="314"/>
        <v>0.51230769230769235</v>
      </c>
      <c r="K166" s="55">
        <f t="shared" si="314"/>
        <v>0.1438758389261745</v>
      </c>
      <c r="L166" s="86">
        <f>K166</f>
        <v>0.1438758389261745</v>
      </c>
      <c r="M166" s="446"/>
      <c r="N166" s="446"/>
      <c r="O166" s="446"/>
      <c r="P166" s="446"/>
      <c r="Q166" s="446"/>
      <c r="R166" s="447"/>
    </row>
    <row r="167" spans="3:42" outlineLevel="3">
      <c r="C167" s="18" t="s">
        <v>33</v>
      </c>
      <c r="H167" s="23">
        <f>SUM(H168:H172)</f>
        <v>9498</v>
      </c>
      <c r="I167" s="23">
        <f t="shared" ref="I167" si="315">SUM(I168:I172)</f>
        <v>15713</v>
      </c>
      <c r="J167" s="23">
        <f t="shared" ref="J167" si="316">SUM(J168:J172)</f>
        <v>11050</v>
      </c>
      <c r="K167" s="23">
        <f t="shared" ref="K167" si="317">SUM(K168:K172)</f>
        <v>11186</v>
      </c>
      <c r="L167" s="23">
        <f>SUM(L168:L172)</f>
        <v>13423.2</v>
      </c>
      <c r="M167" s="23">
        <f>M155*M161</f>
        <v>13354.070520000001</v>
      </c>
      <c r="N167" s="23">
        <f t="shared" ref="N167:R167" si="318">N155*N161</f>
        <v>13217.859000696</v>
      </c>
      <c r="O167" s="23">
        <f t="shared" si="318"/>
        <v>13083.036838888902</v>
      </c>
      <c r="P167" s="23">
        <f t="shared" si="318"/>
        <v>12949.589863132234</v>
      </c>
      <c r="Q167" s="23">
        <f t="shared" si="318"/>
        <v>12817.504046528284</v>
      </c>
      <c r="R167" s="23">
        <f t="shared" si="318"/>
        <v>12686.765505253696</v>
      </c>
    </row>
    <row r="168" spans="3:42" outlineLevel="3">
      <c r="D168" s="27" t="s">
        <v>25</v>
      </c>
      <c r="E168" s="28"/>
      <c r="F168" s="28"/>
      <c r="G168" s="28"/>
      <c r="H168" s="398">
        <v>863</v>
      </c>
      <c r="I168" s="398">
        <v>1878</v>
      </c>
      <c r="J168" s="398">
        <v>521</v>
      </c>
      <c r="K168" s="399">
        <v>464</v>
      </c>
      <c r="L168" s="83">
        <f>L162*L156</f>
        <v>556.79999999999995</v>
      </c>
      <c r="M168" s="436"/>
      <c r="N168" s="436"/>
      <c r="O168" s="436"/>
      <c r="P168" s="436"/>
      <c r="Q168" s="436"/>
      <c r="R168" s="437"/>
    </row>
    <row r="169" spans="3:42" outlineLevel="3">
      <c r="D169" s="31" t="s">
        <v>26</v>
      </c>
      <c r="H169" s="400">
        <v>363</v>
      </c>
      <c r="I169" s="400">
        <v>178</v>
      </c>
      <c r="J169" s="400">
        <v>496</v>
      </c>
      <c r="K169" s="401">
        <v>491</v>
      </c>
      <c r="L169" s="84">
        <f>L157*L163</f>
        <v>589.20000000000005</v>
      </c>
      <c r="M169" s="438"/>
      <c r="N169" s="438"/>
      <c r="O169" s="438"/>
      <c r="P169" s="438"/>
      <c r="Q169" s="438"/>
      <c r="R169" s="439"/>
    </row>
    <row r="170" spans="3:42" outlineLevel="3">
      <c r="D170" s="31" t="s">
        <v>27</v>
      </c>
      <c r="H170" s="400">
        <v>596</v>
      </c>
      <c r="I170" s="400">
        <v>1063</v>
      </c>
      <c r="J170" s="400">
        <v>2829</v>
      </c>
      <c r="K170" s="401">
        <v>2133</v>
      </c>
      <c r="L170" s="84">
        <f t="shared" ref="L170" si="319">L158*L164</f>
        <v>2559.6</v>
      </c>
      <c r="M170" s="438"/>
      <c r="N170" s="438"/>
      <c r="O170" s="438"/>
      <c r="P170" s="438"/>
      <c r="Q170" s="438"/>
      <c r="R170" s="439"/>
    </row>
    <row r="171" spans="3:42" outlineLevel="3">
      <c r="D171" s="31" t="s">
        <v>28</v>
      </c>
      <c r="H171" s="400">
        <v>7529</v>
      </c>
      <c r="I171" s="400">
        <v>12428</v>
      </c>
      <c r="J171" s="400">
        <v>6871</v>
      </c>
      <c r="K171" s="401">
        <v>7755</v>
      </c>
      <c r="L171" s="84">
        <f t="shared" ref="L171" si="320">L159*L165</f>
        <v>9306</v>
      </c>
      <c r="M171" s="438"/>
      <c r="N171" s="438"/>
      <c r="O171" s="438"/>
      <c r="P171" s="438"/>
      <c r="Q171" s="438"/>
      <c r="R171" s="439"/>
    </row>
    <row r="172" spans="3:42" outlineLevel="3">
      <c r="D172" s="33" t="s">
        <v>29</v>
      </c>
      <c r="E172" s="34"/>
      <c r="F172" s="34"/>
      <c r="G172" s="34"/>
      <c r="H172" s="402">
        <v>147</v>
      </c>
      <c r="I172" s="402">
        <v>166</v>
      </c>
      <c r="J172" s="402">
        <v>333</v>
      </c>
      <c r="K172" s="403">
        <v>343</v>
      </c>
      <c r="L172" s="85">
        <f>L160*L166</f>
        <v>411.59999999999997</v>
      </c>
      <c r="M172" s="440"/>
      <c r="N172" s="440"/>
      <c r="O172" s="440"/>
      <c r="P172" s="440"/>
      <c r="Q172" s="440"/>
      <c r="R172" s="441"/>
    </row>
    <row r="173" spans="3:42" outlineLevel="3">
      <c r="H173" s="43"/>
      <c r="I173" s="43"/>
      <c r="J173" s="43"/>
      <c r="K173" s="43"/>
    </row>
    <row r="174" spans="3:42" ht="15" outlineLevel="3" thickBot="1">
      <c r="C174" s="37" t="s">
        <v>34</v>
      </c>
      <c r="D174" s="37"/>
      <c r="E174" s="37"/>
      <c r="F174" s="37"/>
      <c r="G174" s="37"/>
      <c r="H174" s="44">
        <v>-8314</v>
      </c>
      <c r="I174" s="44">
        <v>-13011</v>
      </c>
      <c r="J174" s="44">
        <v>-8729</v>
      </c>
      <c r="K174" s="44">
        <v>-7913.4</v>
      </c>
      <c r="L174" s="39">
        <f>L175-L167</f>
        <v>-9496.08</v>
      </c>
      <c r="M174" s="39">
        <f t="shared" ref="M174:R174" si="321">M175-M167</f>
        <v>-9441.3278576400007</v>
      </c>
      <c r="N174" s="39">
        <f t="shared" si="321"/>
        <v>-9345.0263134920715</v>
      </c>
      <c r="O174" s="39">
        <f t="shared" si="321"/>
        <v>-9249.7070450944539</v>
      </c>
      <c r="P174" s="39">
        <f t="shared" si="321"/>
        <v>-9155.3600332344904</v>
      </c>
      <c r="Q174" s="39">
        <f t="shared" si="321"/>
        <v>-9061.9753608954961</v>
      </c>
      <c r="R174" s="39">
        <f t="shared" si="321"/>
        <v>-8969.5432122143629</v>
      </c>
    </row>
    <row r="175" spans="3:42" outlineLevel="3">
      <c r="C175" s="18" t="s">
        <v>36</v>
      </c>
      <c r="D175" s="18"/>
      <c r="E175" s="18"/>
      <c r="F175" s="18"/>
      <c r="G175" s="18"/>
      <c r="H175" s="23">
        <f>H174+H167</f>
        <v>1184</v>
      </c>
      <c r="I175" s="23">
        <f t="shared" ref="I175" si="322">I174+I167</f>
        <v>2702</v>
      </c>
      <c r="J175" s="23">
        <f t="shared" ref="J175" si="323">J174+J167</f>
        <v>2321</v>
      </c>
      <c r="K175" s="23">
        <f t="shared" ref="K175" si="324">K174+K167</f>
        <v>3272.6000000000004</v>
      </c>
      <c r="L175" s="23">
        <f>L176*L167</f>
        <v>3927.1200000000003</v>
      </c>
      <c r="M175" s="23">
        <f t="shared" ref="M175:R175" si="325">M176*M167</f>
        <v>3912.7426623599999</v>
      </c>
      <c r="N175" s="23">
        <f t="shared" si="325"/>
        <v>3872.8326872039279</v>
      </c>
      <c r="O175" s="23">
        <f t="shared" si="325"/>
        <v>3833.3297937944481</v>
      </c>
      <c r="P175" s="23">
        <f t="shared" si="325"/>
        <v>3794.2298298977444</v>
      </c>
      <c r="Q175" s="23">
        <f t="shared" si="325"/>
        <v>3755.5286856327871</v>
      </c>
      <c r="R175" s="23">
        <f t="shared" si="325"/>
        <v>3717.2222930393327</v>
      </c>
    </row>
    <row r="176" spans="3:42" outlineLevel="3">
      <c r="C176" s="22" t="s">
        <v>19</v>
      </c>
      <c r="D176" s="22"/>
      <c r="E176" s="22"/>
      <c r="F176" s="22"/>
      <c r="G176" s="22"/>
      <c r="H176" s="56">
        <f>IFERROR(H175/H167,"NA")</f>
        <v>0.12465782269951568</v>
      </c>
      <c r="I176" s="56">
        <f t="shared" ref="I176" si="326">IFERROR(I175/I167,"NA")</f>
        <v>0.17195952396105135</v>
      </c>
      <c r="J176" s="56">
        <f t="shared" ref="J176" si="327">IFERROR(J175/J167,"NA")</f>
        <v>0.21004524886877829</v>
      </c>
      <c r="K176" s="56">
        <f t="shared" ref="K176" si="328">IFERROR(K175/K167,"NA")</f>
        <v>0.29256213123547292</v>
      </c>
      <c r="L176" s="79">
        <f>K176</f>
        <v>0.29256213123547292</v>
      </c>
      <c r="M176" s="65">
        <f t="shared" ref="M176:R176" si="329">CHOOSE(case,T176,AB176,AJ176)</f>
        <v>0.29299999999999998</v>
      </c>
      <c r="N176" s="65">
        <f t="shared" si="329"/>
        <v>0.29299999999999998</v>
      </c>
      <c r="O176" s="65">
        <f t="shared" si="329"/>
        <v>0.29299999999999998</v>
      </c>
      <c r="P176" s="65">
        <f t="shared" si="329"/>
        <v>0.29299999999999998</v>
      </c>
      <c r="Q176" s="65">
        <f t="shared" si="329"/>
        <v>0.29299999999999998</v>
      </c>
      <c r="R176" s="65">
        <f t="shared" si="329"/>
        <v>0.29299999999999998</v>
      </c>
      <c r="T176" s="471">
        <f>AB176+1%</f>
        <v>0.30299999999999999</v>
      </c>
      <c r="U176" s="79">
        <f t="shared" ref="U176" si="330">T176</f>
        <v>0.30299999999999999</v>
      </c>
      <c r="V176" s="79">
        <f t="shared" ref="V176" si="331">U176</f>
        <v>0.30299999999999999</v>
      </c>
      <c r="W176" s="79">
        <f t="shared" ref="W176" si="332">V176</f>
        <v>0.30299999999999999</v>
      </c>
      <c r="X176" s="79">
        <f t="shared" ref="X176" si="333">W176</f>
        <v>0.30299999999999999</v>
      </c>
      <c r="Y176" s="79">
        <f t="shared" ref="Y176" si="334">X176</f>
        <v>0.30299999999999999</v>
      </c>
      <c r="AB176" s="471">
        <v>0.29299999999999998</v>
      </c>
      <c r="AC176" s="79">
        <f t="shared" ref="AC176" si="335">AB176</f>
        <v>0.29299999999999998</v>
      </c>
      <c r="AD176" s="79">
        <f t="shared" ref="AD176" si="336">AC176</f>
        <v>0.29299999999999998</v>
      </c>
      <c r="AE176" s="79">
        <f t="shared" ref="AE176" si="337">AD176</f>
        <v>0.29299999999999998</v>
      </c>
      <c r="AF176" s="79">
        <f t="shared" ref="AF176" si="338">AE176</f>
        <v>0.29299999999999998</v>
      </c>
      <c r="AG176" s="79">
        <f t="shared" ref="AG176" si="339">AF176</f>
        <v>0.29299999999999998</v>
      </c>
      <c r="AJ176" s="471">
        <f>AB176-1%</f>
        <v>0.28299999999999997</v>
      </c>
      <c r="AK176" s="79">
        <f t="shared" ref="AK176" si="340">AJ176</f>
        <v>0.28299999999999997</v>
      </c>
      <c r="AL176" s="79">
        <f t="shared" ref="AL176" si="341">AK176</f>
        <v>0.28299999999999997</v>
      </c>
      <c r="AM176" s="79">
        <f t="shared" ref="AM176" si="342">AL176</f>
        <v>0.28299999999999997</v>
      </c>
      <c r="AN176" s="79">
        <f t="shared" ref="AN176" si="343">AM176</f>
        <v>0.28299999999999997</v>
      </c>
      <c r="AO176" s="79">
        <f t="shared" ref="AO176" si="344">AN176</f>
        <v>0.28299999999999997</v>
      </c>
    </row>
    <row r="177" spans="1:42" outlineLevel="3"/>
    <row r="178" spans="1:42" s="26" customFormat="1" outlineLevel="3">
      <c r="A178" s="26" t="s">
        <v>8</v>
      </c>
      <c r="C178" s="26" t="s">
        <v>43</v>
      </c>
    </row>
    <row r="179" spans="1:42" outlineLevel="3"/>
    <row r="180" spans="1:42" s="18" customFormat="1" outlineLevel="3">
      <c r="C180" s="18" t="s">
        <v>24</v>
      </c>
      <c r="H180" s="23">
        <f>SUM(H181:H185)</f>
        <v>12074</v>
      </c>
      <c r="I180" s="23">
        <f t="shared" ref="I180" si="345">SUM(I181:I185)</f>
        <v>4246</v>
      </c>
      <c r="J180" s="23">
        <f t="shared" ref="J180" si="346">SUM(J181:J185)</f>
        <v>6379</v>
      </c>
      <c r="K180" s="23">
        <f t="shared" ref="K180" si="347">SUM(K181:K185)</f>
        <v>4636</v>
      </c>
      <c r="L180" s="23">
        <f>SUM(L181:L185)</f>
        <v>5563.2</v>
      </c>
      <c r="M180" s="23">
        <f t="shared" ref="M180:R180" si="348">CHOOSE(case,T180,AB180,AJ180)</f>
        <v>5563.2</v>
      </c>
      <c r="N180" s="23">
        <f t="shared" si="348"/>
        <v>5507.5680000000002</v>
      </c>
      <c r="O180" s="23">
        <f t="shared" si="348"/>
        <v>5452.4923200000003</v>
      </c>
      <c r="P180" s="23">
        <f t="shared" si="348"/>
        <v>5397.9673968000006</v>
      </c>
      <c r="Q180" s="23">
        <f t="shared" si="348"/>
        <v>5343.9877228320001</v>
      </c>
      <c r="R180" s="23">
        <f t="shared" si="348"/>
        <v>5290.5478456036799</v>
      </c>
      <c r="T180" s="20">
        <f>$L180*(1+$Z180)</f>
        <v>5563.2</v>
      </c>
      <c r="U180" s="20">
        <f>T180*(1+$Z180)</f>
        <v>5563.2</v>
      </c>
      <c r="V180" s="20">
        <f t="shared" ref="V180:Y180" si="349">U180*(1+$Z180)</f>
        <v>5563.2</v>
      </c>
      <c r="W180" s="20">
        <f t="shared" si="349"/>
        <v>5563.2</v>
      </c>
      <c r="X180" s="20">
        <f t="shared" si="349"/>
        <v>5563.2</v>
      </c>
      <c r="Y180" s="20">
        <f t="shared" si="349"/>
        <v>5563.2</v>
      </c>
      <c r="Z180" s="472">
        <f>'回报测算-EVEBITDA（核心假设）'!H200</f>
        <v>0</v>
      </c>
      <c r="AA180" s="1"/>
      <c r="AB180" s="20">
        <f>$L180*(1+$AH180+1%)</f>
        <v>5563.2</v>
      </c>
      <c r="AC180" s="20">
        <f>AB180*(1+$AH180)</f>
        <v>5507.5680000000002</v>
      </c>
      <c r="AD180" s="20">
        <f t="shared" ref="AD180" si="350">AC180*(1+$AH180)</f>
        <v>5452.4923200000003</v>
      </c>
      <c r="AE180" s="20">
        <f>AD180*(1+$AH180)</f>
        <v>5397.9673968000006</v>
      </c>
      <c r="AF180" s="20">
        <f t="shared" ref="AF180" si="351">AE180*(1+$AH180)</f>
        <v>5343.9877228320001</v>
      </c>
      <c r="AG180" s="20">
        <f>AF180*(1+$AH180)</f>
        <v>5290.5478456036799</v>
      </c>
      <c r="AH180" s="472">
        <f>'回报测算-EVEBITDA（核心假设）'!H201-1%</f>
        <v>-0.01</v>
      </c>
      <c r="AI180" s="1"/>
      <c r="AJ180" s="20">
        <f>$L180*(1+$AP180)</f>
        <v>5563.2</v>
      </c>
      <c r="AK180" s="20">
        <f>AJ180*(1+$AP180)</f>
        <v>5563.2</v>
      </c>
      <c r="AL180" s="20">
        <f t="shared" ref="AL180:AM180" si="352">AK180*(1+$AP180)</f>
        <v>5563.2</v>
      </c>
      <c r="AM180" s="20">
        <f t="shared" si="352"/>
        <v>5563.2</v>
      </c>
      <c r="AN180" s="20">
        <f>AM180*(1+$AP180)</f>
        <v>5563.2</v>
      </c>
      <c r="AO180" s="20">
        <f t="shared" ref="AO180" si="353">AN180*(1+$AP180)</f>
        <v>5563.2</v>
      </c>
      <c r="AP180" s="472">
        <f>'回报测算-EVEBITDA（核心假设）'!H202</f>
        <v>0</v>
      </c>
    </row>
    <row r="181" spans="1:42" outlineLevel="3">
      <c r="D181" s="27" t="s">
        <v>25</v>
      </c>
      <c r="E181" s="28"/>
      <c r="F181" s="28"/>
      <c r="G181" s="28"/>
      <c r="H181" s="398"/>
      <c r="I181" s="398"/>
      <c r="J181" s="398"/>
      <c r="K181" s="399"/>
      <c r="L181" s="159">
        <f>K181*1.2</f>
        <v>0</v>
      </c>
      <c r="M181" s="436"/>
      <c r="N181" s="436"/>
      <c r="O181" s="436"/>
      <c r="P181" s="436"/>
      <c r="Q181" s="436"/>
      <c r="R181" s="437"/>
    </row>
    <row r="182" spans="1:42" outlineLevel="3">
      <c r="D182" s="31" t="s">
        <v>26</v>
      </c>
      <c r="H182" s="400"/>
      <c r="I182" s="400"/>
      <c r="J182" s="400"/>
      <c r="K182" s="401"/>
      <c r="L182" s="162">
        <f t="shared" ref="L182:L185" si="354">K182*1.2</f>
        <v>0</v>
      </c>
      <c r="M182" s="438"/>
      <c r="N182" s="438"/>
      <c r="O182" s="438"/>
      <c r="P182" s="438"/>
      <c r="Q182" s="438"/>
      <c r="R182" s="439"/>
    </row>
    <row r="183" spans="1:42" outlineLevel="3">
      <c r="D183" s="31" t="s">
        <v>27</v>
      </c>
      <c r="H183" s="400">
        <v>4140</v>
      </c>
      <c r="I183" s="400">
        <v>2142</v>
      </c>
      <c r="J183" s="400">
        <v>1566</v>
      </c>
      <c r="K183" s="401">
        <v>1497</v>
      </c>
      <c r="L183" s="162">
        <f t="shared" si="354"/>
        <v>1796.3999999999999</v>
      </c>
      <c r="M183" s="438"/>
      <c r="N183" s="438"/>
      <c r="O183" s="438"/>
      <c r="P183" s="438"/>
      <c r="Q183" s="438"/>
      <c r="R183" s="439"/>
    </row>
    <row r="184" spans="1:42" outlineLevel="3">
      <c r="D184" s="31" t="s">
        <v>28</v>
      </c>
      <c r="H184" s="400">
        <v>7934</v>
      </c>
      <c r="I184" s="400">
        <v>2104</v>
      </c>
      <c r="J184" s="400">
        <v>4813</v>
      </c>
      <c r="K184" s="401">
        <v>3139</v>
      </c>
      <c r="L184" s="162">
        <f t="shared" si="354"/>
        <v>3766.7999999999997</v>
      </c>
      <c r="M184" s="438"/>
      <c r="N184" s="438"/>
      <c r="O184" s="438"/>
      <c r="P184" s="438"/>
      <c r="Q184" s="438"/>
      <c r="R184" s="439"/>
    </row>
    <row r="185" spans="1:42" outlineLevel="3">
      <c r="D185" s="33" t="s">
        <v>29</v>
      </c>
      <c r="E185" s="34"/>
      <c r="F185" s="34"/>
      <c r="G185" s="34"/>
      <c r="H185" s="402"/>
      <c r="I185" s="402"/>
      <c r="J185" s="402"/>
      <c r="K185" s="403"/>
      <c r="L185" s="163">
        <f t="shared" si="354"/>
        <v>0</v>
      </c>
      <c r="M185" s="440"/>
      <c r="N185" s="440"/>
      <c r="O185" s="440"/>
      <c r="P185" s="440"/>
      <c r="Q185" s="440"/>
      <c r="R185" s="441"/>
      <c r="AB185" s="448"/>
      <c r="AC185" s="448"/>
      <c r="AD185" s="448"/>
      <c r="AE185" s="448"/>
      <c r="AF185" s="448"/>
      <c r="AG185" s="448"/>
    </row>
    <row r="186" spans="1:42" outlineLevel="3">
      <c r="C186" s="1" t="s">
        <v>31</v>
      </c>
      <c r="H186" s="50">
        <f>IFERROR(H192/H180,"NA")</f>
        <v>9.8972999834354813E-2</v>
      </c>
      <c r="I186" s="50">
        <f t="shared" ref="I186:K186" si="355">IFERROR(I192/I180,"NA")</f>
        <v>0.15614696184644372</v>
      </c>
      <c r="J186" s="50">
        <f t="shared" si="355"/>
        <v>0.1757328734911428</v>
      </c>
      <c r="K186" s="50">
        <f t="shared" si="355"/>
        <v>0.18528904227782572</v>
      </c>
      <c r="L186" s="57">
        <f>IFERROR(L192/L180,"NA")</f>
        <v>0.18528904227782572</v>
      </c>
      <c r="M186" s="57">
        <f t="shared" ref="M186:R186" si="356">CHOOSE(case,T186,AB186,AJ186)</f>
        <v>0.18714193270060397</v>
      </c>
      <c r="N186" s="57">
        <f t="shared" si="356"/>
        <v>0.18901335202761002</v>
      </c>
      <c r="O186" s="57">
        <f t="shared" si="356"/>
        <v>0.19090348554788611</v>
      </c>
      <c r="P186" s="57">
        <f t="shared" si="356"/>
        <v>0.19281252040336497</v>
      </c>
      <c r="Q186" s="57">
        <f t="shared" si="356"/>
        <v>0.19474064560739862</v>
      </c>
      <c r="R186" s="57">
        <f t="shared" si="356"/>
        <v>0.19668805206347262</v>
      </c>
      <c r="T186" s="448">
        <f>$L186*(1+$Z186)</f>
        <v>0.18899482312338223</v>
      </c>
      <c r="U186" s="448">
        <f>T186*(1+$Z186)</f>
        <v>0.19277471958584988</v>
      </c>
      <c r="V186" s="448">
        <f t="shared" ref="V186:Y186" si="357">U186*(1+$Z186)</f>
        <v>0.19663021397756689</v>
      </c>
      <c r="W186" s="448">
        <f t="shared" si="357"/>
        <v>0.20056281825711822</v>
      </c>
      <c r="X186" s="448">
        <f t="shared" si="357"/>
        <v>0.2045740746222606</v>
      </c>
      <c r="Y186" s="448">
        <f t="shared" si="357"/>
        <v>0.2086655561147058</v>
      </c>
      <c r="Z186" s="472">
        <v>0.02</v>
      </c>
      <c r="AB186" s="448">
        <f>$L186*(1+$AH186)</f>
        <v>0.18714193270060397</v>
      </c>
      <c r="AC186" s="448">
        <f>AB186*(1+$AH186)</f>
        <v>0.18901335202761002</v>
      </c>
      <c r="AD186" s="448">
        <f t="shared" ref="AD186:AF186" si="358">AC186*(1+$AH186)</f>
        <v>0.19090348554788611</v>
      </c>
      <c r="AE186" s="448">
        <f t="shared" si="358"/>
        <v>0.19281252040336497</v>
      </c>
      <c r="AF186" s="448">
        <f t="shared" si="358"/>
        <v>0.19474064560739862</v>
      </c>
      <c r="AG186" s="448">
        <f>AF186*(1+$AH186)</f>
        <v>0.19668805206347262</v>
      </c>
      <c r="AH186" s="472">
        <v>0.01</v>
      </c>
      <c r="AJ186" s="448">
        <f>$L186*(1+$AP186)</f>
        <v>0.18528904227782572</v>
      </c>
      <c r="AK186" s="448">
        <f>AJ186*(1+$AP186)</f>
        <v>0.18528904227782572</v>
      </c>
      <c r="AL186" s="448">
        <f t="shared" ref="AL186:AM186" si="359">AK186*(1+$AP186)</f>
        <v>0.18528904227782572</v>
      </c>
      <c r="AM186" s="448">
        <f t="shared" si="359"/>
        <v>0.18528904227782572</v>
      </c>
      <c r="AN186" s="448">
        <f>AM186*(1+$AP186)</f>
        <v>0.18528904227782572</v>
      </c>
      <c r="AO186" s="448">
        <f t="shared" ref="AO186" si="360">AN186*(1+$AP186)</f>
        <v>0.18528904227782572</v>
      </c>
      <c r="AP186" s="472">
        <v>0</v>
      </c>
    </row>
    <row r="187" spans="1:42" outlineLevel="3">
      <c r="D187" s="27" t="s">
        <v>25</v>
      </c>
      <c r="E187" s="28"/>
      <c r="F187" s="28"/>
      <c r="G187" s="28"/>
      <c r="H187" s="50" t="str">
        <f>IFERROR(H193/H181,"NA")</f>
        <v>NA</v>
      </c>
      <c r="I187" s="50" t="str">
        <f t="shared" ref="I187:K187" si="361">IFERROR(I193/I181,"NA")</f>
        <v>NA</v>
      </c>
      <c r="J187" s="50" t="str">
        <f t="shared" si="361"/>
        <v>NA</v>
      </c>
      <c r="K187" s="51" t="str">
        <f t="shared" si="361"/>
        <v>NA</v>
      </c>
      <c r="L187" s="81"/>
      <c r="M187" s="442"/>
      <c r="N187" s="442"/>
      <c r="O187" s="442"/>
      <c r="P187" s="442"/>
      <c r="Q187" s="442"/>
      <c r="R187" s="443"/>
    </row>
    <row r="188" spans="1:42" outlineLevel="3">
      <c r="D188" s="31" t="s">
        <v>26</v>
      </c>
      <c r="H188" s="52" t="str">
        <f t="shared" ref="H188:K188" si="362">IFERROR(H194/H182,"NA")</f>
        <v>NA</v>
      </c>
      <c r="I188" s="52" t="str">
        <f t="shared" si="362"/>
        <v>NA</v>
      </c>
      <c r="J188" s="52" t="str">
        <f t="shared" si="362"/>
        <v>NA</v>
      </c>
      <c r="K188" s="53" t="str">
        <f t="shared" si="362"/>
        <v>NA</v>
      </c>
      <c r="L188" s="82"/>
      <c r="M188" s="444"/>
      <c r="N188" s="444"/>
      <c r="O188" s="444"/>
      <c r="P188" s="444"/>
      <c r="Q188" s="444"/>
      <c r="R188" s="445"/>
    </row>
    <row r="189" spans="1:42" outlineLevel="3">
      <c r="D189" s="31" t="s">
        <v>27</v>
      </c>
      <c r="H189" s="52">
        <f t="shared" ref="H189:K189" si="363">IFERROR(H195/H183,"NA")</f>
        <v>8.1159420289855067E-2</v>
      </c>
      <c r="I189" s="52">
        <f t="shared" si="363"/>
        <v>0.17180205415499533</v>
      </c>
      <c r="J189" s="52">
        <f t="shared" si="363"/>
        <v>0.23435504469987228</v>
      </c>
      <c r="K189" s="53">
        <f t="shared" si="363"/>
        <v>0.24716098864395458</v>
      </c>
      <c r="L189" s="82">
        <f t="shared" ref="L189:L190" si="364">K189</f>
        <v>0.24716098864395458</v>
      </c>
      <c r="M189" s="444"/>
      <c r="N189" s="444"/>
      <c r="O189" s="444"/>
      <c r="P189" s="444"/>
      <c r="Q189" s="444"/>
      <c r="R189" s="445"/>
    </row>
    <row r="190" spans="1:42" outlineLevel="3">
      <c r="D190" s="31" t="s">
        <v>28</v>
      </c>
      <c r="H190" s="52">
        <f t="shared" ref="H190:K190" si="365">IFERROR(H196/H184,"NA")</f>
        <v>0.10826821275523066</v>
      </c>
      <c r="I190" s="52">
        <f t="shared" si="365"/>
        <v>0.14020912547528516</v>
      </c>
      <c r="J190" s="52">
        <f t="shared" si="365"/>
        <v>0.15665904841055475</v>
      </c>
      <c r="K190" s="53">
        <f t="shared" si="365"/>
        <v>0.15578209620898376</v>
      </c>
      <c r="L190" s="82">
        <f t="shared" si="364"/>
        <v>0.15578209620898376</v>
      </c>
      <c r="M190" s="444"/>
      <c r="N190" s="444"/>
      <c r="O190" s="444"/>
      <c r="P190" s="444"/>
      <c r="Q190" s="444"/>
      <c r="R190" s="445"/>
    </row>
    <row r="191" spans="1:42" ht="15" outlineLevel="3" thickBot="1">
      <c r="C191" s="37"/>
      <c r="D191" s="38" t="s">
        <v>29</v>
      </c>
      <c r="E191" s="37"/>
      <c r="F191" s="37"/>
      <c r="G191" s="37"/>
      <c r="H191" s="54" t="str">
        <f t="shared" ref="H191:K191" si="366">IFERROR(H197/H185,"NA")</f>
        <v>NA</v>
      </c>
      <c r="I191" s="54" t="str">
        <f t="shared" si="366"/>
        <v>NA</v>
      </c>
      <c r="J191" s="54" t="str">
        <f t="shared" si="366"/>
        <v>NA</v>
      </c>
      <c r="K191" s="55" t="str">
        <f t="shared" si="366"/>
        <v>NA</v>
      </c>
      <c r="L191" s="86"/>
      <c r="M191" s="446"/>
      <c r="N191" s="446"/>
      <c r="O191" s="446"/>
      <c r="P191" s="446"/>
      <c r="Q191" s="446"/>
      <c r="R191" s="447"/>
    </row>
    <row r="192" spans="1:42" outlineLevel="3">
      <c r="C192" s="18" t="s">
        <v>33</v>
      </c>
      <c r="H192" s="23">
        <f>SUM(H193:H197)</f>
        <v>1195</v>
      </c>
      <c r="I192" s="23">
        <f t="shared" ref="I192" si="367">SUM(I193:I197)</f>
        <v>663</v>
      </c>
      <c r="J192" s="23">
        <f t="shared" ref="J192" si="368">SUM(J193:J197)</f>
        <v>1121</v>
      </c>
      <c r="K192" s="23">
        <f t="shared" ref="K192" si="369">SUM(K193:K197)</f>
        <v>859</v>
      </c>
      <c r="L192" s="23">
        <f>SUM(L193:L197)</f>
        <v>1030.8</v>
      </c>
      <c r="M192" s="23">
        <f>M180*M186</f>
        <v>1041.1079999999999</v>
      </c>
      <c r="N192" s="23">
        <f t="shared" ref="N192:R192" si="370">N180*N186</f>
        <v>1041.0038892</v>
      </c>
      <c r="O192" s="23">
        <f t="shared" si="370"/>
        <v>1040.89978881108</v>
      </c>
      <c r="P192" s="23">
        <f t="shared" si="370"/>
        <v>1040.7956988321989</v>
      </c>
      <c r="Q192" s="23">
        <f t="shared" si="370"/>
        <v>1040.6916192623157</v>
      </c>
      <c r="R192" s="23">
        <f t="shared" si="370"/>
        <v>1040.5875501003895</v>
      </c>
    </row>
    <row r="193" spans="1:42" outlineLevel="3">
      <c r="D193" s="27" t="s">
        <v>25</v>
      </c>
      <c r="E193" s="28"/>
      <c r="F193" s="28"/>
      <c r="G193" s="28"/>
      <c r="H193" s="398"/>
      <c r="I193" s="398"/>
      <c r="J193" s="398"/>
      <c r="K193" s="399"/>
      <c r="L193" s="83">
        <f>L187*L181</f>
        <v>0</v>
      </c>
      <c r="M193" s="436"/>
      <c r="N193" s="436"/>
      <c r="O193" s="436"/>
      <c r="P193" s="436"/>
      <c r="Q193" s="436"/>
      <c r="R193" s="437"/>
    </row>
    <row r="194" spans="1:42" outlineLevel="3">
      <c r="D194" s="31" t="s">
        <v>26</v>
      </c>
      <c r="H194" s="400"/>
      <c r="I194" s="400"/>
      <c r="J194" s="400"/>
      <c r="K194" s="401"/>
      <c r="L194" s="84">
        <f>L182*L188</f>
        <v>0</v>
      </c>
      <c r="M194" s="438"/>
      <c r="N194" s="438"/>
      <c r="O194" s="438"/>
      <c r="P194" s="438"/>
      <c r="Q194" s="438"/>
      <c r="R194" s="439"/>
    </row>
    <row r="195" spans="1:42" outlineLevel="3">
      <c r="D195" s="31" t="s">
        <v>27</v>
      </c>
      <c r="H195" s="400">
        <v>336</v>
      </c>
      <c r="I195" s="400">
        <v>368</v>
      </c>
      <c r="J195" s="400">
        <v>367</v>
      </c>
      <c r="K195" s="401">
        <v>370</v>
      </c>
      <c r="L195" s="84">
        <f t="shared" ref="L195" si="371">L183*L189</f>
        <v>444</v>
      </c>
      <c r="M195" s="438"/>
      <c r="N195" s="438"/>
      <c r="O195" s="438"/>
      <c r="P195" s="438"/>
      <c r="Q195" s="438"/>
      <c r="R195" s="439"/>
    </row>
    <row r="196" spans="1:42" outlineLevel="3">
      <c r="D196" s="31" t="s">
        <v>28</v>
      </c>
      <c r="H196" s="400">
        <v>859</v>
      </c>
      <c r="I196" s="400">
        <v>295</v>
      </c>
      <c r="J196" s="400">
        <v>754</v>
      </c>
      <c r="K196" s="401">
        <v>489</v>
      </c>
      <c r="L196" s="84">
        <f t="shared" ref="L196" si="372">L184*L190</f>
        <v>586.79999999999995</v>
      </c>
      <c r="M196" s="438"/>
      <c r="N196" s="438"/>
      <c r="O196" s="438"/>
      <c r="P196" s="438"/>
      <c r="Q196" s="438"/>
      <c r="R196" s="439"/>
    </row>
    <row r="197" spans="1:42" outlineLevel="3">
      <c r="D197" s="33" t="s">
        <v>29</v>
      </c>
      <c r="E197" s="34"/>
      <c r="F197" s="34"/>
      <c r="G197" s="34"/>
      <c r="H197" s="402"/>
      <c r="I197" s="402"/>
      <c r="J197" s="402"/>
      <c r="K197" s="403"/>
      <c r="L197" s="85">
        <f>L185*L191</f>
        <v>0</v>
      </c>
      <c r="M197" s="440"/>
      <c r="N197" s="440"/>
      <c r="O197" s="440"/>
      <c r="P197" s="440"/>
      <c r="Q197" s="440"/>
      <c r="R197" s="441"/>
    </row>
    <row r="198" spans="1:42" outlineLevel="3">
      <c r="H198" s="43"/>
      <c r="I198" s="43"/>
      <c r="J198" s="43"/>
      <c r="K198" s="43"/>
    </row>
    <row r="199" spans="1:42" ht="15" outlineLevel="3" thickBot="1">
      <c r="C199" s="37" t="s">
        <v>34</v>
      </c>
      <c r="D199" s="37"/>
      <c r="E199" s="37"/>
      <c r="F199" s="37"/>
      <c r="G199" s="37"/>
      <c r="H199" s="404">
        <v>-878</v>
      </c>
      <c r="I199" s="404">
        <v>-412</v>
      </c>
      <c r="J199" s="404">
        <v>-555</v>
      </c>
      <c r="K199" s="404">
        <v>-514</v>
      </c>
      <c r="L199" s="39">
        <f>L200-L192</f>
        <v>-616.79999999999995</v>
      </c>
      <c r="M199" s="39">
        <f t="shared" ref="M199:R199" si="373">M200-M192</f>
        <v>-622.582584</v>
      </c>
      <c r="N199" s="39">
        <f t="shared" si="373"/>
        <v>-622.5203257416</v>
      </c>
      <c r="O199" s="39">
        <f t="shared" si="373"/>
        <v>-622.45807370902583</v>
      </c>
      <c r="P199" s="39">
        <f t="shared" si="373"/>
        <v>-622.39582790165491</v>
      </c>
      <c r="Q199" s="39">
        <f t="shared" si="373"/>
        <v>-622.33358831886471</v>
      </c>
      <c r="R199" s="39">
        <f t="shared" si="373"/>
        <v>-622.27135496003291</v>
      </c>
    </row>
    <row r="200" spans="1:42" outlineLevel="3">
      <c r="C200" s="18" t="s">
        <v>36</v>
      </c>
      <c r="D200" s="18"/>
      <c r="E200" s="18"/>
      <c r="F200" s="18"/>
      <c r="G200" s="18"/>
      <c r="H200" s="23">
        <f>H199+H192</f>
        <v>317</v>
      </c>
      <c r="I200" s="23">
        <f t="shared" ref="I200" si="374">I199+I192</f>
        <v>251</v>
      </c>
      <c r="J200" s="23">
        <f t="shared" ref="J200" si="375">J199+J192</f>
        <v>566</v>
      </c>
      <c r="K200" s="23">
        <f t="shared" ref="K200" si="376">K199+K192</f>
        <v>345</v>
      </c>
      <c r="L200" s="23">
        <f>L201*L192</f>
        <v>414</v>
      </c>
      <c r="M200" s="23">
        <f t="shared" ref="M200:R200" si="377">M201*M192</f>
        <v>418.52541600000001</v>
      </c>
      <c r="N200" s="23">
        <f t="shared" si="377"/>
        <v>418.4835634584</v>
      </c>
      <c r="O200" s="23">
        <f t="shared" si="377"/>
        <v>418.44171510205422</v>
      </c>
      <c r="P200" s="23">
        <f t="shared" si="377"/>
        <v>418.39987093054401</v>
      </c>
      <c r="Q200" s="23">
        <f t="shared" si="377"/>
        <v>418.35803094345096</v>
      </c>
      <c r="R200" s="23">
        <f t="shared" si="377"/>
        <v>418.31619514035663</v>
      </c>
    </row>
    <row r="201" spans="1:42" outlineLevel="3">
      <c r="C201" s="22" t="s">
        <v>19</v>
      </c>
      <c r="D201" s="22"/>
      <c r="E201" s="22"/>
      <c r="F201" s="22"/>
      <c r="G201" s="22"/>
      <c r="H201" s="56">
        <f>IFERROR(H200/H192,"NA")</f>
        <v>0.26527196652719665</v>
      </c>
      <c r="I201" s="56">
        <f t="shared" ref="I201" si="378">IFERROR(I200/I192,"NA")</f>
        <v>0.37858220211161386</v>
      </c>
      <c r="J201" s="56">
        <f t="shared" ref="J201" si="379">IFERROR(J200/J192,"NA")</f>
        <v>0.50490633363068693</v>
      </c>
      <c r="K201" s="56">
        <f t="shared" ref="K201" si="380">IFERROR(K200/K192,"NA")</f>
        <v>0.40162980209545984</v>
      </c>
      <c r="L201" s="79">
        <f>K201</f>
        <v>0.40162980209545984</v>
      </c>
      <c r="M201" s="65">
        <f t="shared" ref="M201:R201" si="381">CHOOSE(case,T201,AB201,AJ201)</f>
        <v>0.40200000000000002</v>
      </c>
      <c r="N201" s="65">
        <f t="shared" si="381"/>
        <v>0.40200000000000002</v>
      </c>
      <c r="O201" s="65">
        <f t="shared" si="381"/>
        <v>0.40200000000000002</v>
      </c>
      <c r="P201" s="65">
        <f t="shared" si="381"/>
        <v>0.40200000000000002</v>
      </c>
      <c r="Q201" s="65">
        <f t="shared" si="381"/>
        <v>0.40200000000000002</v>
      </c>
      <c r="R201" s="65">
        <f t="shared" si="381"/>
        <v>0.40200000000000002</v>
      </c>
      <c r="T201" s="471">
        <f>AB201+1%</f>
        <v>0.41200000000000003</v>
      </c>
      <c r="U201" s="79">
        <f t="shared" ref="U201" si="382">T201</f>
        <v>0.41200000000000003</v>
      </c>
      <c r="V201" s="79">
        <f t="shared" ref="V201" si="383">U201</f>
        <v>0.41200000000000003</v>
      </c>
      <c r="W201" s="79">
        <f t="shared" ref="W201" si="384">V201</f>
        <v>0.41200000000000003</v>
      </c>
      <c r="X201" s="79">
        <f t="shared" ref="X201" si="385">W201</f>
        <v>0.41200000000000003</v>
      </c>
      <c r="Y201" s="79">
        <f t="shared" ref="Y201" si="386">X201</f>
        <v>0.41200000000000003</v>
      </c>
      <c r="AB201" s="471">
        <v>0.40200000000000002</v>
      </c>
      <c r="AC201" s="79">
        <f t="shared" ref="AC201" si="387">AB201</f>
        <v>0.40200000000000002</v>
      </c>
      <c r="AD201" s="79">
        <f t="shared" ref="AD201" si="388">AC201</f>
        <v>0.40200000000000002</v>
      </c>
      <c r="AE201" s="79">
        <f t="shared" ref="AE201" si="389">AD201</f>
        <v>0.40200000000000002</v>
      </c>
      <c r="AF201" s="79">
        <f t="shared" ref="AF201" si="390">AE201</f>
        <v>0.40200000000000002</v>
      </c>
      <c r="AG201" s="79">
        <f t="shared" ref="AG201" si="391">AF201</f>
        <v>0.40200000000000002</v>
      </c>
      <c r="AJ201" s="471">
        <f>AB201-1%</f>
        <v>0.39200000000000002</v>
      </c>
      <c r="AK201" s="79">
        <f t="shared" ref="AK201" si="392">AJ201</f>
        <v>0.39200000000000002</v>
      </c>
      <c r="AL201" s="79">
        <f t="shared" ref="AL201" si="393">AK201</f>
        <v>0.39200000000000002</v>
      </c>
      <c r="AM201" s="79">
        <f t="shared" ref="AM201" si="394">AL201</f>
        <v>0.39200000000000002</v>
      </c>
      <c r="AN201" s="79">
        <f t="shared" ref="AN201" si="395">AM201</f>
        <v>0.39200000000000002</v>
      </c>
      <c r="AO201" s="79">
        <f t="shared" ref="AO201" si="396">AN201</f>
        <v>0.39200000000000002</v>
      </c>
    </row>
    <row r="202" spans="1:42" outlineLevel="2"/>
    <row r="203" spans="1:42" s="16" customFormat="1" outlineLevel="2">
      <c r="A203" s="15" t="s">
        <v>8</v>
      </c>
      <c r="B203" s="15" t="s">
        <v>44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1:42" outlineLevel="2">
      <c r="L204" s="20"/>
      <c r="M204" s="20"/>
      <c r="R204" s="20"/>
      <c r="S204" s="526"/>
    </row>
    <row r="205" spans="1:42" s="18" customFormat="1" outlineLevel="2">
      <c r="C205" s="18" t="s">
        <v>24</v>
      </c>
      <c r="H205" s="23">
        <f>SUM(H206:H210)</f>
        <v>547752</v>
      </c>
      <c r="I205" s="23">
        <f t="shared" ref="I205" si="397">SUM(I206:I210)</f>
        <v>676054</v>
      </c>
      <c r="J205" s="23">
        <f t="shared" ref="J205" si="398">SUM(J206:J210)</f>
        <v>713359</v>
      </c>
      <c r="K205" s="23">
        <f t="shared" ref="K205" si="399">SUM(K206:K210)</f>
        <v>319632</v>
      </c>
      <c r="L205" s="23">
        <f>SUM(L206:L210)</f>
        <v>383558.39999999997</v>
      </c>
      <c r="M205" s="23">
        <f t="shared" ref="M205:R205" si="400">CHOOSE(case,T205,AB205,AJ205)</f>
        <v>421914.24</v>
      </c>
      <c r="N205" s="23">
        <f t="shared" si="400"/>
        <v>464105.66400000005</v>
      </c>
      <c r="O205" s="23">
        <f t="shared" si="400"/>
        <v>510516.23040000012</v>
      </c>
      <c r="P205" s="23">
        <f t="shared" si="400"/>
        <v>561567.85344000021</v>
      </c>
      <c r="Q205" s="23">
        <f t="shared" si="400"/>
        <v>617724.6387840003</v>
      </c>
      <c r="R205" s="23">
        <f t="shared" si="400"/>
        <v>679497.10266240034</v>
      </c>
      <c r="S205" s="463"/>
      <c r="T205" s="20">
        <f>$L205*(1+$Z205)</f>
        <v>441092.15999999992</v>
      </c>
      <c r="U205" s="20">
        <f>T205*(1+$Z205)</f>
        <v>507255.98399999988</v>
      </c>
      <c r="V205" s="20">
        <f t="shared" ref="V205:Y205" si="401">U205*(1+$Z205)</f>
        <v>583344.38159999985</v>
      </c>
      <c r="W205" s="20">
        <f>V205*(1+$Z205)</f>
        <v>670846.03883999982</v>
      </c>
      <c r="X205" s="20">
        <f t="shared" si="401"/>
        <v>771472.94466599973</v>
      </c>
      <c r="Y205" s="20">
        <f t="shared" si="401"/>
        <v>887193.88636589958</v>
      </c>
      <c r="Z205" s="472">
        <v>0.15</v>
      </c>
      <c r="AA205" s="1"/>
      <c r="AB205" s="20">
        <f>$L205*(1+$AH205)</f>
        <v>421914.24</v>
      </c>
      <c r="AC205" s="20">
        <f>AB205*(1+$AH205)</f>
        <v>464105.66400000005</v>
      </c>
      <c r="AD205" s="20">
        <f t="shared" ref="AD205" si="402">AC205*(1+$AH205)</f>
        <v>510516.23040000012</v>
      </c>
      <c r="AE205" s="20">
        <f>AD205*(1+$AH205)</f>
        <v>561567.85344000021</v>
      </c>
      <c r="AF205" s="20">
        <f t="shared" ref="AF205" si="403">AE205*(1+$AH205)</f>
        <v>617724.6387840003</v>
      </c>
      <c r="AG205" s="20">
        <f>AF205*(1+$AH205)</f>
        <v>679497.10266240034</v>
      </c>
      <c r="AH205" s="472">
        <v>0.1</v>
      </c>
      <c r="AI205" s="1"/>
      <c r="AJ205" s="20">
        <f>$L205*(1+$AP205)</f>
        <v>402736.32</v>
      </c>
      <c r="AK205" s="20">
        <f>AJ205*(1+$AP205)</f>
        <v>422873.136</v>
      </c>
      <c r="AL205" s="20">
        <f t="shared" ref="AL205:AM205" si="404">AK205*(1+$AP205)</f>
        <v>444016.7928</v>
      </c>
      <c r="AM205" s="20">
        <f t="shared" si="404"/>
        <v>466217.63244000002</v>
      </c>
      <c r="AN205" s="20">
        <f>AM205*(1+$AP205)</f>
        <v>489528.51406200003</v>
      </c>
      <c r="AO205" s="20">
        <f t="shared" ref="AO205" si="405">AN205*(1+$AP205)</f>
        <v>514004.93976510008</v>
      </c>
      <c r="AP205" s="472">
        <v>0.05</v>
      </c>
    </row>
    <row r="206" spans="1:42" outlineLevel="2">
      <c r="D206" s="27" t="s">
        <v>25</v>
      </c>
      <c r="E206" s="28"/>
      <c r="F206" s="28"/>
      <c r="G206" s="28"/>
      <c r="H206" s="398">
        <v>31302</v>
      </c>
      <c r="I206" s="398">
        <v>4461</v>
      </c>
      <c r="J206" s="398">
        <v>4611</v>
      </c>
      <c r="K206" s="399">
        <v>0</v>
      </c>
      <c r="L206" s="159">
        <f>K206*1.2</f>
        <v>0</v>
      </c>
      <c r="M206" s="436"/>
      <c r="N206" s="436"/>
      <c r="O206" s="436"/>
      <c r="P206" s="436"/>
      <c r="Q206" s="436"/>
      <c r="R206" s="437"/>
    </row>
    <row r="207" spans="1:42" outlineLevel="2">
      <c r="D207" s="31" t="s">
        <v>26</v>
      </c>
      <c r="H207" s="400">
        <v>8975</v>
      </c>
      <c r="I207" s="400">
        <v>4761</v>
      </c>
      <c r="J207" s="400">
        <v>42488</v>
      </c>
      <c r="K207" s="401">
        <v>29761</v>
      </c>
      <c r="L207" s="162">
        <f t="shared" ref="L207:L210" si="406">K207*1.2</f>
        <v>35713.199999999997</v>
      </c>
      <c r="M207" s="438"/>
      <c r="N207" s="438"/>
      <c r="O207" s="438"/>
      <c r="P207" s="438"/>
      <c r="Q207" s="438"/>
      <c r="R207" s="439"/>
    </row>
    <row r="208" spans="1:42" outlineLevel="2">
      <c r="D208" s="31" t="s">
        <v>27</v>
      </c>
      <c r="H208" s="400">
        <v>40476</v>
      </c>
      <c r="I208" s="400">
        <v>2329</v>
      </c>
      <c r="J208" s="400">
        <v>55896</v>
      </c>
      <c r="K208" s="401">
        <v>45659</v>
      </c>
      <c r="L208" s="162">
        <f t="shared" si="406"/>
        <v>54790.799999999996</v>
      </c>
      <c r="M208" s="438"/>
      <c r="N208" s="438"/>
      <c r="O208" s="438"/>
      <c r="P208" s="438"/>
      <c r="Q208" s="438"/>
      <c r="R208" s="439"/>
    </row>
    <row r="209" spans="3:42" outlineLevel="2">
      <c r="D209" s="31" t="s">
        <v>28</v>
      </c>
      <c r="H209" s="400">
        <v>346151</v>
      </c>
      <c r="I209" s="400">
        <v>45988</v>
      </c>
      <c r="J209" s="400">
        <v>598702</v>
      </c>
      <c r="K209" s="401">
        <v>241853</v>
      </c>
      <c r="L209" s="162">
        <f t="shared" si="406"/>
        <v>290223.59999999998</v>
      </c>
      <c r="M209" s="438"/>
      <c r="N209" s="438"/>
      <c r="O209" s="438"/>
      <c r="P209" s="438"/>
      <c r="Q209" s="438"/>
      <c r="R209" s="439"/>
    </row>
    <row r="210" spans="3:42" outlineLevel="2">
      <c r="D210" s="33" t="s">
        <v>29</v>
      </c>
      <c r="E210" s="34"/>
      <c r="F210" s="34"/>
      <c r="G210" s="34"/>
      <c r="H210" s="402">
        <v>120848</v>
      </c>
      <c r="I210" s="402">
        <v>618515</v>
      </c>
      <c r="J210" s="402">
        <v>11662</v>
      </c>
      <c r="K210" s="403">
        <v>2359</v>
      </c>
      <c r="L210" s="163">
        <f t="shared" si="406"/>
        <v>2830.7999999999997</v>
      </c>
      <c r="M210" s="440"/>
      <c r="N210" s="440"/>
      <c r="O210" s="440"/>
      <c r="P210" s="440"/>
      <c r="Q210" s="440"/>
      <c r="R210" s="441"/>
      <c r="AB210" s="448"/>
      <c r="AC210" s="448"/>
      <c r="AD210" s="448"/>
      <c r="AE210" s="448"/>
      <c r="AF210" s="448"/>
      <c r="AG210" s="448"/>
    </row>
    <row r="211" spans="3:42" outlineLevel="2">
      <c r="C211" s="1" t="s">
        <v>31</v>
      </c>
      <c r="H211" s="50">
        <f>IFERROR(H217/H205,"NA")</f>
        <v>0.1173669835984168</v>
      </c>
      <c r="I211" s="50">
        <f t="shared" ref="I211:K211" si="407">IFERROR(I217/I205,"NA")</f>
        <v>0.10308348149704018</v>
      </c>
      <c r="J211" s="50">
        <f t="shared" si="407"/>
        <v>9.4216236144774229E-2</v>
      </c>
      <c r="K211" s="50">
        <f t="shared" si="407"/>
        <v>0.10567465084847574</v>
      </c>
      <c r="L211" s="57">
        <f>IFERROR(L217/L205,"NA")</f>
        <v>0.10567465084847576</v>
      </c>
      <c r="M211" s="57">
        <f t="shared" ref="M211:R211" si="408">CHOOSE(case,T211,AB211,AJ211)</f>
        <v>0.10673139735696051</v>
      </c>
      <c r="N211" s="57">
        <f t="shared" si="408"/>
        <v>0.10779871133053011</v>
      </c>
      <c r="O211" s="57">
        <f t="shared" si="408"/>
        <v>0.10887669844383541</v>
      </c>
      <c r="P211" s="57">
        <f t="shared" si="408"/>
        <v>0.10996546542827376</v>
      </c>
      <c r="Q211" s="57">
        <f t="shared" si="408"/>
        <v>0.11106512008255651</v>
      </c>
      <c r="R211" s="57">
        <f t="shared" si="408"/>
        <v>0.11217577128338208</v>
      </c>
      <c r="T211" s="448">
        <f>$L211*(1+$Z211)</f>
        <v>0.10778814386544527</v>
      </c>
      <c r="U211" s="448">
        <f>T211*(1+$Z211)</f>
        <v>0.10994390674275419</v>
      </c>
      <c r="V211" s="448">
        <f t="shared" ref="V211:Y211" si="409">U211*(1+$Z211)</f>
        <v>0.11214278487760927</v>
      </c>
      <c r="W211" s="448">
        <f t="shared" si="409"/>
        <v>0.11438564057516146</v>
      </c>
      <c r="X211" s="448">
        <f t="shared" si="409"/>
        <v>0.11667335338666469</v>
      </c>
      <c r="Y211" s="448">
        <f t="shared" si="409"/>
        <v>0.11900682045439799</v>
      </c>
      <c r="Z211" s="472">
        <v>0.02</v>
      </c>
      <c r="AB211" s="448">
        <f>$L211*(1+$AH211)</f>
        <v>0.10673139735696051</v>
      </c>
      <c r="AC211" s="448">
        <f>AB211*(1+$AH211)</f>
        <v>0.10779871133053011</v>
      </c>
      <c r="AD211" s="448">
        <f t="shared" ref="AD211:AF211" si="410">AC211*(1+$AH211)</f>
        <v>0.10887669844383541</v>
      </c>
      <c r="AE211" s="448">
        <f t="shared" si="410"/>
        <v>0.10996546542827376</v>
      </c>
      <c r="AF211" s="448">
        <f t="shared" si="410"/>
        <v>0.11106512008255651</v>
      </c>
      <c r="AG211" s="448">
        <f>AF211*(1+$AH211)</f>
        <v>0.11217577128338208</v>
      </c>
      <c r="AH211" s="472">
        <v>0.01</v>
      </c>
      <c r="AJ211" s="448">
        <f>$L211*(1+$AP211)</f>
        <v>0.10567465084847576</v>
      </c>
      <c r="AK211" s="448">
        <f>AJ211*(1+$AP211)</f>
        <v>0.10567465084847576</v>
      </c>
      <c r="AL211" s="448">
        <f t="shared" ref="AL211:AM211" si="411">AK211*(1+$AP211)</f>
        <v>0.10567465084847576</v>
      </c>
      <c r="AM211" s="448">
        <f t="shared" si="411"/>
        <v>0.10567465084847576</v>
      </c>
      <c r="AN211" s="448">
        <f>AM211*(1+$AP211)</f>
        <v>0.10567465084847576</v>
      </c>
      <c r="AO211" s="448">
        <f t="shared" ref="AO211" si="412">AN211*(1+$AP211)</f>
        <v>0.10567465084847576</v>
      </c>
      <c r="AP211" s="472">
        <v>0</v>
      </c>
    </row>
    <row r="212" spans="3:42" outlineLevel="2">
      <c r="D212" s="27" t="s">
        <v>25</v>
      </c>
      <c r="E212" s="28"/>
      <c r="F212" s="28"/>
      <c r="G212" s="28"/>
      <c r="H212" s="50">
        <f>IFERROR(H218/H206,"NA")</f>
        <v>0.10152705897386749</v>
      </c>
      <c r="I212" s="50">
        <f t="shared" ref="I212:K212" si="413">IFERROR(I218/I206,"NA")</f>
        <v>0.101546738399462</v>
      </c>
      <c r="J212" s="50">
        <f t="shared" si="413"/>
        <v>0.104532639340707</v>
      </c>
      <c r="K212" s="51" t="str">
        <f t="shared" si="413"/>
        <v>NA</v>
      </c>
      <c r="L212" s="81"/>
      <c r="M212" s="442"/>
      <c r="N212" s="442"/>
      <c r="O212" s="442"/>
      <c r="P212" s="442"/>
      <c r="Q212" s="442"/>
      <c r="R212" s="443"/>
    </row>
    <row r="213" spans="3:42" outlineLevel="2">
      <c r="D213" s="31" t="s">
        <v>26</v>
      </c>
      <c r="H213" s="52">
        <f t="shared" ref="H213:K213" si="414">IFERROR(H219/H207,"NA")</f>
        <v>0.34339832869080777</v>
      </c>
      <c r="I213" s="52">
        <f t="shared" si="414"/>
        <v>0.34341524889729047</v>
      </c>
      <c r="J213" s="52">
        <f t="shared" si="414"/>
        <v>0.18292223686688006</v>
      </c>
      <c r="K213" s="53">
        <f t="shared" si="414"/>
        <v>0.15832801317160042</v>
      </c>
      <c r="L213" s="82">
        <f>K213</f>
        <v>0.15832801317160042</v>
      </c>
      <c r="M213" s="444"/>
      <c r="N213" s="444"/>
      <c r="O213" s="444"/>
      <c r="P213" s="444"/>
      <c r="Q213" s="444"/>
      <c r="R213" s="445"/>
    </row>
    <row r="214" spans="3:42" outlineLevel="2">
      <c r="D214" s="31" t="s">
        <v>27</v>
      </c>
      <c r="H214" s="52">
        <f t="shared" ref="H214:K214" si="415">IFERROR(H220/H208,"NA")</f>
        <v>0.29167901966597493</v>
      </c>
      <c r="I214" s="52">
        <f t="shared" si="415"/>
        <v>0.29154143409188493</v>
      </c>
      <c r="J214" s="52">
        <f t="shared" si="415"/>
        <v>0.24840775726348935</v>
      </c>
      <c r="K214" s="53">
        <f t="shared" si="415"/>
        <v>0.25769289734772993</v>
      </c>
      <c r="L214" s="82">
        <f t="shared" ref="L214:L215" si="416">K214</f>
        <v>0.25769289734772993</v>
      </c>
      <c r="M214" s="444"/>
      <c r="N214" s="444"/>
      <c r="O214" s="444"/>
      <c r="P214" s="444"/>
      <c r="Q214" s="444"/>
      <c r="R214" s="445"/>
    </row>
    <row r="215" spans="3:42" outlineLevel="2">
      <c r="D215" s="31" t="s">
        <v>28</v>
      </c>
      <c r="H215" s="52">
        <f t="shared" ref="H215:K215" si="417">IFERROR(H221/H209,"NA")</f>
        <v>9.8309697213065969E-2</v>
      </c>
      <c r="I215" s="52">
        <f t="shared" si="417"/>
        <v>9.8308254327215794E-2</v>
      </c>
      <c r="J215" s="52">
        <f t="shared" si="417"/>
        <v>7.3383753520115183E-2</v>
      </c>
      <c r="K215" s="53">
        <f t="shared" si="417"/>
        <v>7.0766126531405446E-2</v>
      </c>
      <c r="L215" s="82">
        <f t="shared" si="416"/>
        <v>7.0766126531405446E-2</v>
      </c>
      <c r="M215" s="444"/>
      <c r="N215" s="444"/>
      <c r="O215" s="444"/>
      <c r="P215" s="444"/>
      <c r="Q215" s="444"/>
      <c r="R215" s="445"/>
    </row>
    <row r="216" spans="3:42" ht="15" outlineLevel="2" thickBot="1">
      <c r="C216" s="37"/>
      <c r="D216" s="38" t="s">
        <v>29</v>
      </c>
      <c r="E216" s="37"/>
      <c r="F216" s="37"/>
      <c r="G216" s="37"/>
      <c r="H216" s="54">
        <f t="shared" ref="H216:K216" si="418">IFERROR(H222/H210,"NA")</f>
        <v>0.10088706474248643</v>
      </c>
      <c r="I216" s="54">
        <f t="shared" si="418"/>
        <v>0.10089003500319313</v>
      </c>
      <c r="J216" s="54">
        <f t="shared" si="418"/>
        <v>9.7410392728519979E-2</v>
      </c>
      <c r="K216" s="55">
        <f t="shared" si="418"/>
        <v>7.7999152183128445E-2</v>
      </c>
      <c r="L216" s="86">
        <f>K216</f>
        <v>7.7999152183128445E-2</v>
      </c>
      <c r="M216" s="446"/>
      <c r="N216" s="446"/>
      <c r="O216" s="446"/>
      <c r="P216" s="446"/>
      <c r="Q216" s="446"/>
      <c r="R216" s="447"/>
    </row>
    <row r="217" spans="3:42" outlineLevel="2">
      <c r="C217" s="18" t="s">
        <v>33</v>
      </c>
      <c r="H217" s="23">
        <f>SUM(H218:H222)</f>
        <v>64288</v>
      </c>
      <c r="I217" s="23">
        <f t="shared" ref="I217" si="419">SUM(I218:I222)</f>
        <v>69690</v>
      </c>
      <c r="J217" s="23">
        <f t="shared" ref="J217" si="420">SUM(J218:J222)</f>
        <v>67210</v>
      </c>
      <c r="K217" s="23">
        <f t="shared" ref="K217" si="421">SUM(K218:K222)</f>
        <v>33777</v>
      </c>
      <c r="L217" s="23">
        <f>SUM(L218:L222)</f>
        <v>40532.400000000001</v>
      </c>
      <c r="M217" s="23">
        <f>M205*M211</f>
        <v>45031.496400000004</v>
      </c>
      <c r="N217" s="23">
        <f t="shared" ref="N217:R217" si="422">N205*N211</f>
        <v>50029.992500400003</v>
      </c>
      <c r="O217" s="23">
        <f t="shared" si="422"/>
        <v>55583.321667944409</v>
      </c>
      <c r="P217" s="23">
        <f t="shared" si="422"/>
        <v>61753.070373086251</v>
      </c>
      <c r="Q217" s="23">
        <f t="shared" si="422"/>
        <v>68607.661184498837</v>
      </c>
      <c r="R217" s="23">
        <f t="shared" si="422"/>
        <v>76223.111575978211</v>
      </c>
    </row>
    <row r="218" spans="3:42" outlineLevel="2">
      <c r="D218" s="27" t="s">
        <v>25</v>
      </c>
      <c r="E218" s="28"/>
      <c r="F218" s="28"/>
      <c r="G218" s="28"/>
      <c r="H218" s="398">
        <v>3178</v>
      </c>
      <c r="I218" s="398">
        <v>453</v>
      </c>
      <c r="J218" s="398">
        <v>482</v>
      </c>
      <c r="K218" s="399">
        <v>0</v>
      </c>
      <c r="L218" s="83">
        <f>L212*L206</f>
        <v>0</v>
      </c>
      <c r="M218" s="436"/>
      <c r="N218" s="436"/>
      <c r="O218" s="436"/>
      <c r="P218" s="436"/>
      <c r="Q218" s="436"/>
      <c r="R218" s="437"/>
    </row>
    <row r="219" spans="3:42" outlineLevel="2">
      <c r="D219" s="31" t="s">
        <v>26</v>
      </c>
      <c r="H219" s="400">
        <v>3082</v>
      </c>
      <c r="I219" s="400">
        <v>1635</v>
      </c>
      <c r="J219" s="400">
        <v>7772</v>
      </c>
      <c r="K219" s="401">
        <v>4712</v>
      </c>
      <c r="L219" s="84">
        <f>L207*L213</f>
        <v>5654.4</v>
      </c>
      <c r="M219" s="438"/>
      <c r="N219" s="438"/>
      <c r="O219" s="438"/>
      <c r="P219" s="438"/>
      <c r="Q219" s="438"/>
      <c r="R219" s="439"/>
    </row>
    <row r="220" spans="3:42" outlineLevel="2">
      <c r="D220" s="31" t="s">
        <v>27</v>
      </c>
      <c r="H220" s="400">
        <v>11806</v>
      </c>
      <c r="I220" s="400">
        <v>679</v>
      </c>
      <c r="J220" s="400">
        <v>13885</v>
      </c>
      <c r="K220" s="401">
        <v>11766</v>
      </c>
      <c r="L220" s="84">
        <f t="shared" ref="L220" si="423">L208*L214</f>
        <v>14119.2</v>
      </c>
      <c r="M220" s="438"/>
      <c r="N220" s="438"/>
      <c r="O220" s="438"/>
      <c r="P220" s="438"/>
      <c r="Q220" s="438"/>
      <c r="R220" s="439"/>
    </row>
    <row r="221" spans="3:42" outlineLevel="2">
      <c r="D221" s="31" t="s">
        <v>28</v>
      </c>
      <c r="H221" s="400">
        <v>34030</v>
      </c>
      <c r="I221" s="400">
        <v>4521</v>
      </c>
      <c r="J221" s="400">
        <v>43935</v>
      </c>
      <c r="K221" s="401">
        <v>17115</v>
      </c>
      <c r="L221" s="84">
        <f t="shared" ref="L221" si="424">L209*L215</f>
        <v>20538</v>
      </c>
      <c r="M221" s="438"/>
      <c r="N221" s="438"/>
      <c r="O221" s="438"/>
      <c r="P221" s="438"/>
      <c r="Q221" s="438"/>
      <c r="R221" s="439"/>
    </row>
    <row r="222" spans="3:42" outlineLevel="2">
      <c r="D222" s="33" t="s">
        <v>29</v>
      </c>
      <c r="E222" s="34"/>
      <c r="F222" s="34"/>
      <c r="G222" s="34"/>
      <c r="H222" s="402">
        <v>12192</v>
      </c>
      <c r="I222" s="402">
        <v>62402</v>
      </c>
      <c r="J222" s="402">
        <v>1136</v>
      </c>
      <c r="K222" s="403">
        <v>184</v>
      </c>
      <c r="L222" s="85">
        <f>L210*L216</f>
        <v>220.79999999999998</v>
      </c>
      <c r="M222" s="440"/>
      <c r="N222" s="440"/>
      <c r="O222" s="440"/>
      <c r="P222" s="440"/>
      <c r="Q222" s="440"/>
      <c r="R222" s="441"/>
    </row>
    <row r="223" spans="3:42" outlineLevel="2">
      <c r="H223" s="43"/>
      <c r="I223" s="43"/>
      <c r="J223" s="43"/>
      <c r="K223" s="43"/>
    </row>
    <row r="224" spans="3:42" ht="15" outlineLevel="2" thickBot="1">
      <c r="C224" s="37" t="s">
        <v>34</v>
      </c>
      <c r="D224" s="37"/>
      <c r="E224" s="37"/>
      <c r="F224" s="37"/>
      <c r="G224" s="37"/>
      <c r="H224" s="44">
        <v>-52157</v>
      </c>
      <c r="I224" s="44">
        <v>-57659</v>
      </c>
      <c r="J224" s="44">
        <v>-54503</v>
      </c>
      <c r="K224" s="44">
        <v>-25820.400000000001</v>
      </c>
      <c r="L224" s="39">
        <f>L225-L217</f>
        <v>-30984.480000000003</v>
      </c>
      <c r="M224" s="39">
        <f t="shared" ref="M224:R224" si="425">M225-M217</f>
        <v>-34404.063249600003</v>
      </c>
      <c r="N224" s="39">
        <f t="shared" si="425"/>
        <v>-38222.914270305606</v>
      </c>
      <c r="O224" s="39">
        <f t="shared" si="425"/>
        <v>-42465.657754309526</v>
      </c>
      <c r="P224" s="39">
        <f t="shared" si="425"/>
        <v>-47179.345765037899</v>
      </c>
      <c r="Q224" s="39">
        <f t="shared" si="425"/>
        <v>-52416.253144957111</v>
      </c>
      <c r="R224" s="39">
        <f t="shared" si="425"/>
        <v>-58234.457244047357</v>
      </c>
    </row>
    <row r="225" spans="1:41" outlineLevel="2">
      <c r="C225" s="18" t="s">
        <v>36</v>
      </c>
      <c r="D225" s="18"/>
      <c r="E225" s="18"/>
      <c r="F225" s="18"/>
      <c r="G225" s="18"/>
      <c r="H225" s="23">
        <f>H224+H217</f>
        <v>12131</v>
      </c>
      <c r="I225" s="23">
        <f t="shared" ref="I225" si="426">I224+I217</f>
        <v>12031</v>
      </c>
      <c r="J225" s="23">
        <f t="shared" ref="J225" si="427">J224+J217</f>
        <v>12707</v>
      </c>
      <c r="K225" s="23">
        <f t="shared" ref="K225" si="428">K224+K217</f>
        <v>7956.5999999999985</v>
      </c>
      <c r="L225" s="23">
        <f>L226*L217</f>
        <v>9547.9199999999983</v>
      </c>
      <c r="M225" s="23">
        <f t="shared" ref="M225:R225" si="429">M226*M217</f>
        <v>10627.4331504</v>
      </c>
      <c r="N225" s="23">
        <f t="shared" si="429"/>
        <v>11807.078230094399</v>
      </c>
      <c r="O225" s="23">
        <f t="shared" si="429"/>
        <v>13117.66391363488</v>
      </c>
      <c r="P225" s="23">
        <f t="shared" si="429"/>
        <v>14573.724608048355</v>
      </c>
      <c r="Q225" s="23">
        <f t="shared" si="429"/>
        <v>16191.408039541724</v>
      </c>
      <c r="R225" s="23">
        <f t="shared" si="429"/>
        <v>17988.654331930858</v>
      </c>
    </row>
    <row r="226" spans="1:41" outlineLevel="2">
      <c r="C226" s="22" t="s">
        <v>19</v>
      </c>
      <c r="D226" s="22"/>
      <c r="E226" s="22"/>
      <c r="F226" s="22"/>
      <c r="G226" s="22"/>
      <c r="H226" s="56">
        <f>IFERROR(H225/H217,"NA")</f>
        <v>0.18869773519163763</v>
      </c>
      <c r="I226" s="56">
        <f t="shared" ref="I226" si="430">IFERROR(I225/I217,"NA")</f>
        <v>0.17263595924809871</v>
      </c>
      <c r="J226" s="56">
        <f t="shared" ref="J226" si="431">IFERROR(J225/J217,"NA")</f>
        <v>0.18906412736199971</v>
      </c>
      <c r="K226" s="56">
        <f t="shared" ref="K226" si="432">IFERROR(K225/K217,"NA")</f>
        <v>0.2355626609823252</v>
      </c>
      <c r="L226" s="79">
        <f>K226</f>
        <v>0.2355626609823252</v>
      </c>
      <c r="M226" s="65">
        <f t="shared" ref="M226:R226" si="433">CHOOSE(case,T226,AB226,AJ226)</f>
        <v>0.23599999999999999</v>
      </c>
      <c r="N226" s="65">
        <f t="shared" si="433"/>
        <v>0.23599999999999999</v>
      </c>
      <c r="O226" s="65">
        <f t="shared" si="433"/>
        <v>0.23599999999999999</v>
      </c>
      <c r="P226" s="65">
        <f t="shared" si="433"/>
        <v>0.23599999999999999</v>
      </c>
      <c r="Q226" s="65">
        <f t="shared" si="433"/>
        <v>0.23599999999999999</v>
      </c>
      <c r="R226" s="65">
        <f t="shared" si="433"/>
        <v>0.23599999999999999</v>
      </c>
      <c r="T226" s="471">
        <f>AB226+1%</f>
        <v>0.246</v>
      </c>
      <c r="U226" s="79">
        <f t="shared" ref="U226" si="434">T226</f>
        <v>0.246</v>
      </c>
      <c r="V226" s="79">
        <f t="shared" ref="V226" si="435">U226</f>
        <v>0.246</v>
      </c>
      <c r="W226" s="79">
        <f t="shared" ref="W226" si="436">V226</f>
        <v>0.246</v>
      </c>
      <c r="X226" s="79">
        <f t="shared" ref="X226" si="437">W226</f>
        <v>0.246</v>
      </c>
      <c r="Y226" s="79">
        <f t="shared" ref="Y226" si="438">X226</f>
        <v>0.246</v>
      </c>
      <c r="AB226" s="471">
        <v>0.23599999999999999</v>
      </c>
      <c r="AC226" s="79">
        <f t="shared" ref="AC226" si="439">AB226</f>
        <v>0.23599999999999999</v>
      </c>
      <c r="AD226" s="79">
        <f t="shared" ref="AD226" si="440">AC226</f>
        <v>0.23599999999999999</v>
      </c>
      <c r="AE226" s="79">
        <f t="shared" ref="AE226" si="441">AD226</f>
        <v>0.23599999999999999</v>
      </c>
      <c r="AF226" s="79">
        <f t="shared" ref="AF226" si="442">AE226</f>
        <v>0.23599999999999999</v>
      </c>
      <c r="AG226" s="79">
        <f t="shared" ref="AG226" si="443">AF226</f>
        <v>0.23599999999999999</v>
      </c>
      <c r="AJ226" s="471">
        <f>AB226-1%</f>
        <v>0.22599999999999998</v>
      </c>
      <c r="AK226" s="79">
        <f t="shared" ref="AK226" si="444">AJ226</f>
        <v>0.22599999999999998</v>
      </c>
      <c r="AL226" s="79">
        <f t="shared" ref="AL226" si="445">AK226</f>
        <v>0.22599999999999998</v>
      </c>
      <c r="AM226" s="79">
        <f t="shared" ref="AM226" si="446">AL226</f>
        <v>0.22599999999999998</v>
      </c>
      <c r="AN226" s="79">
        <f t="shared" ref="AN226" si="447">AM226</f>
        <v>0.22599999999999998</v>
      </c>
      <c r="AO226" s="79">
        <f t="shared" ref="AO226" si="448">AN226</f>
        <v>0.22599999999999998</v>
      </c>
    </row>
    <row r="227" spans="1:41" outlineLevel="2" collapsed="1"/>
    <row r="228" spans="1:41" s="16" customFormat="1" outlineLevel="2">
      <c r="A228" s="15" t="s">
        <v>8</v>
      </c>
      <c r="B228" s="15" t="s">
        <v>45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 spans="1:41" outlineLevel="2"/>
    <row r="230" spans="1:41" s="26" customFormat="1" outlineLevel="2">
      <c r="A230" s="26" t="s">
        <v>8</v>
      </c>
      <c r="C230" s="26" t="s">
        <v>46</v>
      </c>
    </row>
    <row r="231" spans="1:41" outlineLevel="2">
      <c r="L231" s="20"/>
      <c r="M231" s="20"/>
      <c r="R231" s="20"/>
      <c r="S231" s="526"/>
    </row>
    <row r="232" spans="1:41" s="18" customFormat="1" outlineLevel="2">
      <c r="C232" s="18" t="s">
        <v>24</v>
      </c>
      <c r="H232" s="23">
        <f>SUM(H233:H237)</f>
        <v>1473462</v>
      </c>
      <c r="I232" s="23">
        <f t="shared" ref="I232" si="449">SUM(I233:I237)</f>
        <v>2121581</v>
      </c>
      <c r="J232" s="23">
        <f t="shared" ref="J232" si="450">SUM(J233:J237)</f>
        <v>1848891</v>
      </c>
      <c r="K232" s="23">
        <f t="shared" ref="K232" si="451">SUM(K233:K237)</f>
        <v>2371385</v>
      </c>
      <c r="L232" s="459">
        <f>L257+L282+L307+L332+L357</f>
        <v>2845662</v>
      </c>
      <c r="M232" s="459">
        <f>M257+M282+M307+M332+M357</f>
        <v>3707024.9280000003</v>
      </c>
      <c r="N232" s="459">
        <f t="shared" ref="N232:R232" si="452">N257+N282+N307+N332+N357</f>
        <v>4582606.2479999997</v>
      </c>
      <c r="O232" s="459">
        <f t="shared" si="452"/>
        <v>5679418.0379999997</v>
      </c>
      <c r="P232" s="459">
        <f t="shared" si="452"/>
        <v>7056121.5995399999</v>
      </c>
      <c r="Q232" s="459">
        <f t="shared" si="452"/>
        <v>8787447.6360630002</v>
      </c>
      <c r="R232" s="459">
        <f t="shared" si="452"/>
        <v>10968694.522042051</v>
      </c>
      <c r="S232" s="463"/>
    </row>
    <row r="233" spans="1:41" outlineLevel="2">
      <c r="D233" s="27" t="s">
        <v>25</v>
      </c>
      <c r="E233" s="28"/>
      <c r="F233" s="28"/>
      <c r="G233" s="28"/>
      <c r="H233" s="29">
        <f>H258+H283+H308+H333+H358</f>
        <v>8541</v>
      </c>
      <c r="I233" s="29">
        <f t="shared" ref="I233:K233" si="453">I258+I283+I308+I333+I358</f>
        <v>820840</v>
      </c>
      <c r="J233" s="29">
        <f t="shared" si="453"/>
        <v>45374</v>
      </c>
      <c r="K233" s="29">
        <f t="shared" si="453"/>
        <v>71058</v>
      </c>
      <c r="L233" s="20">
        <f>L258+L283+L308+L333+L358</f>
        <v>85269.599999999991</v>
      </c>
      <c r="M233" s="449">
        <f t="shared" ref="M233:R233" si="454">M258+M283+M308+M333+M358</f>
        <v>0</v>
      </c>
      <c r="N233" s="449">
        <f t="shared" si="454"/>
        <v>0</v>
      </c>
      <c r="O233" s="449">
        <f t="shared" si="454"/>
        <v>0</v>
      </c>
      <c r="P233" s="449">
        <f t="shared" si="454"/>
        <v>0</v>
      </c>
      <c r="Q233" s="449">
        <f t="shared" si="454"/>
        <v>0</v>
      </c>
      <c r="R233" s="449">
        <f t="shared" si="454"/>
        <v>0</v>
      </c>
    </row>
    <row r="234" spans="1:41" outlineLevel="2">
      <c r="D234" s="31" t="s">
        <v>26</v>
      </c>
      <c r="H234" s="20">
        <f t="shared" ref="H234:L234" si="455">H259+H284+H309+H334+H359</f>
        <v>65503</v>
      </c>
      <c r="I234" s="20">
        <f t="shared" si="455"/>
        <v>203722</v>
      </c>
      <c r="J234" s="20">
        <f t="shared" si="455"/>
        <v>309757</v>
      </c>
      <c r="K234" s="20">
        <f t="shared" si="455"/>
        <v>355478</v>
      </c>
      <c r="L234" s="20">
        <f t="shared" si="455"/>
        <v>426573.60000000003</v>
      </c>
      <c r="M234" s="450">
        <f t="shared" ref="M234:R234" si="456">M259+M284+M309+M334+M359</f>
        <v>0</v>
      </c>
      <c r="N234" s="450">
        <f t="shared" si="456"/>
        <v>0</v>
      </c>
      <c r="O234" s="450">
        <f t="shared" si="456"/>
        <v>0</v>
      </c>
      <c r="P234" s="450">
        <f t="shared" si="456"/>
        <v>0</v>
      </c>
      <c r="Q234" s="450">
        <f t="shared" si="456"/>
        <v>0</v>
      </c>
      <c r="R234" s="450">
        <f t="shared" si="456"/>
        <v>0</v>
      </c>
    </row>
    <row r="235" spans="1:41" outlineLevel="2">
      <c r="D235" s="31" t="s">
        <v>27</v>
      </c>
      <c r="H235" s="20">
        <f t="shared" ref="H235:L235" si="457">H260+H285+H310+H335+H360</f>
        <v>342105</v>
      </c>
      <c r="I235" s="20">
        <f t="shared" si="457"/>
        <v>152572</v>
      </c>
      <c r="J235" s="20">
        <f t="shared" si="457"/>
        <v>558602</v>
      </c>
      <c r="K235" s="20">
        <f t="shared" si="457"/>
        <v>645585</v>
      </c>
      <c r="L235" s="20">
        <f t="shared" si="457"/>
        <v>774702</v>
      </c>
      <c r="M235" s="450">
        <f t="shared" ref="M235:R235" si="458">M260+M285+M310+M335+M360</f>
        <v>0</v>
      </c>
      <c r="N235" s="450">
        <f t="shared" si="458"/>
        <v>0</v>
      </c>
      <c r="O235" s="450">
        <f t="shared" si="458"/>
        <v>0</v>
      </c>
      <c r="P235" s="450">
        <f t="shared" si="458"/>
        <v>0</v>
      </c>
      <c r="Q235" s="450">
        <f t="shared" si="458"/>
        <v>0</v>
      </c>
      <c r="R235" s="450">
        <f t="shared" si="458"/>
        <v>0</v>
      </c>
    </row>
    <row r="236" spans="1:41" outlineLevel="2">
      <c r="D236" s="31" t="s">
        <v>28</v>
      </c>
      <c r="H236" s="20">
        <f t="shared" ref="H236:L236" si="459">H261+H286+H311+H336+H361</f>
        <v>756244</v>
      </c>
      <c r="I236" s="20">
        <f t="shared" si="459"/>
        <v>769011</v>
      </c>
      <c r="J236" s="20">
        <f t="shared" si="459"/>
        <v>864432</v>
      </c>
      <c r="K236" s="20">
        <f t="shared" si="459"/>
        <v>1034935</v>
      </c>
      <c r="L236" s="20">
        <f t="shared" si="459"/>
        <v>1241922</v>
      </c>
      <c r="M236" s="450">
        <f t="shared" ref="M236:R236" si="460">M261+M286+M311+M336+M361</f>
        <v>0</v>
      </c>
      <c r="N236" s="450">
        <f t="shared" si="460"/>
        <v>0</v>
      </c>
      <c r="O236" s="450">
        <f t="shared" si="460"/>
        <v>0</v>
      </c>
      <c r="P236" s="450">
        <f t="shared" si="460"/>
        <v>0</v>
      </c>
      <c r="Q236" s="450">
        <f t="shared" si="460"/>
        <v>0</v>
      </c>
      <c r="R236" s="450">
        <f t="shared" si="460"/>
        <v>0</v>
      </c>
    </row>
    <row r="237" spans="1:41" ht="15" outlineLevel="2" thickBot="1">
      <c r="D237" s="33" t="s">
        <v>29</v>
      </c>
      <c r="E237" s="34"/>
      <c r="F237" s="34"/>
      <c r="G237" s="34"/>
      <c r="H237" s="35">
        <f t="shared" ref="H237:L237" si="461">H262+H287+H312+H337+H362</f>
        <v>301069</v>
      </c>
      <c r="I237" s="35">
        <f t="shared" si="461"/>
        <v>175436</v>
      </c>
      <c r="J237" s="35">
        <f t="shared" si="461"/>
        <v>70726</v>
      </c>
      <c r="K237" s="35">
        <f t="shared" si="461"/>
        <v>264329</v>
      </c>
      <c r="L237" s="35">
        <f t="shared" si="461"/>
        <v>317194.8</v>
      </c>
      <c r="M237" s="458">
        <f t="shared" ref="M237:R237" si="462">M262+M287+M312+M337+M362</f>
        <v>0</v>
      </c>
      <c r="N237" s="458">
        <f t="shared" si="462"/>
        <v>0</v>
      </c>
      <c r="O237" s="458">
        <f t="shared" si="462"/>
        <v>0</v>
      </c>
      <c r="P237" s="458">
        <f t="shared" si="462"/>
        <v>0</v>
      </c>
      <c r="Q237" s="458">
        <f t="shared" si="462"/>
        <v>0</v>
      </c>
      <c r="R237" s="458">
        <f t="shared" si="462"/>
        <v>0</v>
      </c>
    </row>
    <row r="238" spans="1:41" outlineLevel="2">
      <c r="C238" s="1" t="s">
        <v>31</v>
      </c>
      <c r="H238" s="40">
        <f>H244/H232</f>
        <v>0.11934274518107695</v>
      </c>
      <c r="I238" s="40">
        <f t="shared" ref="I238:K238" si="463">I244/I232</f>
        <v>0.12899153979980024</v>
      </c>
      <c r="J238" s="40">
        <f t="shared" si="463"/>
        <v>0.24392297869371424</v>
      </c>
      <c r="K238" s="40">
        <f t="shared" si="463"/>
        <v>0.22107713424855097</v>
      </c>
      <c r="L238" s="40">
        <f t="shared" ref="L238:R238" si="464">L244/L232</f>
        <v>0.22107713424855094</v>
      </c>
      <c r="M238" s="40">
        <f t="shared" si="464"/>
        <v>0.22175286857957699</v>
      </c>
      <c r="N238" s="40">
        <f t="shared" si="464"/>
        <v>0.22340170225945194</v>
      </c>
      <c r="O238" s="40">
        <f t="shared" si="464"/>
        <v>0.22505114949655944</v>
      </c>
      <c r="P238" s="40">
        <f t="shared" si="464"/>
        <v>0.22670331046401407</v>
      </c>
      <c r="Q238" s="40">
        <f t="shared" si="464"/>
        <v>0.22836033047474205</v>
      </c>
      <c r="R238" s="40">
        <f t="shared" si="464"/>
        <v>0.2300243625615615</v>
      </c>
    </row>
    <row r="239" spans="1:41" outlineLevel="2">
      <c r="D239" s="27" t="s">
        <v>25</v>
      </c>
      <c r="E239" s="28"/>
      <c r="F239" s="28"/>
      <c r="G239" s="28"/>
      <c r="H239" s="50">
        <f>IFERROR(H245/H233,"NA")</f>
        <v>0.43097997892518441</v>
      </c>
      <c r="I239" s="50">
        <f t="shared" ref="I239:K239" si="465">IFERROR(I245/I233,"NA")</f>
        <v>2.7192875590858145E-2</v>
      </c>
      <c r="J239" s="50">
        <f t="shared" si="465"/>
        <v>0.39685723101335568</v>
      </c>
      <c r="K239" s="50">
        <f t="shared" si="465"/>
        <v>0.25614286920543783</v>
      </c>
      <c r="L239" s="50">
        <f t="shared" ref="L239:R239" si="466">IFERROR(L245/L233,"NA")</f>
        <v>0.25614286920543783</v>
      </c>
      <c r="M239" s="449" t="str">
        <f t="shared" si="466"/>
        <v>NA</v>
      </c>
      <c r="N239" s="449" t="str">
        <f t="shared" si="466"/>
        <v>NA</v>
      </c>
      <c r="O239" s="449" t="str">
        <f t="shared" si="466"/>
        <v>NA</v>
      </c>
      <c r="P239" s="449" t="str">
        <f t="shared" si="466"/>
        <v>NA</v>
      </c>
      <c r="Q239" s="449" t="str">
        <f t="shared" si="466"/>
        <v>NA</v>
      </c>
      <c r="R239" s="449" t="str">
        <f t="shared" si="466"/>
        <v>NA</v>
      </c>
    </row>
    <row r="240" spans="1:41" outlineLevel="2">
      <c r="D240" s="31" t="s">
        <v>26</v>
      </c>
      <c r="H240" s="52">
        <f t="shared" ref="H240:K240" si="467">IFERROR(H246/H234,"NA")</f>
        <v>0.42759873593575864</v>
      </c>
      <c r="I240" s="52">
        <f t="shared" si="467"/>
        <v>0.35656924632587544</v>
      </c>
      <c r="J240" s="52">
        <f t="shared" si="467"/>
        <v>0.37320544814160778</v>
      </c>
      <c r="K240" s="52">
        <f t="shared" si="467"/>
        <v>0.35355493166947038</v>
      </c>
      <c r="L240" s="52">
        <f>IFERROR(L246/L234,"NA")</f>
        <v>0.35355493166947033</v>
      </c>
      <c r="M240" s="450" t="str">
        <f t="shared" ref="M240:R240" si="468">IFERROR(M246/M234,"NA")</f>
        <v>NA</v>
      </c>
      <c r="N240" s="450" t="str">
        <f t="shared" si="468"/>
        <v>NA</v>
      </c>
      <c r="O240" s="450" t="str">
        <f t="shared" si="468"/>
        <v>NA</v>
      </c>
      <c r="P240" s="450" t="str">
        <f t="shared" si="468"/>
        <v>NA</v>
      </c>
      <c r="Q240" s="450" t="str">
        <f t="shared" si="468"/>
        <v>NA</v>
      </c>
      <c r="R240" s="450" t="str">
        <f t="shared" si="468"/>
        <v>NA</v>
      </c>
    </row>
    <row r="241" spans="1:19" outlineLevel="2">
      <c r="D241" s="31" t="s">
        <v>27</v>
      </c>
      <c r="H241" s="52">
        <f t="shared" ref="H241:K241" si="469">IFERROR(H247/H235,"NA")</f>
        <v>4.9218807091390072E-2</v>
      </c>
      <c r="I241" s="52">
        <f t="shared" si="469"/>
        <v>0.31653252235010354</v>
      </c>
      <c r="J241" s="52">
        <f t="shared" si="469"/>
        <v>0.29837701977436532</v>
      </c>
      <c r="K241" s="52">
        <f t="shared" si="469"/>
        <v>0.27917625099715759</v>
      </c>
      <c r="L241" s="52">
        <f t="shared" ref="L241:R241" si="470">IFERROR(L247/L235,"NA")</f>
        <v>0.27917625099715759</v>
      </c>
      <c r="M241" s="450" t="str">
        <f t="shared" si="470"/>
        <v>NA</v>
      </c>
      <c r="N241" s="450" t="str">
        <f t="shared" si="470"/>
        <v>NA</v>
      </c>
      <c r="O241" s="450" t="str">
        <f t="shared" si="470"/>
        <v>NA</v>
      </c>
      <c r="P241" s="450" t="str">
        <f t="shared" si="470"/>
        <v>NA</v>
      </c>
      <c r="Q241" s="450" t="str">
        <f t="shared" si="470"/>
        <v>NA</v>
      </c>
      <c r="R241" s="450" t="str">
        <f t="shared" si="470"/>
        <v>NA</v>
      </c>
    </row>
    <row r="242" spans="1:19" outlineLevel="2">
      <c r="D242" s="31" t="s">
        <v>28</v>
      </c>
      <c r="H242" s="52">
        <f t="shared" ref="H242:K242" si="471">IFERROR(H248/H236,"NA")</f>
        <v>0.11589645669916059</v>
      </c>
      <c r="I242" s="52">
        <f t="shared" si="471"/>
        <v>0.12969125279092236</v>
      </c>
      <c r="J242" s="52">
        <f t="shared" si="471"/>
        <v>0.15886501193847521</v>
      </c>
      <c r="K242" s="52">
        <f t="shared" si="471"/>
        <v>0.16742693985612622</v>
      </c>
      <c r="L242" s="52">
        <f t="shared" ref="L242:R242" si="472">IFERROR(L248/L236,"NA")</f>
        <v>0.16742693985612625</v>
      </c>
      <c r="M242" s="450" t="str">
        <f t="shared" si="472"/>
        <v>NA</v>
      </c>
      <c r="N242" s="450" t="str">
        <f t="shared" si="472"/>
        <v>NA</v>
      </c>
      <c r="O242" s="450" t="str">
        <f t="shared" si="472"/>
        <v>NA</v>
      </c>
      <c r="P242" s="450" t="str">
        <f t="shared" si="472"/>
        <v>NA</v>
      </c>
      <c r="Q242" s="450" t="str">
        <f t="shared" si="472"/>
        <v>NA</v>
      </c>
      <c r="R242" s="450" t="str">
        <f t="shared" si="472"/>
        <v>NA</v>
      </c>
    </row>
    <row r="243" spans="1:19" ht="15" outlineLevel="2" thickBot="1">
      <c r="C243" s="37"/>
      <c r="D243" s="38" t="s">
        <v>29</v>
      </c>
      <c r="E243" s="37"/>
      <c r="F243" s="37"/>
      <c r="G243" s="37"/>
      <c r="H243" s="54">
        <f t="shared" ref="H243:K243" si="473">IFERROR(H249/H237,"NA")</f>
        <v>0.13177377943262175</v>
      </c>
      <c r="I243" s="54">
        <f t="shared" si="473"/>
        <v>0.17485578786566042</v>
      </c>
      <c r="J243" s="54">
        <f t="shared" si="473"/>
        <v>0.18911008681390154</v>
      </c>
      <c r="K243" s="54">
        <f t="shared" si="473"/>
        <v>0.10164983789141563</v>
      </c>
      <c r="L243" s="54">
        <f t="shared" ref="L243:R243" si="474">IFERROR(L249/L237,"NA")</f>
        <v>0.10164983789141563</v>
      </c>
      <c r="M243" s="458" t="str">
        <f t="shared" si="474"/>
        <v>NA</v>
      </c>
      <c r="N243" s="458" t="str">
        <f t="shared" si="474"/>
        <v>NA</v>
      </c>
      <c r="O243" s="458" t="str">
        <f t="shared" si="474"/>
        <v>NA</v>
      </c>
      <c r="P243" s="458" t="str">
        <f t="shared" si="474"/>
        <v>NA</v>
      </c>
      <c r="Q243" s="458" t="str">
        <f t="shared" si="474"/>
        <v>NA</v>
      </c>
      <c r="R243" s="458" t="str">
        <f t="shared" si="474"/>
        <v>NA</v>
      </c>
    </row>
    <row r="244" spans="1:19" outlineLevel="2">
      <c r="C244" s="18" t="s">
        <v>33</v>
      </c>
      <c r="H244" s="23">
        <f>SUM(H245:H249)</f>
        <v>175847</v>
      </c>
      <c r="I244" s="23">
        <f t="shared" ref="I244" si="475">SUM(I245:I249)</f>
        <v>273666</v>
      </c>
      <c r="J244" s="23">
        <f t="shared" ref="J244" si="476">SUM(J245:J249)</f>
        <v>450987</v>
      </c>
      <c r="K244" s="23">
        <f t="shared" ref="K244" si="477">SUM(K245:K249)</f>
        <v>524259</v>
      </c>
      <c r="L244" s="459">
        <f>L269+L294+L319+L344+L369</f>
        <v>629110.79999999993</v>
      </c>
      <c r="M244" s="459">
        <f t="shared" ref="M244:R244" si="478">M269+M294+M319+M344+M369</f>
        <v>822043.4116799999</v>
      </c>
      <c r="N244" s="459">
        <f t="shared" si="478"/>
        <v>1023762.0365880001</v>
      </c>
      <c r="O244" s="459">
        <f t="shared" si="478"/>
        <v>1278159.5579233943</v>
      </c>
      <c r="P244" s="459">
        <f t="shared" si="478"/>
        <v>1599646.1256523521</v>
      </c>
      <c r="Q244" s="459">
        <f t="shared" si="478"/>
        <v>2006704.4462008376</v>
      </c>
      <c r="R244" s="459">
        <f t="shared" si="478"/>
        <v>2523066.9655652144</v>
      </c>
    </row>
    <row r="245" spans="1:19" outlineLevel="2">
      <c r="D245" s="27" t="s">
        <v>25</v>
      </c>
      <c r="E245" s="28"/>
      <c r="F245" s="28"/>
      <c r="G245" s="28"/>
      <c r="H245" s="29">
        <f>H270+H295+H320+H345+H370</f>
        <v>3681</v>
      </c>
      <c r="I245" s="29">
        <f t="shared" ref="I245:K245" si="479">I270+I295+I320+I345+I370</f>
        <v>22321</v>
      </c>
      <c r="J245" s="29">
        <f t="shared" si="479"/>
        <v>18007</v>
      </c>
      <c r="K245" s="29">
        <f t="shared" si="479"/>
        <v>18201</v>
      </c>
      <c r="L245" s="20">
        <f>L270+L295+L320+L345+L370</f>
        <v>21841.200000000001</v>
      </c>
      <c r="M245" s="449">
        <f t="shared" ref="M245:R245" si="480">M270+M295+M320+M345+M370</f>
        <v>0</v>
      </c>
      <c r="N245" s="449">
        <f t="shared" si="480"/>
        <v>0</v>
      </c>
      <c r="O245" s="449">
        <f t="shared" si="480"/>
        <v>0</v>
      </c>
      <c r="P245" s="449">
        <f t="shared" si="480"/>
        <v>0</v>
      </c>
      <c r="Q245" s="449">
        <f t="shared" si="480"/>
        <v>0</v>
      </c>
      <c r="R245" s="449">
        <f t="shared" si="480"/>
        <v>0</v>
      </c>
    </row>
    <row r="246" spans="1:19" outlineLevel="2">
      <c r="D246" s="31" t="s">
        <v>26</v>
      </c>
      <c r="H246" s="20">
        <f t="shared" ref="H246:K246" si="481">H271+H296+H321+H346+H371</f>
        <v>28009</v>
      </c>
      <c r="I246" s="20">
        <f t="shared" si="481"/>
        <v>72641</v>
      </c>
      <c r="J246" s="20">
        <f t="shared" si="481"/>
        <v>115603</v>
      </c>
      <c r="K246" s="20">
        <f t="shared" si="481"/>
        <v>125681</v>
      </c>
      <c r="L246" s="20">
        <f>L271+L296+L321+L346+L371</f>
        <v>150817.19999999998</v>
      </c>
      <c r="M246" s="450">
        <f t="shared" ref="M246:R246" si="482">M271+M296+M321+M346+M371</f>
        <v>0</v>
      </c>
      <c r="N246" s="450">
        <f t="shared" si="482"/>
        <v>0</v>
      </c>
      <c r="O246" s="450">
        <f t="shared" si="482"/>
        <v>0</v>
      </c>
      <c r="P246" s="450">
        <f t="shared" si="482"/>
        <v>0</v>
      </c>
      <c r="Q246" s="450">
        <f t="shared" si="482"/>
        <v>0</v>
      </c>
      <c r="R246" s="450">
        <f t="shared" si="482"/>
        <v>0</v>
      </c>
    </row>
    <row r="247" spans="1:19" outlineLevel="2">
      <c r="D247" s="31" t="s">
        <v>27</v>
      </c>
      <c r="H247" s="20">
        <f t="shared" ref="H247:L247" si="483">H272+H297+H322+H347+H372</f>
        <v>16838</v>
      </c>
      <c r="I247" s="20">
        <f t="shared" si="483"/>
        <v>48294</v>
      </c>
      <c r="J247" s="20">
        <f t="shared" si="483"/>
        <v>166674</v>
      </c>
      <c r="K247" s="20">
        <f t="shared" si="483"/>
        <v>180232</v>
      </c>
      <c r="L247" s="20">
        <f t="shared" si="483"/>
        <v>216278.39999999999</v>
      </c>
      <c r="M247" s="450">
        <f t="shared" ref="M247:R247" si="484">M272+M297+M322+M347+M372</f>
        <v>0</v>
      </c>
      <c r="N247" s="450">
        <f t="shared" si="484"/>
        <v>0</v>
      </c>
      <c r="O247" s="450">
        <f t="shared" si="484"/>
        <v>0</v>
      </c>
      <c r="P247" s="450">
        <f t="shared" si="484"/>
        <v>0</v>
      </c>
      <c r="Q247" s="450">
        <f t="shared" si="484"/>
        <v>0</v>
      </c>
      <c r="R247" s="450">
        <f t="shared" si="484"/>
        <v>0</v>
      </c>
    </row>
    <row r="248" spans="1:19" outlineLevel="2">
      <c r="D248" s="31" t="s">
        <v>28</v>
      </c>
      <c r="H248" s="20">
        <f t="shared" ref="H248:L248" si="485">H273+H298+H323+H348+H373</f>
        <v>87646</v>
      </c>
      <c r="I248" s="20">
        <f t="shared" si="485"/>
        <v>99734</v>
      </c>
      <c r="J248" s="20">
        <f t="shared" si="485"/>
        <v>137328</v>
      </c>
      <c r="K248" s="20">
        <f t="shared" si="485"/>
        <v>173276</v>
      </c>
      <c r="L248" s="20">
        <f t="shared" si="485"/>
        <v>207931.2</v>
      </c>
      <c r="M248" s="450">
        <f t="shared" ref="M248:R248" si="486">M273+M298+M323+M348+M373</f>
        <v>0</v>
      </c>
      <c r="N248" s="450">
        <f t="shared" si="486"/>
        <v>0</v>
      </c>
      <c r="O248" s="450">
        <f t="shared" si="486"/>
        <v>0</v>
      </c>
      <c r="P248" s="450">
        <f t="shared" si="486"/>
        <v>0</v>
      </c>
      <c r="Q248" s="450">
        <f t="shared" si="486"/>
        <v>0</v>
      </c>
      <c r="R248" s="450">
        <f t="shared" si="486"/>
        <v>0</v>
      </c>
    </row>
    <row r="249" spans="1:19" ht="15" outlineLevel="2" thickBot="1">
      <c r="D249" s="33" t="s">
        <v>29</v>
      </c>
      <c r="E249" s="34"/>
      <c r="F249" s="34"/>
      <c r="G249" s="34"/>
      <c r="H249" s="35">
        <f t="shared" ref="H249:L249" si="487">H274+H299+H324+H349+H374</f>
        <v>39673</v>
      </c>
      <c r="I249" s="35">
        <f t="shared" si="487"/>
        <v>30676</v>
      </c>
      <c r="J249" s="35">
        <f t="shared" si="487"/>
        <v>13375</v>
      </c>
      <c r="K249" s="35">
        <f t="shared" si="487"/>
        <v>26869</v>
      </c>
      <c r="L249" s="35">
        <f t="shared" si="487"/>
        <v>32242.800000000003</v>
      </c>
      <c r="M249" s="458">
        <f t="shared" ref="M249:R249" si="488">M274+M299+M324+M349+M374</f>
        <v>0</v>
      </c>
      <c r="N249" s="458">
        <f t="shared" si="488"/>
        <v>0</v>
      </c>
      <c r="O249" s="458">
        <f t="shared" si="488"/>
        <v>0</v>
      </c>
      <c r="P249" s="458">
        <f t="shared" si="488"/>
        <v>0</v>
      </c>
      <c r="Q249" s="458">
        <f t="shared" si="488"/>
        <v>0</v>
      </c>
      <c r="R249" s="458">
        <f t="shared" si="488"/>
        <v>0</v>
      </c>
    </row>
    <row r="250" spans="1:19" outlineLevel="2"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</row>
    <row r="251" spans="1:19" ht="15" outlineLevel="2" thickBot="1">
      <c r="C251" s="37" t="s">
        <v>34</v>
      </c>
      <c r="D251" s="37"/>
      <c r="E251" s="37"/>
      <c r="F251" s="37"/>
      <c r="G251" s="37"/>
      <c r="H251" s="39">
        <f t="shared" ref="H251:N251" si="489">H276+H301+H326+H351+H376</f>
        <v>-114903</v>
      </c>
      <c r="I251" s="39">
        <f t="shared" si="489"/>
        <v>-185484</v>
      </c>
      <c r="J251" s="39">
        <f t="shared" si="489"/>
        <v>-273281</v>
      </c>
      <c r="K251" s="39">
        <f t="shared" si="489"/>
        <v>-314516</v>
      </c>
      <c r="L251" s="39">
        <f t="shared" si="489"/>
        <v>-377419.2</v>
      </c>
      <c r="M251" s="39">
        <f t="shared" si="489"/>
        <v>-494961.98772384005</v>
      </c>
      <c r="N251" s="39">
        <f t="shared" si="489"/>
        <v>-616946.38350720482</v>
      </c>
      <c r="O251" s="39">
        <f t="shared" ref="O251:R251" si="490">O276+O301+O326+O351+O376</f>
        <v>-771046.49214200513</v>
      </c>
      <c r="P251" s="39">
        <f t="shared" si="490"/>
        <v>-966139.19614989765</v>
      </c>
      <c r="Q251" s="39">
        <f t="shared" si="490"/>
        <v>-1213638.6351667121</v>
      </c>
      <c r="R251" s="39">
        <f t="shared" si="490"/>
        <v>-1528237.9224860084</v>
      </c>
    </row>
    <row r="252" spans="1:19" outlineLevel="2">
      <c r="C252" s="18" t="s">
        <v>36</v>
      </c>
      <c r="D252" s="18"/>
      <c r="E252" s="18"/>
      <c r="F252" s="18"/>
      <c r="G252" s="18"/>
      <c r="H252" s="23">
        <f>H251+H244</f>
        <v>60944</v>
      </c>
      <c r="I252" s="23">
        <f t="shared" ref="I252" si="491">I251+I244</f>
        <v>88182</v>
      </c>
      <c r="J252" s="23">
        <f t="shared" ref="J252" si="492">J251+J244</f>
        <v>177706</v>
      </c>
      <c r="K252" s="23">
        <f t="shared" ref="K252" si="493">K251+K244</f>
        <v>209743</v>
      </c>
      <c r="L252" s="23">
        <f>L251+L244</f>
        <v>251691.59999999992</v>
      </c>
      <c r="M252" s="23">
        <f t="shared" ref="M252" si="494">M251+M244</f>
        <v>327081.42395615985</v>
      </c>
      <c r="N252" s="23">
        <f t="shared" ref="N252" si="495">N251+N244</f>
        <v>406815.65308079531</v>
      </c>
      <c r="O252" s="23">
        <f t="shared" ref="O252" si="496">O251+O244</f>
        <v>507113.06578138913</v>
      </c>
      <c r="P252" s="23">
        <f t="shared" ref="P252" si="497">P251+P244</f>
        <v>633506.92950245447</v>
      </c>
      <c r="Q252" s="23">
        <f t="shared" ref="Q252" si="498">Q251+Q244</f>
        <v>793065.81103412551</v>
      </c>
      <c r="R252" s="23">
        <f t="shared" ref="R252" si="499">R251+R244</f>
        <v>994829.04307920602</v>
      </c>
    </row>
    <row r="253" spans="1:19" outlineLevel="2">
      <c r="C253" s="22" t="s">
        <v>19</v>
      </c>
      <c r="D253" s="22"/>
      <c r="E253" s="22"/>
      <c r="F253" s="22"/>
      <c r="G253" s="22"/>
      <c r="H253" s="56">
        <f>IFERROR(H252/H244,"NA")</f>
        <v>0.34657401036127999</v>
      </c>
      <c r="I253" s="56">
        <f t="shared" ref="I253" si="500">IFERROR(I252/I244,"NA")</f>
        <v>0.32222490188770253</v>
      </c>
      <c r="J253" s="56">
        <f t="shared" ref="J253" si="501">IFERROR(J252/J244,"NA")</f>
        <v>0.39403796561763421</v>
      </c>
      <c r="K253" s="56">
        <f t="shared" ref="K253" si="502">IFERROR(K252/K244,"NA")</f>
        <v>0.40007515369311736</v>
      </c>
      <c r="L253" s="56">
        <f>IFERROR(L252/L244,"NA")</f>
        <v>0.40007515369311725</v>
      </c>
      <c r="M253" s="56">
        <f t="shared" ref="M253" si="503">IFERROR(M252/M244,"NA")</f>
        <v>0.39788826150641804</v>
      </c>
      <c r="N253" s="56">
        <f t="shared" ref="N253" si="504">IFERROR(N252/N244,"NA")</f>
        <v>0.39737325525044159</v>
      </c>
      <c r="O253" s="56">
        <f t="shared" ref="O253" si="505">IFERROR(O252/O244,"NA")</f>
        <v>0.39675255146179694</v>
      </c>
      <c r="P253" s="56">
        <f t="shared" ref="P253" si="506">IFERROR(P252/P244,"NA")</f>
        <v>0.39602942134723945</v>
      </c>
      <c r="Q253" s="56">
        <f t="shared" ref="Q253" si="507">IFERROR(Q252/Q244,"NA")</f>
        <v>0.3952080798622763</v>
      </c>
      <c r="R253" s="56">
        <f t="shared" ref="R253" si="508">IFERROR(R252/R244,"NA")</f>
        <v>0.39429355489038542</v>
      </c>
    </row>
    <row r="254" spans="1:19" outlineLevel="2"/>
    <row r="255" spans="1:19" s="26" customFormat="1" outlineLevel="3">
      <c r="A255" s="26" t="s">
        <v>8</v>
      </c>
      <c r="C255" s="26" t="s">
        <v>47</v>
      </c>
    </row>
    <row r="256" spans="1:19" outlineLevel="3">
      <c r="L256" s="20"/>
      <c r="M256" s="20"/>
      <c r="R256" s="20"/>
      <c r="S256" s="526"/>
    </row>
    <row r="257" spans="3:42" s="18" customFormat="1" outlineLevel="3">
      <c r="C257" s="18" t="s">
        <v>24</v>
      </c>
      <c r="H257" s="23">
        <f>SUM(H258:H262)</f>
        <v>426138</v>
      </c>
      <c r="I257" s="23">
        <f t="shared" ref="I257" si="509">SUM(I258:I262)</f>
        <v>378666</v>
      </c>
      <c r="J257" s="23">
        <f t="shared" ref="J257" si="510">SUM(J258:J262)</f>
        <v>566471</v>
      </c>
      <c r="K257" s="23">
        <f t="shared" ref="K257" si="511">SUM(K258:K262)</f>
        <v>776693</v>
      </c>
      <c r="L257" s="23">
        <f>SUM(L258:L262)</f>
        <v>932031.6</v>
      </c>
      <c r="M257" s="23">
        <f t="shared" ref="M257:R257" si="512">CHOOSE(case,T257,AB257,AJ257)</f>
        <v>1193000.4480000001</v>
      </c>
      <c r="N257" s="23">
        <f t="shared" si="512"/>
        <v>1491250.56</v>
      </c>
      <c r="O257" s="23">
        <f t="shared" si="512"/>
        <v>1864063.2000000002</v>
      </c>
      <c r="P257" s="23">
        <f t="shared" si="512"/>
        <v>2330079</v>
      </c>
      <c r="Q257" s="23">
        <f t="shared" si="512"/>
        <v>2912598.75</v>
      </c>
      <c r="R257" s="23">
        <f t="shared" si="512"/>
        <v>3640748.4375</v>
      </c>
      <c r="T257" s="20">
        <f>$L257*(1+$Z257)</f>
        <v>1211641.08</v>
      </c>
      <c r="U257" s="20">
        <f>T257*(1+$Z257)</f>
        <v>1575133.4040000001</v>
      </c>
      <c r="V257" s="20">
        <f t="shared" ref="V257" si="513">U257*(1+$Z257)</f>
        <v>2047673.4252000002</v>
      </c>
      <c r="W257" s="20">
        <f>V257*(1+$Z257)</f>
        <v>2661975.4527600002</v>
      </c>
      <c r="X257" s="20">
        <f>W257*(1+$Z257)</f>
        <v>3460568.0885880003</v>
      </c>
      <c r="Y257" s="20">
        <f t="shared" ref="Y257" si="514">X257*(1+$Z257)</f>
        <v>4498738.5151644005</v>
      </c>
      <c r="Z257" s="472">
        <f>AH257+5%</f>
        <v>0.3</v>
      </c>
      <c r="AA257" s="1"/>
      <c r="AB257" s="20">
        <f>$L257*(1+$AH257+3%)</f>
        <v>1193000.4480000001</v>
      </c>
      <c r="AC257" s="20">
        <f>AB257*(1+$AH257)</f>
        <v>1491250.56</v>
      </c>
      <c r="AD257" s="20">
        <f t="shared" ref="AD257" si="515">AC257*(1+$AH257)</f>
        <v>1864063.2000000002</v>
      </c>
      <c r="AE257" s="20">
        <f>AD257*(1+$AH257)</f>
        <v>2330079</v>
      </c>
      <c r="AF257" s="20">
        <f t="shared" ref="AF257" si="516">AE257*(1+$AH257)</f>
        <v>2912598.75</v>
      </c>
      <c r="AG257" s="20">
        <f>AF257*(1+$AH257)</f>
        <v>3640748.4375</v>
      </c>
      <c r="AH257" s="472">
        <v>0.25</v>
      </c>
      <c r="AI257" s="1"/>
      <c r="AJ257" s="20">
        <f>$L257*(1+$AP257)</f>
        <v>1118437.92</v>
      </c>
      <c r="AK257" s="20">
        <f>AJ257*(1+$AP257)</f>
        <v>1342125.504</v>
      </c>
      <c r="AL257" s="20">
        <f t="shared" ref="AL257:AM257" si="517">AK257*(1+$AP257)</f>
        <v>1610550.6047999999</v>
      </c>
      <c r="AM257" s="20">
        <f t="shared" si="517"/>
        <v>1932660.7257599998</v>
      </c>
      <c r="AN257" s="20">
        <f>AM257*(1+$AP257)</f>
        <v>2319192.8709119996</v>
      </c>
      <c r="AO257" s="20">
        <f t="shared" ref="AO257" si="518">AN257*(1+$AP257)</f>
        <v>2783031.4450943996</v>
      </c>
      <c r="AP257" s="472">
        <f>AH257-5%</f>
        <v>0.2</v>
      </c>
    </row>
    <row r="258" spans="3:42" outlineLevel="3">
      <c r="D258" s="27" t="s">
        <v>25</v>
      </c>
      <c r="E258" s="28"/>
      <c r="F258" s="28"/>
      <c r="G258" s="28"/>
      <c r="H258" s="398"/>
      <c r="I258" s="398"/>
      <c r="J258" s="398"/>
      <c r="K258" s="399"/>
      <c r="L258" s="159">
        <f>K258*1.2</f>
        <v>0</v>
      </c>
      <c r="M258" s="436"/>
      <c r="N258" s="436"/>
      <c r="O258" s="436"/>
      <c r="P258" s="436"/>
      <c r="Q258" s="436"/>
      <c r="R258" s="437"/>
    </row>
    <row r="259" spans="3:42" outlineLevel="3">
      <c r="D259" s="31" t="s">
        <v>26</v>
      </c>
      <c r="H259" s="400">
        <v>10423</v>
      </c>
      <c r="I259" s="400">
        <v>31926</v>
      </c>
      <c r="J259" s="400">
        <v>122160</v>
      </c>
      <c r="K259" s="401">
        <v>188165</v>
      </c>
      <c r="L259" s="162">
        <f t="shared" ref="L259:L262" si="519">K259*1.2</f>
        <v>225798</v>
      </c>
      <c r="M259" s="438"/>
      <c r="N259" s="438"/>
      <c r="O259" s="438"/>
      <c r="P259" s="438"/>
      <c r="Q259" s="438"/>
      <c r="R259" s="439"/>
    </row>
    <row r="260" spans="3:42" outlineLevel="3">
      <c r="D260" s="31" t="s">
        <v>27</v>
      </c>
      <c r="H260" s="400">
        <v>287628</v>
      </c>
      <c r="I260" s="400">
        <v>40773</v>
      </c>
      <c r="J260" s="400">
        <v>85649</v>
      </c>
      <c r="K260" s="401">
        <v>165947</v>
      </c>
      <c r="L260" s="162">
        <f t="shared" si="519"/>
        <v>199136.4</v>
      </c>
      <c r="M260" s="438"/>
      <c r="N260" s="438"/>
      <c r="O260" s="438"/>
      <c r="P260" s="438"/>
      <c r="Q260" s="438"/>
      <c r="R260" s="439"/>
    </row>
    <row r="261" spans="3:42" outlineLevel="3">
      <c r="D261" s="31" t="s">
        <v>28</v>
      </c>
      <c r="H261" s="400">
        <v>57497</v>
      </c>
      <c r="I261" s="400">
        <v>305967</v>
      </c>
      <c r="J261" s="400">
        <v>358662</v>
      </c>
      <c r="K261" s="401">
        <v>422581</v>
      </c>
      <c r="L261" s="162">
        <f t="shared" si="519"/>
        <v>507097.19999999995</v>
      </c>
      <c r="M261" s="438"/>
      <c r="N261" s="438"/>
      <c r="O261" s="438"/>
      <c r="P261" s="438"/>
      <c r="Q261" s="438"/>
      <c r="R261" s="439"/>
    </row>
    <row r="262" spans="3:42" outlineLevel="3">
      <c r="D262" s="33" t="s">
        <v>29</v>
      </c>
      <c r="E262" s="34"/>
      <c r="F262" s="34"/>
      <c r="G262" s="34"/>
      <c r="H262" s="402">
        <v>70590</v>
      </c>
      <c r="I262" s="402"/>
      <c r="J262" s="402"/>
      <c r="K262" s="403"/>
      <c r="L262" s="163">
        <f t="shared" si="519"/>
        <v>0</v>
      </c>
      <c r="M262" s="440"/>
      <c r="N262" s="440"/>
      <c r="O262" s="440"/>
      <c r="P262" s="440"/>
      <c r="Q262" s="440"/>
      <c r="R262" s="441"/>
      <c r="AB262" s="448"/>
      <c r="AC262" s="448"/>
      <c r="AD262" s="448"/>
      <c r="AE262" s="448"/>
      <c r="AF262" s="448"/>
      <c r="AG262" s="448"/>
    </row>
    <row r="263" spans="3:42" outlineLevel="3">
      <c r="C263" s="1" t="s">
        <v>31</v>
      </c>
      <c r="H263" s="57">
        <f>IFERROR(H269/H257,"NA")</f>
        <v>7.1378285907382114E-2</v>
      </c>
      <c r="I263" s="57">
        <f t="shared" ref="I263:K263" si="520">IFERROR(I269/I257,"NA")</f>
        <v>0.19462798349997096</v>
      </c>
      <c r="J263" s="57">
        <f t="shared" si="520"/>
        <v>0.24004935821957346</v>
      </c>
      <c r="K263" s="57">
        <f t="shared" si="520"/>
        <v>0.24125748526122934</v>
      </c>
      <c r="L263" s="57">
        <f>IFERROR(L269/L257,"NA")</f>
        <v>0.24125748526122931</v>
      </c>
      <c r="M263" s="57">
        <f t="shared" ref="M263:R263" si="521">CHOOSE(case,T263,AB263,AJ263)</f>
        <v>0.2436700601138416</v>
      </c>
      <c r="N263" s="57">
        <f t="shared" si="521"/>
        <v>0.24610676071498003</v>
      </c>
      <c r="O263" s="57">
        <f t="shared" si="521"/>
        <v>0.24856782832212984</v>
      </c>
      <c r="P263" s="57">
        <f t="shared" si="521"/>
        <v>0.25105350660535114</v>
      </c>
      <c r="Q263" s="57">
        <f t="shared" si="521"/>
        <v>0.25356404167140467</v>
      </c>
      <c r="R263" s="57">
        <f t="shared" si="521"/>
        <v>0.25609968208811873</v>
      </c>
      <c r="T263" s="448">
        <f>$L263*(1+$Z263)</f>
        <v>0.24608263496645391</v>
      </c>
      <c r="U263" s="448">
        <f>T263*(1+$Z263)</f>
        <v>0.25100428766578298</v>
      </c>
      <c r="V263" s="448">
        <f t="shared" ref="V263:Y263" si="522">U263*(1+$Z263)</f>
        <v>0.25602437341909862</v>
      </c>
      <c r="W263" s="448">
        <f t="shared" si="522"/>
        <v>0.26114486088748057</v>
      </c>
      <c r="X263" s="448">
        <f t="shared" si="522"/>
        <v>0.26636775810523017</v>
      </c>
      <c r="Y263" s="448">
        <f t="shared" si="522"/>
        <v>0.27169511326733475</v>
      </c>
      <c r="Z263" s="472">
        <v>0.02</v>
      </c>
      <c r="AB263" s="448">
        <f>$L263*(1+$AH263)</f>
        <v>0.2436700601138416</v>
      </c>
      <c r="AC263" s="448">
        <f>AB263*(1+$AH263)</f>
        <v>0.24610676071498003</v>
      </c>
      <c r="AD263" s="448">
        <f t="shared" ref="AD263:AF263" si="523">AC263*(1+$AH263)</f>
        <v>0.24856782832212984</v>
      </c>
      <c r="AE263" s="448">
        <f t="shared" si="523"/>
        <v>0.25105350660535114</v>
      </c>
      <c r="AF263" s="448">
        <f t="shared" si="523"/>
        <v>0.25356404167140467</v>
      </c>
      <c r="AG263" s="448">
        <f>AF263*(1+$AH263)</f>
        <v>0.25609968208811873</v>
      </c>
      <c r="AH263" s="472">
        <v>0.01</v>
      </c>
      <c r="AJ263" s="448">
        <f>$L263*(1+$AP263)</f>
        <v>0.24125748526122931</v>
      </c>
      <c r="AK263" s="448">
        <f>AJ263*(1+$AP263)</f>
        <v>0.24125748526122931</v>
      </c>
      <c r="AL263" s="448">
        <f t="shared" ref="AL263:AM263" si="524">AK263*(1+$AP263)</f>
        <v>0.24125748526122931</v>
      </c>
      <c r="AM263" s="448">
        <f t="shared" si="524"/>
        <v>0.24125748526122931</v>
      </c>
      <c r="AN263" s="448">
        <f>AM263*(1+$AP263)</f>
        <v>0.24125748526122931</v>
      </c>
      <c r="AO263" s="448">
        <f t="shared" ref="AO263" si="525">AN263*(1+$AP263)</f>
        <v>0.24125748526122931</v>
      </c>
      <c r="AP263" s="472">
        <v>0</v>
      </c>
    </row>
    <row r="264" spans="3:42" outlineLevel="3">
      <c r="D264" s="27" t="s">
        <v>25</v>
      </c>
      <c r="E264" s="28"/>
      <c r="F264" s="28"/>
      <c r="G264" s="28"/>
      <c r="H264" s="50" t="str">
        <f>IFERROR(H270/H258,"NA")</f>
        <v>NA</v>
      </c>
      <c r="I264" s="50" t="str">
        <f t="shared" ref="I264:K264" si="526">IFERROR(I270/I258,"NA")</f>
        <v>NA</v>
      </c>
      <c r="J264" s="50" t="str">
        <f t="shared" si="526"/>
        <v>NA</v>
      </c>
      <c r="K264" s="51" t="str">
        <f t="shared" si="526"/>
        <v>NA</v>
      </c>
      <c r="L264" s="81"/>
      <c r="M264" s="442"/>
      <c r="N264" s="442"/>
      <c r="O264" s="442"/>
      <c r="P264" s="442"/>
      <c r="Q264" s="442"/>
      <c r="R264" s="443"/>
    </row>
    <row r="265" spans="3:42" outlineLevel="3">
      <c r="D265" s="31" t="s">
        <v>26</v>
      </c>
      <c r="H265" s="52">
        <f t="shared" ref="H265:K265" si="527">IFERROR(H271/H259,"NA")</f>
        <v>0.4762544373021203</v>
      </c>
      <c r="I265" s="52">
        <f t="shared" si="527"/>
        <v>0.3948192695608595</v>
      </c>
      <c r="J265" s="52">
        <f t="shared" si="527"/>
        <v>0.38853143418467584</v>
      </c>
      <c r="K265" s="53">
        <f t="shared" si="527"/>
        <v>0.3278346132383812</v>
      </c>
      <c r="L265" s="82">
        <f>K265</f>
        <v>0.3278346132383812</v>
      </c>
      <c r="M265" s="444"/>
      <c r="N265" s="444"/>
      <c r="O265" s="444"/>
      <c r="P265" s="444"/>
      <c r="Q265" s="444"/>
      <c r="R265" s="445"/>
    </row>
    <row r="266" spans="3:42" outlineLevel="3">
      <c r="D266" s="31" t="s">
        <v>27</v>
      </c>
      <c r="H266" s="52">
        <f t="shared" ref="H266:K266" si="528">IFERROR(H272/H260,"NA")</f>
        <v>3.1036616741068324E-2</v>
      </c>
      <c r="I266" s="52">
        <f t="shared" si="528"/>
        <v>0.38488705761165476</v>
      </c>
      <c r="J266" s="52">
        <f t="shared" si="528"/>
        <v>0.25448049597776973</v>
      </c>
      <c r="K266" s="53">
        <f t="shared" si="528"/>
        <v>0.26497014106913652</v>
      </c>
      <c r="L266" s="82">
        <f t="shared" ref="L266:L267" si="529">K266</f>
        <v>0.26497014106913652</v>
      </c>
      <c r="M266" s="444"/>
      <c r="N266" s="444"/>
      <c r="O266" s="444"/>
      <c r="P266" s="444"/>
      <c r="Q266" s="444"/>
      <c r="R266" s="445"/>
    </row>
    <row r="267" spans="3:42" outlineLevel="3">
      <c r="D267" s="31" t="s">
        <v>28</v>
      </c>
      <c r="H267" s="52">
        <f t="shared" ref="H267:K267" si="530">IFERROR(H273/H261,"NA")</f>
        <v>0.27279684157434303</v>
      </c>
      <c r="I267" s="52">
        <f t="shared" si="530"/>
        <v>0.14838528338023382</v>
      </c>
      <c r="J267" s="52">
        <f t="shared" si="530"/>
        <v>0.1860303015094992</v>
      </c>
      <c r="K267" s="53">
        <f t="shared" si="530"/>
        <v>0.19339487577529516</v>
      </c>
      <c r="L267" s="82">
        <f t="shared" si="529"/>
        <v>0.19339487577529516</v>
      </c>
      <c r="M267" s="444"/>
      <c r="N267" s="444"/>
      <c r="O267" s="444"/>
      <c r="P267" s="444"/>
      <c r="Q267" s="444"/>
      <c r="R267" s="445"/>
    </row>
    <row r="268" spans="3:42" ht="15" outlineLevel="3" thickBot="1">
      <c r="C268" s="37"/>
      <c r="D268" s="38" t="s">
        <v>29</v>
      </c>
      <c r="E268" s="37"/>
      <c r="F268" s="37"/>
      <c r="G268" s="37"/>
      <c r="H268" s="54">
        <f t="shared" ref="H268:K268" si="531">IFERROR(H274/H262,"NA")</f>
        <v>1.1913868819946168E-2</v>
      </c>
      <c r="I268" s="54" t="str">
        <f t="shared" si="531"/>
        <v>NA</v>
      </c>
      <c r="J268" s="54" t="str">
        <f t="shared" si="531"/>
        <v>NA</v>
      </c>
      <c r="K268" s="55" t="str">
        <f t="shared" si="531"/>
        <v>NA</v>
      </c>
      <c r="L268" s="86"/>
      <c r="M268" s="446"/>
      <c r="N268" s="446"/>
      <c r="O268" s="446"/>
      <c r="P268" s="446"/>
      <c r="Q268" s="446"/>
      <c r="R268" s="447"/>
    </row>
    <row r="269" spans="3:42" outlineLevel="3">
      <c r="C269" s="18" t="s">
        <v>33</v>
      </c>
      <c r="H269" s="23">
        <f>SUM(H270:H274)</f>
        <v>30417</v>
      </c>
      <c r="I269" s="23">
        <f t="shared" ref="I269" si="532">SUM(I270:I274)</f>
        <v>73699</v>
      </c>
      <c r="J269" s="23">
        <f t="shared" ref="J269" si="533">SUM(J270:J274)</f>
        <v>135981</v>
      </c>
      <c r="K269" s="23">
        <f t="shared" ref="K269" si="534">SUM(K270:K274)</f>
        <v>187383</v>
      </c>
      <c r="L269" s="23">
        <f>SUM(L270:L274)</f>
        <v>224859.59999999998</v>
      </c>
      <c r="M269" s="23">
        <f>M257*M263</f>
        <v>290698.49088</v>
      </c>
      <c r="N269" s="23">
        <f t="shared" ref="N269:R269" si="535">N257*N263</f>
        <v>367006.844736</v>
      </c>
      <c r="O269" s="23">
        <f t="shared" si="535"/>
        <v>463346.14147920004</v>
      </c>
      <c r="P269" s="23">
        <f t="shared" si="535"/>
        <v>584974.50361748994</v>
      </c>
      <c r="Q269" s="23">
        <f t="shared" si="535"/>
        <v>738530.31081708113</v>
      </c>
      <c r="R269" s="23">
        <f t="shared" si="535"/>
        <v>932394.51740656502</v>
      </c>
      <c r="S269" s="144">
        <f>POWER(R269/M269,1/5)-1</f>
        <v>0.26249999999999996</v>
      </c>
    </row>
    <row r="270" spans="3:42" outlineLevel="3">
      <c r="D270" s="27" t="s">
        <v>25</v>
      </c>
      <c r="E270" s="28"/>
      <c r="F270" s="28"/>
      <c r="G270" s="28"/>
      <c r="H270" s="398"/>
      <c r="I270" s="398"/>
      <c r="J270" s="398"/>
      <c r="K270" s="399"/>
      <c r="L270" s="83">
        <f>L264*L258</f>
        <v>0</v>
      </c>
      <c r="M270" s="436"/>
      <c r="N270" s="436"/>
      <c r="O270" s="436"/>
      <c r="P270" s="436"/>
      <c r="Q270" s="436"/>
      <c r="R270" s="437"/>
    </row>
    <row r="271" spans="3:42" outlineLevel="3">
      <c r="D271" s="31" t="s">
        <v>26</v>
      </c>
      <c r="H271" s="400">
        <v>4964</v>
      </c>
      <c r="I271" s="400">
        <v>12605</v>
      </c>
      <c r="J271" s="400">
        <v>47463</v>
      </c>
      <c r="K271" s="401">
        <v>61687</v>
      </c>
      <c r="L271" s="84">
        <f>L259*L265</f>
        <v>74024.399999999994</v>
      </c>
      <c r="M271" s="438"/>
      <c r="N271" s="438"/>
      <c r="O271" s="438"/>
      <c r="P271" s="438"/>
      <c r="Q271" s="438"/>
      <c r="R271" s="439"/>
    </row>
    <row r="272" spans="3:42" outlineLevel="3">
      <c r="D272" s="31" t="s">
        <v>27</v>
      </c>
      <c r="H272" s="400">
        <v>8927</v>
      </c>
      <c r="I272" s="400">
        <v>15693</v>
      </c>
      <c r="J272" s="400">
        <v>21796</v>
      </c>
      <c r="K272" s="401">
        <v>43971</v>
      </c>
      <c r="L272" s="84">
        <f t="shared" ref="L272" si="536">L260*L266</f>
        <v>52765.2</v>
      </c>
      <c r="M272" s="438"/>
      <c r="N272" s="438"/>
      <c r="O272" s="438"/>
      <c r="P272" s="438"/>
      <c r="Q272" s="438"/>
      <c r="R272" s="439"/>
    </row>
    <row r="273" spans="1:42" outlineLevel="3">
      <c r="D273" s="31" t="s">
        <v>28</v>
      </c>
      <c r="H273" s="400">
        <v>15685</v>
      </c>
      <c r="I273" s="400">
        <v>45401</v>
      </c>
      <c r="J273" s="400">
        <v>66722</v>
      </c>
      <c r="K273" s="401">
        <v>81725</v>
      </c>
      <c r="L273" s="84">
        <f t="shared" ref="L273" si="537">L261*L267</f>
        <v>98070</v>
      </c>
      <c r="M273" s="438"/>
      <c r="N273" s="438"/>
      <c r="O273" s="438"/>
      <c r="P273" s="438"/>
      <c r="Q273" s="438"/>
      <c r="R273" s="439"/>
    </row>
    <row r="274" spans="1:42" outlineLevel="3">
      <c r="D274" s="33" t="s">
        <v>29</v>
      </c>
      <c r="E274" s="34"/>
      <c r="F274" s="34"/>
      <c r="G274" s="34"/>
      <c r="H274" s="402">
        <v>841</v>
      </c>
      <c r="I274" s="402"/>
      <c r="J274" s="402"/>
      <c r="K274" s="403"/>
      <c r="L274" s="85">
        <f>L262*L268</f>
        <v>0</v>
      </c>
      <c r="M274" s="440"/>
      <c r="N274" s="440"/>
      <c r="O274" s="440"/>
      <c r="P274" s="440"/>
      <c r="Q274" s="440"/>
      <c r="R274" s="441"/>
    </row>
    <row r="275" spans="1:42" outlineLevel="3">
      <c r="H275" s="43"/>
      <c r="I275" s="43"/>
      <c r="J275" s="43"/>
      <c r="K275" s="43"/>
      <c r="L275" s="144">
        <f>L269/集团!L$9/1000/集团!L$23</f>
        <v>2.9777246308295556E-2</v>
      </c>
      <c r="M275" s="144">
        <f>M269/集团!N$9/1000/集团!N$23</f>
        <v>3.5215233943954427E-2</v>
      </c>
      <c r="R275" s="144">
        <f>R269/集团!S$9/1000/集团!S$23</f>
        <v>6.7000290608500684E-2</v>
      </c>
      <c r="S275" s="526">
        <f>R275-M275</f>
        <v>3.1785056664546257E-2</v>
      </c>
    </row>
    <row r="276" spans="1:42" ht="15" outlineLevel="3" thickBot="1">
      <c r="C276" s="37" t="s">
        <v>34</v>
      </c>
      <c r="D276" s="37"/>
      <c r="E276" s="37"/>
      <c r="F276" s="37"/>
      <c r="G276" s="37"/>
      <c r="H276" s="404">
        <v>-13568</v>
      </c>
      <c r="I276" s="404">
        <v>-40544</v>
      </c>
      <c r="J276" s="404">
        <v>-63164</v>
      </c>
      <c r="K276" s="404">
        <v>-94341</v>
      </c>
      <c r="L276" s="39">
        <f>L277-L269</f>
        <v>-113209.2</v>
      </c>
      <c r="M276" s="39">
        <f t="shared" ref="M276:R276" si="538">M277-M269</f>
        <v>-146221.34091264001</v>
      </c>
      <c r="N276" s="39">
        <f t="shared" si="538"/>
        <v>-184604.44290220801</v>
      </c>
      <c r="O276" s="39">
        <f t="shared" si="538"/>
        <v>-233063.10916403763</v>
      </c>
      <c r="P276" s="39">
        <f t="shared" si="538"/>
        <v>-294242.17531959742</v>
      </c>
      <c r="Q276" s="39">
        <f t="shared" si="538"/>
        <v>-371480.74634099181</v>
      </c>
      <c r="R276" s="39">
        <f t="shared" si="538"/>
        <v>-468994.44225550222</v>
      </c>
    </row>
    <row r="277" spans="1:42" outlineLevel="3">
      <c r="C277" s="18" t="s">
        <v>36</v>
      </c>
      <c r="D277" s="18"/>
      <c r="E277" s="18"/>
      <c r="F277" s="18"/>
      <c r="G277" s="18"/>
      <c r="H277" s="23">
        <f>H276+H269</f>
        <v>16849</v>
      </c>
      <c r="I277" s="23">
        <f>I276+I269</f>
        <v>33155</v>
      </c>
      <c r="J277" s="23">
        <f>J276+J269</f>
        <v>72817</v>
      </c>
      <c r="K277" s="23">
        <f>K276+K269</f>
        <v>93042</v>
      </c>
      <c r="L277" s="23">
        <f>L278*L269</f>
        <v>111650.39999999998</v>
      </c>
      <c r="M277" s="23">
        <f t="shared" ref="M277:R277" si="539">M278*M269</f>
        <v>144477.14996735999</v>
      </c>
      <c r="N277" s="23">
        <f t="shared" si="539"/>
        <v>182402.40183379198</v>
      </c>
      <c r="O277" s="23">
        <f t="shared" si="539"/>
        <v>230283.03231516242</v>
      </c>
      <c r="P277" s="23">
        <f t="shared" si="539"/>
        <v>290732.32829789253</v>
      </c>
      <c r="Q277" s="23">
        <f t="shared" si="539"/>
        <v>367049.56447608932</v>
      </c>
      <c r="R277" s="23">
        <f t="shared" si="539"/>
        <v>463400.0751510628</v>
      </c>
    </row>
    <row r="278" spans="1:42" outlineLevel="3">
      <c r="C278" s="22" t="s">
        <v>19</v>
      </c>
      <c r="D278" s="22"/>
      <c r="E278" s="22"/>
      <c r="F278" s="22"/>
      <c r="G278" s="22"/>
      <c r="H278" s="56">
        <f>IFERROR(H277/H269,"NA")</f>
        <v>0.55393365552158336</v>
      </c>
      <c r="I278" s="56">
        <f t="shared" ref="I278" si="540">IFERROR(I277/I269,"NA")</f>
        <v>0.4498704188659276</v>
      </c>
      <c r="J278" s="56">
        <f t="shared" ref="J278" si="541">IFERROR(J277/J269,"NA")</f>
        <v>0.53549392929894613</v>
      </c>
      <c r="K278" s="56">
        <f t="shared" ref="K278" si="542">IFERROR(K277/K269,"NA")</f>
        <v>0.49653383711435933</v>
      </c>
      <c r="L278" s="79">
        <f>K278</f>
        <v>0.49653383711435933</v>
      </c>
      <c r="M278" s="65">
        <f t="shared" ref="M278:R278" si="543">CHOOSE(case,T278,AB278,AJ278)</f>
        <v>0.497</v>
      </c>
      <c r="N278" s="65">
        <f t="shared" si="543"/>
        <v>0.497</v>
      </c>
      <c r="O278" s="65">
        <f t="shared" si="543"/>
        <v>0.497</v>
      </c>
      <c r="P278" s="65">
        <f t="shared" si="543"/>
        <v>0.497</v>
      </c>
      <c r="Q278" s="65">
        <f t="shared" si="543"/>
        <v>0.497</v>
      </c>
      <c r="R278" s="65">
        <f t="shared" si="543"/>
        <v>0.497</v>
      </c>
      <c r="S278" s="526">
        <f>R278-M278</f>
        <v>0</v>
      </c>
      <c r="T278" s="471">
        <f>AB278+1%</f>
        <v>0.50700000000000001</v>
      </c>
      <c r="U278" s="79">
        <f t="shared" ref="U278" si="544">T278</f>
        <v>0.50700000000000001</v>
      </c>
      <c r="V278" s="79">
        <f t="shared" ref="V278" si="545">U278</f>
        <v>0.50700000000000001</v>
      </c>
      <c r="W278" s="79">
        <f t="shared" ref="W278" si="546">V278</f>
        <v>0.50700000000000001</v>
      </c>
      <c r="X278" s="79">
        <f t="shared" ref="X278" si="547">W278</f>
        <v>0.50700000000000001</v>
      </c>
      <c r="Y278" s="79">
        <f t="shared" ref="Y278" si="548">X278</f>
        <v>0.50700000000000001</v>
      </c>
      <c r="AB278" s="471">
        <v>0.497</v>
      </c>
      <c r="AC278" s="79">
        <f t="shared" ref="AC278" si="549">AB278</f>
        <v>0.497</v>
      </c>
      <c r="AD278" s="79">
        <f t="shared" ref="AD278" si="550">AC278</f>
        <v>0.497</v>
      </c>
      <c r="AE278" s="79">
        <f t="shared" ref="AE278" si="551">AD278</f>
        <v>0.497</v>
      </c>
      <c r="AF278" s="79">
        <f t="shared" ref="AF278" si="552">AE278</f>
        <v>0.497</v>
      </c>
      <c r="AG278" s="79">
        <f t="shared" ref="AG278" si="553">AF278</f>
        <v>0.497</v>
      </c>
      <c r="AJ278" s="471">
        <f>AB278-1%</f>
        <v>0.48699999999999999</v>
      </c>
      <c r="AK278" s="79">
        <f t="shared" ref="AK278" si="554">AJ278</f>
        <v>0.48699999999999999</v>
      </c>
      <c r="AL278" s="79">
        <f t="shared" ref="AL278" si="555">AK278</f>
        <v>0.48699999999999999</v>
      </c>
      <c r="AM278" s="79">
        <f t="shared" ref="AM278" si="556">AL278</f>
        <v>0.48699999999999999</v>
      </c>
      <c r="AN278" s="79">
        <f t="shared" ref="AN278" si="557">AM278</f>
        <v>0.48699999999999999</v>
      </c>
      <c r="AO278" s="79">
        <f t="shared" ref="AO278" si="558">AN278</f>
        <v>0.48699999999999999</v>
      </c>
    </row>
    <row r="279" spans="1:42" outlineLevel="3"/>
    <row r="280" spans="1:42" s="26" customFormat="1" outlineLevel="3">
      <c r="A280" s="26" t="s">
        <v>8</v>
      </c>
      <c r="C280" s="26" t="s">
        <v>48</v>
      </c>
    </row>
    <row r="281" spans="1:42" outlineLevel="3">
      <c r="L281" s="20"/>
      <c r="M281" s="20"/>
      <c r="R281" s="20"/>
      <c r="S281" s="526"/>
    </row>
    <row r="282" spans="1:42" s="18" customFormat="1" outlineLevel="3">
      <c r="C282" s="18" t="s">
        <v>24</v>
      </c>
      <c r="H282" s="23">
        <f>SUM(H283:H287)</f>
        <v>64775</v>
      </c>
      <c r="I282" s="23">
        <f t="shared" ref="I282" si="559">SUM(I283:I287)</f>
        <v>164996</v>
      </c>
      <c r="J282" s="23">
        <f t="shared" ref="J282" si="560">SUM(J283:J287)</f>
        <v>247942</v>
      </c>
      <c r="K282" s="23">
        <f t="shared" ref="K282" si="561">SUM(K283:K287)</f>
        <v>408344</v>
      </c>
      <c r="L282" s="23">
        <f>SUM(L283:L287)</f>
        <v>490012.8</v>
      </c>
      <c r="M282" s="23">
        <f t="shared" ref="M282:R282" si="562">CHOOSE(case,T282,AB282,AJ282)</f>
        <v>588015.35999999999</v>
      </c>
      <c r="N282" s="23">
        <f t="shared" si="562"/>
        <v>676217.66399999999</v>
      </c>
      <c r="O282" s="23">
        <f t="shared" si="562"/>
        <v>777650.31359999988</v>
      </c>
      <c r="P282" s="23">
        <f t="shared" si="562"/>
        <v>894297.86063999974</v>
      </c>
      <c r="Q282" s="23">
        <f t="shared" si="562"/>
        <v>1028442.5397359997</v>
      </c>
      <c r="R282" s="23">
        <f t="shared" si="562"/>
        <v>1182708.9206963994</v>
      </c>
      <c r="T282" s="20">
        <f>$L282*(1+$Z282)</f>
        <v>588015.35999999999</v>
      </c>
      <c r="U282" s="20">
        <f>T282*(1+$Z282)</f>
        <v>705618.43199999991</v>
      </c>
      <c r="V282" s="20">
        <f t="shared" ref="V282" si="563">U282*(1+$Z282)</f>
        <v>846742.11839999992</v>
      </c>
      <c r="W282" s="20">
        <f>V282*(1+$Z282)</f>
        <v>1016090.5420799998</v>
      </c>
      <c r="X282" s="20">
        <f>W282*(1+$Z282)</f>
        <v>1219308.6504959997</v>
      </c>
      <c r="Y282" s="20">
        <f t="shared" ref="Y282" si="564">X282*(1+$Z282)</f>
        <v>1463170.3805951995</v>
      </c>
      <c r="Z282" s="472">
        <f>AH282+5%</f>
        <v>0.2</v>
      </c>
      <c r="AA282" s="1"/>
      <c r="AB282" s="20">
        <f>$L282*(1+$AH282+5%)</f>
        <v>588015.35999999999</v>
      </c>
      <c r="AC282" s="20">
        <f>AB282*(1+$AH282)</f>
        <v>676217.66399999999</v>
      </c>
      <c r="AD282" s="20">
        <f t="shared" ref="AD282" si="565">AC282*(1+$AH282)</f>
        <v>777650.31359999988</v>
      </c>
      <c r="AE282" s="20">
        <f>AD282*(1+$AH282)</f>
        <v>894297.86063999974</v>
      </c>
      <c r="AF282" s="20">
        <f t="shared" ref="AF282" si="566">AE282*(1+$AH282)</f>
        <v>1028442.5397359997</v>
      </c>
      <c r="AG282" s="20">
        <f>AF282*(1+$AH282)</f>
        <v>1182708.9206963994</v>
      </c>
      <c r="AH282" s="472">
        <v>0.15</v>
      </c>
      <c r="AI282" s="1"/>
      <c r="AJ282" s="20">
        <f>$L282*(1+$AP282)</f>
        <v>539014.08000000007</v>
      </c>
      <c r="AK282" s="20">
        <f>AJ282*(1+$AP282)</f>
        <v>592915.48800000013</v>
      </c>
      <c r="AL282" s="20">
        <f t="shared" ref="AL282:AM282" si="567">AK282*(1+$AP282)</f>
        <v>652207.03680000023</v>
      </c>
      <c r="AM282" s="20">
        <f t="shared" si="567"/>
        <v>717427.74048000027</v>
      </c>
      <c r="AN282" s="20">
        <f>AM282*(1+$AP282)</f>
        <v>789170.51452800038</v>
      </c>
      <c r="AO282" s="20">
        <f t="shared" ref="AO282" si="568">AN282*(1+$AP282)</f>
        <v>868087.56598080054</v>
      </c>
      <c r="AP282" s="472">
        <f>AH282-5%</f>
        <v>9.9999999999999992E-2</v>
      </c>
    </row>
    <row r="283" spans="1:42" outlineLevel="3">
      <c r="D283" s="27" t="s">
        <v>25</v>
      </c>
      <c r="E283" s="28"/>
      <c r="F283" s="28"/>
      <c r="G283" s="28"/>
      <c r="H283" s="398">
        <v>7967</v>
      </c>
      <c r="I283" s="398">
        <v>37252</v>
      </c>
      <c r="J283" s="398">
        <v>29460</v>
      </c>
      <c r="K283" s="399">
        <v>22475</v>
      </c>
      <c r="L283" s="159">
        <f>K283*1.2</f>
        <v>26970</v>
      </c>
      <c r="M283" s="436"/>
      <c r="N283" s="436"/>
      <c r="O283" s="436"/>
      <c r="P283" s="436"/>
      <c r="Q283" s="436"/>
      <c r="R283" s="437"/>
    </row>
    <row r="284" spans="1:42" outlineLevel="3">
      <c r="D284" s="31" t="s">
        <v>26</v>
      </c>
      <c r="H284" s="400">
        <v>20900</v>
      </c>
      <c r="I284" s="400">
        <v>52850</v>
      </c>
      <c r="J284" s="400">
        <v>61777</v>
      </c>
      <c r="K284" s="401">
        <v>57536</v>
      </c>
      <c r="L284" s="162">
        <f t="shared" ref="L284:L287" si="569">K284*1.2</f>
        <v>69043.199999999997</v>
      </c>
      <c r="M284" s="438"/>
      <c r="N284" s="438"/>
      <c r="O284" s="438"/>
      <c r="P284" s="438"/>
      <c r="Q284" s="438"/>
      <c r="R284" s="439"/>
    </row>
    <row r="285" spans="1:42" outlineLevel="3">
      <c r="D285" s="31" t="s">
        <v>27</v>
      </c>
      <c r="H285" s="400">
        <v>0</v>
      </c>
      <c r="I285" s="400">
        <v>40092</v>
      </c>
      <c r="J285" s="400">
        <v>108773</v>
      </c>
      <c r="K285" s="401">
        <v>44644</v>
      </c>
      <c r="L285" s="162">
        <f t="shared" si="569"/>
        <v>53572.799999999996</v>
      </c>
      <c r="M285" s="438"/>
      <c r="N285" s="438"/>
      <c r="O285" s="438"/>
      <c r="P285" s="438"/>
      <c r="Q285" s="438"/>
      <c r="R285" s="439"/>
    </row>
    <row r="286" spans="1:42" outlineLevel="3">
      <c r="D286" s="31" t="s">
        <v>28</v>
      </c>
      <c r="H286" s="400">
        <v>7764</v>
      </c>
      <c r="I286" s="400">
        <v>30018</v>
      </c>
      <c r="J286" s="400">
        <v>40623</v>
      </c>
      <c r="K286" s="401">
        <v>258497</v>
      </c>
      <c r="L286" s="162">
        <f t="shared" si="569"/>
        <v>310196.39999999997</v>
      </c>
      <c r="M286" s="438"/>
      <c r="N286" s="438"/>
      <c r="O286" s="438"/>
      <c r="P286" s="438"/>
      <c r="Q286" s="438"/>
      <c r="R286" s="439"/>
    </row>
    <row r="287" spans="1:42" outlineLevel="3">
      <c r="D287" s="33" t="s">
        <v>29</v>
      </c>
      <c r="E287" s="34"/>
      <c r="F287" s="34"/>
      <c r="G287" s="34"/>
      <c r="H287" s="402">
        <v>28144</v>
      </c>
      <c r="I287" s="402">
        <v>4784</v>
      </c>
      <c r="J287" s="402">
        <v>7309</v>
      </c>
      <c r="K287" s="403">
        <v>25192</v>
      </c>
      <c r="L287" s="163">
        <f t="shared" si="569"/>
        <v>30230.399999999998</v>
      </c>
      <c r="M287" s="440"/>
      <c r="N287" s="440"/>
      <c r="O287" s="440"/>
      <c r="P287" s="440"/>
      <c r="Q287" s="440"/>
      <c r="R287" s="441"/>
      <c r="AB287" s="448"/>
      <c r="AC287" s="448"/>
      <c r="AD287" s="448"/>
      <c r="AE287" s="448"/>
      <c r="AF287" s="448"/>
      <c r="AG287" s="448"/>
    </row>
    <row r="288" spans="1:42" outlineLevel="3">
      <c r="C288" s="1" t="s">
        <v>31</v>
      </c>
      <c r="H288" s="57">
        <f>IFERROR(H294/H282,"NA")</f>
        <v>0.46508683905827863</v>
      </c>
      <c r="I288" s="57">
        <f t="shared" ref="I288:K288" si="570">IFERROR(I294/I282,"NA")</f>
        <v>0.44883512327571579</v>
      </c>
      <c r="J288" s="57">
        <f t="shared" si="570"/>
        <v>0.42549870534237844</v>
      </c>
      <c r="K288" s="57">
        <f t="shared" si="570"/>
        <v>0.26504613757028389</v>
      </c>
      <c r="L288" s="57">
        <f>IFERROR(L294/L282,"NA")</f>
        <v>0.26504613757028389</v>
      </c>
      <c r="M288" s="57">
        <f t="shared" ref="M288:R288" si="571">CHOOSE(case,T288,AB288,AJ288)</f>
        <v>0.26769659894598674</v>
      </c>
      <c r="N288" s="57">
        <f t="shared" si="571"/>
        <v>0.27037356493544662</v>
      </c>
      <c r="O288" s="57">
        <f t="shared" si="571"/>
        <v>0.27307730058480106</v>
      </c>
      <c r="P288" s="57">
        <f t="shared" si="571"/>
        <v>0.27580807359064907</v>
      </c>
      <c r="Q288" s="57">
        <f t="shared" si="571"/>
        <v>0.27856615432655557</v>
      </c>
      <c r="R288" s="57">
        <f t="shared" si="571"/>
        <v>0.28135181586982111</v>
      </c>
      <c r="T288" s="448">
        <f>$L288*(1+$Z288)</f>
        <v>0.27034706032168959</v>
      </c>
      <c r="U288" s="448">
        <f>T288*(1+$Z288)</f>
        <v>0.2757540015281234</v>
      </c>
      <c r="V288" s="448">
        <f t="shared" ref="V288:Y288" si="572">U288*(1+$Z288)</f>
        <v>0.28126908155868585</v>
      </c>
      <c r="W288" s="448">
        <f t="shared" si="572"/>
        <v>0.28689446318985956</v>
      </c>
      <c r="X288" s="448">
        <f t="shared" si="572"/>
        <v>0.29263235245365676</v>
      </c>
      <c r="Y288" s="448">
        <f t="shared" si="572"/>
        <v>0.29848499950272989</v>
      </c>
      <c r="Z288" s="472">
        <v>0.02</v>
      </c>
      <c r="AB288" s="448">
        <f>$L288*(1+$AH288)</f>
        <v>0.26769659894598674</v>
      </c>
      <c r="AC288" s="448">
        <f>AB288*(1+$AH288)</f>
        <v>0.27037356493544662</v>
      </c>
      <c r="AD288" s="448">
        <f t="shared" ref="AD288:AF288" si="573">AC288*(1+$AH288)</f>
        <v>0.27307730058480106</v>
      </c>
      <c r="AE288" s="448">
        <f t="shared" si="573"/>
        <v>0.27580807359064907</v>
      </c>
      <c r="AF288" s="448">
        <f t="shared" si="573"/>
        <v>0.27856615432655557</v>
      </c>
      <c r="AG288" s="448">
        <f>AF288*(1+$AH288)</f>
        <v>0.28135181586982111</v>
      </c>
      <c r="AH288" s="472">
        <v>0.01</v>
      </c>
      <c r="AJ288" s="448">
        <f>$L288*(1+$AP288)</f>
        <v>0.26504613757028389</v>
      </c>
      <c r="AK288" s="448">
        <f>AJ288*(1+$AP288)</f>
        <v>0.26504613757028389</v>
      </c>
      <c r="AL288" s="448">
        <f t="shared" ref="AL288:AM288" si="574">AK288*(1+$AP288)</f>
        <v>0.26504613757028389</v>
      </c>
      <c r="AM288" s="448">
        <f t="shared" si="574"/>
        <v>0.26504613757028389</v>
      </c>
      <c r="AN288" s="448">
        <f>AM288*(1+$AP288)</f>
        <v>0.26504613757028389</v>
      </c>
      <c r="AO288" s="448">
        <f t="shared" ref="AO288" si="575">AN288*(1+$AP288)</f>
        <v>0.26504613757028389</v>
      </c>
      <c r="AP288" s="472">
        <v>0</v>
      </c>
    </row>
    <row r="289" spans="3:41" outlineLevel="3">
      <c r="D289" s="27" t="s">
        <v>25</v>
      </c>
      <c r="E289" s="28"/>
      <c r="F289" s="28"/>
      <c r="G289" s="28"/>
      <c r="H289" s="50">
        <f>IFERROR(H295/H283,"NA")</f>
        <v>0.45475084724488513</v>
      </c>
      <c r="I289" s="50">
        <f t="shared" ref="I289:K289" si="576">IFERROR(I295/I283,"NA")</f>
        <v>0.44886180607752602</v>
      </c>
      <c r="J289" s="50">
        <f t="shared" si="576"/>
        <v>0.43122878479293958</v>
      </c>
      <c r="K289" s="51">
        <f t="shared" si="576"/>
        <v>0.37432703003337042</v>
      </c>
      <c r="L289" s="81">
        <f>K289</f>
        <v>0.37432703003337042</v>
      </c>
      <c r="M289" s="442"/>
      <c r="N289" s="442"/>
      <c r="O289" s="442"/>
      <c r="P289" s="442"/>
      <c r="Q289" s="442"/>
      <c r="R289" s="443"/>
    </row>
    <row r="290" spans="3:41" outlineLevel="3">
      <c r="D290" s="31" t="s">
        <v>26</v>
      </c>
      <c r="H290" s="52">
        <f t="shared" ref="H290:K290" si="577">IFERROR(H296/H284,"NA")</f>
        <v>0.51760765550239229</v>
      </c>
      <c r="I290" s="52">
        <f t="shared" si="577"/>
        <v>0.44830652790917691</v>
      </c>
      <c r="J290" s="52">
        <f t="shared" si="577"/>
        <v>0.49136409990773267</v>
      </c>
      <c r="K290" s="53">
        <f t="shared" si="577"/>
        <v>0.58740614571746386</v>
      </c>
      <c r="L290" s="82">
        <f>K290</f>
        <v>0.58740614571746386</v>
      </c>
      <c r="M290" s="444"/>
      <c r="N290" s="444"/>
      <c r="O290" s="444"/>
      <c r="P290" s="444"/>
      <c r="Q290" s="444"/>
      <c r="R290" s="445"/>
    </row>
    <row r="291" spans="3:41" outlineLevel="3">
      <c r="D291" s="31" t="s">
        <v>27</v>
      </c>
      <c r="H291" s="52" t="str">
        <f t="shared" ref="H291:K291" si="578">IFERROR(H297/H285,"NA")</f>
        <v>NA</v>
      </c>
      <c r="I291" s="52">
        <f t="shared" si="578"/>
        <v>0.50917888855632043</v>
      </c>
      <c r="J291" s="52">
        <f t="shared" si="578"/>
        <v>0.45014847434565564</v>
      </c>
      <c r="K291" s="53">
        <f t="shared" si="578"/>
        <v>0.43887196487769914</v>
      </c>
      <c r="L291" s="82">
        <f t="shared" ref="L291:L292" si="579">K291</f>
        <v>0.43887196487769914</v>
      </c>
      <c r="M291" s="444"/>
      <c r="N291" s="444"/>
      <c r="O291" s="444"/>
      <c r="P291" s="444"/>
      <c r="Q291" s="444"/>
      <c r="R291" s="445"/>
    </row>
    <row r="292" spans="3:41" outlineLevel="3">
      <c r="D292" s="31" t="s">
        <v>28</v>
      </c>
      <c r="H292" s="52">
        <f t="shared" ref="H292:K292" si="580">IFERROR(H298/H286,"NA")</f>
        <v>0.34827408552292632</v>
      </c>
      <c r="I292" s="52">
        <f t="shared" si="580"/>
        <v>0.16789926044373377</v>
      </c>
      <c r="J292" s="52">
        <f t="shared" si="580"/>
        <v>0.24897225709573395</v>
      </c>
      <c r="K292" s="53">
        <f t="shared" si="580"/>
        <v>0.16783947202482041</v>
      </c>
      <c r="L292" s="82">
        <f t="shared" si="579"/>
        <v>0.16783947202482041</v>
      </c>
      <c r="M292" s="444"/>
      <c r="N292" s="444"/>
      <c r="O292" s="444"/>
      <c r="P292" s="444"/>
      <c r="Q292" s="444"/>
      <c r="R292" s="445"/>
    </row>
    <row r="293" spans="3:41" ht="15" outlineLevel="3" thickBot="1">
      <c r="C293" s="37"/>
      <c r="D293" s="38" t="s">
        <v>29</v>
      </c>
      <c r="E293" s="37"/>
      <c r="F293" s="37"/>
      <c r="G293" s="37"/>
      <c r="H293" s="54">
        <f t="shared" ref="H293:K293" si="581">IFERROR(H299/H287,"NA")</f>
        <v>0.46123507674815234</v>
      </c>
      <c r="I293" s="54">
        <f t="shared" si="581"/>
        <v>1.7115384615384615</v>
      </c>
      <c r="J293" s="54">
        <f t="shared" si="581"/>
        <v>0.45998084553290464</v>
      </c>
      <c r="K293" s="55">
        <f t="shared" si="581"/>
        <v>0.12071292473801207</v>
      </c>
      <c r="L293" s="86">
        <f>K293</f>
        <v>0.12071292473801207</v>
      </c>
      <c r="M293" s="446"/>
      <c r="N293" s="446"/>
      <c r="O293" s="446"/>
      <c r="P293" s="446"/>
      <c r="Q293" s="446"/>
      <c r="R293" s="447"/>
    </row>
    <row r="294" spans="3:41" outlineLevel="3">
      <c r="C294" s="18" t="s">
        <v>33</v>
      </c>
      <c r="H294" s="23">
        <f>SUM(H295:H299)</f>
        <v>30126</v>
      </c>
      <c r="I294" s="23">
        <f t="shared" ref="I294" si="582">SUM(I295:I299)</f>
        <v>74056</v>
      </c>
      <c r="J294" s="23">
        <f t="shared" ref="J294" si="583">SUM(J295:J299)</f>
        <v>105499</v>
      </c>
      <c r="K294" s="23">
        <f t="shared" ref="K294" si="584">SUM(K295:K299)</f>
        <v>108230</v>
      </c>
      <c r="L294" s="23">
        <f>SUM(L295:L299)</f>
        <v>129876</v>
      </c>
      <c r="M294" s="23">
        <f>M282*M288</f>
        <v>157409.712</v>
      </c>
      <c r="N294" s="23">
        <f t="shared" ref="N294:R294" si="585">N282*N288</f>
        <v>182831.38048800002</v>
      </c>
      <c r="O294" s="23">
        <f t="shared" si="585"/>
        <v>212358.64843681199</v>
      </c>
      <c r="P294" s="23">
        <f t="shared" si="585"/>
        <v>246654.57015935707</v>
      </c>
      <c r="Q294" s="23">
        <f t="shared" si="585"/>
        <v>286489.28324009327</v>
      </c>
      <c r="R294" s="23">
        <f t="shared" si="585"/>
        <v>332757.3024833682</v>
      </c>
      <c r="S294" s="144">
        <f>POWER(R294/M294,1/5)-1</f>
        <v>0.16149999999999998</v>
      </c>
    </row>
    <row r="295" spans="3:41" outlineLevel="3">
      <c r="D295" s="27" t="s">
        <v>25</v>
      </c>
      <c r="E295" s="28"/>
      <c r="F295" s="28"/>
      <c r="G295" s="28"/>
      <c r="H295" s="398">
        <v>3623</v>
      </c>
      <c r="I295" s="398">
        <v>16721</v>
      </c>
      <c r="J295" s="398">
        <v>12704</v>
      </c>
      <c r="K295" s="399">
        <v>8413</v>
      </c>
      <c r="L295" s="83">
        <f>L289*L283</f>
        <v>10095.6</v>
      </c>
      <c r="M295" s="436"/>
      <c r="N295" s="436"/>
      <c r="O295" s="436"/>
      <c r="P295" s="436"/>
      <c r="Q295" s="436"/>
      <c r="R295" s="437"/>
    </row>
    <row r="296" spans="3:41" outlineLevel="3">
      <c r="D296" s="31" t="s">
        <v>26</v>
      </c>
      <c r="H296" s="400">
        <v>10818</v>
      </c>
      <c r="I296" s="400">
        <v>23693</v>
      </c>
      <c r="J296" s="400">
        <v>30355</v>
      </c>
      <c r="K296" s="401">
        <v>33797</v>
      </c>
      <c r="L296" s="84">
        <f>L284*L290</f>
        <v>40556.400000000001</v>
      </c>
      <c r="M296" s="438"/>
      <c r="N296" s="438"/>
      <c r="O296" s="438"/>
      <c r="P296" s="438"/>
      <c r="Q296" s="438"/>
      <c r="R296" s="439"/>
    </row>
    <row r="297" spans="3:41" outlineLevel="3">
      <c r="D297" s="31" t="s">
        <v>27</v>
      </c>
      <c r="H297" s="400">
        <v>0</v>
      </c>
      <c r="I297" s="400">
        <v>20414</v>
      </c>
      <c r="J297" s="400">
        <v>48964</v>
      </c>
      <c r="K297" s="401">
        <v>19593</v>
      </c>
      <c r="L297" s="84">
        <f t="shared" ref="L297" si="586">L285*L291</f>
        <v>23511.599999999999</v>
      </c>
      <c r="M297" s="438"/>
      <c r="N297" s="438"/>
      <c r="O297" s="438"/>
      <c r="P297" s="438"/>
      <c r="Q297" s="438"/>
      <c r="R297" s="439"/>
    </row>
    <row r="298" spans="3:41" outlineLevel="3">
      <c r="D298" s="31" t="s">
        <v>28</v>
      </c>
      <c r="H298" s="400">
        <v>2704</v>
      </c>
      <c r="I298" s="400">
        <v>5040</v>
      </c>
      <c r="J298" s="400">
        <v>10114</v>
      </c>
      <c r="K298" s="401">
        <v>43386</v>
      </c>
      <c r="L298" s="84">
        <f t="shared" ref="L298" si="587">L286*L292</f>
        <v>52063.199999999997</v>
      </c>
      <c r="M298" s="438"/>
      <c r="N298" s="438"/>
      <c r="O298" s="438"/>
      <c r="P298" s="438"/>
      <c r="Q298" s="438"/>
      <c r="R298" s="439"/>
    </row>
    <row r="299" spans="3:41" outlineLevel="3">
      <c r="D299" s="33" t="s">
        <v>29</v>
      </c>
      <c r="E299" s="34"/>
      <c r="F299" s="34"/>
      <c r="G299" s="34"/>
      <c r="H299" s="402">
        <v>12981</v>
      </c>
      <c r="I299" s="402">
        <v>8188</v>
      </c>
      <c r="J299" s="402">
        <v>3362</v>
      </c>
      <c r="K299" s="403">
        <v>3041</v>
      </c>
      <c r="L299" s="85">
        <f>L287*L293</f>
        <v>3649.2</v>
      </c>
      <c r="M299" s="440"/>
      <c r="N299" s="440"/>
      <c r="O299" s="440"/>
      <c r="P299" s="440"/>
      <c r="Q299" s="440"/>
      <c r="R299" s="441"/>
    </row>
    <row r="300" spans="3:41" outlineLevel="3">
      <c r="H300" s="43"/>
      <c r="I300" s="43"/>
      <c r="J300" s="43"/>
      <c r="K300" s="43"/>
      <c r="L300" s="144">
        <f>L294/集团!L$9/1000/集团!L$23</f>
        <v>1.7198952775581713E-2</v>
      </c>
      <c r="M300" s="144">
        <f>M294/集团!N$9/1000/集团!N$23</f>
        <v>1.9068622669316589E-2</v>
      </c>
      <c r="R300" s="144">
        <f>R294/集团!S$9/1000/集团!S$23</f>
        <v>2.3911376088416984E-2</v>
      </c>
      <c r="S300" s="526">
        <f>R300-M300</f>
        <v>4.842753419100395E-3</v>
      </c>
    </row>
    <row r="301" spans="3:41" ht="15" outlineLevel="3" thickBot="1">
      <c r="C301" s="37" t="s">
        <v>34</v>
      </c>
      <c r="D301" s="37"/>
      <c r="E301" s="37"/>
      <c r="F301" s="37"/>
      <c r="G301" s="37"/>
      <c r="H301" s="404">
        <v>-21173</v>
      </c>
      <c r="I301" s="404">
        <v>-53429</v>
      </c>
      <c r="J301" s="404">
        <v>-70823</v>
      </c>
      <c r="K301" s="404">
        <v>-74019</v>
      </c>
      <c r="L301" s="39">
        <f>L302-L294</f>
        <v>-88822.8</v>
      </c>
      <c r="M301" s="39">
        <f t="shared" ref="M301:R301" si="588">M302-M294</f>
        <v>-107668.24300799999</v>
      </c>
      <c r="N301" s="39">
        <f t="shared" si="588"/>
        <v>-125056.66425379201</v>
      </c>
      <c r="O301" s="39">
        <f t="shared" si="588"/>
        <v>-145253.31553077939</v>
      </c>
      <c r="P301" s="39">
        <f t="shared" si="588"/>
        <v>-168711.72598900023</v>
      </c>
      <c r="Q301" s="39">
        <f t="shared" si="588"/>
        <v>-195958.66973622379</v>
      </c>
      <c r="R301" s="39">
        <f t="shared" si="588"/>
        <v>-227605.99489862385</v>
      </c>
    </row>
    <row r="302" spans="3:41" outlineLevel="3">
      <c r="C302" s="18" t="s">
        <v>36</v>
      </c>
      <c r="D302" s="18"/>
      <c r="E302" s="18"/>
      <c r="F302" s="18"/>
      <c r="G302" s="18"/>
      <c r="H302" s="23">
        <f>H301+H294</f>
        <v>8953</v>
      </c>
      <c r="I302" s="23">
        <f>I301+I294</f>
        <v>20627</v>
      </c>
      <c r="J302" s="23">
        <f>J301+J294</f>
        <v>34676</v>
      </c>
      <c r="K302" s="23">
        <f>K301+K294</f>
        <v>34211</v>
      </c>
      <c r="L302" s="23">
        <f>L303*L294</f>
        <v>41053.199999999997</v>
      </c>
      <c r="M302" s="23">
        <f t="shared" ref="M302:R302" si="589">M303*M294</f>
        <v>49741.468992000002</v>
      </c>
      <c r="N302" s="23">
        <f t="shared" si="589"/>
        <v>57774.716234208012</v>
      </c>
      <c r="O302" s="23">
        <f t="shared" si="589"/>
        <v>67105.332906032592</v>
      </c>
      <c r="P302" s="23">
        <f t="shared" si="589"/>
        <v>77942.844170356839</v>
      </c>
      <c r="Q302" s="23">
        <f t="shared" si="589"/>
        <v>90530.613503869477</v>
      </c>
      <c r="R302" s="23">
        <f t="shared" si="589"/>
        <v>105151.30758474435</v>
      </c>
    </row>
    <row r="303" spans="3:41" outlineLevel="3">
      <c r="C303" s="22" t="s">
        <v>19</v>
      </c>
      <c r="D303" s="22"/>
      <c r="E303" s="22"/>
      <c r="F303" s="22"/>
      <c r="G303" s="22"/>
      <c r="H303" s="56">
        <f>IFERROR(H302/H294,"NA")</f>
        <v>0.29718515567947951</v>
      </c>
      <c r="I303" s="56">
        <f t="shared" ref="I303" si="590">IFERROR(I302/I294,"NA")</f>
        <v>0.27853246192070863</v>
      </c>
      <c r="J303" s="56">
        <f t="shared" ref="J303" si="591">IFERROR(J302/J294,"NA")</f>
        <v>0.32868557995810388</v>
      </c>
      <c r="K303" s="56">
        <f t="shared" ref="K303" si="592">IFERROR(K302/K294,"NA")</f>
        <v>0.31609535249006743</v>
      </c>
      <c r="L303" s="79">
        <f>K303</f>
        <v>0.31609535249006743</v>
      </c>
      <c r="M303" s="65">
        <f t="shared" ref="M303:R303" si="593">CHOOSE(case,T303,AB303,AJ303)</f>
        <v>0.316</v>
      </c>
      <c r="N303" s="65">
        <f t="shared" si="593"/>
        <v>0.316</v>
      </c>
      <c r="O303" s="65">
        <f t="shared" si="593"/>
        <v>0.316</v>
      </c>
      <c r="P303" s="65">
        <f t="shared" si="593"/>
        <v>0.316</v>
      </c>
      <c r="Q303" s="65">
        <f t="shared" si="593"/>
        <v>0.316</v>
      </c>
      <c r="R303" s="65">
        <f t="shared" si="593"/>
        <v>0.316</v>
      </c>
      <c r="T303" s="471">
        <f>AB303+1%</f>
        <v>0.32600000000000001</v>
      </c>
      <c r="U303" s="79">
        <f t="shared" ref="U303" si="594">T303</f>
        <v>0.32600000000000001</v>
      </c>
      <c r="V303" s="79">
        <f t="shared" ref="V303" si="595">U303</f>
        <v>0.32600000000000001</v>
      </c>
      <c r="W303" s="79">
        <f t="shared" ref="W303" si="596">V303</f>
        <v>0.32600000000000001</v>
      </c>
      <c r="X303" s="79">
        <f t="shared" ref="X303" si="597">W303</f>
        <v>0.32600000000000001</v>
      </c>
      <c r="Y303" s="79">
        <f t="shared" ref="Y303" si="598">X303</f>
        <v>0.32600000000000001</v>
      </c>
      <c r="AB303" s="471">
        <v>0.316</v>
      </c>
      <c r="AC303" s="79">
        <f t="shared" ref="AC303" si="599">AB303</f>
        <v>0.316</v>
      </c>
      <c r="AD303" s="79">
        <f t="shared" ref="AD303" si="600">AC303</f>
        <v>0.316</v>
      </c>
      <c r="AE303" s="79">
        <f t="shared" ref="AE303" si="601">AD303</f>
        <v>0.316</v>
      </c>
      <c r="AF303" s="79">
        <f t="shared" ref="AF303" si="602">AE303</f>
        <v>0.316</v>
      </c>
      <c r="AG303" s="79">
        <f t="shared" ref="AG303" si="603">AF303</f>
        <v>0.316</v>
      </c>
      <c r="AJ303" s="471">
        <f>AB303-1%</f>
        <v>0.30599999999999999</v>
      </c>
      <c r="AK303" s="79">
        <f t="shared" ref="AK303" si="604">AJ303</f>
        <v>0.30599999999999999</v>
      </c>
      <c r="AL303" s="79">
        <f t="shared" ref="AL303" si="605">AK303</f>
        <v>0.30599999999999999</v>
      </c>
      <c r="AM303" s="79">
        <f t="shared" ref="AM303" si="606">AL303</f>
        <v>0.30599999999999999</v>
      </c>
      <c r="AN303" s="79">
        <f t="shared" ref="AN303" si="607">AM303</f>
        <v>0.30599999999999999</v>
      </c>
      <c r="AO303" s="79">
        <f t="shared" ref="AO303" si="608">AN303</f>
        <v>0.30599999999999999</v>
      </c>
    </row>
    <row r="304" spans="3:41" outlineLevel="3"/>
    <row r="305" spans="1:42" s="26" customFormat="1" outlineLevel="3">
      <c r="A305" s="26" t="s">
        <v>8</v>
      </c>
      <c r="C305" s="26" t="s">
        <v>49</v>
      </c>
    </row>
    <row r="306" spans="1:42" outlineLevel="3">
      <c r="L306" s="20"/>
      <c r="M306" s="20"/>
      <c r="R306" s="20"/>
      <c r="S306" s="526"/>
    </row>
    <row r="307" spans="1:42" s="18" customFormat="1" outlineLevel="3">
      <c r="C307" s="18" t="s">
        <v>24</v>
      </c>
      <c r="H307" s="23">
        <f>SUM(H308:H312)</f>
        <v>14639</v>
      </c>
      <c r="I307" s="23">
        <f t="shared" ref="I307" si="609">SUM(I308:I312)</f>
        <v>64463</v>
      </c>
      <c r="J307" s="23">
        <f t="shared" ref="J307" si="610">SUM(J308:J312)</f>
        <v>230440</v>
      </c>
      <c r="K307" s="23">
        <f t="shared" ref="K307" si="611">SUM(K308:K312)</f>
        <v>410527</v>
      </c>
      <c r="L307" s="23">
        <f>SUM(L308:L312)</f>
        <v>492632.4</v>
      </c>
      <c r="M307" s="23">
        <f t="shared" ref="M307:R307" si="612">CHOOSE(case,T307,AB307,AJ307)</f>
        <v>591158.88</v>
      </c>
      <c r="N307" s="23">
        <f t="shared" si="612"/>
        <v>679832.71199999994</v>
      </c>
      <c r="O307" s="23">
        <f t="shared" si="612"/>
        <v>781807.61879999982</v>
      </c>
      <c r="P307" s="23">
        <f t="shared" si="612"/>
        <v>899078.76161999977</v>
      </c>
      <c r="Q307" s="23">
        <f t="shared" si="612"/>
        <v>1033940.5758629997</v>
      </c>
      <c r="R307" s="23">
        <f t="shared" si="612"/>
        <v>1189031.6622424496</v>
      </c>
      <c r="T307" s="20">
        <f>$L307*(1+$Z307)</f>
        <v>591158.88</v>
      </c>
      <c r="U307" s="20">
        <f>T307*(1+$Z307)</f>
        <v>709390.65599999996</v>
      </c>
      <c r="V307" s="20">
        <f t="shared" ref="V307" si="613">U307*(1+$Z307)</f>
        <v>851268.7871999999</v>
      </c>
      <c r="W307" s="20">
        <f>V307*(1+$Z307)</f>
        <v>1021522.5446399999</v>
      </c>
      <c r="X307" s="20">
        <f>W307*(1+$Z307)</f>
        <v>1225827.0535679997</v>
      </c>
      <c r="Y307" s="20">
        <f t="shared" ref="Y307" si="614">X307*(1+$Z307)</f>
        <v>1470992.4642815997</v>
      </c>
      <c r="Z307" s="472">
        <f>AH307+5%</f>
        <v>0.2</v>
      </c>
      <c r="AA307" s="1"/>
      <c r="AB307" s="20">
        <f>$L307*(1+$AH307+5%)</f>
        <v>591158.88</v>
      </c>
      <c r="AC307" s="20">
        <f>AB307*(1+$AH307)</f>
        <v>679832.71199999994</v>
      </c>
      <c r="AD307" s="20">
        <f t="shared" ref="AD307" si="615">AC307*(1+$AH307)</f>
        <v>781807.61879999982</v>
      </c>
      <c r="AE307" s="20">
        <f>AD307*(1+$AH307)</f>
        <v>899078.76161999977</v>
      </c>
      <c r="AF307" s="20">
        <f t="shared" ref="AF307" si="616">AE307*(1+$AH307)</f>
        <v>1033940.5758629997</v>
      </c>
      <c r="AG307" s="20">
        <f>AF307*(1+$AH307)</f>
        <v>1189031.6622424496</v>
      </c>
      <c r="AH307" s="472">
        <v>0.15</v>
      </c>
      <c r="AI307" s="1"/>
      <c r="AJ307" s="20">
        <f>$L307*(1+$AP307)</f>
        <v>541895.64</v>
      </c>
      <c r="AK307" s="20">
        <f>AJ307*(1+$AP307)</f>
        <v>596085.20400000003</v>
      </c>
      <c r="AL307" s="20">
        <f t="shared" ref="AL307:AM307" si="617">AK307*(1+$AP307)</f>
        <v>655693.72440000006</v>
      </c>
      <c r="AM307" s="20">
        <f t="shared" si="617"/>
        <v>721263.09684000013</v>
      </c>
      <c r="AN307" s="20">
        <f>AM307*(1+$AP307)</f>
        <v>793389.40652400022</v>
      </c>
      <c r="AO307" s="20">
        <f>AN307*(1+$AP307)</f>
        <v>872728.34717640036</v>
      </c>
      <c r="AP307" s="472">
        <f>AH307-5%</f>
        <v>9.9999999999999992E-2</v>
      </c>
    </row>
    <row r="308" spans="1:42" outlineLevel="3">
      <c r="D308" s="27" t="s">
        <v>25</v>
      </c>
      <c r="E308" s="28"/>
      <c r="F308" s="28"/>
      <c r="G308" s="28"/>
      <c r="H308" s="398"/>
      <c r="I308" s="398"/>
      <c r="J308" s="398"/>
      <c r="K308" s="399"/>
      <c r="L308" s="159">
        <f>K308*1.2</f>
        <v>0</v>
      </c>
      <c r="M308" s="436"/>
      <c r="N308" s="436"/>
      <c r="O308" s="436"/>
      <c r="P308" s="436"/>
      <c r="Q308" s="436"/>
      <c r="R308" s="437"/>
    </row>
    <row r="309" spans="1:42" outlineLevel="3">
      <c r="D309" s="31" t="s">
        <v>26</v>
      </c>
      <c r="H309" s="400">
        <v>4146</v>
      </c>
      <c r="I309" s="400">
        <v>23390</v>
      </c>
      <c r="J309" s="400">
        <v>11769</v>
      </c>
      <c r="K309" s="401">
        <v>5981</v>
      </c>
      <c r="L309" s="162">
        <f t="shared" ref="L309:L312" si="618">K309*1.2</f>
        <v>7177.2</v>
      </c>
      <c r="M309" s="438"/>
      <c r="N309" s="438"/>
      <c r="O309" s="438"/>
      <c r="P309" s="438"/>
      <c r="Q309" s="438"/>
      <c r="R309" s="439"/>
    </row>
    <row r="310" spans="1:42" outlineLevel="3">
      <c r="D310" s="31" t="s">
        <v>27</v>
      </c>
      <c r="H310" s="400">
        <v>10493</v>
      </c>
      <c r="I310" s="400">
        <v>39214</v>
      </c>
      <c r="J310" s="400">
        <v>184178</v>
      </c>
      <c r="K310" s="401">
        <v>267498</v>
      </c>
      <c r="L310" s="162">
        <f t="shared" si="618"/>
        <v>320997.59999999998</v>
      </c>
      <c r="M310" s="438"/>
      <c r="N310" s="438"/>
      <c r="O310" s="438"/>
      <c r="P310" s="438"/>
      <c r="Q310" s="438"/>
      <c r="R310" s="439"/>
    </row>
    <row r="311" spans="1:42" outlineLevel="3">
      <c r="D311" s="31" t="s">
        <v>28</v>
      </c>
      <c r="H311" s="400"/>
      <c r="I311" s="400"/>
      <c r="J311" s="400"/>
      <c r="K311" s="401"/>
      <c r="L311" s="162">
        <f t="shared" si="618"/>
        <v>0</v>
      </c>
      <c r="M311" s="438"/>
      <c r="N311" s="438"/>
      <c r="O311" s="438"/>
      <c r="P311" s="438"/>
      <c r="Q311" s="438"/>
      <c r="R311" s="439"/>
    </row>
    <row r="312" spans="1:42" outlineLevel="3">
      <c r="D312" s="33" t="s">
        <v>29</v>
      </c>
      <c r="E312" s="34"/>
      <c r="F312" s="34"/>
      <c r="G312" s="34"/>
      <c r="H312" s="402"/>
      <c r="I312" s="402">
        <v>1859</v>
      </c>
      <c r="J312" s="402">
        <v>34493</v>
      </c>
      <c r="K312" s="403">
        <v>137048</v>
      </c>
      <c r="L312" s="163">
        <f t="shared" si="618"/>
        <v>164457.60000000001</v>
      </c>
      <c r="M312" s="440"/>
      <c r="N312" s="440"/>
      <c r="O312" s="440"/>
      <c r="P312" s="440"/>
      <c r="Q312" s="440"/>
      <c r="R312" s="441"/>
      <c r="AB312" s="448"/>
      <c r="AC312" s="448"/>
      <c r="AD312" s="448"/>
      <c r="AE312" s="448"/>
      <c r="AF312" s="448"/>
      <c r="AG312" s="448"/>
    </row>
    <row r="313" spans="1:42" outlineLevel="3">
      <c r="C313" s="1" t="s">
        <v>31</v>
      </c>
      <c r="H313" s="57">
        <f>IFERROR(H319/H307,"NA")</f>
        <v>0.1947537400095635</v>
      </c>
      <c r="I313" s="57">
        <f t="shared" ref="I313:K313" si="619">IFERROR(I319/I307,"NA")</f>
        <v>0.19901338752462652</v>
      </c>
      <c r="J313" s="57">
        <f t="shared" si="619"/>
        <v>0.20961204651970144</v>
      </c>
      <c r="K313" s="57">
        <f t="shared" si="619"/>
        <v>0.18852353194795957</v>
      </c>
      <c r="L313" s="57">
        <f>IFERROR(L319/L307,"NA")</f>
        <v>0.18852353194795954</v>
      </c>
      <c r="M313" s="57">
        <f t="shared" ref="M313:R313" si="620">CHOOSE(case,T313,AB313,AJ313)</f>
        <v>0.19040876726743913</v>
      </c>
      <c r="N313" s="57">
        <f t="shared" si="620"/>
        <v>0.19231285494011352</v>
      </c>
      <c r="O313" s="57">
        <f t="shared" si="620"/>
        <v>0.19423598348951465</v>
      </c>
      <c r="P313" s="57">
        <f t="shared" si="620"/>
        <v>0.19617834332440981</v>
      </c>
      <c r="Q313" s="57">
        <f t="shared" si="620"/>
        <v>0.19814012675765391</v>
      </c>
      <c r="R313" s="57">
        <f t="shared" si="620"/>
        <v>0.20012152802523045</v>
      </c>
      <c r="T313" s="448">
        <f>$L313*(1+$Z313)</f>
        <v>0.19229400258691873</v>
      </c>
      <c r="U313" s="448">
        <f>T313*(1+$Z313)</f>
        <v>0.19613988263865711</v>
      </c>
      <c r="V313" s="448">
        <f t="shared" ref="V313:Y313" si="621">U313*(1+$Z313)</f>
        <v>0.20006268029143026</v>
      </c>
      <c r="W313" s="448">
        <f t="shared" si="621"/>
        <v>0.20406393389725888</v>
      </c>
      <c r="X313" s="448">
        <f t="shared" si="621"/>
        <v>0.20814521257520407</v>
      </c>
      <c r="Y313" s="448">
        <f t="shared" si="621"/>
        <v>0.21230811682670817</v>
      </c>
      <c r="Z313" s="472">
        <v>0.02</v>
      </c>
      <c r="AB313" s="448">
        <f>$L313*(1+$AH313)</f>
        <v>0.19040876726743913</v>
      </c>
      <c r="AC313" s="448">
        <f>AB313*(1+$AH313)</f>
        <v>0.19231285494011352</v>
      </c>
      <c r="AD313" s="448">
        <f t="shared" ref="AD313:AF313" si="622">AC313*(1+$AH313)</f>
        <v>0.19423598348951465</v>
      </c>
      <c r="AE313" s="448">
        <f t="shared" si="622"/>
        <v>0.19617834332440981</v>
      </c>
      <c r="AF313" s="448">
        <f t="shared" si="622"/>
        <v>0.19814012675765391</v>
      </c>
      <c r="AG313" s="448">
        <f>AF313*(1+$AH313)</f>
        <v>0.20012152802523045</v>
      </c>
      <c r="AH313" s="472">
        <v>0.01</v>
      </c>
      <c r="AJ313" s="448">
        <f>$L313*(1+$AP313)</f>
        <v>0.18852353194795954</v>
      </c>
      <c r="AK313" s="448">
        <f>AJ313*(1+$AP313)</f>
        <v>0.18852353194795954</v>
      </c>
      <c r="AL313" s="448">
        <f t="shared" ref="AL313:AM313" si="623">AK313*(1+$AP313)</f>
        <v>0.18852353194795954</v>
      </c>
      <c r="AM313" s="448">
        <f t="shared" si="623"/>
        <v>0.18852353194795954</v>
      </c>
      <c r="AN313" s="448">
        <f>AM313*(1+$AP313)</f>
        <v>0.18852353194795954</v>
      </c>
      <c r="AO313" s="448">
        <f t="shared" ref="AO313" si="624">AN313*(1+$AP313)</f>
        <v>0.18852353194795954</v>
      </c>
      <c r="AP313" s="472">
        <v>0</v>
      </c>
    </row>
    <row r="314" spans="1:42" outlineLevel="3">
      <c r="D314" s="27" t="s">
        <v>25</v>
      </c>
      <c r="E314" s="28"/>
      <c r="F314" s="28"/>
      <c r="G314" s="28"/>
      <c r="H314" s="50" t="str">
        <f>IFERROR(H320/H308,"NA")</f>
        <v>NA</v>
      </c>
      <c r="I314" s="50" t="str">
        <f t="shared" ref="I314:K314" si="625">IFERROR(I320/I308,"NA")</f>
        <v>NA</v>
      </c>
      <c r="J314" s="50" t="str">
        <f t="shared" si="625"/>
        <v>NA</v>
      </c>
      <c r="K314" s="51" t="str">
        <f t="shared" si="625"/>
        <v>NA</v>
      </c>
      <c r="L314" s="81"/>
      <c r="M314" s="442"/>
      <c r="N314" s="442"/>
      <c r="O314" s="442"/>
      <c r="P314" s="442"/>
      <c r="Q314" s="442"/>
      <c r="R314" s="443"/>
    </row>
    <row r="315" spans="1:42" outlineLevel="3">
      <c r="D315" s="31" t="s">
        <v>26</v>
      </c>
      <c r="H315" s="52">
        <f t="shared" ref="H315:K315" si="626">IFERROR(H321/H309,"NA")</f>
        <v>0.28437047756874095</v>
      </c>
      <c r="I315" s="52">
        <f t="shared" si="626"/>
        <v>0.2857203933304831</v>
      </c>
      <c r="J315" s="52">
        <f t="shared" si="626"/>
        <v>0.37777211317868981</v>
      </c>
      <c r="K315" s="53">
        <f t="shared" si="626"/>
        <v>0.40210667112522991</v>
      </c>
      <c r="L315" s="82">
        <f>K315</f>
        <v>0.40210667112522991</v>
      </c>
      <c r="M315" s="444"/>
      <c r="N315" s="444"/>
      <c r="O315" s="444"/>
      <c r="P315" s="444"/>
      <c r="Q315" s="444"/>
      <c r="R315" s="445"/>
    </row>
    <row r="316" spans="1:42" outlineLevel="3">
      <c r="D316" s="31" t="s">
        <v>27</v>
      </c>
      <c r="H316" s="52">
        <f t="shared" ref="H316:K316" si="627">IFERROR(H322/H310,"NA")</f>
        <v>0.15934432478795388</v>
      </c>
      <c r="I316" s="52">
        <f t="shared" si="627"/>
        <v>0.13319222726577243</v>
      </c>
      <c r="J316" s="52">
        <f t="shared" si="627"/>
        <v>0.21449358772491828</v>
      </c>
      <c r="K316" s="53">
        <f t="shared" si="627"/>
        <v>0.2409700259441192</v>
      </c>
      <c r="L316" s="82">
        <f t="shared" ref="L316" si="628">K316</f>
        <v>0.2409700259441192</v>
      </c>
      <c r="M316" s="444"/>
      <c r="N316" s="444"/>
      <c r="O316" s="444"/>
      <c r="P316" s="444"/>
      <c r="Q316" s="444"/>
      <c r="R316" s="445"/>
    </row>
    <row r="317" spans="1:42" outlineLevel="3">
      <c r="D317" s="31" t="s">
        <v>28</v>
      </c>
      <c r="H317" s="52" t="str">
        <f t="shared" ref="H317:K317" si="629">IFERROR(H323/H311,"NA")</f>
        <v>NA</v>
      </c>
      <c r="I317" s="52" t="str">
        <f t="shared" si="629"/>
        <v>NA</v>
      </c>
      <c r="J317" s="52" t="str">
        <f t="shared" si="629"/>
        <v>NA</v>
      </c>
      <c r="K317" s="53" t="str">
        <f t="shared" si="629"/>
        <v>NA</v>
      </c>
      <c r="L317" s="82"/>
      <c r="M317" s="444"/>
      <c r="N317" s="444"/>
      <c r="O317" s="444"/>
      <c r="P317" s="444"/>
      <c r="Q317" s="444"/>
      <c r="R317" s="445"/>
    </row>
    <row r="318" spans="1:42" ht="15" outlineLevel="3" thickBot="1">
      <c r="C318" s="37"/>
      <c r="D318" s="38" t="s">
        <v>29</v>
      </c>
      <c r="E318" s="37"/>
      <c r="F318" s="37"/>
      <c r="G318" s="37"/>
      <c r="H318" s="54" t="str">
        <f t="shared" ref="H318:K318" si="630">IFERROR(H324/H312,"NA")</f>
        <v>NA</v>
      </c>
      <c r="I318" s="54">
        <f t="shared" si="630"/>
        <v>0.49650349650349651</v>
      </c>
      <c r="J318" s="54">
        <f t="shared" si="630"/>
        <v>0.12617052735337606</v>
      </c>
      <c r="K318" s="55">
        <f t="shared" si="630"/>
        <v>7.683439378903742E-2</v>
      </c>
      <c r="L318" s="86">
        <f>K318</f>
        <v>7.683439378903742E-2</v>
      </c>
      <c r="M318" s="446"/>
      <c r="N318" s="446"/>
      <c r="O318" s="446"/>
      <c r="P318" s="446"/>
      <c r="Q318" s="446"/>
      <c r="R318" s="447"/>
    </row>
    <row r="319" spans="1:42" outlineLevel="3">
      <c r="C319" s="18" t="s">
        <v>33</v>
      </c>
      <c r="H319" s="23">
        <f>SUM(H320:H324)</f>
        <v>2851</v>
      </c>
      <c r="I319" s="23">
        <f t="shared" ref="I319" si="631">SUM(I320:I324)</f>
        <v>12829</v>
      </c>
      <c r="J319" s="23">
        <f t="shared" ref="J319" si="632">SUM(J320:J324)</f>
        <v>48303</v>
      </c>
      <c r="K319" s="23">
        <f t="shared" ref="K319" si="633">SUM(K320:K324)</f>
        <v>77394</v>
      </c>
      <c r="L319" s="23">
        <f>SUM(L320:L324)</f>
        <v>92872.799999999988</v>
      </c>
      <c r="M319" s="23">
        <f>M307*M313</f>
        <v>112561.83359999998</v>
      </c>
      <c r="N319" s="23">
        <f t="shared" ref="N319:R319" si="634">N307*N313</f>
        <v>130740.56972639996</v>
      </c>
      <c r="O319" s="23">
        <f t="shared" si="634"/>
        <v>151855.17173721353</v>
      </c>
      <c r="P319" s="23">
        <f t="shared" si="634"/>
        <v>176379.78197277352</v>
      </c>
      <c r="Q319" s="23">
        <f t="shared" si="634"/>
        <v>204865.11676137644</v>
      </c>
      <c r="R319" s="23">
        <f t="shared" si="634"/>
        <v>237950.83311833872</v>
      </c>
      <c r="S319" s="144">
        <f>POWER(R319/M319,1/5)-1</f>
        <v>0.16149999999999998</v>
      </c>
    </row>
    <row r="320" spans="1:42" outlineLevel="3">
      <c r="D320" s="27" t="s">
        <v>25</v>
      </c>
      <c r="E320" s="28"/>
      <c r="F320" s="28"/>
      <c r="G320" s="28"/>
      <c r="H320" s="398"/>
      <c r="I320" s="398"/>
      <c r="J320" s="398"/>
      <c r="K320" s="399"/>
      <c r="L320" s="83">
        <f>L314*L308</f>
        <v>0</v>
      </c>
      <c r="M320" s="436"/>
      <c r="N320" s="436"/>
      <c r="O320" s="436"/>
      <c r="P320" s="436"/>
      <c r="Q320" s="436"/>
      <c r="R320" s="437"/>
    </row>
    <row r="321" spans="1:42" outlineLevel="3">
      <c r="D321" s="31" t="s">
        <v>26</v>
      </c>
      <c r="H321" s="400">
        <v>1179</v>
      </c>
      <c r="I321" s="400">
        <v>6683</v>
      </c>
      <c r="J321" s="400">
        <v>4446</v>
      </c>
      <c r="K321" s="401">
        <v>2405</v>
      </c>
      <c r="L321" s="84">
        <f>L309*L315</f>
        <v>2886</v>
      </c>
      <c r="M321" s="438"/>
      <c r="N321" s="438"/>
      <c r="O321" s="438"/>
      <c r="P321" s="438"/>
      <c r="Q321" s="438"/>
      <c r="R321" s="439"/>
    </row>
    <row r="322" spans="1:42" outlineLevel="3">
      <c r="D322" s="31" t="s">
        <v>27</v>
      </c>
      <c r="H322" s="400">
        <v>1672</v>
      </c>
      <c r="I322" s="400">
        <v>5223</v>
      </c>
      <c r="J322" s="400">
        <v>39505</v>
      </c>
      <c r="K322" s="401">
        <v>64459</v>
      </c>
      <c r="L322" s="84">
        <f t="shared" ref="L322" si="635">L310*L316</f>
        <v>77350.799999999988</v>
      </c>
      <c r="M322" s="438"/>
      <c r="N322" s="438"/>
      <c r="O322" s="438"/>
      <c r="P322" s="438"/>
      <c r="Q322" s="438"/>
      <c r="R322" s="439"/>
    </row>
    <row r="323" spans="1:42" outlineLevel="3">
      <c r="D323" s="31" t="s">
        <v>28</v>
      </c>
      <c r="H323" s="400"/>
      <c r="I323" s="400"/>
      <c r="J323" s="400"/>
      <c r="K323" s="401"/>
      <c r="L323" s="84">
        <f t="shared" ref="L323" si="636">L311*L317</f>
        <v>0</v>
      </c>
      <c r="M323" s="438"/>
      <c r="N323" s="438"/>
      <c r="O323" s="438"/>
      <c r="P323" s="438"/>
      <c r="Q323" s="438"/>
      <c r="R323" s="439"/>
    </row>
    <row r="324" spans="1:42" outlineLevel="3">
      <c r="D324" s="33" t="s">
        <v>29</v>
      </c>
      <c r="E324" s="34"/>
      <c r="F324" s="34"/>
      <c r="G324" s="34"/>
      <c r="H324" s="402"/>
      <c r="I324" s="402">
        <v>923</v>
      </c>
      <c r="J324" s="402">
        <v>4352</v>
      </c>
      <c r="K324" s="403">
        <v>10530</v>
      </c>
      <c r="L324" s="85">
        <f>L312*L318</f>
        <v>12636</v>
      </c>
      <c r="M324" s="440"/>
      <c r="N324" s="440"/>
      <c r="O324" s="440"/>
      <c r="P324" s="440"/>
      <c r="Q324" s="440"/>
      <c r="R324" s="441"/>
    </row>
    <row r="325" spans="1:42" outlineLevel="3">
      <c r="H325" s="43"/>
      <c r="I325" s="43"/>
      <c r="J325" s="43"/>
      <c r="K325" s="43"/>
      <c r="L325" s="144">
        <f>L319/集团!L$9/1000/集团!L$23</f>
        <v>1.2298768835936164E-2</v>
      </c>
      <c r="M325" s="144">
        <f>M319/集团!N$9/1000/集团!N$23</f>
        <v>1.3635747785910448E-2</v>
      </c>
      <c r="R325" s="144">
        <f>R319/集团!S$9/1000/集团!S$23</f>
        <v>1.7098743795499808E-2</v>
      </c>
      <c r="S325" s="526">
        <f>R325-M325</f>
        <v>3.46299600958936E-3</v>
      </c>
    </row>
    <row r="326" spans="1:42" ht="15" outlineLevel="3" thickBot="1">
      <c r="C326" s="37" t="s">
        <v>34</v>
      </c>
      <c r="D326" s="37"/>
      <c r="E326" s="37"/>
      <c r="F326" s="37"/>
      <c r="G326" s="37"/>
      <c r="H326" s="404">
        <v>-1832</v>
      </c>
      <c r="I326" s="404">
        <v>-9116</v>
      </c>
      <c r="J326" s="404">
        <v>-28634</v>
      </c>
      <c r="K326" s="404">
        <v>-41939</v>
      </c>
      <c r="L326" s="39">
        <f>L327-L319</f>
        <v>-50326.799999999996</v>
      </c>
      <c r="M326" s="39">
        <f t="shared" ref="M326:R326" si="637">M327-M319</f>
        <v>-61008.513811199991</v>
      </c>
      <c r="N326" s="39">
        <f t="shared" si="637"/>
        <v>-70861.38879170877</v>
      </c>
      <c r="O326" s="39">
        <f t="shared" si="637"/>
        <v>-82305.503081569725</v>
      </c>
      <c r="P326" s="39">
        <f t="shared" si="637"/>
        <v>-95597.841829243247</v>
      </c>
      <c r="Q326" s="39">
        <f t="shared" si="637"/>
        <v>-111036.89328466603</v>
      </c>
      <c r="R326" s="39">
        <f t="shared" si="637"/>
        <v>-128969.35155013959</v>
      </c>
    </row>
    <row r="327" spans="1:42" outlineLevel="3">
      <c r="C327" s="18" t="s">
        <v>36</v>
      </c>
      <c r="D327" s="18"/>
      <c r="E327" s="18"/>
      <c r="F327" s="18"/>
      <c r="G327" s="18"/>
      <c r="H327" s="23">
        <f>H326+H319</f>
        <v>1019</v>
      </c>
      <c r="I327" s="23">
        <f>I326+I319</f>
        <v>3713</v>
      </c>
      <c r="J327" s="23">
        <f>J326+J319</f>
        <v>19669</v>
      </c>
      <c r="K327" s="23">
        <f>K326+K319</f>
        <v>35455</v>
      </c>
      <c r="L327" s="23">
        <f>L328*L319</f>
        <v>42545.999999999993</v>
      </c>
      <c r="M327" s="23">
        <f t="shared" ref="M327:R327" si="638">M328*M319</f>
        <v>51553.319788799992</v>
      </c>
      <c r="N327" s="23">
        <f t="shared" si="638"/>
        <v>59879.180934691183</v>
      </c>
      <c r="O327" s="23">
        <f t="shared" si="638"/>
        <v>69549.668655643807</v>
      </c>
      <c r="P327" s="23">
        <f t="shared" si="638"/>
        <v>80781.940143530272</v>
      </c>
      <c r="Q327" s="23">
        <f t="shared" si="638"/>
        <v>93828.223476710409</v>
      </c>
      <c r="R327" s="23">
        <f t="shared" si="638"/>
        <v>108981.48156819913</v>
      </c>
    </row>
    <row r="328" spans="1:42" outlineLevel="3">
      <c r="C328" s="22" t="s">
        <v>19</v>
      </c>
      <c r="D328" s="22"/>
      <c r="E328" s="22"/>
      <c r="F328" s="22"/>
      <c r="G328" s="22"/>
      <c r="H328" s="56">
        <f>IFERROR(H327/H319,"NA")</f>
        <v>0.3574184496667836</v>
      </c>
      <c r="I328" s="56">
        <f t="shared" ref="I328" si="639">IFERROR(I327/I319,"NA")</f>
        <v>0.28942240236963129</v>
      </c>
      <c r="J328" s="56">
        <f t="shared" ref="J328" si="640">IFERROR(J327/J319,"NA")</f>
        <v>0.4072003809287208</v>
      </c>
      <c r="K328" s="56">
        <f t="shared" ref="K328" si="641">IFERROR(K327/K319,"NA")</f>
        <v>0.45811044783833371</v>
      </c>
      <c r="L328" s="79">
        <f>K328</f>
        <v>0.45811044783833371</v>
      </c>
      <c r="M328" s="65">
        <f t="shared" ref="M328:R328" si="642">CHOOSE(case,T328,AB328,AJ328)</f>
        <v>0.45800000000000002</v>
      </c>
      <c r="N328" s="65">
        <f t="shared" si="642"/>
        <v>0.45800000000000002</v>
      </c>
      <c r="O328" s="65">
        <f t="shared" si="642"/>
        <v>0.45800000000000002</v>
      </c>
      <c r="P328" s="65">
        <f t="shared" si="642"/>
        <v>0.45800000000000002</v>
      </c>
      <c r="Q328" s="65">
        <f t="shared" si="642"/>
        <v>0.45800000000000002</v>
      </c>
      <c r="R328" s="65">
        <f t="shared" si="642"/>
        <v>0.45800000000000002</v>
      </c>
      <c r="T328" s="471">
        <f>AB328+1%</f>
        <v>0.46800000000000003</v>
      </c>
      <c r="U328" s="79">
        <f t="shared" ref="U328" si="643">T328</f>
        <v>0.46800000000000003</v>
      </c>
      <c r="V328" s="79">
        <f t="shared" ref="V328" si="644">U328</f>
        <v>0.46800000000000003</v>
      </c>
      <c r="W328" s="79">
        <f t="shared" ref="W328" si="645">V328</f>
        <v>0.46800000000000003</v>
      </c>
      <c r="X328" s="79">
        <f t="shared" ref="X328" si="646">W328</f>
        <v>0.46800000000000003</v>
      </c>
      <c r="Y328" s="79">
        <f t="shared" ref="Y328" si="647">X328</f>
        <v>0.46800000000000003</v>
      </c>
      <c r="AB328" s="471">
        <v>0.45800000000000002</v>
      </c>
      <c r="AC328" s="79">
        <f t="shared" ref="AC328" si="648">AB328</f>
        <v>0.45800000000000002</v>
      </c>
      <c r="AD328" s="79">
        <f t="shared" ref="AD328" si="649">AC328</f>
        <v>0.45800000000000002</v>
      </c>
      <c r="AE328" s="79">
        <f t="shared" ref="AE328" si="650">AD328</f>
        <v>0.45800000000000002</v>
      </c>
      <c r="AF328" s="79">
        <f t="shared" ref="AF328" si="651">AE328</f>
        <v>0.45800000000000002</v>
      </c>
      <c r="AG328" s="79">
        <f t="shared" ref="AG328" si="652">AF328</f>
        <v>0.45800000000000002</v>
      </c>
      <c r="AJ328" s="471">
        <f>AB328-1%</f>
        <v>0.44800000000000001</v>
      </c>
      <c r="AK328" s="79">
        <f t="shared" ref="AK328" si="653">AJ328</f>
        <v>0.44800000000000001</v>
      </c>
      <c r="AL328" s="79">
        <f t="shared" ref="AL328" si="654">AK328</f>
        <v>0.44800000000000001</v>
      </c>
      <c r="AM328" s="79">
        <f t="shared" ref="AM328" si="655">AL328</f>
        <v>0.44800000000000001</v>
      </c>
      <c r="AN328" s="79">
        <f t="shared" ref="AN328" si="656">AM328</f>
        <v>0.44800000000000001</v>
      </c>
      <c r="AO328" s="79">
        <f t="shared" ref="AO328" si="657">AN328</f>
        <v>0.44800000000000001</v>
      </c>
    </row>
    <row r="329" spans="1:42" outlineLevel="3"/>
    <row r="330" spans="1:42" s="26" customFormat="1" outlineLevel="3">
      <c r="A330" s="26" t="s">
        <v>8</v>
      </c>
      <c r="C330" s="26" t="s">
        <v>50</v>
      </c>
    </row>
    <row r="331" spans="1:42" outlineLevel="3">
      <c r="L331" s="20"/>
      <c r="M331" s="20"/>
      <c r="R331" s="20"/>
      <c r="S331" s="526"/>
    </row>
    <row r="332" spans="1:42" s="18" customFormat="1" outlineLevel="3">
      <c r="C332" s="18" t="s">
        <v>24</v>
      </c>
      <c r="H332" s="23">
        <f>SUM(H333:H337)</f>
        <v>0</v>
      </c>
      <c r="I332" s="23">
        <f t="shared" ref="I332" si="658">SUM(I333:I337)</f>
        <v>805157</v>
      </c>
      <c r="J332" s="23">
        <f t="shared" ref="J332" si="659">SUM(J333:J337)</f>
        <v>161986</v>
      </c>
      <c r="K332" s="23">
        <f t="shared" ref="K332" si="660">SUM(K333:K337)</f>
        <v>262258</v>
      </c>
      <c r="L332" s="23">
        <f>SUM(L333:L337)</f>
        <v>314709.59999999998</v>
      </c>
      <c r="M332" s="23">
        <f t="shared" ref="M332:R332" si="661">CHOOSE(case,T332,AB332,AJ332)</f>
        <v>472064.39999999997</v>
      </c>
      <c r="N332" s="23">
        <f t="shared" si="661"/>
        <v>613683.72</v>
      </c>
      <c r="O332" s="23">
        <f t="shared" si="661"/>
        <v>797788.83600000001</v>
      </c>
      <c r="P332" s="23">
        <f t="shared" si="661"/>
        <v>1037125.4868000001</v>
      </c>
      <c r="Q332" s="23">
        <f t="shared" si="661"/>
        <v>1348263.1328400001</v>
      </c>
      <c r="R332" s="23">
        <f t="shared" si="661"/>
        <v>1752742.0726920001</v>
      </c>
      <c r="T332" s="20">
        <f>$L332*(1+$Z332)</f>
        <v>472064.39999999997</v>
      </c>
      <c r="U332" s="20">
        <f>T332*(1+$Z332)</f>
        <v>708096.6</v>
      </c>
      <c r="V332" s="20">
        <f t="shared" ref="V332" si="662">U332*(1+$Z332)</f>
        <v>1062144.8999999999</v>
      </c>
      <c r="W332" s="20">
        <f>V332*(1+$Z332)</f>
        <v>1593217.3499999999</v>
      </c>
      <c r="X332" s="20">
        <f>W332*(1+$Z332)</f>
        <v>2389826.0249999999</v>
      </c>
      <c r="Y332" s="20">
        <f t="shared" ref="Y332" si="663">X332*(1+$Z332)</f>
        <v>3584739.0374999996</v>
      </c>
      <c r="Z332" s="472">
        <v>0.5</v>
      </c>
      <c r="AA332" s="1"/>
      <c r="AB332" s="20">
        <f>$L332*(1+$AH332+20%)</f>
        <v>472064.39999999997</v>
      </c>
      <c r="AC332" s="20">
        <f>AB332*(1+$AH332)</f>
        <v>613683.72</v>
      </c>
      <c r="AD332" s="20">
        <f t="shared" ref="AD332" si="664">AC332*(1+$AH332)</f>
        <v>797788.83600000001</v>
      </c>
      <c r="AE332" s="20">
        <f>AD332*(1+$AH332)</f>
        <v>1037125.4868000001</v>
      </c>
      <c r="AF332" s="20">
        <f t="shared" ref="AF332" si="665">AE332*(1+$AH332)</f>
        <v>1348263.1328400001</v>
      </c>
      <c r="AG332" s="20">
        <f>AF332*(1+$AH332)</f>
        <v>1752742.0726920001</v>
      </c>
      <c r="AH332" s="472">
        <v>0.3</v>
      </c>
      <c r="AI332" s="1"/>
      <c r="AJ332" s="20">
        <f>$L332*(1+$AP332)</f>
        <v>377651.51999999996</v>
      </c>
      <c r="AK332" s="20">
        <f>AJ332*(1+$AP332)</f>
        <v>453181.82399999996</v>
      </c>
      <c r="AL332" s="20">
        <f t="shared" ref="AL332:AM332" si="666">AK332*(1+$AP332)</f>
        <v>543818.18879999989</v>
      </c>
      <c r="AM332" s="20">
        <f t="shared" si="666"/>
        <v>652581.82655999984</v>
      </c>
      <c r="AN332" s="20">
        <f>AM332*(1+$AP332)</f>
        <v>783098.19187199976</v>
      </c>
      <c r="AO332" s="20">
        <f t="shared" ref="AO332" si="667">AN332*(1+$AP332)</f>
        <v>939717.83024639974</v>
      </c>
      <c r="AP332" s="472">
        <v>0.2</v>
      </c>
    </row>
    <row r="333" spans="1:42" outlineLevel="3">
      <c r="D333" s="27" t="s">
        <v>25</v>
      </c>
      <c r="E333" s="28"/>
      <c r="F333" s="28"/>
      <c r="G333" s="28"/>
      <c r="H333" s="398"/>
      <c r="I333" s="398">
        <v>782080</v>
      </c>
      <c r="J333" s="398">
        <v>8269</v>
      </c>
      <c r="K333" s="399">
        <v>39072</v>
      </c>
      <c r="L333" s="159">
        <f>K333*1.2</f>
        <v>46886.400000000001</v>
      </c>
      <c r="M333" s="436"/>
      <c r="N333" s="436"/>
      <c r="O333" s="436"/>
      <c r="P333" s="436"/>
      <c r="Q333" s="436"/>
      <c r="R333" s="437"/>
    </row>
    <row r="334" spans="1:42" outlineLevel="3">
      <c r="D334" s="31" t="s">
        <v>26</v>
      </c>
      <c r="H334" s="400"/>
      <c r="I334" s="400"/>
      <c r="J334" s="400">
        <v>4340</v>
      </c>
      <c r="K334" s="401">
        <v>3256</v>
      </c>
      <c r="L334" s="162">
        <f t="shared" ref="L334:L337" si="668">K334*1.2</f>
        <v>3907.2</v>
      </c>
      <c r="M334" s="438"/>
      <c r="N334" s="438"/>
      <c r="O334" s="438"/>
      <c r="P334" s="438"/>
      <c r="Q334" s="438"/>
      <c r="R334" s="439"/>
    </row>
    <row r="335" spans="1:42" outlineLevel="3">
      <c r="D335" s="31" t="s">
        <v>27</v>
      </c>
      <c r="H335" s="400"/>
      <c r="I335" s="400">
        <v>298</v>
      </c>
      <c r="J335" s="400">
        <v>32561</v>
      </c>
      <c r="K335" s="401">
        <v>32872</v>
      </c>
      <c r="L335" s="162">
        <f t="shared" si="668"/>
        <v>39446.400000000001</v>
      </c>
      <c r="M335" s="438"/>
      <c r="N335" s="438"/>
      <c r="O335" s="438"/>
      <c r="P335" s="438"/>
      <c r="Q335" s="438"/>
      <c r="R335" s="439"/>
    </row>
    <row r="336" spans="1:42" outlineLevel="3">
      <c r="D336" s="31" t="s">
        <v>28</v>
      </c>
      <c r="H336" s="400"/>
      <c r="I336" s="400">
        <v>22779</v>
      </c>
      <c r="J336" s="400">
        <v>114683</v>
      </c>
      <c r="K336" s="401">
        <v>186479</v>
      </c>
      <c r="L336" s="162">
        <f t="shared" si="668"/>
        <v>223774.8</v>
      </c>
      <c r="M336" s="438"/>
      <c r="N336" s="438"/>
      <c r="O336" s="438"/>
      <c r="P336" s="438"/>
      <c r="Q336" s="438"/>
      <c r="R336" s="439"/>
    </row>
    <row r="337" spans="3:42" outlineLevel="3">
      <c r="D337" s="33" t="s">
        <v>29</v>
      </c>
      <c r="E337" s="34"/>
      <c r="F337" s="34"/>
      <c r="G337" s="34"/>
      <c r="H337" s="402"/>
      <c r="I337" s="402"/>
      <c r="J337" s="402">
        <v>2133</v>
      </c>
      <c r="K337" s="403">
        <v>579</v>
      </c>
      <c r="L337" s="163">
        <f t="shared" si="668"/>
        <v>694.8</v>
      </c>
      <c r="M337" s="440"/>
      <c r="N337" s="440"/>
      <c r="O337" s="440"/>
      <c r="P337" s="440"/>
      <c r="Q337" s="440"/>
      <c r="R337" s="441"/>
      <c r="AB337" s="448"/>
      <c r="AC337" s="448"/>
      <c r="AD337" s="448"/>
      <c r="AE337" s="448"/>
      <c r="AF337" s="448"/>
      <c r="AG337" s="448"/>
    </row>
    <row r="338" spans="3:42" outlineLevel="3">
      <c r="C338" s="1" t="s">
        <v>31</v>
      </c>
      <c r="H338" s="57" t="str">
        <f>IFERROR(H344/H332,"NA")</f>
        <v>NA</v>
      </c>
      <c r="I338" s="57">
        <f t="shared" ref="I338:K338" si="669">IFERROR(I344/I332,"NA")</f>
        <v>1.2195137097485336E-2</v>
      </c>
      <c r="J338" s="57">
        <f t="shared" si="669"/>
        <v>0.17562628869161531</v>
      </c>
      <c r="K338" s="57">
        <f t="shared" si="669"/>
        <v>0.14877715837076466</v>
      </c>
      <c r="L338" s="57">
        <f>IFERROR(L344/L332,"NA")</f>
        <v>0.14877715837076466</v>
      </c>
      <c r="M338" s="57">
        <f t="shared" ref="M338:R338" si="670">CHOOSE(case,T338,AB338,AJ338)</f>
        <v>0.1502649299544723</v>
      </c>
      <c r="N338" s="57">
        <f t="shared" si="670"/>
        <v>0.15176757925401702</v>
      </c>
      <c r="O338" s="57">
        <f t="shared" si="670"/>
        <v>0.15328525504655718</v>
      </c>
      <c r="P338" s="57">
        <f t="shared" si="670"/>
        <v>0.15481810759702275</v>
      </c>
      <c r="Q338" s="57">
        <f t="shared" si="670"/>
        <v>0.15636628867299299</v>
      </c>
      <c r="R338" s="57">
        <f t="shared" si="670"/>
        <v>0.15792995155972292</v>
      </c>
      <c r="T338" s="448">
        <f>$L338*(1+$Z338)</f>
        <v>0.15175270153817996</v>
      </c>
      <c r="U338" s="448">
        <f>T338*(1+$Z338)</f>
        <v>0.15478775556894356</v>
      </c>
      <c r="V338" s="448">
        <f t="shared" ref="V338:Y338" si="671">U338*(1+$Z338)</f>
        <v>0.15788351068032244</v>
      </c>
      <c r="W338" s="448">
        <f t="shared" si="671"/>
        <v>0.16104118089392888</v>
      </c>
      <c r="X338" s="448">
        <f t="shared" si="671"/>
        <v>0.16426200451180747</v>
      </c>
      <c r="Y338" s="448">
        <f t="shared" si="671"/>
        <v>0.16754724460204362</v>
      </c>
      <c r="Z338" s="472">
        <v>0.02</v>
      </c>
      <c r="AB338" s="448">
        <f>$L338*(1+$AH338)</f>
        <v>0.1502649299544723</v>
      </c>
      <c r="AC338" s="448">
        <f>AB338*(1+$AH338)</f>
        <v>0.15176757925401702</v>
      </c>
      <c r="AD338" s="448">
        <f t="shared" ref="AD338:AF338" si="672">AC338*(1+$AH338)</f>
        <v>0.15328525504655718</v>
      </c>
      <c r="AE338" s="448">
        <f t="shared" si="672"/>
        <v>0.15481810759702275</v>
      </c>
      <c r="AF338" s="448">
        <f t="shared" si="672"/>
        <v>0.15636628867299299</v>
      </c>
      <c r="AG338" s="448">
        <f>AF338*(1+$AH338)</f>
        <v>0.15792995155972292</v>
      </c>
      <c r="AH338" s="472">
        <v>0.01</v>
      </c>
      <c r="AJ338" s="448">
        <f>$L338*(1+$AP338)</f>
        <v>0.14877715837076466</v>
      </c>
      <c r="AK338" s="448">
        <f>AJ338*(1+$AP338)</f>
        <v>0.14877715837076466</v>
      </c>
      <c r="AL338" s="448">
        <f t="shared" ref="AL338:AM338" si="673">AK338*(1+$AP338)</f>
        <v>0.14877715837076466</v>
      </c>
      <c r="AM338" s="448">
        <f t="shared" si="673"/>
        <v>0.14877715837076466</v>
      </c>
      <c r="AN338" s="448">
        <f>AM338*(1+$AP338)</f>
        <v>0.14877715837076466</v>
      </c>
      <c r="AO338" s="448">
        <f t="shared" ref="AO338" si="674">AN338*(1+$AP338)</f>
        <v>0.14877715837076466</v>
      </c>
      <c r="AP338" s="472">
        <v>0</v>
      </c>
    </row>
    <row r="339" spans="3:42" outlineLevel="3">
      <c r="D339" s="27" t="s">
        <v>25</v>
      </c>
      <c r="E339" s="28"/>
      <c r="F339" s="28"/>
      <c r="G339" s="28"/>
      <c r="H339" s="50" t="str">
        <f>IFERROR(H345/H333,"NA")</f>
        <v>NA</v>
      </c>
      <c r="I339" s="50">
        <f t="shared" ref="I339:K339" si="675">IFERROR(I345/I333,"NA")</f>
        <v>6.9276800327332244E-3</v>
      </c>
      <c r="J339" s="50">
        <f t="shared" si="675"/>
        <v>0.37005683879550128</v>
      </c>
      <c r="K339" s="51">
        <f t="shared" si="675"/>
        <v>0.13866707616707616</v>
      </c>
      <c r="L339" s="81">
        <f>K339</f>
        <v>0.13866707616707616</v>
      </c>
      <c r="M339" s="442"/>
      <c r="N339" s="442"/>
      <c r="O339" s="442"/>
      <c r="P339" s="442"/>
      <c r="Q339" s="442"/>
      <c r="R339" s="443"/>
    </row>
    <row r="340" spans="3:42" outlineLevel="3">
      <c r="D340" s="31" t="s">
        <v>26</v>
      </c>
      <c r="H340" s="52" t="str">
        <f t="shared" ref="H340:K340" si="676">IFERROR(H346/H334,"NA")</f>
        <v>NA</v>
      </c>
      <c r="I340" s="52" t="str">
        <f t="shared" si="676"/>
        <v>NA</v>
      </c>
      <c r="J340" s="52">
        <f t="shared" si="676"/>
        <v>0.34723502304147463</v>
      </c>
      <c r="K340" s="53">
        <f t="shared" si="676"/>
        <v>0.37192874692874694</v>
      </c>
      <c r="L340" s="82">
        <f>K340</f>
        <v>0.37192874692874694</v>
      </c>
      <c r="M340" s="444"/>
      <c r="N340" s="444"/>
      <c r="O340" s="444"/>
      <c r="P340" s="444"/>
      <c r="Q340" s="444"/>
      <c r="R340" s="445"/>
    </row>
    <row r="341" spans="3:42" outlineLevel="3">
      <c r="D341" s="31" t="s">
        <v>27</v>
      </c>
      <c r="H341" s="52" t="str">
        <f t="shared" ref="H341:K341" si="677">IFERROR(H347/H335,"NA")</f>
        <v>NA</v>
      </c>
      <c r="I341" s="52">
        <f t="shared" si="677"/>
        <v>4.8322147651006713</v>
      </c>
      <c r="J341" s="52">
        <f t="shared" si="677"/>
        <v>0.24983876416571973</v>
      </c>
      <c r="K341" s="53">
        <f t="shared" si="677"/>
        <v>0.3177780481869068</v>
      </c>
      <c r="L341" s="82">
        <f t="shared" ref="L341" si="678">K341</f>
        <v>0.3177780481869068</v>
      </c>
      <c r="M341" s="444"/>
      <c r="N341" s="444"/>
      <c r="O341" s="444"/>
      <c r="P341" s="444"/>
      <c r="Q341" s="444"/>
      <c r="R341" s="445"/>
    </row>
    <row r="342" spans="3:42" outlineLevel="3">
      <c r="D342" s="31" t="s">
        <v>28</v>
      </c>
      <c r="H342" s="52" t="str">
        <f t="shared" ref="H342:K342" si="679">IFERROR(H348/H336,"NA")</f>
        <v>NA</v>
      </c>
      <c r="I342" s="52">
        <f t="shared" si="679"/>
        <v>0.12998814697747926</v>
      </c>
      <c r="J342" s="52">
        <f t="shared" si="679"/>
        <v>0.11775066923606811</v>
      </c>
      <c r="K342" s="53">
        <f t="shared" si="679"/>
        <v>0.11446865330680667</v>
      </c>
      <c r="L342" s="82">
        <f>K342</f>
        <v>0.11446865330680667</v>
      </c>
      <c r="M342" s="444"/>
      <c r="N342" s="444"/>
      <c r="O342" s="444"/>
      <c r="P342" s="444"/>
      <c r="Q342" s="444"/>
      <c r="R342" s="445"/>
    </row>
    <row r="343" spans="3:42" ht="15" outlineLevel="3" thickBot="1">
      <c r="C343" s="37"/>
      <c r="D343" s="38" t="s">
        <v>29</v>
      </c>
      <c r="E343" s="37"/>
      <c r="F343" s="37"/>
      <c r="G343" s="37"/>
      <c r="H343" s="54" t="str">
        <f t="shared" ref="H343:K343" si="680">IFERROR(H349/H337,"NA")</f>
        <v>NA</v>
      </c>
      <c r="I343" s="54" t="str">
        <f t="shared" si="680"/>
        <v>NA</v>
      </c>
      <c r="J343" s="54">
        <f t="shared" si="680"/>
        <v>1.0515705578996719</v>
      </c>
      <c r="K343" s="55">
        <f t="shared" si="680"/>
        <v>1.0310880829015545</v>
      </c>
      <c r="L343" s="86">
        <f>K343</f>
        <v>1.0310880829015545</v>
      </c>
      <c r="M343" s="446"/>
      <c r="N343" s="446"/>
      <c r="O343" s="446"/>
      <c r="P343" s="446"/>
      <c r="Q343" s="446"/>
      <c r="R343" s="447"/>
    </row>
    <row r="344" spans="3:42" outlineLevel="3">
      <c r="C344" s="18" t="s">
        <v>33</v>
      </c>
      <c r="H344" s="23">
        <f>SUM(H345:H349)</f>
        <v>0</v>
      </c>
      <c r="I344" s="23">
        <f t="shared" ref="I344" si="681">SUM(I345:I349)</f>
        <v>9819</v>
      </c>
      <c r="J344" s="23">
        <f t="shared" ref="J344" si="682">SUM(J345:J349)</f>
        <v>28449</v>
      </c>
      <c r="K344" s="23">
        <f t="shared" ref="K344" si="683">SUM(K345:K349)</f>
        <v>39018</v>
      </c>
      <c r="L344" s="23">
        <f>SUM(L345:L349)</f>
        <v>46821.599999999999</v>
      </c>
      <c r="M344" s="23">
        <f>M332*M338</f>
        <v>70934.723999999987</v>
      </c>
      <c r="N344" s="23">
        <f t="shared" ref="N344:R344" si="684">N332*N338</f>
        <v>93137.292611999976</v>
      </c>
      <c r="O344" s="23">
        <f t="shared" si="684"/>
        <v>122289.26519955599</v>
      </c>
      <c r="P344" s="23">
        <f t="shared" si="684"/>
        <v>160565.80520701699</v>
      </c>
      <c r="Q344" s="23">
        <f t="shared" si="684"/>
        <v>210822.90223681336</v>
      </c>
      <c r="R344" s="23">
        <f t="shared" si="684"/>
        <v>276810.4706369359</v>
      </c>
      <c r="S344" s="144">
        <f>POWER(R344/M344,1/5)-1</f>
        <v>0.31299999999999994</v>
      </c>
    </row>
    <row r="345" spans="3:42" outlineLevel="3">
      <c r="D345" s="27" t="s">
        <v>25</v>
      </c>
      <c r="E345" s="28"/>
      <c r="F345" s="28"/>
      <c r="G345" s="28"/>
      <c r="H345" s="398"/>
      <c r="I345" s="398">
        <v>5418</v>
      </c>
      <c r="J345" s="398">
        <v>3060</v>
      </c>
      <c r="K345" s="399">
        <v>5418</v>
      </c>
      <c r="L345" s="83">
        <f>L339*L333</f>
        <v>6501.5999999999995</v>
      </c>
      <c r="M345" s="436"/>
      <c r="N345" s="436"/>
      <c r="O345" s="436"/>
      <c r="P345" s="436"/>
      <c r="Q345" s="436"/>
      <c r="R345" s="437"/>
    </row>
    <row r="346" spans="3:42" outlineLevel="3">
      <c r="D346" s="31" t="s">
        <v>26</v>
      </c>
      <c r="H346" s="400"/>
      <c r="I346" s="400"/>
      <c r="J346" s="400">
        <v>1507</v>
      </c>
      <c r="K346" s="401">
        <v>1211</v>
      </c>
      <c r="L346" s="84">
        <f>L334*L340</f>
        <v>1453.2</v>
      </c>
      <c r="M346" s="438"/>
      <c r="N346" s="438"/>
      <c r="O346" s="438"/>
      <c r="P346" s="438"/>
      <c r="Q346" s="438"/>
      <c r="R346" s="439"/>
    </row>
    <row r="347" spans="3:42" outlineLevel="3">
      <c r="D347" s="31" t="s">
        <v>27</v>
      </c>
      <c r="H347" s="400"/>
      <c r="I347" s="400">
        <v>1440</v>
      </c>
      <c r="J347" s="400">
        <v>8135</v>
      </c>
      <c r="K347" s="401">
        <v>10446</v>
      </c>
      <c r="L347" s="84">
        <f t="shared" ref="L347" si="685">L335*L341</f>
        <v>12535.2</v>
      </c>
      <c r="M347" s="438"/>
      <c r="N347" s="438"/>
      <c r="O347" s="438"/>
      <c r="P347" s="438"/>
      <c r="Q347" s="438"/>
      <c r="R347" s="439"/>
    </row>
    <row r="348" spans="3:42" outlineLevel="3">
      <c r="D348" s="31" t="s">
        <v>28</v>
      </c>
      <c r="H348" s="400"/>
      <c r="I348" s="400">
        <v>2961</v>
      </c>
      <c r="J348" s="400">
        <v>13504</v>
      </c>
      <c r="K348" s="401">
        <v>21346</v>
      </c>
      <c r="L348" s="84">
        <f t="shared" ref="L348" si="686">L336*L342</f>
        <v>25615.200000000001</v>
      </c>
      <c r="M348" s="438"/>
      <c r="N348" s="438"/>
      <c r="O348" s="438"/>
      <c r="P348" s="438"/>
      <c r="Q348" s="438"/>
      <c r="R348" s="439"/>
    </row>
    <row r="349" spans="3:42" outlineLevel="3">
      <c r="D349" s="33" t="s">
        <v>29</v>
      </c>
      <c r="E349" s="34"/>
      <c r="F349" s="34"/>
      <c r="G349" s="34"/>
      <c r="H349" s="402"/>
      <c r="I349" s="402"/>
      <c r="J349" s="402">
        <v>2243</v>
      </c>
      <c r="K349" s="403">
        <v>597</v>
      </c>
      <c r="L349" s="85">
        <f>L337*L343</f>
        <v>716.4</v>
      </c>
      <c r="M349" s="440"/>
      <c r="N349" s="440"/>
      <c r="O349" s="440"/>
      <c r="P349" s="440"/>
      <c r="Q349" s="440"/>
      <c r="R349" s="441"/>
    </row>
    <row r="350" spans="3:42" outlineLevel="3">
      <c r="H350" s="43"/>
      <c r="I350" s="43"/>
      <c r="J350" s="43"/>
      <c r="K350" s="43"/>
      <c r="L350" s="144">
        <f>L344/集团!L$9/1000/集团!L$23</f>
        <v>6.2003948941850443E-3</v>
      </c>
      <c r="M350" s="144">
        <f>M344/集团!N$9/1000/集团!N$23</f>
        <v>8.5930370427722731E-3</v>
      </c>
      <c r="R350" s="144">
        <f>R344/集团!S$9/1000/集团!S$23</f>
        <v>1.9891131522026647E-2</v>
      </c>
      <c r="S350" s="526">
        <f>R350-M350</f>
        <v>1.1298094479254374E-2</v>
      </c>
    </row>
    <row r="351" spans="3:42" ht="15" outlineLevel="3" thickBot="1">
      <c r="C351" s="37" t="s">
        <v>34</v>
      </c>
      <c r="D351" s="37"/>
      <c r="E351" s="37"/>
      <c r="F351" s="37"/>
      <c r="G351" s="37"/>
      <c r="H351" s="404">
        <v>0</v>
      </c>
      <c r="I351" s="404">
        <v>-7462</v>
      </c>
      <c r="J351" s="404">
        <v>-19347</v>
      </c>
      <c r="K351" s="404">
        <v>-26762</v>
      </c>
      <c r="L351" s="39">
        <f>L352-L344</f>
        <v>-32114.399999999998</v>
      </c>
      <c r="M351" s="39">
        <f t="shared" ref="M351:R351" si="687">M352-M344</f>
        <v>-48661.220663999993</v>
      </c>
      <c r="N351" s="39">
        <f t="shared" si="687"/>
        <v>-63892.182731831985</v>
      </c>
      <c r="O351" s="39">
        <f t="shared" si="687"/>
        <v>-83890.435926895414</v>
      </c>
      <c r="P351" s="39">
        <f t="shared" si="687"/>
        <v>-110148.14237201365</v>
      </c>
      <c r="Q351" s="39">
        <f t="shared" si="687"/>
        <v>-144624.51093445398</v>
      </c>
      <c r="R351" s="39">
        <f t="shared" si="687"/>
        <v>-189891.98285693803</v>
      </c>
    </row>
    <row r="352" spans="3:42" outlineLevel="3">
      <c r="C352" s="18" t="s">
        <v>36</v>
      </c>
      <c r="D352" s="18"/>
      <c r="E352" s="18"/>
      <c r="F352" s="18"/>
      <c r="G352" s="18"/>
      <c r="H352" s="23">
        <f>H351+H344</f>
        <v>0</v>
      </c>
      <c r="I352" s="23">
        <f>I351+I344</f>
        <v>2357</v>
      </c>
      <c r="J352" s="23">
        <f>J351+J344</f>
        <v>9102</v>
      </c>
      <c r="K352" s="23">
        <f>K351+K344</f>
        <v>12256</v>
      </c>
      <c r="L352" s="23">
        <f>L353*L344</f>
        <v>14707.2</v>
      </c>
      <c r="M352" s="23">
        <f t="shared" ref="M352:R352" si="688">M353*M344</f>
        <v>22273.503335999998</v>
      </c>
      <c r="N352" s="23">
        <f t="shared" si="688"/>
        <v>29245.109880167991</v>
      </c>
      <c r="O352" s="23">
        <f t="shared" si="688"/>
        <v>38398.82927266058</v>
      </c>
      <c r="P352" s="23">
        <f t="shared" si="688"/>
        <v>50417.662835003335</v>
      </c>
      <c r="Q352" s="23">
        <f t="shared" si="688"/>
        <v>66198.391302359392</v>
      </c>
      <c r="R352" s="23">
        <f t="shared" si="688"/>
        <v>86918.487779997871</v>
      </c>
    </row>
    <row r="353" spans="1:42" outlineLevel="3">
      <c r="C353" s="22" t="s">
        <v>19</v>
      </c>
      <c r="D353" s="22"/>
      <c r="E353" s="22"/>
      <c r="F353" s="22"/>
      <c r="G353" s="22"/>
      <c r="H353" s="56" t="str">
        <f>IFERROR(H352/H344,"NA")</f>
        <v>NA</v>
      </c>
      <c r="I353" s="56">
        <f t="shared" ref="I353" si="689">IFERROR(I352/I344,"NA")</f>
        <v>0.24004481108055811</v>
      </c>
      <c r="J353" s="56">
        <f t="shared" ref="J353" si="690">IFERROR(J352/J344,"NA")</f>
        <v>0.3199409469577138</v>
      </c>
      <c r="K353" s="56">
        <f t="shared" ref="K353" si="691">IFERROR(K352/K344,"NA")</f>
        <v>0.3141114357476037</v>
      </c>
      <c r="L353" s="79">
        <f>K353</f>
        <v>0.3141114357476037</v>
      </c>
      <c r="M353" s="65">
        <f t="shared" ref="M353:R353" si="692">CHOOSE(case,T353,AB353,AJ353)</f>
        <v>0.314</v>
      </c>
      <c r="N353" s="65">
        <f t="shared" si="692"/>
        <v>0.314</v>
      </c>
      <c r="O353" s="65">
        <f t="shared" si="692"/>
        <v>0.314</v>
      </c>
      <c r="P353" s="65">
        <f t="shared" si="692"/>
        <v>0.314</v>
      </c>
      <c r="Q353" s="65">
        <f t="shared" si="692"/>
        <v>0.314</v>
      </c>
      <c r="R353" s="65">
        <f t="shared" si="692"/>
        <v>0.314</v>
      </c>
      <c r="T353" s="471">
        <f>AB353+1%</f>
        <v>0.32400000000000001</v>
      </c>
      <c r="U353" s="79">
        <f t="shared" ref="U353" si="693">T353</f>
        <v>0.32400000000000001</v>
      </c>
      <c r="V353" s="79">
        <f t="shared" ref="V353" si="694">U353</f>
        <v>0.32400000000000001</v>
      </c>
      <c r="W353" s="79">
        <f t="shared" ref="W353" si="695">V353</f>
        <v>0.32400000000000001</v>
      </c>
      <c r="X353" s="79">
        <f t="shared" ref="X353" si="696">W353</f>
        <v>0.32400000000000001</v>
      </c>
      <c r="Y353" s="79">
        <f t="shared" ref="Y353" si="697">X353</f>
        <v>0.32400000000000001</v>
      </c>
      <c r="AB353" s="471">
        <v>0.314</v>
      </c>
      <c r="AC353" s="79">
        <f t="shared" ref="AC353" si="698">AB353</f>
        <v>0.314</v>
      </c>
      <c r="AD353" s="79">
        <f t="shared" ref="AD353" si="699">AC353</f>
        <v>0.314</v>
      </c>
      <c r="AE353" s="79">
        <f t="shared" ref="AE353" si="700">AD353</f>
        <v>0.314</v>
      </c>
      <c r="AF353" s="79">
        <f t="shared" ref="AF353" si="701">AE353</f>
        <v>0.314</v>
      </c>
      <c r="AG353" s="79">
        <f t="shared" ref="AG353" si="702">AF353</f>
        <v>0.314</v>
      </c>
      <c r="AJ353" s="471">
        <f>AB353-1%</f>
        <v>0.30399999999999999</v>
      </c>
      <c r="AK353" s="79">
        <f t="shared" ref="AK353" si="703">AJ353</f>
        <v>0.30399999999999999</v>
      </c>
      <c r="AL353" s="79">
        <f t="shared" ref="AL353" si="704">AK353</f>
        <v>0.30399999999999999</v>
      </c>
      <c r="AM353" s="79">
        <f t="shared" ref="AM353" si="705">AL353</f>
        <v>0.30399999999999999</v>
      </c>
      <c r="AN353" s="79">
        <f t="shared" ref="AN353" si="706">AM353</f>
        <v>0.30399999999999999</v>
      </c>
      <c r="AO353" s="79">
        <f t="shared" ref="AO353" si="707">AN353</f>
        <v>0.30399999999999999</v>
      </c>
    </row>
    <row r="354" spans="1:42" outlineLevel="3"/>
    <row r="355" spans="1:42" s="26" customFormat="1" outlineLevel="3">
      <c r="A355" s="26" t="s">
        <v>8</v>
      </c>
      <c r="C355" s="26" t="s">
        <v>51</v>
      </c>
    </row>
    <row r="356" spans="1:42" outlineLevel="3"/>
    <row r="357" spans="1:42" s="18" customFormat="1" outlineLevel="3">
      <c r="C357" s="18" t="s">
        <v>24</v>
      </c>
      <c r="H357" s="23">
        <f>SUM(H358:H362)</f>
        <v>967910</v>
      </c>
      <c r="I357" s="23">
        <f t="shared" ref="I357" si="708">SUM(I358:I362)</f>
        <v>708299</v>
      </c>
      <c r="J357" s="23">
        <f t="shared" ref="J357" si="709">SUM(J358:J362)</f>
        <v>642052</v>
      </c>
      <c r="K357" s="23">
        <f t="shared" ref="K357" si="710">SUM(K358:K362)</f>
        <v>513563</v>
      </c>
      <c r="L357" s="23">
        <f>SUM(L358:L362)</f>
        <v>616275.6</v>
      </c>
      <c r="M357" s="23">
        <f t="shared" ref="M357:R357" si="711">CHOOSE(case,T357,AB357,AJ357)</f>
        <v>862785.84000000008</v>
      </c>
      <c r="N357" s="23">
        <f t="shared" si="711"/>
        <v>1121621.5920000002</v>
      </c>
      <c r="O357" s="23">
        <f t="shared" si="711"/>
        <v>1458108.0696000003</v>
      </c>
      <c r="P357" s="23">
        <f t="shared" si="711"/>
        <v>1895540.4904800004</v>
      </c>
      <c r="Q357" s="23">
        <f t="shared" si="711"/>
        <v>2464202.6376240007</v>
      </c>
      <c r="R357" s="23">
        <f t="shared" si="711"/>
        <v>3203463.4289112012</v>
      </c>
      <c r="T357" s="20">
        <f>$L357*(1+$Z357)</f>
        <v>986040.96</v>
      </c>
      <c r="U357" s="20">
        <f>T357*(1+$Z357)</f>
        <v>1577665.5360000001</v>
      </c>
      <c r="V357" s="20">
        <f t="shared" ref="V357" si="712">U357*(1+$Z357)</f>
        <v>2524264.8576000002</v>
      </c>
      <c r="W357" s="20">
        <f>V357*(1+$Z357)</f>
        <v>4038823.7721600006</v>
      </c>
      <c r="X357" s="20">
        <f>W357*(1+$Z357)</f>
        <v>6462118.0354560018</v>
      </c>
      <c r="Y357" s="20">
        <f t="shared" ref="Y357" si="713">X357*(1+$Z357)</f>
        <v>10339388.856729604</v>
      </c>
      <c r="Z357" s="472">
        <v>0.6</v>
      </c>
      <c r="AA357" s="1"/>
      <c r="AB357" s="20">
        <f>$L357*(1+$AH357+10%)</f>
        <v>862785.84000000008</v>
      </c>
      <c r="AC357" s="20">
        <f>AB357*(1+$AH357)</f>
        <v>1121621.5920000002</v>
      </c>
      <c r="AD357" s="20">
        <f t="shared" ref="AD357" si="714">AC357*(1+$AH357)</f>
        <v>1458108.0696000003</v>
      </c>
      <c r="AE357" s="20">
        <f>AD357*(1+$AH357)</f>
        <v>1895540.4904800004</v>
      </c>
      <c r="AF357" s="20">
        <f t="shared" ref="AF357" si="715">AE357*(1+$AH357)</f>
        <v>2464202.6376240007</v>
      </c>
      <c r="AG357" s="20">
        <f>AF357*(1+$AH357)</f>
        <v>3203463.4289112012</v>
      </c>
      <c r="AH357" s="472">
        <v>0.3</v>
      </c>
      <c r="AI357" s="1"/>
      <c r="AJ357" s="20">
        <f>$L357*(1+$AP357)</f>
        <v>739530.72</v>
      </c>
      <c r="AK357" s="20">
        <f>AJ357*(1+$AP357)</f>
        <v>887436.86399999994</v>
      </c>
      <c r="AL357" s="20">
        <f t="shared" ref="AL357:AM357" si="716">AK357*(1+$AP357)</f>
        <v>1064924.2367999998</v>
      </c>
      <c r="AM357" s="20">
        <f t="shared" si="716"/>
        <v>1277909.0841599999</v>
      </c>
      <c r="AN357" s="20">
        <f>AM357*(1+$AP357)</f>
        <v>1533490.9009919998</v>
      </c>
      <c r="AO357" s="20">
        <f t="shared" ref="AO357" si="717">AN357*(1+$AP357)</f>
        <v>1840189.0811903996</v>
      </c>
      <c r="AP357" s="472">
        <v>0.2</v>
      </c>
    </row>
    <row r="358" spans="1:42" outlineLevel="3">
      <c r="D358" s="27" t="s">
        <v>25</v>
      </c>
      <c r="E358" s="28"/>
      <c r="F358" s="28"/>
      <c r="G358" s="28"/>
      <c r="H358" s="398">
        <v>574</v>
      </c>
      <c r="I358" s="398">
        <v>1508</v>
      </c>
      <c r="J358" s="398">
        <v>7645</v>
      </c>
      <c r="K358" s="399">
        <v>9511</v>
      </c>
      <c r="L358" s="159">
        <f>K358*1.2</f>
        <v>11413.199999999999</v>
      </c>
      <c r="M358" s="436"/>
      <c r="N358" s="436"/>
      <c r="O358" s="436"/>
      <c r="P358" s="436"/>
      <c r="Q358" s="436"/>
      <c r="R358" s="437"/>
    </row>
    <row r="359" spans="1:42" outlineLevel="3">
      <c r="D359" s="31" t="s">
        <v>26</v>
      </c>
      <c r="H359" s="400">
        <v>30034</v>
      </c>
      <c r="I359" s="400">
        <v>95556</v>
      </c>
      <c r="J359" s="400">
        <v>109711</v>
      </c>
      <c r="K359" s="401">
        <v>100540</v>
      </c>
      <c r="L359" s="162">
        <f t="shared" ref="L359:L362" si="718">K359*1.2</f>
        <v>120648</v>
      </c>
      <c r="M359" s="438"/>
      <c r="N359" s="438"/>
      <c r="O359" s="438"/>
      <c r="P359" s="438"/>
      <c r="Q359" s="438"/>
      <c r="R359" s="439"/>
    </row>
    <row r="360" spans="1:42" outlineLevel="3">
      <c r="D360" s="31" t="s">
        <v>27</v>
      </c>
      <c r="H360" s="400">
        <v>43984</v>
      </c>
      <c r="I360" s="400">
        <v>32195</v>
      </c>
      <c r="J360" s="400">
        <v>147441</v>
      </c>
      <c r="K360" s="401">
        <v>134624</v>
      </c>
      <c r="L360" s="162">
        <f t="shared" si="718"/>
        <v>161548.79999999999</v>
      </c>
      <c r="M360" s="438"/>
      <c r="N360" s="438"/>
      <c r="O360" s="438"/>
      <c r="P360" s="438"/>
      <c r="Q360" s="438"/>
      <c r="R360" s="439"/>
    </row>
    <row r="361" spans="1:42" outlineLevel="3">
      <c r="D361" s="31" t="s">
        <v>28</v>
      </c>
      <c r="H361" s="400">
        <v>690983</v>
      </c>
      <c r="I361" s="400">
        <v>410247</v>
      </c>
      <c r="J361" s="400">
        <v>350464</v>
      </c>
      <c r="K361" s="401">
        <v>167378</v>
      </c>
      <c r="L361" s="162">
        <f t="shared" si="718"/>
        <v>200853.6</v>
      </c>
      <c r="M361" s="438"/>
      <c r="N361" s="438"/>
      <c r="O361" s="438"/>
      <c r="P361" s="438"/>
      <c r="Q361" s="438"/>
      <c r="R361" s="439"/>
    </row>
    <row r="362" spans="1:42" outlineLevel="3">
      <c r="D362" s="33" t="s">
        <v>29</v>
      </c>
      <c r="E362" s="34"/>
      <c r="F362" s="34"/>
      <c r="G362" s="34"/>
      <c r="H362" s="402">
        <v>202335</v>
      </c>
      <c r="I362" s="402">
        <v>168793</v>
      </c>
      <c r="J362" s="402">
        <v>26791</v>
      </c>
      <c r="K362" s="403">
        <v>101510</v>
      </c>
      <c r="L362" s="163">
        <f t="shared" si="718"/>
        <v>121812</v>
      </c>
      <c r="M362" s="440"/>
      <c r="N362" s="440"/>
      <c r="O362" s="440"/>
      <c r="P362" s="440"/>
      <c r="Q362" s="440"/>
      <c r="R362" s="441"/>
      <c r="AB362" s="448"/>
      <c r="AC362" s="448"/>
      <c r="AD362" s="448"/>
      <c r="AE362" s="448"/>
      <c r="AF362" s="448"/>
      <c r="AG362" s="448"/>
    </row>
    <row r="363" spans="1:42" outlineLevel="3">
      <c r="C363" s="1" t="s">
        <v>31</v>
      </c>
      <c r="H363" s="57">
        <f>IFERROR(H369/H357,"NA")</f>
        <v>0.11618125652178406</v>
      </c>
      <c r="I363" s="57">
        <f t="shared" ref="I363:K363" si="719">IFERROR(I369/I357,"NA")</f>
        <v>0.14579012535666436</v>
      </c>
      <c r="J363" s="57">
        <f t="shared" si="719"/>
        <v>0.20676674163463396</v>
      </c>
      <c r="K363" s="57">
        <f t="shared" si="719"/>
        <v>0.21853988702457147</v>
      </c>
      <c r="L363" s="57">
        <f>IFERROR(L369/L357,"NA")</f>
        <v>0.21853988702457147</v>
      </c>
      <c r="M363" s="57">
        <f t="shared" ref="M363:R363" si="720">CHOOSE(case,T363,AB363,AJ363)</f>
        <v>0.22072528589481719</v>
      </c>
      <c r="N363" s="57">
        <f t="shared" si="720"/>
        <v>0.22293253875376537</v>
      </c>
      <c r="O363" s="57">
        <f t="shared" si="720"/>
        <v>0.22516186414130301</v>
      </c>
      <c r="P363" s="57">
        <f t="shared" si="720"/>
        <v>0.22741348278271606</v>
      </c>
      <c r="Q363" s="57">
        <f t="shared" si="720"/>
        <v>0.22968761761054321</v>
      </c>
      <c r="R363" s="57">
        <f t="shared" si="720"/>
        <v>0.23198449378664865</v>
      </c>
      <c r="T363" s="448">
        <f>$L363*(1+$Z363)</f>
        <v>0.2229106847650629</v>
      </c>
      <c r="U363" s="448">
        <f>T363*(1+$Z363)</f>
        <v>0.22736889846036415</v>
      </c>
      <c r="V363" s="448">
        <f t="shared" ref="V363:Y363" si="721">U363*(1+$Z363)</f>
        <v>0.23191627642957144</v>
      </c>
      <c r="W363" s="448">
        <f t="shared" si="721"/>
        <v>0.23655460195816286</v>
      </c>
      <c r="X363" s="448">
        <f t="shared" si="721"/>
        <v>0.24128569399732611</v>
      </c>
      <c r="Y363" s="448">
        <f t="shared" si="721"/>
        <v>0.24611140787727262</v>
      </c>
      <c r="Z363" s="472">
        <v>0.02</v>
      </c>
      <c r="AB363" s="448">
        <f>$L363*(1+$AH363)</f>
        <v>0.22072528589481719</v>
      </c>
      <c r="AC363" s="448">
        <f>AB363*(1+$AH363)</f>
        <v>0.22293253875376537</v>
      </c>
      <c r="AD363" s="448">
        <f t="shared" ref="AD363:AF363" si="722">AC363*(1+$AH363)</f>
        <v>0.22516186414130301</v>
      </c>
      <c r="AE363" s="448">
        <f t="shared" si="722"/>
        <v>0.22741348278271606</v>
      </c>
      <c r="AF363" s="448">
        <f t="shared" si="722"/>
        <v>0.22968761761054321</v>
      </c>
      <c r="AG363" s="448">
        <f>AF363*(1+$AH363)</f>
        <v>0.23198449378664865</v>
      </c>
      <c r="AH363" s="472">
        <v>0.01</v>
      </c>
      <c r="AJ363" s="448">
        <f>$L363*(1+$AP363)</f>
        <v>0.21853988702457147</v>
      </c>
      <c r="AK363" s="448">
        <f>AJ363*(1+$AP363)</f>
        <v>0.21853988702457147</v>
      </c>
      <c r="AL363" s="448">
        <f t="shared" ref="AL363:AM363" si="723">AK363*(1+$AP363)</f>
        <v>0.21853988702457147</v>
      </c>
      <c r="AM363" s="448">
        <f t="shared" si="723"/>
        <v>0.21853988702457147</v>
      </c>
      <c r="AN363" s="448">
        <f>AM363*(1+$AP363)</f>
        <v>0.21853988702457147</v>
      </c>
      <c r="AO363" s="448">
        <f t="shared" ref="AO363" si="724">AN363*(1+$AP363)</f>
        <v>0.21853988702457147</v>
      </c>
      <c r="AP363" s="472">
        <v>0</v>
      </c>
    </row>
    <row r="364" spans="1:42" outlineLevel="3">
      <c r="D364" s="27" t="s">
        <v>25</v>
      </c>
      <c r="E364" s="28"/>
      <c r="F364" s="28"/>
      <c r="G364" s="28"/>
      <c r="H364" s="50">
        <f>IFERROR(H370/H358,"NA")</f>
        <v>0.10104529616724739</v>
      </c>
      <c r="I364" s="50">
        <f t="shared" ref="I364:K364" si="725">IFERROR(I370/I358,"NA")</f>
        <v>0.1206896551724138</v>
      </c>
      <c r="J364" s="50">
        <f t="shared" si="725"/>
        <v>0.2933943754087639</v>
      </c>
      <c r="K364" s="51">
        <f t="shared" si="725"/>
        <v>0.45946798443907055</v>
      </c>
      <c r="L364" s="81">
        <f>K364</f>
        <v>0.45946798443907055</v>
      </c>
      <c r="M364" s="442"/>
      <c r="N364" s="442"/>
      <c r="O364" s="442"/>
      <c r="P364" s="442"/>
      <c r="Q364" s="442"/>
      <c r="R364" s="443"/>
    </row>
    <row r="365" spans="1:42" outlineLevel="3">
      <c r="D365" s="31" t="s">
        <v>26</v>
      </c>
      <c r="H365" s="52">
        <f t="shared" ref="H365:K365" si="726">IFERROR(H371/H359,"NA")</f>
        <v>0.36784977026037158</v>
      </c>
      <c r="I365" s="52">
        <f t="shared" si="726"/>
        <v>0.31039390514462722</v>
      </c>
      <c r="J365" s="52">
        <f t="shared" si="726"/>
        <v>0.29014410587817085</v>
      </c>
      <c r="K365" s="53">
        <f t="shared" si="726"/>
        <v>0.26438233538889994</v>
      </c>
      <c r="L365" s="82">
        <f>K365</f>
        <v>0.26438233538889994</v>
      </c>
      <c r="M365" s="444"/>
      <c r="N365" s="444"/>
      <c r="O365" s="444"/>
      <c r="P365" s="444"/>
      <c r="Q365" s="444"/>
      <c r="R365" s="445"/>
    </row>
    <row r="366" spans="1:42" outlineLevel="3">
      <c r="D366" s="31" t="s">
        <v>27</v>
      </c>
      <c r="H366" s="52">
        <f t="shared" ref="H366:K366" si="727">IFERROR(H372/H360,"NA")</f>
        <v>0.14184703528555839</v>
      </c>
      <c r="I366" s="52">
        <f t="shared" si="727"/>
        <v>0.17157943780090076</v>
      </c>
      <c r="J366" s="52">
        <f t="shared" si="727"/>
        <v>0.32741232086054761</v>
      </c>
      <c r="K366" s="53">
        <f t="shared" si="727"/>
        <v>0.31021957451865939</v>
      </c>
      <c r="L366" s="82">
        <f t="shared" ref="L366" si="728">K366</f>
        <v>0.31021957451865939</v>
      </c>
      <c r="M366" s="444"/>
      <c r="N366" s="444"/>
      <c r="O366" s="444"/>
      <c r="P366" s="444"/>
      <c r="Q366" s="444"/>
      <c r="R366" s="445"/>
    </row>
    <row r="367" spans="1:42" outlineLevel="3">
      <c r="D367" s="31" t="s">
        <v>28</v>
      </c>
      <c r="H367" s="52">
        <f t="shared" ref="H367:K367" si="729">IFERROR(H373/H361,"NA")</f>
        <v>0.10022967279947553</v>
      </c>
      <c r="I367" s="52">
        <f t="shared" si="729"/>
        <v>0.11293684048877871</v>
      </c>
      <c r="J367" s="52">
        <f t="shared" si="729"/>
        <v>0.13407368517165816</v>
      </c>
      <c r="K367" s="53">
        <f t="shared" si="729"/>
        <v>0.16023013777198916</v>
      </c>
      <c r="L367" s="82">
        <f>K367</f>
        <v>0.16023013777198916</v>
      </c>
      <c r="M367" s="444"/>
      <c r="N367" s="444"/>
      <c r="O367" s="444"/>
      <c r="P367" s="444"/>
      <c r="Q367" s="444"/>
      <c r="R367" s="445"/>
    </row>
    <row r="368" spans="1:42" ht="15" outlineLevel="3" thickBot="1">
      <c r="C368" s="37"/>
      <c r="D368" s="38" t="s">
        <v>29</v>
      </c>
      <c r="E368" s="37"/>
      <c r="F368" s="37"/>
      <c r="G368" s="37"/>
      <c r="H368" s="54">
        <f t="shared" ref="H368:K368" si="730">IFERROR(H374/H362,"NA")</f>
        <v>0.12776336274001038</v>
      </c>
      <c r="I368" s="54">
        <f t="shared" si="730"/>
        <v>0.12776003744231099</v>
      </c>
      <c r="J368" s="54">
        <f t="shared" si="730"/>
        <v>0.1275801575155836</v>
      </c>
      <c r="K368" s="55">
        <f t="shared" si="730"/>
        <v>0.12512067776573738</v>
      </c>
      <c r="L368" s="86">
        <f>K368</f>
        <v>0.12512067776573738</v>
      </c>
      <c r="M368" s="446"/>
      <c r="N368" s="446"/>
      <c r="O368" s="446"/>
      <c r="P368" s="446"/>
      <c r="Q368" s="446"/>
      <c r="R368" s="447"/>
    </row>
    <row r="369" spans="1:41" outlineLevel="3">
      <c r="C369" s="18" t="s">
        <v>33</v>
      </c>
      <c r="H369" s="23">
        <f>SUM(H370:H374)</f>
        <v>112453</v>
      </c>
      <c r="I369" s="23">
        <f t="shared" ref="I369" si="731">SUM(I370:I374)</f>
        <v>103263</v>
      </c>
      <c r="J369" s="23">
        <f t="shared" ref="J369" si="732">SUM(J370:J374)</f>
        <v>132755</v>
      </c>
      <c r="K369" s="23">
        <f t="shared" ref="K369" si="733">SUM(K370:K374)</f>
        <v>112234</v>
      </c>
      <c r="L369" s="23">
        <f>SUM(L370:L374)</f>
        <v>134680.79999999999</v>
      </c>
      <c r="M369" s="23">
        <f>M357*M363</f>
        <v>190438.65120000002</v>
      </c>
      <c r="N369" s="23">
        <f t="shared" ref="N369:R369" si="734">N357*N363</f>
        <v>250045.94902560004</v>
      </c>
      <c r="O369" s="23">
        <f t="shared" si="734"/>
        <v>328310.33107061288</v>
      </c>
      <c r="P369" s="23">
        <f t="shared" si="734"/>
        <v>431071.46469571471</v>
      </c>
      <c r="Q369" s="23">
        <f t="shared" si="734"/>
        <v>565996.83314547339</v>
      </c>
      <c r="R369" s="23">
        <f t="shared" si="734"/>
        <v>743153.84192000667</v>
      </c>
    </row>
    <row r="370" spans="1:41" outlineLevel="3">
      <c r="D370" s="27" t="s">
        <v>25</v>
      </c>
      <c r="E370" s="28"/>
      <c r="F370" s="28"/>
      <c r="G370" s="28"/>
      <c r="H370" s="398">
        <v>58</v>
      </c>
      <c r="I370" s="398">
        <v>182</v>
      </c>
      <c r="J370" s="398">
        <v>2243</v>
      </c>
      <c r="K370" s="399">
        <v>4370</v>
      </c>
      <c r="L370" s="83">
        <f>L364*L358</f>
        <v>5243.9999999999991</v>
      </c>
      <c r="M370" s="436"/>
      <c r="N370" s="436"/>
      <c r="O370" s="436"/>
      <c r="P370" s="436"/>
      <c r="Q370" s="436"/>
      <c r="R370" s="437"/>
    </row>
    <row r="371" spans="1:41" outlineLevel="3">
      <c r="D371" s="31" t="s">
        <v>26</v>
      </c>
      <c r="H371" s="400">
        <v>11048</v>
      </c>
      <c r="I371" s="400">
        <v>29660</v>
      </c>
      <c r="J371" s="400">
        <v>31832</v>
      </c>
      <c r="K371" s="401">
        <v>26581</v>
      </c>
      <c r="L371" s="84">
        <f>L359*L365</f>
        <v>31897.200000000001</v>
      </c>
      <c r="M371" s="438"/>
      <c r="N371" s="438"/>
      <c r="O371" s="438"/>
      <c r="P371" s="438"/>
      <c r="Q371" s="438"/>
      <c r="R371" s="439"/>
    </row>
    <row r="372" spans="1:41" outlineLevel="3">
      <c r="D372" s="31" t="s">
        <v>27</v>
      </c>
      <c r="H372" s="400">
        <v>6239</v>
      </c>
      <c r="I372" s="400">
        <v>5524</v>
      </c>
      <c r="J372" s="400">
        <v>48274</v>
      </c>
      <c r="K372" s="401">
        <v>41763</v>
      </c>
      <c r="L372" s="84">
        <f t="shared" ref="L372:L373" si="735">L360*L366</f>
        <v>50115.6</v>
      </c>
      <c r="M372" s="438"/>
      <c r="N372" s="438"/>
      <c r="O372" s="438"/>
      <c r="P372" s="438"/>
      <c r="Q372" s="438"/>
      <c r="R372" s="439"/>
    </row>
    <row r="373" spans="1:41" outlineLevel="3">
      <c r="D373" s="31" t="s">
        <v>28</v>
      </c>
      <c r="H373" s="400">
        <v>69257</v>
      </c>
      <c r="I373" s="400">
        <v>46332</v>
      </c>
      <c r="J373" s="400">
        <v>46988</v>
      </c>
      <c r="K373" s="401">
        <v>26819</v>
      </c>
      <c r="L373" s="84">
        <f t="shared" si="735"/>
        <v>32182.800000000003</v>
      </c>
      <c r="M373" s="438"/>
      <c r="N373" s="438"/>
      <c r="O373" s="438"/>
      <c r="P373" s="438"/>
      <c r="Q373" s="438"/>
      <c r="R373" s="439"/>
    </row>
    <row r="374" spans="1:41" outlineLevel="3">
      <c r="D374" s="33" t="s">
        <v>29</v>
      </c>
      <c r="E374" s="34"/>
      <c r="F374" s="34"/>
      <c r="G374" s="34"/>
      <c r="H374" s="402">
        <v>25851</v>
      </c>
      <c r="I374" s="402">
        <v>21565</v>
      </c>
      <c r="J374" s="402">
        <v>3418</v>
      </c>
      <c r="K374" s="403">
        <v>12701</v>
      </c>
      <c r="L374" s="85">
        <f>L362*L368</f>
        <v>15241.2</v>
      </c>
      <c r="M374" s="440"/>
      <c r="N374" s="440"/>
      <c r="O374" s="440"/>
      <c r="P374" s="440"/>
      <c r="Q374" s="440"/>
      <c r="R374" s="441"/>
    </row>
    <row r="375" spans="1:41" outlineLevel="3">
      <c r="H375" s="43"/>
      <c r="I375" s="43"/>
      <c r="J375" s="43"/>
      <c r="K375" s="43"/>
    </row>
    <row r="376" spans="1:41" ht="15" outlineLevel="3" thickBot="1">
      <c r="C376" s="37" t="s">
        <v>34</v>
      </c>
      <c r="D376" s="37"/>
      <c r="E376" s="37"/>
      <c r="F376" s="37"/>
      <c r="G376" s="37"/>
      <c r="H376" s="404">
        <v>-78330</v>
      </c>
      <c r="I376" s="404">
        <v>-74933</v>
      </c>
      <c r="J376" s="404">
        <v>-91313</v>
      </c>
      <c r="K376" s="404">
        <v>-77455</v>
      </c>
      <c r="L376" s="39">
        <f>L377-L369</f>
        <v>-92945.999999999985</v>
      </c>
      <c r="M376" s="39">
        <f t="shared" ref="M376:R376" si="736">M377-M369</f>
        <v>-131402.66932800002</v>
      </c>
      <c r="N376" s="39">
        <f t="shared" si="736"/>
        <v>-172531.70482766401</v>
      </c>
      <c r="O376" s="39">
        <f t="shared" si="736"/>
        <v>-226534.1284387229</v>
      </c>
      <c r="P376" s="39">
        <f t="shared" si="736"/>
        <v>-297439.31064004311</v>
      </c>
      <c r="Q376" s="39">
        <f t="shared" si="736"/>
        <v>-390537.81487037661</v>
      </c>
      <c r="R376" s="39">
        <f t="shared" si="736"/>
        <v>-512776.15092480462</v>
      </c>
    </row>
    <row r="377" spans="1:41" outlineLevel="3">
      <c r="C377" s="18" t="s">
        <v>36</v>
      </c>
      <c r="D377" s="18"/>
      <c r="E377" s="18"/>
      <c r="F377" s="18"/>
      <c r="G377" s="18"/>
      <c r="H377" s="23">
        <f>H376+H369</f>
        <v>34123</v>
      </c>
      <c r="I377" s="23">
        <f>I376+I369</f>
        <v>28330</v>
      </c>
      <c r="J377" s="23">
        <f>J376+J369</f>
        <v>41442</v>
      </c>
      <c r="K377" s="23">
        <f>K376+K369</f>
        <v>34779</v>
      </c>
      <c r="L377" s="23">
        <f>L378*L369</f>
        <v>41734.800000000003</v>
      </c>
      <c r="M377" s="23">
        <f t="shared" ref="M377:R377" si="737">M378*M369</f>
        <v>59035.981872000004</v>
      </c>
      <c r="N377" s="23">
        <f t="shared" si="737"/>
        <v>77514.244197936016</v>
      </c>
      <c r="O377" s="23">
        <f t="shared" si="737"/>
        <v>101776.20263188999</v>
      </c>
      <c r="P377" s="23">
        <f t="shared" si="737"/>
        <v>133632.15405567156</v>
      </c>
      <c r="Q377" s="23">
        <f t="shared" si="737"/>
        <v>175459.01827509675</v>
      </c>
      <c r="R377" s="23">
        <f t="shared" si="737"/>
        <v>230377.69099520208</v>
      </c>
    </row>
    <row r="378" spans="1:41" outlineLevel="3">
      <c r="C378" s="22" t="s">
        <v>19</v>
      </c>
      <c r="D378" s="22"/>
      <c r="E378" s="22"/>
      <c r="F378" s="22"/>
      <c r="G378" s="22"/>
      <c r="H378" s="56">
        <f>IFERROR(H377/H369,"NA")</f>
        <v>0.30344232701662027</v>
      </c>
      <c r="I378" s="56">
        <f t="shared" ref="I378" si="738">IFERROR(I377/I369,"NA")</f>
        <v>0.27434802397761054</v>
      </c>
      <c r="J378" s="56">
        <f t="shared" ref="J378" si="739">IFERROR(J377/J369,"NA")</f>
        <v>0.31216903318142442</v>
      </c>
      <c r="K378" s="56">
        <f t="shared" ref="K378" si="740">IFERROR(K377/K369,"NA")</f>
        <v>0.3098793591959656</v>
      </c>
      <c r="L378" s="79">
        <f>K378</f>
        <v>0.3098793591959656</v>
      </c>
      <c r="M378" s="65">
        <f t="shared" ref="M378:R378" si="741">CHOOSE(case,T378,AB378,AJ378)</f>
        <v>0.31</v>
      </c>
      <c r="N378" s="65">
        <f t="shared" si="741"/>
        <v>0.31</v>
      </c>
      <c r="O378" s="65">
        <f t="shared" si="741"/>
        <v>0.31</v>
      </c>
      <c r="P378" s="65">
        <f t="shared" si="741"/>
        <v>0.31</v>
      </c>
      <c r="Q378" s="65">
        <f t="shared" si="741"/>
        <v>0.31</v>
      </c>
      <c r="R378" s="65">
        <f t="shared" si="741"/>
        <v>0.31</v>
      </c>
      <c r="T378" s="471">
        <f>AB378+1%</f>
        <v>0.32</v>
      </c>
      <c r="U378" s="79">
        <f t="shared" ref="U378" si="742">T378</f>
        <v>0.32</v>
      </c>
      <c r="V378" s="79">
        <f t="shared" ref="V378" si="743">U378</f>
        <v>0.32</v>
      </c>
      <c r="W378" s="79">
        <f t="shared" ref="W378" si="744">V378</f>
        <v>0.32</v>
      </c>
      <c r="X378" s="79">
        <f t="shared" ref="X378" si="745">W378</f>
        <v>0.32</v>
      </c>
      <c r="Y378" s="79">
        <f t="shared" ref="Y378" si="746">X378</f>
        <v>0.32</v>
      </c>
      <c r="AB378" s="471">
        <v>0.31</v>
      </c>
      <c r="AC378" s="79">
        <f t="shared" ref="AC378" si="747">AB378</f>
        <v>0.31</v>
      </c>
      <c r="AD378" s="79">
        <f t="shared" ref="AD378" si="748">AC378</f>
        <v>0.31</v>
      </c>
      <c r="AE378" s="79">
        <f t="shared" ref="AE378" si="749">AD378</f>
        <v>0.31</v>
      </c>
      <c r="AF378" s="79">
        <f t="shared" ref="AF378" si="750">AE378</f>
        <v>0.31</v>
      </c>
      <c r="AG378" s="79">
        <f t="shared" ref="AG378" si="751">AF378</f>
        <v>0.31</v>
      </c>
      <c r="AJ378" s="471">
        <f>AB378-1%</f>
        <v>0.3</v>
      </c>
      <c r="AK378" s="79">
        <f t="shared" ref="AK378" si="752">AJ378</f>
        <v>0.3</v>
      </c>
      <c r="AL378" s="79">
        <f t="shared" ref="AL378" si="753">AK378</f>
        <v>0.3</v>
      </c>
      <c r="AM378" s="79">
        <f t="shared" ref="AM378" si="754">AL378</f>
        <v>0.3</v>
      </c>
      <c r="AN378" s="79">
        <f t="shared" ref="AN378" si="755">AM378</f>
        <v>0.3</v>
      </c>
      <c r="AO378" s="79">
        <f t="shared" ref="AO378" si="756">AN378</f>
        <v>0.3</v>
      </c>
    </row>
    <row r="379" spans="1:41" outlineLevel="2"/>
    <row r="380" spans="1:41" s="16" customFormat="1" outlineLevel="2">
      <c r="A380" s="15" t="s">
        <v>8</v>
      </c>
      <c r="B380" s="15" t="s">
        <v>52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 spans="1:41" outlineLevel="2"/>
    <row r="382" spans="1:41" s="26" customFormat="1" outlineLevel="2">
      <c r="A382" s="26" t="s">
        <v>8</v>
      </c>
      <c r="C382" s="26" t="s">
        <v>53</v>
      </c>
    </row>
    <row r="383" spans="1:41" outlineLevel="2">
      <c r="L383" s="20"/>
      <c r="M383" s="20"/>
      <c r="R383" s="20"/>
      <c r="S383" s="526"/>
    </row>
    <row r="384" spans="1:41" s="18" customFormat="1" outlineLevel="2">
      <c r="C384" s="18" t="s">
        <v>24</v>
      </c>
      <c r="H384" s="23">
        <f>SUM(H385:H389)</f>
        <v>5700567</v>
      </c>
      <c r="I384" s="23">
        <f t="shared" ref="I384" si="757">SUM(I385:I389)</f>
        <v>3307933</v>
      </c>
      <c r="J384" s="23">
        <f t="shared" ref="J384" si="758">SUM(J385:J389)</f>
        <v>3588084</v>
      </c>
      <c r="K384" s="23">
        <f t="shared" ref="K384" si="759">SUM(K385:K389)</f>
        <v>4503813</v>
      </c>
      <c r="L384" s="23">
        <f>L409+L434+L459+L484+L509</f>
        <v>5404575.5999999996</v>
      </c>
      <c r="M384" s="23">
        <f>M409+M434+M459+M484+M509</f>
        <v>5931556.5360000003</v>
      </c>
      <c r="N384" s="23">
        <f t="shared" ref="N384:R384" si="760">N409+N434+N459+N484+N509</f>
        <v>6510157.4356800001</v>
      </c>
      <c r="O384" s="23">
        <f t="shared" si="760"/>
        <v>7145454.045014401</v>
      </c>
      <c r="P384" s="23">
        <f t="shared" si="760"/>
        <v>7843022.7845435534</v>
      </c>
      <c r="Q384" s="23">
        <f t="shared" si="760"/>
        <v>8608990.2648278382</v>
      </c>
      <c r="R384" s="23">
        <f t="shared" si="760"/>
        <v>9450087.7092869468</v>
      </c>
      <c r="S384" s="463"/>
    </row>
    <row r="385" spans="2:18" outlineLevel="2">
      <c r="D385" s="27" t="s">
        <v>25</v>
      </c>
      <c r="E385" s="28"/>
      <c r="F385" s="28"/>
      <c r="G385" s="28"/>
      <c r="H385" s="29">
        <f>H410+H435+H460+H485+H510</f>
        <v>248286</v>
      </c>
      <c r="I385" s="29">
        <f t="shared" ref="I385:K385" si="761">I410+I435+I460+I485+I510</f>
        <v>266933</v>
      </c>
      <c r="J385" s="29">
        <f t="shared" si="761"/>
        <v>211617</v>
      </c>
      <c r="K385" s="29">
        <f t="shared" si="761"/>
        <v>556225</v>
      </c>
      <c r="L385" s="29">
        <f>L410+L435+L460+L485+L510</f>
        <v>667470</v>
      </c>
      <c r="M385" s="455">
        <f t="shared" ref="M385:R385" si="762">M410+M435+M460+M485+M510</f>
        <v>0</v>
      </c>
      <c r="N385" s="455">
        <f t="shared" si="762"/>
        <v>0</v>
      </c>
      <c r="O385" s="455">
        <f t="shared" si="762"/>
        <v>0</v>
      </c>
      <c r="P385" s="455">
        <f t="shared" si="762"/>
        <v>0</v>
      </c>
      <c r="Q385" s="455">
        <f t="shared" si="762"/>
        <v>0</v>
      </c>
      <c r="R385" s="465">
        <f t="shared" si="762"/>
        <v>0</v>
      </c>
    </row>
    <row r="386" spans="2:18" outlineLevel="2">
      <c r="D386" s="31" t="s">
        <v>26</v>
      </c>
      <c r="H386" s="20">
        <f t="shared" ref="H386:L386" si="763">H411+H436+H461+H486+H511</f>
        <v>15268</v>
      </c>
      <c r="I386" s="20">
        <f t="shared" si="763"/>
        <v>34828</v>
      </c>
      <c r="J386" s="20">
        <f t="shared" si="763"/>
        <v>51236</v>
      </c>
      <c r="K386" s="20">
        <f t="shared" si="763"/>
        <v>60201</v>
      </c>
      <c r="L386" s="20">
        <f t="shared" si="763"/>
        <v>72241.2</v>
      </c>
      <c r="M386" s="456">
        <f t="shared" ref="M386:R386" si="764">M411+M436+M461+M486+M511</f>
        <v>0</v>
      </c>
      <c r="N386" s="456">
        <f>N411+N436+N461+N486+N511</f>
        <v>0</v>
      </c>
      <c r="O386" s="456">
        <f t="shared" si="764"/>
        <v>0</v>
      </c>
      <c r="P386" s="456">
        <f t="shared" si="764"/>
        <v>0</v>
      </c>
      <c r="Q386" s="456">
        <f t="shared" si="764"/>
        <v>0</v>
      </c>
      <c r="R386" s="466">
        <f t="shared" si="764"/>
        <v>0</v>
      </c>
    </row>
    <row r="387" spans="2:18" outlineLevel="2">
      <c r="D387" s="31" t="s">
        <v>27</v>
      </c>
      <c r="H387" s="20">
        <f t="shared" ref="H387:L387" si="765">H412+H437+H462+H487+H512</f>
        <v>1177743</v>
      </c>
      <c r="I387" s="20">
        <f t="shared" si="765"/>
        <v>206791</v>
      </c>
      <c r="J387" s="20">
        <f t="shared" si="765"/>
        <v>1063401</v>
      </c>
      <c r="K387" s="20">
        <f t="shared" si="765"/>
        <v>1145919</v>
      </c>
      <c r="L387" s="20">
        <f t="shared" si="765"/>
        <v>1375102.7999999998</v>
      </c>
      <c r="M387" s="456">
        <f t="shared" ref="M387:R387" si="766">M412+M437+M462+M487+M512</f>
        <v>0</v>
      </c>
      <c r="N387" s="456">
        <f t="shared" si="766"/>
        <v>0</v>
      </c>
      <c r="O387" s="456">
        <f t="shared" si="766"/>
        <v>0</v>
      </c>
      <c r="P387" s="456">
        <f t="shared" si="766"/>
        <v>0</v>
      </c>
      <c r="Q387" s="456">
        <f t="shared" si="766"/>
        <v>0</v>
      </c>
      <c r="R387" s="466">
        <f t="shared" si="766"/>
        <v>0</v>
      </c>
    </row>
    <row r="388" spans="2:18" outlineLevel="2">
      <c r="D388" s="31" t="s">
        <v>28</v>
      </c>
      <c r="H388" s="20">
        <f t="shared" ref="H388:L388" si="767">H413+H438+H463+H488+H513</f>
        <v>3256980</v>
      </c>
      <c r="I388" s="20">
        <f t="shared" si="767"/>
        <v>2784763</v>
      </c>
      <c r="J388" s="20">
        <f t="shared" si="767"/>
        <v>2192464</v>
      </c>
      <c r="K388" s="20">
        <f t="shared" si="767"/>
        <v>2730078</v>
      </c>
      <c r="L388" s="20">
        <f t="shared" si="767"/>
        <v>3276093.5999999996</v>
      </c>
      <c r="M388" s="456">
        <f t="shared" ref="M388:R388" si="768">M413+M438+M463+M488+M513</f>
        <v>0</v>
      </c>
      <c r="N388" s="456">
        <f t="shared" si="768"/>
        <v>0</v>
      </c>
      <c r="O388" s="456">
        <f t="shared" si="768"/>
        <v>0</v>
      </c>
      <c r="P388" s="456">
        <f t="shared" si="768"/>
        <v>0</v>
      </c>
      <c r="Q388" s="456">
        <f t="shared" si="768"/>
        <v>0</v>
      </c>
      <c r="R388" s="466">
        <f t="shared" si="768"/>
        <v>0</v>
      </c>
    </row>
    <row r="389" spans="2:18" outlineLevel="2">
      <c r="D389" s="33" t="s">
        <v>29</v>
      </c>
      <c r="E389" s="34"/>
      <c r="F389" s="34"/>
      <c r="G389" s="34"/>
      <c r="H389" s="35">
        <f t="shared" ref="H389:L389" si="769">H414+H439+H464+H489+H514</f>
        <v>1002290</v>
      </c>
      <c r="I389" s="35">
        <f t="shared" si="769"/>
        <v>14618</v>
      </c>
      <c r="J389" s="35">
        <f t="shared" si="769"/>
        <v>69366</v>
      </c>
      <c r="K389" s="35">
        <f t="shared" si="769"/>
        <v>11390</v>
      </c>
      <c r="L389" s="35">
        <f t="shared" si="769"/>
        <v>13668</v>
      </c>
      <c r="M389" s="457">
        <f t="shared" ref="M389:R389" si="770">M414+M439+M464+M489+M514</f>
        <v>0</v>
      </c>
      <c r="N389" s="457">
        <f t="shared" si="770"/>
        <v>0</v>
      </c>
      <c r="O389" s="457">
        <f t="shared" si="770"/>
        <v>0</v>
      </c>
      <c r="P389" s="457">
        <f t="shared" si="770"/>
        <v>0</v>
      </c>
      <c r="Q389" s="457">
        <f t="shared" si="770"/>
        <v>0</v>
      </c>
      <c r="R389" s="467">
        <f t="shared" si="770"/>
        <v>0</v>
      </c>
    </row>
    <row r="390" spans="2:18" outlineLevel="2">
      <c r="C390" s="1" t="s">
        <v>31</v>
      </c>
      <c r="H390" s="40">
        <f>H396/H384</f>
        <v>5.5908122823571764E-2</v>
      </c>
      <c r="I390" s="40">
        <f t="shared" ref="I390:K390" si="771">I396/I384</f>
        <v>0.10203834237271432</v>
      </c>
      <c r="J390" s="40">
        <f t="shared" si="771"/>
        <v>9.7903783746422876E-2</v>
      </c>
      <c r="K390" s="40">
        <f t="shared" si="771"/>
        <v>8.7400609217123351E-2</v>
      </c>
      <c r="L390" s="40">
        <f t="shared" ref="L390:R390" si="772">L396/L384</f>
        <v>8.7400609217123351E-2</v>
      </c>
      <c r="M390" s="40">
        <f t="shared" si="772"/>
        <v>8.8364233654166083E-2</v>
      </c>
      <c r="N390" s="40">
        <f t="shared" si="772"/>
        <v>8.9337145847520463E-2</v>
      </c>
      <c r="O390" s="40">
        <f t="shared" si="772"/>
        <v>9.0319433629306611E-2</v>
      </c>
      <c r="P390" s="40">
        <f t="shared" si="772"/>
        <v>9.1311185868846442E-2</v>
      </c>
      <c r="Q390" s="40">
        <f t="shared" si="772"/>
        <v>9.2312492481604697E-2</v>
      </c>
      <c r="R390" s="40">
        <f t="shared" si="772"/>
        <v>9.3323444438157613E-2</v>
      </c>
    </row>
    <row r="391" spans="2:18" outlineLevel="2">
      <c r="D391" s="27" t="s">
        <v>25</v>
      </c>
      <c r="E391" s="28"/>
      <c r="F391" s="28"/>
      <c r="G391" s="28"/>
      <c r="H391" s="50">
        <f>IFERROR(H397/H385,"NA")</f>
        <v>0.10817363846531822</v>
      </c>
      <c r="I391" s="50">
        <f t="shared" ref="I391:K391" si="773">IFERROR(I397/I385,"NA")</f>
        <v>0.1374914304338542</v>
      </c>
      <c r="J391" s="50">
        <f t="shared" si="773"/>
        <v>0.14905702282897876</v>
      </c>
      <c r="K391" s="50">
        <f t="shared" si="773"/>
        <v>8.6918063733201489E-2</v>
      </c>
      <c r="L391" s="50">
        <f t="shared" ref="L391:R391" si="774">IFERROR(L397/L385,"NA")</f>
        <v>8.6918063733201489E-2</v>
      </c>
      <c r="M391" s="50" t="str">
        <f t="shared" si="774"/>
        <v>NA</v>
      </c>
      <c r="N391" s="50" t="str">
        <f t="shared" si="774"/>
        <v>NA</v>
      </c>
      <c r="O391" s="50" t="str">
        <f t="shared" si="774"/>
        <v>NA</v>
      </c>
      <c r="P391" s="50" t="str">
        <f t="shared" si="774"/>
        <v>NA</v>
      </c>
      <c r="Q391" s="50" t="str">
        <f t="shared" si="774"/>
        <v>NA</v>
      </c>
      <c r="R391" s="51" t="str">
        <f t="shared" si="774"/>
        <v>NA</v>
      </c>
    </row>
    <row r="392" spans="2:18" outlineLevel="2">
      <c r="D392" s="31" t="s">
        <v>26</v>
      </c>
      <c r="H392" s="52">
        <f t="shared" ref="H392:K392" si="775">IFERROR(H398/H386,"NA")</f>
        <v>0.12693214566413413</v>
      </c>
      <c r="I392" s="52">
        <f t="shared" si="775"/>
        <v>0.17764442402664524</v>
      </c>
      <c r="J392" s="52">
        <f t="shared" si="775"/>
        <v>0.21051604340697946</v>
      </c>
      <c r="K392" s="52">
        <f t="shared" si="775"/>
        <v>0.13632663909237389</v>
      </c>
      <c r="L392" s="52">
        <f t="shared" ref="L392:R392" si="776">IFERROR(L398/L386,"NA")</f>
        <v>0.13632663909237389</v>
      </c>
      <c r="M392" s="52" t="str">
        <f t="shared" si="776"/>
        <v>NA</v>
      </c>
      <c r="N392" s="52" t="str">
        <f t="shared" si="776"/>
        <v>NA</v>
      </c>
      <c r="O392" s="52" t="str">
        <f t="shared" si="776"/>
        <v>NA</v>
      </c>
      <c r="P392" s="52" t="str">
        <f t="shared" si="776"/>
        <v>NA</v>
      </c>
      <c r="Q392" s="52" t="str">
        <f t="shared" si="776"/>
        <v>NA</v>
      </c>
      <c r="R392" s="53" t="str">
        <f t="shared" si="776"/>
        <v>NA</v>
      </c>
    </row>
    <row r="393" spans="2:18" outlineLevel="2">
      <c r="D393" s="31" t="s">
        <v>27</v>
      </c>
      <c r="H393" s="52">
        <f t="shared" ref="H393:K393" si="777">IFERROR(H399/H387,"NA")</f>
        <v>8.3754265574068371E-2</v>
      </c>
      <c r="I393" s="52">
        <f t="shared" si="777"/>
        <v>0.53394006508987335</v>
      </c>
      <c r="J393" s="52">
        <f t="shared" si="777"/>
        <v>0.13252197430696416</v>
      </c>
      <c r="K393" s="52">
        <f t="shared" si="777"/>
        <v>0.13455750362809238</v>
      </c>
      <c r="L393" s="52">
        <f t="shared" ref="L393:R393" si="778">IFERROR(L399/L387,"NA")</f>
        <v>0.13455750362809241</v>
      </c>
      <c r="M393" s="52" t="str">
        <f t="shared" si="778"/>
        <v>NA</v>
      </c>
      <c r="N393" s="52" t="str">
        <f t="shared" si="778"/>
        <v>NA</v>
      </c>
      <c r="O393" s="52" t="str">
        <f t="shared" si="778"/>
        <v>NA</v>
      </c>
      <c r="P393" s="52" t="str">
        <f t="shared" si="778"/>
        <v>NA</v>
      </c>
      <c r="Q393" s="52" t="str">
        <f t="shared" si="778"/>
        <v>NA</v>
      </c>
      <c r="R393" s="53" t="str">
        <f t="shared" si="778"/>
        <v>NA</v>
      </c>
    </row>
    <row r="394" spans="2:18" outlineLevel="2">
      <c r="D394" s="31" t="s">
        <v>28</v>
      </c>
      <c r="H394" s="52">
        <f t="shared" ref="H394:K394" si="779">IFERROR(H400/H388,"NA")</f>
        <v>5.8377085520942715E-2</v>
      </c>
      <c r="I394" s="52">
        <f t="shared" si="779"/>
        <v>6.5083815032015296E-2</v>
      </c>
      <c r="J394" s="52">
        <f t="shared" si="779"/>
        <v>7.3907256858037354E-2</v>
      </c>
      <c r="K394" s="52">
        <f t="shared" si="779"/>
        <v>6.5809841330540741E-2</v>
      </c>
      <c r="L394" s="52">
        <f t="shared" ref="L394:R394" si="780">IFERROR(L400/L388,"NA")</f>
        <v>6.5809841330540755E-2</v>
      </c>
      <c r="M394" s="52" t="str">
        <f t="shared" si="780"/>
        <v>NA</v>
      </c>
      <c r="N394" s="52" t="str">
        <f t="shared" si="780"/>
        <v>NA</v>
      </c>
      <c r="O394" s="52" t="str">
        <f t="shared" si="780"/>
        <v>NA</v>
      </c>
      <c r="P394" s="52" t="str">
        <f t="shared" si="780"/>
        <v>NA</v>
      </c>
      <c r="Q394" s="52" t="str">
        <f t="shared" si="780"/>
        <v>NA</v>
      </c>
      <c r="R394" s="53" t="str">
        <f t="shared" si="780"/>
        <v>NA</v>
      </c>
    </row>
    <row r="395" spans="2:18" ht="15" outlineLevel="2" thickBot="1">
      <c r="B395" s="37"/>
      <c r="C395" s="37"/>
      <c r="D395" s="38" t="s">
        <v>29</v>
      </c>
      <c r="E395" s="37"/>
      <c r="F395" s="37"/>
      <c r="G395" s="37"/>
      <c r="H395" s="54">
        <f t="shared" ref="H395:K395" si="781">IFERROR(H401/H389,"NA")</f>
        <v>1.1353999341507947E-3</v>
      </c>
      <c r="I395" s="54">
        <f t="shared" si="781"/>
        <v>0.20461075386509783</v>
      </c>
      <c r="J395" s="54">
        <f t="shared" si="781"/>
        <v>8.64256263875674E-2</v>
      </c>
      <c r="K395" s="54">
        <f t="shared" si="781"/>
        <v>0.28314310798946446</v>
      </c>
      <c r="L395" s="54">
        <f t="shared" ref="L395:R395" si="782">IFERROR(L401/L389,"NA")</f>
        <v>0.28314310798946446</v>
      </c>
      <c r="M395" s="54" t="str">
        <f t="shared" si="782"/>
        <v>NA</v>
      </c>
      <c r="N395" s="54" t="str">
        <f t="shared" si="782"/>
        <v>NA</v>
      </c>
      <c r="O395" s="54" t="str">
        <f t="shared" si="782"/>
        <v>NA</v>
      </c>
      <c r="P395" s="54" t="str">
        <f t="shared" si="782"/>
        <v>NA</v>
      </c>
      <c r="Q395" s="54" t="str">
        <f t="shared" si="782"/>
        <v>NA</v>
      </c>
      <c r="R395" s="55" t="str">
        <f t="shared" si="782"/>
        <v>NA</v>
      </c>
    </row>
    <row r="396" spans="2:18" outlineLevel="2">
      <c r="C396" s="18" t="s">
        <v>33</v>
      </c>
      <c r="H396" s="23">
        <f>SUM(H397:H401)</f>
        <v>318708</v>
      </c>
      <c r="I396" s="23">
        <f t="shared" ref="I396" si="783">SUM(I397:I401)</f>
        <v>337536</v>
      </c>
      <c r="J396" s="23">
        <f t="shared" ref="J396" si="784">SUM(J397:J401)</f>
        <v>351287</v>
      </c>
      <c r="K396" s="23">
        <f t="shared" ref="K396" si="785">SUM(K397:K401)</f>
        <v>393636</v>
      </c>
      <c r="L396" s="23">
        <f>L421+L446+L471+L496+L521</f>
        <v>472363.19999999995</v>
      </c>
      <c r="M396" s="23">
        <f>M421+M446+M471+M496+M521</f>
        <v>524137.44767999998</v>
      </c>
      <c r="N396" s="23">
        <f t="shared" ref="N396:R396" si="786">N421+N446+N471+N496+N521</f>
        <v>581598.88432166399</v>
      </c>
      <c r="O396" s="23">
        <f t="shared" si="786"/>
        <v>645373.36236993864</v>
      </c>
      <c r="P396" s="23">
        <f t="shared" si="786"/>
        <v>716155.71125305397</v>
      </c>
      <c r="Q396" s="23">
        <f t="shared" si="786"/>
        <v>794717.34909612779</v>
      </c>
      <c r="R396" s="23">
        <f t="shared" si="786"/>
        <v>881914.73527335655</v>
      </c>
    </row>
    <row r="397" spans="2:18" outlineLevel="2">
      <c r="D397" s="27" t="s">
        <v>25</v>
      </c>
      <c r="E397" s="28"/>
      <c r="F397" s="28"/>
      <c r="G397" s="28"/>
      <c r="H397" s="29">
        <f>H422+H447+H472+H497+H522</f>
        <v>26858</v>
      </c>
      <c r="I397" s="29">
        <f t="shared" ref="I397:K397" si="787">I422+I447+I472+I497+I522</f>
        <v>36701</v>
      </c>
      <c r="J397" s="29">
        <f t="shared" si="787"/>
        <v>31543</v>
      </c>
      <c r="K397" s="29">
        <f t="shared" si="787"/>
        <v>48346</v>
      </c>
      <c r="L397" s="29">
        <f>L422+L447+L472+L497+L522</f>
        <v>58015.199999999997</v>
      </c>
      <c r="M397" s="455">
        <f t="shared" ref="M397:R397" si="788">M422+M447+M472+M497+M522</f>
        <v>0</v>
      </c>
      <c r="N397" s="455">
        <f t="shared" si="788"/>
        <v>0</v>
      </c>
      <c r="O397" s="455">
        <f t="shared" si="788"/>
        <v>0</v>
      </c>
      <c r="P397" s="455">
        <f t="shared" si="788"/>
        <v>0</v>
      </c>
      <c r="Q397" s="455">
        <f t="shared" si="788"/>
        <v>0</v>
      </c>
      <c r="R397" s="465">
        <f t="shared" si="788"/>
        <v>0</v>
      </c>
    </row>
    <row r="398" spans="2:18" outlineLevel="2">
      <c r="D398" s="31" t="s">
        <v>26</v>
      </c>
      <c r="H398" s="20">
        <f t="shared" ref="H398:L398" si="789">H423+H448+H473+H498+H523</f>
        <v>1938</v>
      </c>
      <c r="I398" s="20">
        <f t="shared" si="789"/>
        <v>6187</v>
      </c>
      <c r="J398" s="20">
        <f t="shared" si="789"/>
        <v>10786</v>
      </c>
      <c r="K398" s="20">
        <f t="shared" si="789"/>
        <v>8207</v>
      </c>
      <c r="L398" s="20">
        <f t="shared" si="789"/>
        <v>9848.4</v>
      </c>
      <c r="M398" s="456">
        <f t="shared" ref="M398:R398" si="790">M423+M448+M473+M498+M523</f>
        <v>0</v>
      </c>
      <c r="N398" s="456">
        <f t="shared" si="790"/>
        <v>0</v>
      </c>
      <c r="O398" s="456">
        <f t="shared" si="790"/>
        <v>0</v>
      </c>
      <c r="P398" s="456">
        <f t="shared" si="790"/>
        <v>0</v>
      </c>
      <c r="Q398" s="456">
        <f t="shared" si="790"/>
        <v>0</v>
      </c>
      <c r="R398" s="466">
        <f t="shared" si="790"/>
        <v>0</v>
      </c>
    </row>
    <row r="399" spans="2:18" outlineLevel="2">
      <c r="D399" s="31" t="s">
        <v>27</v>
      </c>
      <c r="H399" s="20">
        <f t="shared" ref="H399:L399" si="791">H424+H449+H474+H499+H524</f>
        <v>98641</v>
      </c>
      <c r="I399" s="20">
        <f t="shared" si="791"/>
        <v>110414</v>
      </c>
      <c r="J399" s="20">
        <f t="shared" si="791"/>
        <v>140924</v>
      </c>
      <c r="K399" s="20">
        <f t="shared" si="791"/>
        <v>154192</v>
      </c>
      <c r="L399" s="20">
        <f t="shared" si="791"/>
        <v>185030.39999999999</v>
      </c>
      <c r="M399" s="456">
        <f t="shared" ref="M399:R399" si="792">M424+M449+M474+M499+M524</f>
        <v>0</v>
      </c>
      <c r="N399" s="456">
        <f t="shared" si="792"/>
        <v>0</v>
      </c>
      <c r="O399" s="456">
        <f t="shared" si="792"/>
        <v>0</v>
      </c>
      <c r="P399" s="456">
        <f t="shared" si="792"/>
        <v>0</v>
      </c>
      <c r="Q399" s="456">
        <f t="shared" si="792"/>
        <v>0</v>
      </c>
      <c r="R399" s="466">
        <f t="shared" si="792"/>
        <v>0</v>
      </c>
    </row>
    <row r="400" spans="2:18" outlineLevel="2">
      <c r="D400" s="31" t="s">
        <v>28</v>
      </c>
      <c r="H400" s="20">
        <f t="shared" ref="H400:L400" si="793">H425+H450+H475+H500+H525</f>
        <v>190133</v>
      </c>
      <c r="I400" s="20">
        <f t="shared" si="793"/>
        <v>181243</v>
      </c>
      <c r="J400" s="20">
        <f t="shared" si="793"/>
        <v>162039</v>
      </c>
      <c r="K400" s="20">
        <f t="shared" si="793"/>
        <v>179666</v>
      </c>
      <c r="L400" s="20">
        <f t="shared" si="793"/>
        <v>215599.2</v>
      </c>
      <c r="M400" s="456">
        <f t="shared" ref="M400:R400" si="794">M425+M450+M475+M500+M525</f>
        <v>0</v>
      </c>
      <c r="N400" s="456">
        <f t="shared" si="794"/>
        <v>0</v>
      </c>
      <c r="O400" s="456">
        <f t="shared" si="794"/>
        <v>0</v>
      </c>
      <c r="P400" s="456">
        <f t="shared" si="794"/>
        <v>0</v>
      </c>
      <c r="Q400" s="456">
        <f t="shared" si="794"/>
        <v>0</v>
      </c>
      <c r="R400" s="466">
        <f t="shared" si="794"/>
        <v>0</v>
      </c>
    </row>
    <row r="401" spans="1:42" outlineLevel="2">
      <c r="D401" s="33" t="s">
        <v>29</v>
      </c>
      <c r="E401" s="34"/>
      <c r="F401" s="34"/>
      <c r="G401" s="34"/>
      <c r="H401" s="35">
        <f t="shared" ref="H401:L401" si="795">H426+H451+H476+H501+H526</f>
        <v>1138</v>
      </c>
      <c r="I401" s="35">
        <f t="shared" si="795"/>
        <v>2991</v>
      </c>
      <c r="J401" s="35">
        <f t="shared" si="795"/>
        <v>5995</v>
      </c>
      <c r="K401" s="35">
        <f t="shared" si="795"/>
        <v>3225</v>
      </c>
      <c r="L401" s="35">
        <f t="shared" si="795"/>
        <v>3870.0000000000005</v>
      </c>
      <c r="M401" s="457">
        <f t="shared" ref="M401:R401" si="796">M426+M451+M476+M501+M526</f>
        <v>0</v>
      </c>
      <c r="N401" s="457">
        <f t="shared" si="796"/>
        <v>0</v>
      </c>
      <c r="O401" s="457">
        <f t="shared" si="796"/>
        <v>0</v>
      </c>
      <c r="P401" s="457">
        <f t="shared" si="796"/>
        <v>0</v>
      </c>
      <c r="Q401" s="457">
        <f t="shared" si="796"/>
        <v>0</v>
      </c>
      <c r="R401" s="467">
        <f t="shared" si="796"/>
        <v>0</v>
      </c>
    </row>
    <row r="402" spans="1:42" outlineLevel="2"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</row>
    <row r="403" spans="1:42" ht="15" outlineLevel="2" thickBot="1">
      <c r="C403" s="37" t="s">
        <v>34</v>
      </c>
      <c r="D403" s="37"/>
      <c r="E403" s="37"/>
      <c r="F403" s="37"/>
      <c r="G403" s="37"/>
      <c r="H403" s="39">
        <f t="shared" ref="H403:M403" si="797">H428+H453+H478+H503+H528</f>
        <v>-245468</v>
      </c>
      <c r="I403" s="39">
        <f t="shared" si="797"/>
        <v>-245771</v>
      </c>
      <c r="J403" s="39">
        <f t="shared" si="797"/>
        <v>-239592</v>
      </c>
      <c r="K403" s="39">
        <f t="shared" si="797"/>
        <v>-270243</v>
      </c>
      <c r="L403" s="39">
        <f t="shared" si="797"/>
        <v>-324291.59999999998</v>
      </c>
      <c r="M403" s="39">
        <f t="shared" si="797"/>
        <v>-359984.31076872</v>
      </c>
      <c r="N403" s="39">
        <f t="shared" ref="N403:R403" si="798">N428+N453+N478+N503+N528</f>
        <v>-399544.89695589588</v>
      </c>
      <c r="O403" s="39">
        <f t="shared" si="798"/>
        <v>-443460.59956426808</v>
      </c>
      <c r="P403" s="39">
        <f t="shared" si="798"/>
        <v>-492211.55785157066</v>
      </c>
      <c r="Q403" s="39">
        <f t="shared" si="798"/>
        <v>-546330.9088303626</v>
      </c>
      <c r="R403" s="39">
        <f t="shared" si="798"/>
        <v>-606410.64298740029</v>
      </c>
    </row>
    <row r="404" spans="1:42" outlineLevel="2">
      <c r="C404" s="18" t="s">
        <v>36</v>
      </c>
      <c r="D404" s="18"/>
      <c r="E404" s="18"/>
      <c r="F404" s="18"/>
      <c r="G404" s="18"/>
      <c r="H404" s="23">
        <f>H403+H396</f>
        <v>73240</v>
      </c>
      <c r="I404" s="23">
        <f t="shared" ref="I404" si="799">I403+I396</f>
        <v>91765</v>
      </c>
      <c r="J404" s="23">
        <f t="shared" ref="J404" si="800">J403+J396</f>
        <v>111695</v>
      </c>
      <c r="K404" s="23">
        <f t="shared" ref="K404" si="801">K403+K396</f>
        <v>123393</v>
      </c>
      <c r="L404" s="23">
        <f t="shared" ref="L404" si="802">L403+L396</f>
        <v>148071.59999999998</v>
      </c>
      <c r="M404" s="23">
        <f t="shared" ref="M404" si="803">M403+M396</f>
        <v>164153.13691127999</v>
      </c>
      <c r="N404" s="23">
        <f t="shared" ref="N404" si="804">N403+N396</f>
        <v>182053.98736576812</v>
      </c>
      <c r="O404" s="23">
        <f t="shared" ref="O404" si="805">O403+O396</f>
        <v>201912.76280567056</v>
      </c>
      <c r="P404" s="23">
        <f t="shared" ref="P404" si="806">P403+P396</f>
        <v>223944.15340148332</v>
      </c>
      <c r="Q404" s="23">
        <f t="shared" ref="Q404" si="807">Q403+Q396</f>
        <v>248386.44026576518</v>
      </c>
      <c r="R404" s="23">
        <f t="shared" ref="R404" si="808">R403+R396</f>
        <v>275504.09228595626</v>
      </c>
    </row>
    <row r="405" spans="1:42" outlineLevel="2">
      <c r="C405" s="22" t="s">
        <v>19</v>
      </c>
      <c r="D405" s="22"/>
      <c r="E405" s="22"/>
      <c r="F405" s="22"/>
      <c r="G405" s="22"/>
      <c r="H405" s="56">
        <f>IFERROR(H404/H396,"NA")</f>
        <v>0.22980282892177165</v>
      </c>
      <c r="I405" s="56">
        <f t="shared" ref="I405" si="809">IFERROR(I404/I396,"NA")</f>
        <v>0.27186729711793706</v>
      </c>
      <c r="J405" s="56">
        <f t="shared" ref="J405" si="810">IFERROR(J404/J396,"NA")</f>
        <v>0.31795938933123058</v>
      </c>
      <c r="K405" s="56">
        <f t="shared" ref="K405" si="811">IFERROR(K404/K396,"NA")</f>
        <v>0.31346980459104351</v>
      </c>
      <c r="L405" s="56">
        <f t="shared" ref="L405" si="812">IFERROR(L404/L396,"NA")</f>
        <v>0.31346980459104351</v>
      </c>
      <c r="M405" s="56">
        <f t="shared" ref="M405" si="813">IFERROR(M404/M396,"NA")</f>
        <v>0.31318719476708695</v>
      </c>
      <c r="N405" s="56">
        <f t="shared" ref="N405" si="814">IFERROR(N404/N396,"NA")</f>
        <v>0.3130232747576589</v>
      </c>
      <c r="O405" s="56">
        <f t="shared" ref="O405" si="815">IFERROR(O404/O396,"NA")</f>
        <v>0.31286194097662623</v>
      </c>
      <c r="P405" s="56">
        <f t="shared" ref="P405" si="816">IFERROR(P404/P396,"NA")</f>
        <v>0.31270315921889302</v>
      </c>
      <c r="Q405" s="56">
        <f t="shared" ref="Q405" si="817">IFERROR(Q404/Q396,"NA")</f>
        <v>0.31254689550727394</v>
      </c>
      <c r="R405" s="56">
        <f t="shared" ref="R405" si="818">IFERROR(R404/R396,"NA")</f>
        <v>0.31239311609932624</v>
      </c>
    </row>
    <row r="406" spans="1:42" outlineLevel="2"/>
    <row r="407" spans="1:42" s="26" customFormat="1" outlineLevel="3">
      <c r="A407" s="26" t="s">
        <v>8</v>
      </c>
      <c r="C407" s="26" t="s">
        <v>54</v>
      </c>
    </row>
    <row r="408" spans="1:42" outlineLevel="3"/>
    <row r="409" spans="1:42" s="18" customFormat="1" outlineLevel="3">
      <c r="C409" s="18" t="s">
        <v>24</v>
      </c>
      <c r="H409" s="23">
        <f>SUM(H410:H414)</f>
        <v>646612</v>
      </c>
      <c r="I409" s="23">
        <f t="shared" ref="I409" si="819">SUM(I410:I414)</f>
        <v>780217</v>
      </c>
      <c r="J409" s="23">
        <f t="shared" ref="J409" si="820">SUM(J410:J414)</f>
        <v>615425</v>
      </c>
      <c r="K409" s="23">
        <f t="shared" ref="K409" si="821">SUM(K410:K414)</f>
        <v>642520</v>
      </c>
      <c r="L409" s="23">
        <f>SUM(L410:L414)</f>
        <v>771024</v>
      </c>
      <c r="M409" s="23">
        <f t="shared" ref="M409:R409" si="822">CHOOSE(case,T409,AB409,AJ409)</f>
        <v>848126.4</v>
      </c>
      <c r="N409" s="23">
        <f t="shared" si="822"/>
        <v>932939.04000000015</v>
      </c>
      <c r="O409" s="23">
        <f t="shared" si="822"/>
        <v>1026232.9440000003</v>
      </c>
      <c r="P409" s="23">
        <f t="shared" si="822"/>
        <v>1128856.2384000004</v>
      </c>
      <c r="Q409" s="23">
        <f t="shared" si="822"/>
        <v>1241741.8622400006</v>
      </c>
      <c r="R409" s="23">
        <f t="shared" si="822"/>
        <v>1365916.0484640007</v>
      </c>
      <c r="T409" s="20">
        <f>$L409*(1+$Z409)</f>
        <v>886677.6</v>
      </c>
      <c r="U409" s="20">
        <f>T409*(1+$Z409)</f>
        <v>1019679.2399999999</v>
      </c>
      <c r="V409" s="20">
        <f t="shared" ref="V409" si="823">U409*(1+$Z409)</f>
        <v>1172631.1259999997</v>
      </c>
      <c r="W409" s="20">
        <f>V409*(1+$Z409)</f>
        <v>1348525.7948999996</v>
      </c>
      <c r="X409" s="20">
        <f>W409*(1+$Z409)</f>
        <v>1550804.6641349995</v>
      </c>
      <c r="Y409" s="20">
        <f t="shared" ref="Y409" si="824">X409*(1+$Z409)</f>
        <v>1783425.3637552492</v>
      </c>
      <c r="Z409" s="472">
        <v>0.15</v>
      </c>
      <c r="AA409" s="1"/>
      <c r="AB409" s="20">
        <f>$L409*(1+$AH409)</f>
        <v>848126.4</v>
      </c>
      <c r="AC409" s="20">
        <f>AB409*(1+$AH409)</f>
        <v>932939.04000000015</v>
      </c>
      <c r="AD409" s="20">
        <f t="shared" ref="AD409" si="825">AC409*(1+$AH409)</f>
        <v>1026232.9440000003</v>
      </c>
      <c r="AE409" s="20">
        <f>AD409*(1+$AH409)</f>
        <v>1128856.2384000004</v>
      </c>
      <c r="AF409" s="20">
        <f t="shared" ref="AF409" si="826">AE409*(1+$AH409)</f>
        <v>1241741.8622400006</v>
      </c>
      <c r="AG409" s="20">
        <f>AF409*(1+$AH409)</f>
        <v>1365916.0484640007</v>
      </c>
      <c r="AH409" s="472">
        <v>0.1</v>
      </c>
      <c r="AI409" s="1"/>
      <c r="AJ409" s="20">
        <f>$L409*(1+$AP409)</f>
        <v>809575.20000000007</v>
      </c>
      <c r="AK409" s="20">
        <f>AJ409*(1+$AP409)</f>
        <v>850053.96000000008</v>
      </c>
      <c r="AL409" s="20">
        <f t="shared" ref="AL409:AM409" si="827">AK409*(1+$AP409)</f>
        <v>892556.65800000017</v>
      </c>
      <c r="AM409" s="20">
        <f t="shared" si="827"/>
        <v>937184.49090000021</v>
      </c>
      <c r="AN409" s="20">
        <f>AM409*(1+$AP409)</f>
        <v>984043.71544500021</v>
      </c>
      <c r="AO409" s="20">
        <f t="shared" ref="AO409" si="828">AN409*(1+$AP409)</f>
        <v>1033245.9012172503</v>
      </c>
      <c r="AP409" s="472">
        <v>0.05</v>
      </c>
    </row>
    <row r="410" spans="1:42" outlineLevel="3">
      <c r="D410" s="27" t="s">
        <v>25</v>
      </c>
      <c r="E410" s="28"/>
      <c r="F410" s="28"/>
      <c r="G410" s="28"/>
      <c r="H410" s="398">
        <v>127055</v>
      </c>
      <c r="I410" s="398">
        <v>151505</v>
      </c>
      <c r="J410" s="398">
        <v>108770</v>
      </c>
      <c r="K410" s="399">
        <v>101800</v>
      </c>
      <c r="L410" s="159">
        <f>K410*1.2</f>
        <v>122160</v>
      </c>
      <c r="M410" s="436"/>
      <c r="N410" s="436"/>
      <c r="O410" s="436"/>
      <c r="P410" s="436"/>
      <c r="Q410" s="436"/>
      <c r="R410" s="437"/>
    </row>
    <row r="411" spans="1:42" outlineLevel="3">
      <c r="D411" s="31" t="s">
        <v>26</v>
      </c>
      <c r="H411" s="400"/>
      <c r="I411" s="400"/>
      <c r="J411" s="400"/>
      <c r="K411" s="401"/>
      <c r="L411" s="162">
        <f t="shared" ref="L411:L414" si="829">K411*1.2</f>
        <v>0</v>
      </c>
      <c r="M411" s="438"/>
      <c r="N411" s="438"/>
      <c r="O411" s="438"/>
      <c r="P411" s="438"/>
      <c r="Q411" s="438"/>
      <c r="R411" s="439"/>
    </row>
    <row r="412" spans="1:42" outlineLevel="3">
      <c r="D412" s="31" t="s">
        <v>27</v>
      </c>
      <c r="H412" s="400">
        <v>13813</v>
      </c>
      <c r="I412" s="400">
        <v>0</v>
      </c>
      <c r="J412" s="400">
        <v>19272</v>
      </c>
      <c r="K412" s="401">
        <v>22960</v>
      </c>
      <c r="L412" s="162">
        <f t="shared" si="829"/>
        <v>27552</v>
      </c>
      <c r="M412" s="438"/>
      <c r="N412" s="438"/>
      <c r="O412" s="438"/>
      <c r="P412" s="438"/>
      <c r="Q412" s="438"/>
      <c r="R412" s="439"/>
    </row>
    <row r="413" spans="1:42" outlineLevel="3">
      <c r="D413" s="31" t="s">
        <v>28</v>
      </c>
      <c r="H413" s="400">
        <v>505744</v>
      </c>
      <c r="I413" s="400">
        <v>628712</v>
      </c>
      <c r="J413" s="400">
        <v>487383</v>
      </c>
      <c r="K413" s="401">
        <v>517760</v>
      </c>
      <c r="L413" s="162">
        <f t="shared" si="829"/>
        <v>621312</v>
      </c>
      <c r="M413" s="438"/>
      <c r="N413" s="438"/>
      <c r="O413" s="438"/>
      <c r="P413" s="438"/>
      <c r="Q413" s="438"/>
      <c r="R413" s="439"/>
    </row>
    <row r="414" spans="1:42" outlineLevel="3">
      <c r="D414" s="33" t="s">
        <v>29</v>
      </c>
      <c r="E414" s="34"/>
      <c r="F414" s="34"/>
      <c r="G414" s="34"/>
      <c r="H414" s="402"/>
      <c r="I414" s="402"/>
      <c r="J414" s="402"/>
      <c r="K414" s="403"/>
      <c r="L414" s="163">
        <f t="shared" si="829"/>
        <v>0</v>
      </c>
      <c r="M414" s="440"/>
      <c r="N414" s="440"/>
      <c r="O414" s="440"/>
      <c r="P414" s="440"/>
      <c r="Q414" s="440"/>
      <c r="R414" s="441"/>
      <c r="AB414" s="448"/>
      <c r="AC414" s="448"/>
      <c r="AD414" s="448"/>
      <c r="AE414" s="448"/>
      <c r="AF414" s="448"/>
      <c r="AG414" s="448"/>
    </row>
    <row r="415" spans="1:42" outlineLevel="3">
      <c r="C415" s="1" t="s">
        <v>31</v>
      </c>
      <c r="H415" s="57">
        <f>IFERROR(H421/H409,"NA")</f>
        <v>6.6747910648116651E-2</v>
      </c>
      <c r="I415" s="57">
        <f t="shared" ref="I415:K415" si="830">IFERROR(I421/I409,"NA")</f>
        <v>8.0425061232964681E-2</v>
      </c>
      <c r="J415" s="57">
        <f t="shared" si="830"/>
        <v>9.563147418450664E-2</v>
      </c>
      <c r="K415" s="57">
        <f t="shared" si="830"/>
        <v>8.6400423333125823E-2</v>
      </c>
      <c r="L415" s="57">
        <f>IFERROR(L421/L409,"NA")</f>
        <v>8.6400423333125823E-2</v>
      </c>
      <c r="M415" s="57">
        <f t="shared" ref="M415:R415" si="831">CHOOSE(case,T415,AB415,AJ415)</f>
        <v>8.7264427566457081E-2</v>
      </c>
      <c r="N415" s="57">
        <f t="shared" si="831"/>
        <v>8.8137071842121648E-2</v>
      </c>
      <c r="O415" s="57">
        <f t="shared" si="831"/>
        <v>8.9018442560542865E-2</v>
      </c>
      <c r="P415" s="57">
        <f t="shared" si="831"/>
        <v>8.9908626986148293E-2</v>
      </c>
      <c r="Q415" s="57">
        <f t="shared" si="831"/>
        <v>9.0807713256009781E-2</v>
      </c>
      <c r="R415" s="57">
        <f t="shared" si="831"/>
        <v>9.1715790388569876E-2</v>
      </c>
      <c r="T415" s="448">
        <f>$L415*(1+$Z415)</f>
        <v>8.812843179978834E-2</v>
      </c>
      <c r="U415" s="448">
        <f>T415*(1+$Z415)</f>
        <v>8.9891000435784102E-2</v>
      </c>
      <c r="V415" s="448">
        <f t="shared" ref="V415:Y415" si="832">U415*(1+$Z415)</f>
        <v>9.1688820444499788E-2</v>
      </c>
      <c r="W415" s="448">
        <f>V415*(1+$Z415)</f>
        <v>9.3522596853389789E-2</v>
      </c>
      <c r="X415" s="448">
        <f t="shared" si="832"/>
        <v>9.5393048790457582E-2</v>
      </c>
      <c r="Y415" s="448">
        <f t="shared" si="832"/>
        <v>9.7300909766266735E-2</v>
      </c>
      <c r="Z415" s="472">
        <v>0.02</v>
      </c>
      <c r="AB415" s="448">
        <f>$L415*(1+$AH415)</f>
        <v>8.7264427566457081E-2</v>
      </c>
      <c r="AC415" s="448">
        <f>AB415*(1+$AH415)</f>
        <v>8.8137071842121648E-2</v>
      </c>
      <c r="AD415" s="448">
        <f t="shared" ref="AD415:AF415" si="833">AC415*(1+$AH415)</f>
        <v>8.9018442560542865E-2</v>
      </c>
      <c r="AE415" s="448">
        <f t="shared" si="833"/>
        <v>8.9908626986148293E-2</v>
      </c>
      <c r="AF415" s="448">
        <f t="shared" si="833"/>
        <v>9.0807713256009781E-2</v>
      </c>
      <c r="AG415" s="448">
        <f>AF415*(1+$AH415)</f>
        <v>9.1715790388569876E-2</v>
      </c>
      <c r="AH415" s="472">
        <v>0.01</v>
      </c>
      <c r="AJ415" s="448">
        <f>$L415*(1+$AP415)</f>
        <v>8.6400423333125823E-2</v>
      </c>
      <c r="AK415" s="448">
        <f>AJ415*(1+$AP415)</f>
        <v>8.6400423333125823E-2</v>
      </c>
      <c r="AL415" s="448">
        <f t="shared" ref="AL415:AM415" si="834">AK415*(1+$AP415)</f>
        <v>8.6400423333125823E-2</v>
      </c>
      <c r="AM415" s="448">
        <f t="shared" si="834"/>
        <v>8.6400423333125823E-2</v>
      </c>
      <c r="AN415" s="448">
        <f>AM415*(1+$AP415)</f>
        <v>8.6400423333125823E-2</v>
      </c>
      <c r="AO415" s="448">
        <f t="shared" ref="AO415" si="835">AN415*(1+$AP415)</f>
        <v>8.6400423333125823E-2</v>
      </c>
      <c r="AP415" s="472">
        <v>0</v>
      </c>
    </row>
    <row r="416" spans="1:42" outlineLevel="3">
      <c r="D416" s="27" t="s">
        <v>25</v>
      </c>
      <c r="E416" s="28"/>
      <c r="F416" s="28"/>
      <c r="G416" s="28"/>
      <c r="H416" s="50">
        <f>IFERROR(H422/H410,"NA")</f>
        <v>9.7902483176577071E-2</v>
      </c>
      <c r="I416" s="50">
        <f t="shared" ref="I416:K416" si="836">IFERROR(I422/I410,"NA")</f>
        <v>0.11907857826474373</v>
      </c>
      <c r="J416" s="50">
        <f t="shared" si="836"/>
        <v>0.1488186080720787</v>
      </c>
      <c r="K416" s="51">
        <f t="shared" si="836"/>
        <v>0.13650294695481335</v>
      </c>
      <c r="L416" s="81">
        <f>K416</f>
        <v>0.13650294695481335</v>
      </c>
      <c r="M416" s="442"/>
      <c r="N416" s="442"/>
      <c r="O416" s="442"/>
      <c r="P416" s="442"/>
      <c r="Q416" s="442"/>
      <c r="R416" s="443"/>
    </row>
    <row r="417" spans="1:41" outlineLevel="3">
      <c r="D417" s="31" t="s">
        <v>26</v>
      </c>
      <c r="H417" s="52" t="str">
        <f t="shared" ref="H417:K417" si="837">IFERROR(H423/H411,"NA")</f>
        <v>NA</v>
      </c>
      <c r="I417" s="52" t="str">
        <f t="shared" si="837"/>
        <v>NA</v>
      </c>
      <c r="J417" s="52" t="str">
        <f t="shared" si="837"/>
        <v>NA</v>
      </c>
      <c r="K417" s="53" t="str">
        <f t="shared" si="837"/>
        <v>NA</v>
      </c>
      <c r="L417" s="82"/>
      <c r="M417" s="444"/>
      <c r="N417" s="444"/>
      <c r="O417" s="444"/>
      <c r="P417" s="444"/>
      <c r="Q417" s="444"/>
      <c r="R417" s="445"/>
    </row>
    <row r="418" spans="1:41" outlineLevel="3">
      <c r="D418" s="31" t="s">
        <v>27</v>
      </c>
      <c r="H418" s="52">
        <f t="shared" ref="H418:K418" si="838">IFERROR(H424/H412,"NA")</f>
        <v>0.3728371823644393</v>
      </c>
      <c r="I418" s="52" t="str">
        <f t="shared" si="838"/>
        <v>NA</v>
      </c>
      <c r="J418" s="52">
        <f t="shared" si="838"/>
        <v>0.29213366542133667</v>
      </c>
      <c r="K418" s="53">
        <f t="shared" si="838"/>
        <v>0.23101045296167247</v>
      </c>
      <c r="L418" s="82">
        <f t="shared" ref="L418" si="839">K418</f>
        <v>0.23101045296167247</v>
      </c>
      <c r="M418" s="444"/>
      <c r="N418" s="444"/>
      <c r="O418" s="444"/>
      <c r="P418" s="444"/>
      <c r="Q418" s="444"/>
      <c r="R418" s="445"/>
    </row>
    <row r="419" spans="1:41" outlineLevel="3">
      <c r="D419" s="31" t="s">
        <v>28</v>
      </c>
      <c r="H419" s="52">
        <f t="shared" ref="H419:K419" si="840">IFERROR(H425/H413,"NA")</f>
        <v>5.0561153468948718E-2</v>
      </c>
      <c r="I419" s="52">
        <f t="shared" si="840"/>
        <v>6.0180177887490617E-2</v>
      </c>
      <c r="J419" s="52">
        <f t="shared" si="840"/>
        <v>7.5991571310447842E-2</v>
      </c>
      <c r="K419" s="53">
        <f t="shared" si="840"/>
        <v>7.013674289245983E-2</v>
      </c>
      <c r="L419" s="82">
        <f>K419</f>
        <v>7.013674289245983E-2</v>
      </c>
      <c r="M419" s="444"/>
      <c r="N419" s="444"/>
      <c r="O419" s="444"/>
      <c r="P419" s="444"/>
      <c r="Q419" s="444"/>
      <c r="R419" s="445"/>
    </row>
    <row r="420" spans="1:41" ht="15" outlineLevel="3" thickBot="1">
      <c r="C420" s="37"/>
      <c r="D420" s="38" t="s">
        <v>29</v>
      </c>
      <c r="E420" s="37"/>
      <c r="F420" s="37"/>
      <c r="G420" s="37"/>
      <c r="H420" s="54" t="str">
        <f t="shared" ref="H420:K420" si="841">IFERROR(H426/H414,"NA")</f>
        <v>NA</v>
      </c>
      <c r="I420" s="54" t="str">
        <f t="shared" si="841"/>
        <v>NA</v>
      </c>
      <c r="J420" s="54" t="str">
        <f t="shared" si="841"/>
        <v>NA</v>
      </c>
      <c r="K420" s="55" t="str">
        <f t="shared" si="841"/>
        <v>NA</v>
      </c>
      <c r="L420" s="86"/>
      <c r="M420" s="446"/>
      <c r="N420" s="446"/>
      <c r="O420" s="446"/>
      <c r="P420" s="446"/>
      <c r="Q420" s="446"/>
      <c r="R420" s="447"/>
    </row>
    <row r="421" spans="1:41" outlineLevel="3">
      <c r="C421" s="18" t="s">
        <v>33</v>
      </c>
      <c r="H421" s="23">
        <f>SUM(H422:H426)</f>
        <v>43160</v>
      </c>
      <c r="I421" s="23">
        <f t="shared" ref="I421" si="842">SUM(I422:I426)</f>
        <v>62749</v>
      </c>
      <c r="J421" s="23">
        <f t="shared" ref="J421" si="843">SUM(J422:J426)</f>
        <v>58854</v>
      </c>
      <c r="K421" s="23">
        <f t="shared" ref="K421" si="844">SUM(K422:K426)</f>
        <v>55514</v>
      </c>
      <c r="L421" s="23">
        <f>SUM(L422:L426)</f>
        <v>66616.800000000003</v>
      </c>
      <c r="M421" s="23">
        <f>M409*M415</f>
        <v>74011.264800000004</v>
      </c>
      <c r="N421" s="23">
        <f t="shared" ref="N421:R421" si="845">N409*N415</f>
        <v>82226.515192800012</v>
      </c>
      <c r="O421" s="23">
        <f t="shared" si="845"/>
        <v>91353.658379200831</v>
      </c>
      <c r="P421" s="23">
        <f t="shared" si="845"/>
        <v>101493.91445929212</v>
      </c>
      <c r="Q421" s="23">
        <f t="shared" si="845"/>
        <v>112759.73896427358</v>
      </c>
      <c r="R421" s="23">
        <f t="shared" si="845"/>
        <v>125276.06998930794</v>
      </c>
      <c r="S421" s="144">
        <f>POWER(R421/M421,1/5)-1</f>
        <v>0.11100000000000021</v>
      </c>
    </row>
    <row r="422" spans="1:41" outlineLevel="3">
      <c r="D422" s="27" t="s">
        <v>25</v>
      </c>
      <c r="E422" s="28"/>
      <c r="F422" s="28"/>
      <c r="G422" s="28"/>
      <c r="H422" s="398">
        <v>12439</v>
      </c>
      <c r="I422" s="398">
        <v>18041</v>
      </c>
      <c r="J422" s="398">
        <v>16187</v>
      </c>
      <c r="K422" s="399">
        <v>13896</v>
      </c>
      <c r="L422" s="83">
        <f>L416*L410</f>
        <v>16675.2</v>
      </c>
      <c r="M422" s="436"/>
      <c r="N422" s="436"/>
      <c r="O422" s="436"/>
      <c r="P422" s="436"/>
      <c r="Q422" s="436"/>
      <c r="R422" s="437"/>
    </row>
    <row r="423" spans="1:41" outlineLevel="3">
      <c r="D423" s="31" t="s">
        <v>26</v>
      </c>
      <c r="H423" s="400"/>
      <c r="I423" s="400"/>
      <c r="J423" s="400"/>
      <c r="K423" s="401"/>
      <c r="L423" s="84">
        <f>L411*L417</f>
        <v>0</v>
      </c>
      <c r="M423" s="438"/>
      <c r="N423" s="438"/>
      <c r="O423" s="438"/>
      <c r="P423" s="438"/>
      <c r="Q423" s="438"/>
      <c r="R423" s="439"/>
    </row>
    <row r="424" spans="1:41" outlineLevel="3">
      <c r="D424" s="31" t="s">
        <v>27</v>
      </c>
      <c r="H424" s="400">
        <v>5150</v>
      </c>
      <c r="I424" s="400">
        <v>6872</v>
      </c>
      <c r="J424" s="400">
        <v>5630</v>
      </c>
      <c r="K424" s="401">
        <v>5304</v>
      </c>
      <c r="L424" s="84">
        <f t="shared" ref="L424" si="846">L412*L418</f>
        <v>6364.8</v>
      </c>
      <c r="M424" s="438"/>
      <c r="N424" s="438"/>
      <c r="O424" s="438"/>
      <c r="P424" s="438"/>
      <c r="Q424" s="438"/>
      <c r="R424" s="439"/>
    </row>
    <row r="425" spans="1:41" outlineLevel="3">
      <c r="D425" s="31" t="s">
        <v>28</v>
      </c>
      <c r="H425" s="400">
        <v>25571</v>
      </c>
      <c r="I425" s="400">
        <v>37836</v>
      </c>
      <c r="J425" s="400">
        <v>37037</v>
      </c>
      <c r="K425" s="401">
        <v>36314</v>
      </c>
      <c r="L425" s="84">
        <f t="shared" ref="L425" si="847">L413*L419</f>
        <v>43576.800000000003</v>
      </c>
      <c r="M425" s="438"/>
      <c r="N425" s="438"/>
      <c r="O425" s="438"/>
      <c r="P425" s="438"/>
      <c r="Q425" s="438"/>
      <c r="R425" s="439"/>
    </row>
    <row r="426" spans="1:41" outlineLevel="3">
      <c r="D426" s="33" t="s">
        <v>29</v>
      </c>
      <c r="E426" s="34"/>
      <c r="F426" s="34"/>
      <c r="G426" s="34"/>
      <c r="H426" s="402"/>
      <c r="I426" s="402"/>
      <c r="J426" s="402"/>
      <c r="K426" s="403"/>
      <c r="L426" s="85">
        <f>L414*L420</f>
        <v>0</v>
      </c>
      <c r="M426" s="440"/>
      <c r="N426" s="440"/>
      <c r="O426" s="440"/>
      <c r="P426" s="440"/>
      <c r="Q426" s="440"/>
      <c r="R426" s="441"/>
    </row>
    <row r="427" spans="1:41" outlineLevel="3">
      <c r="H427" s="43"/>
      <c r="I427" s="43"/>
      <c r="J427" s="43"/>
      <c r="K427" s="43"/>
      <c r="L427" s="144">
        <f>L421/集团!L$9/1000/集团!L$23</f>
        <v>8.8217930738579264E-3</v>
      </c>
      <c r="M427" s="144">
        <f>M421/集团!N$9/1000/集团!N$23</f>
        <v>8.9657293938132151E-3</v>
      </c>
      <c r="R427" s="144">
        <f>R421/集团!S$9/1000/集团!S$23</f>
        <v>9.0021261803650797E-3</v>
      </c>
      <c r="S427" s="526">
        <f>R427-M427</f>
        <v>3.639678655186461E-5</v>
      </c>
    </row>
    <row r="428" spans="1:41" ht="15" outlineLevel="3" thickBot="1">
      <c r="C428" s="37" t="s">
        <v>34</v>
      </c>
      <c r="D428" s="37"/>
      <c r="E428" s="37"/>
      <c r="F428" s="37"/>
      <c r="G428" s="37"/>
      <c r="H428" s="44">
        <v>-33903</v>
      </c>
      <c r="I428" s="44">
        <v>-44306</v>
      </c>
      <c r="J428" s="44">
        <v>-37977</v>
      </c>
      <c r="K428" s="44">
        <v>-33918</v>
      </c>
      <c r="L428" s="39">
        <f>L429-L421</f>
        <v>-40701.600000000006</v>
      </c>
      <c r="M428" s="39">
        <f t="shared" ref="M428:R428" si="848">M429-M421</f>
        <v>-45220.882792800003</v>
      </c>
      <c r="N428" s="39">
        <f t="shared" si="848"/>
        <v>-50240.400782800803</v>
      </c>
      <c r="O428" s="39">
        <f t="shared" si="848"/>
        <v>-55817.085269691706</v>
      </c>
      <c r="P428" s="39">
        <f t="shared" si="848"/>
        <v>-62012.781734627482</v>
      </c>
      <c r="Q428" s="39">
        <f t="shared" si="848"/>
        <v>-68896.200507171161</v>
      </c>
      <c r="R428" s="39">
        <f t="shared" si="848"/>
        <v>-76543.678763467149</v>
      </c>
    </row>
    <row r="429" spans="1:41" outlineLevel="3">
      <c r="C429" s="18" t="s">
        <v>36</v>
      </c>
      <c r="D429" s="18"/>
      <c r="E429" s="18"/>
      <c r="F429" s="18"/>
      <c r="G429" s="18"/>
      <c r="H429" s="23">
        <f>H428+H421</f>
        <v>9257</v>
      </c>
      <c r="I429" s="23">
        <f>I428+I421</f>
        <v>18443</v>
      </c>
      <c r="J429" s="23">
        <f>J428+J421</f>
        <v>20877</v>
      </c>
      <c r="K429" s="23">
        <f>K428+K421</f>
        <v>21596</v>
      </c>
      <c r="L429" s="23">
        <f>L430*L421</f>
        <v>25915.200000000001</v>
      </c>
      <c r="M429" s="23">
        <f t="shared" ref="M429:R429" si="849">M430*M421</f>
        <v>28790.382007200002</v>
      </c>
      <c r="N429" s="23">
        <f t="shared" si="849"/>
        <v>31986.114409999205</v>
      </c>
      <c r="O429" s="23">
        <f t="shared" si="849"/>
        <v>35536.573109509125</v>
      </c>
      <c r="P429" s="23">
        <f t="shared" si="849"/>
        <v>39481.13272466464</v>
      </c>
      <c r="Q429" s="23">
        <f t="shared" si="849"/>
        <v>43863.538457102426</v>
      </c>
      <c r="R429" s="23">
        <f t="shared" si="849"/>
        <v>48732.391225840795</v>
      </c>
    </row>
    <row r="430" spans="1:41" outlineLevel="3">
      <c r="C430" s="22" t="s">
        <v>19</v>
      </c>
      <c r="D430" s="22"/>
      <c r="E430" s="22"/>
      <c r="F430" s="22"/>
      <c r="G430" s="22"/>
      <c r="H430" s="56">
        <f>IFERROR(H429/H421,"NA")</f>
        <v>0.21448100092678407</v>
      </c>
      <c r="I430" s="56">
        <f t="shared" ref="I430" si="850">IFERROR(I429/I421,"NA")</f>
        <v>0.29391703453441487</v>
      </c>
      <c r="J430" s="56">
        <f t="shared" ref="J430" si="851">IFERROR(J429/J421,"NA")</f>
        <v>0.35472525231929858</v>
      </c>
      <c r="K430" s="56">
        <f t="shared" ref="K430" si="852">IFERROR(K429/K421,"NA")</f>
        <v>0.38901898620167885</v>
      </c>
      <c r="L430" s="79">
        <f>K430</f>
        <v>0.38901898620167885</v>
      </c>
      <c r="M430" s="65">
        <f t="shared" ref="M430:R430" si="853">CHOOSE(case,T430,AB430,AJ430)</f>
        <v>0.38900000000000001</v>
      </c>
      <c r="N430" s="65">
        <f t="shared" si="853"/>
        <v>0.38900000000000001</v>
      </c>
      <c r="O430" s="65">
        <f t="shared" si="853"/>
        <v>0.38900000000000001</v>
      </c>
      <c r="P430" s="65">
        <f t="shared" si="853"/>
        <v>0.38900000000000001</v>
      </c>
      <c r="Q430" s="65">
        <f t="shared" si="853"/>
        <v>0.38900000000000001</v>
      </c>
      <c r="R430" s="65">
        <f t="shared" si="853"/>
        <v>0.38900000000000001</v>
      </c>
      <c r="T430" s="471">
        <f>AB430+1%</f>
        <v>0.39900000000000002</v>
      </c>
      <c r="U430" s="79">
        <f t="shared" ref="U430" si="854">T430</f>
        <v>0.39900000000000002</v>
      </c>
      <c r="V430" s="79">
        <f t="shared" ref="V430" si="855">U430</f>
        <v>0.39900000000000002</v>
      </c>
      <c r="W430" s="79">
        <f t="shared" ref="W430" si="856">V430</f>
        <v>0.39900000000000002</v>
      </c>
      <c r="X430" s="79">
        <f t="shared" ref="X430" si="857">W430</f>
        <v>0.39900000000000002</v>
      </c>
      <c r="Y430" s="79">
        <f t="shared" ref="Y430" si="858">X430</f>
        <v>0.39900000000000002</v>
      </c>
      <c r="AB430" s="471">
        <v>0.38900000000000001</v>
      </c>
      <c r="AC430" s="79">
        <f t="shared" ref="AC430" si="859">AB430</f>
        <v>0.38900000000000001</v>
      </c>
      <c r="AD430" s="79">
        <f t="shared" ref="AD430" si="860">AC430</f>
        <v>0.38900000000000001</v>
      </c>
      <c r="AE430" s="79">
        <f t="shared" ref="AE430" si="861">AD430</f>
        <v>0.38900000000000001</v>
      </c>
      <c r="AF430" s="79">
        <f t="shared" ref="AF430" si="862">AE430</f>
        <v>0.38900000000000001</v>
      </c>
      <c r="AG430" s="79">
        <f t="shared" ref="AG430" si="863">AF430</f>
        <v>0.38900000000000001</v>
      </c>
      <c r="AJ430" s="471">
        <f>AB430-1%</f>
        <v>0.379</v>
      </c>
      <c r="AK430" s="79">
        <f t="shared" ref="AK430" si="864">AJ430</f>
        <v>0.379</v>
      </c>
      <c r="AL430" s="79">
        <f t="shared" ref="AL430" si="865">AK430</f>
        <v>0.379</v>
      </c>
      <c r="AM430" s="79">
        <f t="shared" ref="AM430" si="866">AL430</f>
        <v>0.379</v>
      </c>
      <c r="AN430" s="79">
        <f t="shared" ref="AN430" si="867">AM430</f>
        <v>0.379</v>
      </c>
      <c r="AO430" s="79">
        <f t="shared" ref="AO430" si="868">AN430</f>
        <v>0.379</v>
      </c>
    </row>
    <row r="431" spans="1:41" outlineLevel="3"/>
    <row r="432" spans="1:41" s="26" customFormat="1" outlineLevel="3">
      <c r="A432" s="26" t="s">
        <v>8</v>
      </c>
      <c r="C432" s="26" t="s">
        <v>55</v>
      </c>
    </row>
    <row r="433" spans="3:42" outlineLevel="3"/>
    <row r="434" spans="3:42" s="18" customFormat="1" outlineLevel="3">
      <c r="C434" s="18" t="s">
        <v>24</v>
      </c>
      <c r="H434" s="23">
        <f>SUM(H435:H439)</f>
        <v>69853</v>
      </c>
      <c r="I434" s="23">
        <f t="shared" ref="I434" si="869">SUM(I435:I439)</f>
        <v>134406</v>
      </c>
      <c r="J434" s="23">
        <f t="shared" ref="J434" si="870">SUM(J435:J439)</f>
        <v>158133</v>
      </c>
      <c r="K434" s="23">
        <f t="shared" ref="K434" si="871">SUM(K435:K439)</f>
        <v>108197</v>
      </c>
      <c r="L434" s="23">
        <f>SUM(L435:L439)</f>
        <v>129836.4</v>
      </c>
      <c r="M434" s="23">
        <f t="shared" ref="M434:R434" si="872">CHOOSE(case,T434,AB434,AJ434)</f>
        <v>142820.04</v>
      </c>
      <c r="N434" s="23">
        <f t="shared" si="872"/>
        <v>157102.04400000002</v>
      </c>
      <c r="O434" s="23">
        <f t="shared" si="872"/>
        <v>172812.24840000004</v>
      </c>
      <c r="P434" s="23">
        <f t="shared" si="872"/>
        <v>190093.47324000005</v>
      </c>
      <c r="Q434" s="23">
        <f t="shared" si="872"/>
        <v>209102.82056400008</v>
      </c>
      <c r="R434" s="23">
        <f t="shared" si="872"/>
        <v>230013.10262040011</v>
      </c>
      <c r="T434" s="20">
        <f>$L434*(1+$Z434)</f>
        <v>149311.85999999999</v>
      </c>
      <c r="U434" s="20">
        <f>T434*(1+$Z434)</f>
        <v>171708.63899999997</v>
      </c>
      <c r="V434" s="20">
        <f t="shared" ref="V434" si="873">U434*(1+$Z434)</f>
        <v>197464.93484999993</v>
      </c>
      <c r="W434" s="20">
        <f>V434*(1+$Z434)</f>
        <v>227084.67507749991</v>
      </c>
      <c r="X434" s="20">
        <f>W434*(1+$Z434)</f>
        <v>261147.37633912486</v>
      </c>
      <c r="Y434" s="20">
        <f t="shared" ref="Y434" si="874">X434*(1+$Z434)</f>
        <v>300319.48278999358</v>
      </c>
      <c r="Z434" s="472">
        <v>0.15</v>
      </c>
      <c r="AA434" s="1"/>
      <c r="AB434" s="20">
        <f>$L434*(1+$AH434)</f>
        <v>142820.04</v>
      </c>
      <c r="AC434" s="20">
        <f>AB434*(1+$AH434)</f>
        <v>157102.04400000002</v>
      </c>
      <c r="AD434" s="20">
        <f t="shared" ref="AD434" si="875">AC434*(1+$AH434)</f>
        <v>172812.24840000004</v>
      </c>
      <c r="AE434" s="20">
        <f>AD434*(1+$AH434)</f>
        <v>190093.47324000005</v>
      </c>
      <c r="AF434" s="20">
        <f t="shared" ref="AF434" si="876">AE434*(1+$AH434)</f>
        <v>209102.82056400008</v>
      </c>
      <c r="AG434" s="20">
        <f>AF434*(1+$AH434)</f>
        <v>230013.10262040011</v>
      </c>
      <c r="AH434" s="472">
        <v>0.1</v>
      </c>
      <c r="AI434" s="1"/>
      <c r="AJ434" s="20">
        <f>$L434*(1+$AP434)</f>
        <v>136328.22</v>
      </c>
      <c r="AK434" s="20">
        <f>AJ434*(1+$AP434)</f>
        <v>143144.63099999999</v>
      </c>
      <c r="AL434" s="20">
        <f t="shared" ref="AL434:AM434" si="877">AK434*(1+$AP434)</f>
        <v>150301.86254999999</v>
      </c>
      <c r="AM434" s="20">
        <f t="shared" si="877"/>
        <v>157816.95567749999</v>
      </c>
      <c r="AN434" s="20">
        <f>AM434*(1+$AP434)</f>
        <v>165707.80346137501</v>
      </c>
      <c r="AO434" s="20">
        <f t="shared" ref="AO434" si="878">AN434*(1+$AP434)</f>
        <v>173993.19363444377</v>
      </c>
      <c r="AP434" s="472">
        <v>0.05</v>
      </c>
    </row>
    <row r="435" spans="3:42" outlineLevel="3">
      <c r="D435" s="27" t="s">
        <v>25</v>
      </c>
      <c r="E435" s="28"/>
      <c r="F435" s="28"/>
      <c r="G435" s="28"/>
      <c r="H435" s="398"/>
      <c r="I435" s="398"/>
      <c r="J435" s="398"/>
      <c r="K435" s="399"/>
      <c r="L435" s="159">
        <f>K435*1.2</f>
        <v>0</v>
      </c>
      <c r="M435" s="436"/>
      <c r="N435" s="436"/>
      <c r="O435" s="436"/>
      <c r="P435" s="436"/>
      <c r="Q435" s="436"/>
      <c r="R435" s="437"/>
    </row>
    <row r="436" spans="3:42" outlineLevel="3">
      <c r="D436" s="31" t="s">
        <v>26</v>
      </c>
      <c r="H436" s="400"/>
      <c r="I436" s="400">
        <v>908</v>
      </c>
      <c r="J436" s="400"/>
      <c r="K436" s="401"/>
      <c r="L436" s="162">
        <f t="shared" ref="L436:L439" si="879">K436*1.2</f>
        <v>0</v>
      </c>
      <c r="M436" s="438"/>
      <c r="N436" s="438"/>
      <c r="O436" s="438"/>
      <c r="P436" s="438"/>
      <c r="Q436" s="438"/>
      <c r="R436" s="439"/>
    </row>
    <row r="437" spans="3:42" outlineLevel="3">
      <c r="D437" s="31" t="s">
        <v>27</v>
      </c>
      <c r="H437" s="400">
        <v>69853</v>
      </c>
      <c r="I437" s="400">
        <v>133498</v>
      </c>
      <c r="J437" s="400">
        <v>158133</v>
      </c>
      <c r="K437" s="401">
        <v>108197</v>
      </c>
      <c r="L437" s="162">
        <f t="shared" si="879"/>
        <v>129836.4</v>
      </c>
      <c r="M437" s="438"/>
      <c r="N437" s="438"/>
      <c r="O437" s="438"/>
      <c r="P437" s="438"/>
      <c r="Q437" s="438"/>
      <c r="R437" s="439"/>
    </row>
    <row r="438" spans="3:42" outlineLevel="3">
      <c r="D438" s="31" t="s">
        <v>28</v>
      </c>
      <c r="H438" s="400"/>
      <c r="I438" s="400"/>
      <c r="J438" s="400"/>
      <c r="K438" s="401"/>
      <c r="L438" s="162">
        <f t="shared" si="879"/>
        <v>0</v>
      </c>
      <c r="M438" s="438"/>
      <c r="N438" s="438"/>
      <c r="O438" s="438"/>
      <c r="P438" s="438"/>
      <c r="Q438" s="438"/>
      <c r="R438" s="439"/>
    </row>
    <row r="439" spans="3:42" outlineLevel="3">
      <c r="D439" s="33" t="s">
        <v>29</v>
      </c>
      <c r="E439" s="34"/>
      <c r="F439" s="34"/>
      <c r="G439" s="34"/>
      <c r="H439" s="402"/>
      <c r="I439" s="402"/>
      <c r="J439" s="402"/>
      <c r="K439" s="403"/>
      <c r="L439" s="163">
        <f t="shared" si="879"/>
        <v>0</v>
      </c>
      <c r="M439" s="440"/>
      <c r="N439" s="440"/>
      <c r="O439" s="440"/>
      <c r="P439" s="440"/>
      <c r="Q439" s="440"/>
      <c r="R439" s="441"/>
      <c r="AB439" s="448"/>
      <c r="AC439" s="448"/>
      <c r="AD439" s="448"/>
      <c r="AE439" s="448"/>
      <c r="AF439" s="448"/>
      <c r="AG439" s="448"/>
    </row>
    <row r="440" spans="3:42" outlineLevel="3">
      <c r="C440" s="1" t="s">
        <v>31</v>
      </c>
      <c r="H440" s="57">
        <f>IFERROR(H446/H434,"NA")</f>
        <v>7.8378881365152531E-2</v>
      </c>
      <c r="I440" s="57">
        <f t="shared" ref="I440:K440" si="880">IFERROR(I446/I434,"NA")</f>
        <v>0.10669166555064506</v>
      </c>
      <c r="J440" s="57">
        <f t="shared" si="880"/>
        <v>0.11813473468535979</v>
      </c>
      <c r="K440" s="57">
        <f t="shared" si="880"/>
        <v>0.25605146168562898</v>
      </c>
      <c r="L440" s="57">
        <f>IFERROR(L446/L434,"NA")</f>
        <v>0.25605146168562898</v>
      </c>
      <c r="M440" s="57">
        <f t="shared" ref="M440:R440" si="881">CHOOSE(case,T440,AB440,AJ440)</f>
        <v>0.25861197630248528</v>
      </c>
      <c r="N440" s="57">
        <f t="shared" si="881"/>
        <v>0.26119809606551014</v>
      </c>
      <c r="O440" s="57">
        <f t="shared" si="881"/>
        <v>0.26381007702616527</v>
      </c>
      <c r="P440" s="57">
        <f t="shared" si="881"/>
        <v>0.26644817779642693</v>
      </c>
      <c r="Q440" s="57">
        <f t="shared" si="881"/>
        <v>0.26911265957439118</v>
      </c>
      <c r="R440" s="57">
        <f t="shared" si="881"/>
        <v>0.27180378617013506</v>
      </c>
      <c r="T440" s="448">
        <f>$L440*(1+$Z440)</f>
        <v>0.26117249091934158</v>
      </c>
      <c r="U440" s="448">
        <f>T440*(1+$Z440)</f>
        <v>0.26639594073772843</v>
      </c>
      <c r="V440" s="448">
        <f t="shared" ref="V440" si="882">U440*(1+$Z440)</f>
        <v>0.27172385955248302</v>
      </c>
      <c r="W440" s="448">
        <f>V440*(1+$Z440)</f>
        <v>0.27715833674353269</v>
      </c>
      <c r="X440" s="448">
        <f t="shared" ref="X440:Y440" si="883">W440*(1+$Z440)</f>
        <v>0.28270150347840334</v>
      </c>
      <c r="Y440" s="448">
        <f t="shared" si="883"/>
        <v>0.28835553354797139</v>
      </c>
      <c r="Z440" s="472">
        <v>0.02</v>
      </c>
      <c r="AB440" s="448">
        <f>$L440*(1+$AH440)</f>
        <v>0.25861197630248528</v>
      </c>
      <c r="AC440" s="448">
        <f>AB440*(1+$AH440)</f>
        <v>0.26119809606551014</v>
      </c>
      <c r="AD440" s="448">
        <f t="shared" ref="AD440:AF440" si="884">AC440*(1+$AH440)</f>
        <v>0.26381007702616527</v>
      </c>
      <c r="AE440" s="448">
        <f t="shared" si="884"/>
        <v>0.26644817779642693</v>
      </c>
      <c r="AF440" s="448">
        <f t="shared" si="884"/>
        <v>0.26911265957439118</v>
      </c>
      <c r="AG440" s="448">
        <f>AF440*(1+$AH440)</f>
        <v>0.27180378617013506</v>
      </c>
      <c r="AH440" s="472">
        <v>0.01</v>
      </c>
      <c r="AJ440" s="448">
        <f>$L440*(1+$AP440)</f>
        <v>0.25605146168562898</v>
      </c>
      <c r="AK440" s="448">
        <f>AJ440*(1+$AP440)</f>
        <v>0.25605146168562898</v>
      </c>
      <c r="AL440" s="448">
        <f t="shared" ref="AL440:AM440" si="885">AK440*(1+$AP440)</f>
        <v>0.25605146168562898</v>
      </c>
      <c r="AM440" s="448">
        <f t="shared" si="885"/>
        <v>0.25605146168562898</v>
      </c>
      <c r="AN440" s="448">
        <f>AM440*(1+$AP440)</f>
        <v>0.25605146168562898</v>
      </c>
      <c r="AO440" s="448">
        <f t="shared" ref="AO440" si="886">AN440*(1+$AP440)</f>
        <v>0.25605146168562898</v>
      </c>
      <c r="AP440" s="472">
        <v>0</v>
      </c>
    </row>
    <row r="441" spans="3:42" outlineLevel="3">
      <c r="D441" s="27" t="s">
        <v>25</v>
      </c>
      <c r="E441" s="28"/>
      <c r="F441" s="28"/>
      <c r="G441" s="28"/>
      <c r="H441" s="50" t="str">
        <f>IFERROR(H447/H435,"NA")</f>
        <v>NA</v>
      </c>
      <c r="I441" s="50" t="str">
        <f t="shared" ref="I441:K441" si="887">IFERROR(I447/I435,"NA")</f>
        <v>NA</v>
      </c>
      <c r="J441" s="50" t="str">
        <f t="shared" si="887"/>
        <v>NA</v>
      </c>
      <c r="K441" s="51" t="str">
        <f t="shared" si="887"/>
        <v>NA</v>
      </c>
      <c r="L441" s="81"/>
      <c r="M441" s="442"/>
      <c r="N441" s="442"/>
      <c r="O441" s="442"/>
      <c r="P441" s="442"/>
      <c r="Q441" s="442"/>
      <c r="R441" s="443"/>
    </row>
    <row r="442" spans="3:42" outlineLevel="3">
      <c r="D442" s="31" t="s">
        <v>26</v>
      </c>
      <c r="H442" s="52" t="str">
        <f t="shared" ref="H442:K442" si="888">IFERROR(H448/H436,"NA")</f>
        <v>NA</v>
      </c>
      <c r="I442" s="52">
        <f t="shared" si="888"/>
        <v>0.32268722466960353</v>
      </c>
      <c r="J442" s="52" t="str">
        <f t="shared" si="888"/>
        <v>NA</v>
      </c>
      <c r="K442" s="53" t="str">
        <f t="shared" si="888"/>
        <v>NA</v>
      </c>
      <c r="L442" s="82"/>
      <c r="M442" s="444"/>
      <c r="N442" s="444"/>
      <c r="O442" s="444"/>
      <c r="P442" s="444"/>
      <c r="Q442" s="444"/>
      <c r="R442" s="445"/>
    </row>
    <row r="443" spans="3:42" outlineLevel="3">
      <c r="D443" s="31" t="s">
        <v>27</v>
      </c>
      <c r="H443" s="52">
        <f t="shared" ref="H443:K443" si="889">IFERROR(H449/H437,"NA")</f>
        <v>7.8378881365152531E-2</v>
      </c>
      <c r="I443" s="52">
        <f t="shared" si="889"/>
        <v>0.10522255015056406</v>
      </c>
      <c r="J443" s="52">
        <f t="shared" si="889"/>
        <v>0.11813473468535979</v>
      </c>
      <c r="K443" s="53">
        <f t="shared" si="889"/>
        <v>0.25605146168562898</v>
      </c>
      <c r="L443" s="82">
        <f t="shared" ref="L443" si="890">K443</f>
        <v>0.25605146168562898</v>
      </c>
      <c r="M443" s="444"/>
      <c r="N443" s="444"/>
      <c r="O443" s="444"/>
      <c r="P443" s="444"/>
      <c r="Q443" s="444"/>
      <c r="R443" s="445"/>
    </row>
    <row r="444" spans="3:42" outlineLevel="3">
      <c r="D444" s="31" t="s">
        <v>28</v>
      </c>
      <c r="H444" s="52" t="str">
        <f t="shared" ref="H444:K444" si="891">IFERROR(H450/H438,"NA")</f>
        <v>NA</v>
      </c>
      <c r="I444" s="52" t="str">
        <f t="shared" si="891"/>
        <v>NA</v>
      </c>
      <c r="J444" s="52" t="str">
        <f t="shared" si="891"/>
        <v>NA</v>
      </c>
      <c r="K444" s="53" t="str">
        <f t="shared" si="891"/>
        <v>NA</v>
      </c>
      <c r="L444" s="82"/>
      <c r="M444" s="444"/>
      <c r="N444" s="444"/>
      <c r="O444" s="444"/>
      <c r="P444" s="444"/>
      <c r="Q444" s="444"/>
      <c r="R444" s="445"/>
    </row>
    <row r="445" spans="3:42" ht="15" outlineLevel="3" thickBot="1">
      <c r="C445" s="37"/>
      <c r="D445" s="38" t="s">
        <v>29</v>
      </c>
      <c r="E445" s="37"/>
      <c r="F445" s="37"/>
      <c r="G445" s="37"/>
      <c r="H445" s="54" t="str">
        <f t="shared" ref="H445:K445" si="892">IFERROR(H451/H439,"NA")</f>
        <v>NA</v>
      </c>
      <c r="I445" s="54" t="str">
        <f t="shared" si="892"/>
        <v>NA</v>
      </c>
      <c r="J445" s="54" t="str">
        <f t="shared" si="892"/>
        <v>NA</v>
      </c>
      <c r="K445" s="55" t="str">
        <f t="shared" si="892"/>
        <v>NA</v>
      </c>
      <c r="L445" s="86"/>
      <c r="M445" s="446"/>
      <c r="N445" s="446"/>
      <c r="O445" s="446"/>
      <c r="P445" s="446"/>
      <c r="Q445" s="446"/>
      <c r="R445" s="447"/>
    </row>
    <row r="446" spans="3:42" outlineLevel="3">
      <c r="C446" s="18" t="s">
        <v>33</v>
      </c>
      <c r="H446" s="23">
        <f>SUM(H447:H451)</f>
        <v>5475</v>
      </c>
      <c r="I446" s="23">
        <f t="shared" ref="I446" si="893">SUM(I447:I451)</f>
        <v>14340</v>
      </c>
      <c r="J446" s="23">
        <f t="shared" ref="J446" si="894">SUM(J447:J451)</f>
        <v>18681</v>
      </c>
      <c r="K446" s="23">
        <f t="shared" ref="K446" si="895">SUM(K447:K451)</f>
        <v>27704</v>
      </c>
      <c r="L446" s="23">
        <f>SUM(L447:L451)</f>
        <v>33244.799999999996</v>
      </c>
      <c r="M446" s="23">
        <f>M434*M440</f>
        <v>36934.972800000003</v>
      </c>
      <c r="N446" s="23">
        <f t="shared" ref="N446:R446" si="896">N434*N440</f>
        <v>41034.754780800009</v>
      </c>
      <c r="O446" s="23">
        <f t="shared" si="896"/>
        <v>45589.612561468814</v>
      </c>
      <c r="P446" s="23">
        <f t="shared" si="896"/>
        <v>50650.059555791857</v>
      </c>
      <c r="Q446" s="23">
        <f t="shared" si="896"/>
        <v>56272.216166484759</v>
      </c>
      <c r="R446" s="23">
        <f t="shared" si="896"/>
        <v>62518.432160964563</v>
      </c>
      <c r="S446" s="144">
        <f>POWER(R446/M446,1/5)-1</f>
        <v>0.11099999999999999</v>
      </c>
    </row>
    <row r="447" spans="3:42" outlineLevel="3">
      <c r="D447" s="27" t="s">
        <v>25</v>
      </c>
      <c r="E447" s="28"/>
      <c r="F447" s="28"/>
      <c r="G447" s="28"/>
      <c r="H447" s="398"/>
      <c r="I447" s="398"/>
      <c r="J447" s="398"/>
      <c r="K447" s="399"/>
      <c r="L447" s="83">
        <f>L441*L435</f>
        <v>0</v>
      </c>
      <c r="M447" s="436"/>
      <c r="N447" s="436"/>
      <c r="O447" s="436"/>
      <c r="P447" s="436"/>
      <c r="Q447" s="436"/>
      <c r="R447" s="437"/>
    </row>
    <row r="448" spans="3:42" outlineLevel="3">
      <c r="D448" s="31" t="s">
        <v>26</v>
      </c>
      <c r="H448" s="400"/>
      <c r="I448" s="400">
        <v>293</v>
      </c>
      <c r="J448" s="400"/>
      <c r="K448" s="401"/>
      <c r="L448" s="84">
        <f>L436*L442</f>
        <v>0</v>
      </c>
      <c r="M448" s="438"/>
      <c r="N448" s="438"/>
      <c r="O448" s="438"/>
      <c r="P448" s="438"/>
      <c r="Q448" s="438"/>
      <c r="R448" s="439"/>
    </row>
    <row r="449" spans="1:42" outlineLevel="3">
      <c r="D449" s="31" t="s">
        <v>27</v>
      </c>
      <c r="H449" s="400">
        <v>5475</v>
      </c>
      <c r="I449" s="400">
        <v>14047</v>
      </c>
      <c r="J449" s="400">
        <v>18681</v>
      </c>
      <c r="K449" s="401">
        <v>27704</v>
      </c>
      <c r="L449" s="84">
        <f t="shared" ref="L449" si="897">L437*L443</f>
        <v>33244.799999999996</v>
      </c>
      <c r="M449" s="438"/>
      <c r="N449" s="438"/>
      <c r="O449" s="438"/>
      <c r="P449" s="438"/>
      <c r="Q449" s="438"/>
      <c r="R449" s="439"/>
    </row>
    <row r="450" spans="1:42" outlineLevel="3">
      <c r="D450" s="31" t="s">
        <v>28</v>
      </c>
      <c r="H450" s="400"/>
      <c r="I450" s="400"/>
      <c r="J450" s="400"/>
      <c r="K450" s="401"/>
      <c r="L450" s="84">
        <f t="shared" ref="L450" si="898">L438*L444</f>
        <v>0</v>
      </c>
      <c r="M450" s="438"/>
      <c r="N450" s="438"/>
      <c r="O450" s="438"/>
      <c r="P450" s="438"/>
      <c r="Q450" s="438"/>
      <c r="R450" s="439"/>
    </row>
    <row r="451" spans="1:42" outlineLevel="3">
      <c r="D451" s="33" t="s">
        <v>29</v>
      </c>
      <c r="E451" s="34"/>
      <c r="F451" s="34"/>
      <c r="G451" s="34"/>
      <c r="H451" s="402"/>
      <c r="I451" s="402"/>
      <c r="J451" s="402"/>
      <c r="K451" s="403"/>
      <c r="L451" s="85">
        <f>L439*L445</f>
        <v>0</v>
      </c>
      <c r="M451" s="440"/>
      <c r="N451" s="440"/>
      <c r="O451" s="440"/>
      <c r="P451" s="440"/>
      <c r="Q451" s="440"/>
      <c r="R451" s="441"/>
    </row>
    <row r="452" spans="1:42" outlineLevel="3">
      <c r="H452" s="43"/>
      <c r="I452" s="43"/>
      <c r="J452" s="43"/>
      <c r="K452" s="43"/>
      <c r="L452" s="144">
        <f>L446/集团!L$9/1000/集团!L$23</f>
        <v>4.4024742464632335E-3</v>
      </c>
      <c r="M452" s="144">
        <f>M446/集团!N$9/1000/集团!N$23</f>
        <v>4.4743049884029499E-3</v>
      </c>
      <c r="R452" s="144">
        <f>R446/集团!S$9/1000/集团!S$23</f>
        <v>4.4924686331526123E-3</v>
      </c>
      <c r="S452" s="526">
        <f>R452-M452</f>
        <v>1.8163644749662373E-5</v>
      </c>
    </row>
    <row r="453" spans="1:42" ht="15" outlineLevel="3" thickBot="1">
      <c r="C453" s="37" t="s">
        <v>34</v>
      </c>
      <c r="D453" s="37"/>
      <c r="E453" s="37"/>
      <c r="F453" s="37"/>
      <c r="G453" s="37"/>
      <c r="H453" s="404">
        <v>-5099</v>
      </c>
      <c r="I453" s="404">
        <v>-12186</v>
      </c>
      <c r="J453" s="404">
        <v>-18076</v>
      </c>
      <c r="K453" s="404">
        <v>-24470</v>
      </c>
      <c r="L453" s="39">
        <f>L454-L446</f>
        <v>-29363.999999999996</v>
      </c>
      <c r="M453" s="39">
        <f t="shared" ref="M453:R453" si="899">M454-M446</f>
        <v>-32613.580982400003</v>
      </c>
      <c r="N453" s="39">
        <f t="shared" si="899"/>
        <v>-36233.68847144641</v>
      </c>
      <c r="O453" s="39">
        <f t="shared" si="899"/>
        <v>-40255.62789177696</v>
      </c>
      <c r="P453" s="39">
        <f t="shared" si="899"/>
        <v>-44724.002587764211</v>
      </c>
      <c r="Q453" s="39">
        <f t="shared" si="899"/>
        <v>-49688.366875006039</v>
      </c>
      <c r="R453" s="39">
        <f t="shared" si="899"/>
        <v>-55203.77559813171</v>
      </c>
    </row>
    <row r="454" spans="1:42" outlineLevel="3">
      <c r="C454" s="18" t="s">
        <v>36</v>
      </c>
      <c r="D454" s="18"/>
      <c r="E454" s="18"/>
      <c r="F454" s="18"/>
      <c r="G454" s="18"/>
      <c r="H454" s="23">
        <f>H453+H446</f>
        <v>376</v>
      </c>
      <c r="I454" s="23">
        <f>I453+I446</f>
        <v>2154</v>
      </c>
      <c r="J454" s="23">
        <f>J453+J446</f>
        <v>605</v>
      </c>
      <c r="K454" s="23">
        <f>K453+K446</f>
        <v>3234</v>
      </c>
      <c r="L454" s="23">
        <f>L455*L446</f>
        <v>3880.7999999999997</v>
      </c>
      <c r="M454" s="23">
        <f t="shared" ref="M454:R454" si="900">M455*M446</f>
        <v>4321.3918176000006</v>
      </c>
      <c r="N454" s="23">
        <f t="shared" si="900"/>
        <v>4801.0663093536014</v>
      </c>
      <c r="O454" s="23">
        <f t="shared" si="900"/>
        <v>5333.9846696918512</v>
      </c>
      <c r="P454" s="23">
        <f t="shared" si="900"/>
        <v>5926.0569680276476</v>
      </c>
      <c r="Q454" s="23">
        <f t="shared" si="900"/>
        <v>6583.8492914787175</v>
      </c>
      <c r="R454" s="23">
        <f t="shared" si="900"/>
        <v>7314.6565628328544</v>
      </c>
    </row>
    <row r="455" spans="1:42" outlineLevel="3">
      <c r="C455" s="22" t="s">
        <v>19</v>
      </c>
      <c r="D455" s="22"/>
      <c r="E455" s="22"/>
      <c r="F455" s="22"/>
      <c r="G455" s="22"/>
      <c r="H455" s="56">
        <f>IFERROR(H454/H446,"NA")</f>
        <v>6.8675799086757985E-2</v>
      </c>
      <c r="I455" s="56">
        <f t="shared" ref="I455" si="901">IFERROR(I454/I446,"NA")</f>
        <v>0.1502092050209205</v>
      </c>
      <c r="J455" s="56">
        <f t="shared" ref="J455" si="902">IFERROR(J454/J446,"NA")</f>
        <v>3.2385846582088755E-2</v>
      </c>
      <c r="K455" s="56">
        <f t="shared" ref="K455" si="903">IFERROR(K454/K446,"NA")</f>
        <v>0.11673404562518049</v>
      </c>
      <c r="L455" s="79">
        <f>K455</f>
        <v>0.11673404562518049</v>
      </c>
      <c r="M455" s="65">
        <f t="shared" ref="M455:R455" si="904">CHOOSE(case,T455,AB455,AJ455)</f>
        <v>0.11700000000000001</v>
      </c>
      <c r="N455" s="65">
        <f t="shared" si="904"/>
        <v>0.11700000000000001</v>
      </c>
      <c r="O455" s="65">
        <f t="shared" si="904"/>
        <v>0.11700000000000001</v>
      </c>
      <c r="P455" s="65">
        <f t="shared" si="904"/>
        <v>0.11700000000000001</v>
      </c>
      <c r="Q455" s="65">
        <f t="shared" si="904"/>
        <v>0.11700000000000001</v>
      </c>
      <c r="R455" s="65">
        <f t="shared" si="904"/>
        <v>0.11700000000000001</v>
      </c>
      <c r="T455" s="471">
        <f>AB455+1%</f>
        <v>0.127</v>
      </c>
      <c r="U455" s="79">
        <f t="shared" ref="U455" si="905">T455</f>
        <v>0.127</v>
      </c>
      <c r="V455" s="79">
        <f t="shared" ref="V455" si="906">U455</f>
        <v>0.127</v>
      </c>
      <c r="W455" s="79">
        <f t="shared" ref="W455" si="907">V455</f>
        <v>0.127</v>
      </c>
      <c r="X455" s="79">
        <f t="shared" ref="X455" si="908">W455</f>
        <v>0.127</v>
      </c>
      <c r="Y455" s="79">
        <f t="shared" ref="Y455" si="909">X455</f>
        <v>0.127</v>
      </c>
      <c r="AB455" s="471">
        <v>0.11700000000000001</v>
      </c>
      <c r="AC455" s="79">
        <f t="shared" ref="AC455" si="910">AB455</f>
        <v>0.11700000000000001</v>
      </c>
      <c r="AD455" s="79">
        <f t="shared" ref="AD455" si="911">AC455</f>
        <v>0.11700000000000001</v>
      </c>
      <c r="AE455" s="79">
        <f t="shared" ref="AE455" si="912">AD455</f>
        <v>0.11700000000000001</v>
      </c>
      <c r="AF455" s="79">
        <f t="shared" ref="AF455" si="913">AE455</f>
        <v>0.11700000000000001</v>
      </c>
      <c r="AG455" s="79">
        <f t="shared" ref="AG455" si="914">AF455</f>
        <v>0.11700000000000001</v>
      </c>
      <c r="AJ455" s="471">
        <f>AB455-1%</f>
        <v>0.10700000000000001</v>
      </c>
      <c r="AK455" s="79">
        <f t="shared" ref="AK455" si="915">AJ455</f>
        <v>0.10700000000000001</v>
      </c>
      <c r="AL455" s="79">
        <f t="shared" ref="AL455" si="916">AK455</f>
        <v>0.10700000000000001</v>
      </c>
      <c r="AM455" s="79">
        <f t="shared" ref="AM455" si="917">AL455</f>
        <v>0.10700000000000001</v>
      </c>
      <c r="AN455" s="79">
        <f t="shared" ref="AN455" si="918">AM455</f>
        <v>0.10700000000000001</v>
      </c>
      <c r="AO455" s="79">
        <f t="shared" ref="AO455" si="919">AN455</f>
        <v>0.10700000000000001</v>
      </c>
    </row>
    <row r="456" spans="1:42" outlineLevel="3"/>
    <row r="457" spans="1:42" s="26" customFormat="1" outlineLevel="3">
      <c r="A457" s="26" t="s">
        <v>8</v>
      </c>
      <c r="C457" s="26" t="s">
        <v>56</v>
      </c>
    </row>
    <row r="458" spans="1:42" outlineLevel="3"/>
    <row r="459" spans="1:42" s="18" customFormat="1" outlineLevel="3">
      <c r="C459" s="18" t="s">
        <v>24</v>
      </c>
      <c r="H459" s="23">
        <f>SUM(H460:H464)</f>
        <v>260201</v>
      </c>
      <c r="I459" s="23">
        <f t="shared" ref="I459" si="920">SUM(I460:I464)</f>
        <v>248465</v>
      </c>
      <c r="J459" s="23">
        <f t="shared" ref="J459" si="921">SUM(J460:J464)</f>
        <v>192942</v>
      </c>
      <c r="K459" s="23">
        <f t="shared" ref="K459" si="922">SUM(K460:K464)</f>
        <v>248303</v>
      </c>
      <c r="L459" s="23">
        <f>SUM(L460:L464)</f>
        <v>297963.59999999998</v>
      </c>
      <c r="M459" s="23">
        <f t="shared" ref="M459:R459" si="923">CHOOSE(case,T459,AB459,AJ459)</f>
        <v>327759.96000000002</v>
      </c>
      <c r="N459" s="23">
        <f t="shared" si="923"/>
        <v>360535.95600000006</v>
      </c>
      <c r="O459" s="23">
        <f t="shared" si="923"/>
        <v>396589.55160000012</v>
      </c>
      <c r="P459" s="23">
        <f t="shared" si="923"/>
        <v>436248.50676000019</v>
      </c>
      <c r="Q459" s="23">
        <f t="shared" si="923"/>
        <v>479873.35743600025</v>
      </c>
      <c r="R459" s="23">
        <f t="shared" si="923"/>
        <v>527860.69317960029</v>
      </c>
      <c r="T459" s="20">
        <f>$L459*(1+$Z459)</f>
        <v>342658.13999999996</v>
      </c>
      <c r="U459" s="20">
        <f>T459*(1+$Z459)</f>
        <v>394056.86099999992</v>
      </c>
      <c r="V459" s="20">
        <f>U459*(1+$Z459)</f>
        <v>453165.39014999988</v>
      </c>
      <c r="W459" s="20">
        <f>V459*(1+$Z459)</f>
        <v>521140.1986724998</v>
      </c>
      <c r="X459" s="20">
        <f>W459*(1+$Z459)</f>
        <v>599311.22847337474</v>
      </c>
      <c r="Y459" s="20">
        <f t="shared" ref="Y459" si="924">X459*(1+$Z459)</f>
        <v>689207.91274438088</v>
      </c>
      <c r="Z459" s="472">
        <v>0.15</v>
      </c>
      <c r="AA459" s="1"/>
      <c r="AB459" s="20">
        <f>$L459*(1+$AH459)</f>
        <v>327759.96000000002</v>
      </c>
      <c r="AC459" s="20">
        <f>AB459*(1+$AH459)</f>
        <v>360535.95600000006</v>
      </c>
      <c r="AD459" s="20">
        <f t="shared" ref="AD459" si="925">AC459*(1+$AH459)</f>
        <v>396589.55160000012</v>
      </c>
      <c r="AE459" s="20">
        <f>AD459*(1+$AH459)</f>
        <v>436248.50676000019</v>
      </c>
      <c r="AF459" s="20">
        <f t="shared" ref="AF459" si="926">AE459*(1+$AH459)</f>
        <v>479873.35743600025</v>
      </c>
      <c r="AG459" s="20">
        <f>AF459*(1+$AH459)</f>
        <v>527860.69317960029</v>
      </c>
      <c r="AH459" s="472">
        <v>0.1</v>
      </c>
      <c r="AI459" s="1"/>
      <c r="AJ459" s="20">
        <f>$L459*(1+$AP459)</f>
        <v>312861.77999999997</v>
      </c>
      <c r="AK459" s="20">
        <f>AJ459*(1+$AP459)</f>
        <v>328504.86900000001</v>
      </c>
      <c r="AL459" s="20">
        <f t="shared" ref="AL459:AM459" si="927">AK459*(1+$AP459)</f>
        <v>344930.11245000002</v>
      </c>
      <c r="AM459" s="20">
        <f t="shared" si="927"/>
        <v>362176.61807250004</v>
      </c>
      <c r="AN459" s="20">
        <f>AM459*(1+$AP459)</f>
        <v>380285.44897612504</v>
      </c>
      <c r="AO459" s="20">
        <f t="shared" ref="AO459" si="928">AN459*(1+$AP459)</f>
        <v>399299.72142493131</v>
      </c>
      <c r="AP459" s="472">
        <v>0.05</v>
      </c>
    </row>
    <row r="460" spans="1:42" outlineLevel="3">
      <c r="D460" s="27" t="s">
        <v>25</v>
      </c>
      <c r="E460" s="28"/>
      <c r="F460" s="28"/>
      <c r="G460" s="28"/>
      <c r="H460" s="398">
        <v>9216</v>
      </c>
      <c r="I460" s="398">
        <v>28120</v>
      </c>
      <c r="J460" s="398">
        <v>27228</v>
      </c>
      <c r="K460" s="399">
        <v>30926</v>
      </c>
      <c r="L460" s="159">
        <f>K460*1.2</f>
        <v>37111.199999999997</v>
      </c>
      <c r="M460" s="436"/>
      <c r="N460" s="436"/>
      <c r="O460" s="436"/>
      <c r="P460" s="436"/>
      <c r="Q460" s="436"/>
      <c r="R460" s="437"/>
    </row>
    <row r="461" spans="1:42" outlineLevel="3">
      <c r="D461" s="31" t="s">
        <v>26</v>
      </c>
      <c r="H461" s="400">
        <v>0</v>
      </c>
      <c r="I461" s="400">
        <v>886</v>
      </c>
      <c r="J461" s="400">
        <v>716</v>
      </c>
      <c r="K461" s="401">
        <v>631</v>
      </c>
      <c r="L461" s="162">
        <f t="shared" ref="L461:L464" si="929">K461*1.2</f>
        <v>757.19999999999993</v>
      </c>
      <c r="M461" s="438"/>
      <c r="N461" s="438"/>
      <c r="O461" s="438"/>
      <c r="P461" s="438"/>
      <c r="Q461" s="438"/>
      <c r="R461" s="439"/>
    </row>
    <row r="462" spans="1:42" outlineLevel="3">
      <c r="D462" s="31" t="s">
        <v>27</v>
      </c>
      <c r="H462" s="400">
        <v>58163</v>
      </c>
      <c r="I462" s="400">
        <v>28640</v>
      </c>
      <c r="J462" s="400">
        <v>36620</v>
      </c>
      <c r="K462" s="401">
        <v>52754</v>
      </c>
      <c r="L462" s="162">
        <f t="shared" si="929"/>
        <v>63304.799999999996</v>
      </c>
      <c r="M462" s="438"/>
      <c r="N462" s="438"/>
      <c r="O462" s="438"/>
      <c r="P462" s="438"/>
      <c r="Q462" s="438"/>
      <c r="R462" s="439"/>
    </row>
    <row r="463" spans="1:42" outlineLevel="3">
      <c r="D463" s="31" t="s">
        <v>28</v>
      </c>
      <c r="H463" s="400">
        <v>192822</v>
      </c>
      <c r="I463" s="400">
        <v>190371</v>
      </c>
      <c r="J463" s="400">
        <v>128378</v>
      </c>
      <c r="K463" s="401">
        <v>163010</v>
      </c>
      <c r="L463" s="162">
        <f t="shared" si="929"/>
        <v>195612</v>
      </c>
      <c r="M463" s="438"/>
      <c r="N463" s="438"/>
      <c r="O463" s="438"/>
      <c r="P463" s="438"/>
      <c r="Q463" s="438"/>
      <c r="R463" s="439"/>
    </row>
    <row r="464" spans="1:42" outlineLevel="3">
      <c r="D464" s="33" t="s">
        <v>29</v>
      </c>
      <c r="E464" s="34"/>
      <c r="F464" s="34"/>
      <c r="G464" s="34"/>
      <c r="H464" s="402"/>
      <c r="I464" s="402">
        <v>448</v>
      </c>
      <c r="J464" s="402"/>
      <c r="K464" s="403">
        <v>982</v>
      </c>
      <c r="L464" s="163">
        <f t="shared" si="929"/>
        <v>1178.3999999999999</v>
      </c>
      <c r="M464" s="440"/>
      <c r="N464" s="440"/>
      <c r="O464" s="440"/>
      <c r="P464" s="440"/>
      <c r="Q464" s="440"/>
      <c r="R464" s="441"/>
      <c r="AB464" s="448"/>
      <c r="AC464" s="448"/>
      <c r="AD464" s="448"/>
      <c r="AE464" s="448"/>
      <c r="AF464" s="448"/>
      <c r="AG464" s="448"/>
    </row>
    <row r="465" spans="3:42" outlineLevel="3">
      <c r="C465" s="1" t="s">
        <v>31</v>
      </c>
      <c r="H465" s="57">
        <f>IFERROR(H471/H459,"NA")</f>
        <v>5.786680297154892E-2</v>
      </c>
      <c r="I465" s="57">
        <f t="shared" ref="I465:K465" si="930">IFERROR(I471/I459,"NA")</f>
        <v>9.0201839293260616E-2</v>
      </c>
      <c r="J465" s="57">
        <f t="shared" si="930"/>
        <v>0.11146354863119487</v>
      </c>
      <c r="K465" s="57">
        <f t="shared" si="930"/>
        <v>0.11140018445206058</v>
      </c>
      <c r="L465" s="57">
        <f>IFERROR(L471/L459,"NA")</f>
        <v>0.11140018445206058</v>
      </c>
      <c r="M465" s="57">
        <f t="shared" ref="M465:R465" si="931">CHOOSE(case,T465,AB465,AJ465)</f>
        <v>0.11251418629658119</v>
      </c>
      <c r="N465" s="57">
        <f t="shared" si="931"/>
        <v>0.113639328159547</v>
      </c>
      <c r="O465" s="57">
        <f t="shared" si="931"/>
        <v>0.11477572144114247</v>
      </c>
      <c r="P465" s="57">
        <f t="shared" si="931"/>
        <v>0.1159234786555539</v>
      </c>
      <c r="Q465" s="57">
        <f t="shared" si="931"/>
        <v>0.11708271344210944</v>
      </c>
      <c r="R465" s="57">
        <f t="shared" si="931"/>
        <v>0.11825354057653054</v>
      </c>
      <c r="T465" s="448">
        <f>$L465*(1+$Z465)</f>
        <v>0.1136281881411018</v>
      </c>
      <c r="U465" s="448">
        <f>T465*(1+$Z465)</f>
        <v>0.11590075190392383</v>
      </c>
      <c r="V465" s="448">
        <f t="shared" ref="V465" si="932">U465*(1+$Z465)</f>
        <v>0.11821876694200231</v>
      </c>
      <c r="W465" s="448">
        <f>V465*(1+$Z465)</f>
        <v>0.12058314228084237</v>
      </c>
      <c r="X465" s="448">
        <f t="shared" ref="X465:Y465" si="933">W465*(1+$Z465)</f>
        <v>0.12299480512645922</v>
      </c>
      <c r="Y465" s="448">
        <f t="shared" si="933"/>
        <v>0.12545470122898841</v>
      </c>
      <c r="Z465" s="472">
        <v>0.02</v>
      </c>
      <c r="AB465" s="448">
        <f>$L465*(1+$AH465)</f>
        <v>0.11251418629658119</v>
      </c>
      <c r="AC465" s="448">
        <f>AB465*(1+$AH465)</f>
        <v>0.113639328159547</v>
      </c>
      <c r="AD465" s="448">
        <f t="shared" ref="AD465:AF465" si="934">AC465*(1+$AH465)</f>
        <v>0.11477572144114247</v>
      </c>
      <c r="AE465" s="448">
        <f t="shared" si="934"/>
        <v>0.1159234786555539</v>
      </c>
      <c r="AF465" s="448">
        <f t="shared" si="934"/>
        <v>0.11708271344210944</v>
      </c>
      <c r="AG465" s="448">
        <f>AF465*(1+$AH465)</f>
        <v>0.11825354057653054</v>
      </c>
      <c r="AH465" s="472">
        <v>0.01</v>
      </c>
      <c r="AJ465" s="448">
        <f>$L465*(1+$AP465)</f>
        <v>0.11140018445206058</v>
      </c>
      <c r="AK465" s="448">
        <f>AJ465*(1+$AP465)</f>
        <v>0.11140018445206058</v>
      </c>
      <c r="AL465" s="448">
        <f t="shared" ref="AL465:AM465" si="935">AK465*(1+$AP465)</f>
        <v>0.11140018445206058</v>
      </c>
      <c r="AM465" s="448">
        <f t="shared" si="935"/>
        <v>0.11140018445206058</v>
      </c>
      <c r="AN465" s="448">
        <f>AM465*(1+$AP465)</f>
        <v>0.11140018445206058</v>
      </c>
      <c r="AO465" s="448">
        <f t="shared" ref="AO465" si="936">AN465*(1+$AP465)</f>
        <v>0.11140018445206058</v>
      </c>
      <c r="AP465" s="472">
        <v>0</v>
      </c>
    </row>
    <row r="466" spans="3:42" outlineLevel="3">
      <c r="D466" s="27" t="s">
        <v>25</v>
      </c>
      <c r="E466" s="28"/>
      <c r="F466" s="28"/>
      <c r="G466" s="28"/>
      <c r="H466" s="50">
        <f>IFERROR(H472/H460,"NA")</f>
        <v>0.13530815972222221</v>
      </c>
      <c r="I466" s="50">
        <f t="shared" ref="I466:K466" si="937">IFERROR(I472/I460,"NA")</f>
        <v>0.17752489331436699</v>
      </c>
      <c r="J466" s="50">
        <f t="shared" si="937"/>
        <v>0.18400176289114148</v>
      </c>
      <c r="K466" s="51">
        <f t="shared" si="937"/>
        <v>0.18628338614757808</v>
      </c>
      <c r="L466" s="81">
        <f>K466</f>
        <v>0.18628338614757808</v>
      </c>
      <c r="M466" s="442"/>
      <c r="N466" s="442"/>
      <c r="O466" s="442"/>
      <c r="P466" s="442"/>
      <c r="Q466" s="442"/>
      <c r="R466" s="443"/>
    </row>
    <row r="467" spans="3:42" outlineLevel="3">
      <c r="D467" s="31" t="s">
        <v>26</v>
      </c>
      <c r="H467" s="52" t="str">
        <f t="shared" ref="H467:K467" si="938">IFERROR(H473/H461,"NA")</f>
        <v>NA</v>
      </c>
      <c r="I467" s="52">
        <f t="shared" si="938"/>
        <v>0.54853273137697522</v>
      </c>
      <c r="J467" s="52">
        <f t="shared" si="938"/>
        <v>0.48603351955307261</v>
      </c>
      <c r="K467" s="53">
        <f t="shared" si="938"/>
        <v>0.57052297939778129</v>
      </c>
      <c r="L467" s="82">
        <f>K467</f>
        <v>0.57052297939778129</v>
      </c>
      <c r="M467" s="444"/>
      <c r="N467" s="444"/>
      <c r="O467" s="444"/>
      <c r="P467" s="444"/>
      <c r="Q467" s="444"/>
      <c r="R467" s="445"/>
    </row>
    <row r="468" spans="3:42" outlineLevel="3">
      <c r="D468" s="31" t="s">
        <v>27</v>
      </c>
      <c r="H468" s="52">
        <f t="shared" ref="H468:K468" si="939">IFERROR(H474/H462,"NA")</f>
        <v>6.1121331430634598E-2</v>
      </c>
      <c r="I468" s="52">
        <f t="shared" si="939"/>
        <v>9.5041899441340782E-2</v>
      </c>
      <c r="J468" s="52">
        <f t="shared" si="939"/>
        <v>0.14492080830147461</v>
      </c>
      <c r="K468" s="53">
        <f t="shared" si="939"/>
        <v>0.13917428062327028</v>
      </c>
      <c r="L468" s="82">
        <f t="shared" ref="L468" si="940">K468</f>
        <v>0.13917428062327028</v>
      </c>
      <c r="M468" s="444"/>
      <c r="N468" s="444"/>
      <c r="O468" s="444"/>
      <c r="P468" s="444"/>
      <c r="Q468" s="444"/>
      <c r="R468" s="445"/>
    </row>
    <row r="469" spans="3:42" outlineLevel="3">
      <c r="D469" s="31" t="s">
        <v>28</v>
      </c>
      <c r="H469" s="52">
        <f t="shared" ref="H469:K469" si="941">IFERROR(H475/H463,"NA")</f>
        <v>5.3183765337980103E-2</v>
      </c>
      <c r="I469" s="52">
        <f t="shared" si="941"/>
        <v>7.3146645234830929E-2</v>
      </c>
      <c r="J469" s="52">
        <f t="shared" si="941"/>
        <v>8.4445933103802828E-2</v>
      </c>
      <c r="K469" s="53">
        <f t="shared" si="941"/>
        <v>8.3835347524691739E-2</v>
      </c>
      <c r="L469" s="82">
        <f>K469</f>
        <v>8.3835347524691739E-2</v>
      </c>
      <c r="M469" s="444"/>
      <c r="N469" s="444"/>
      <c r="O469" s="444"/>
      <c r="P469" s="444"/>
      <c r="Q469" s="444"/>
      <c r="R469" s="445"/>
    </row>
    <row r="470" spans="3:42" ht="15" outlineLevel="3" thickBot="1">
      <c r="C470" s="37"/>
      <c r="D470" s="38" t="s">
        <v>29</v>
      </c>
      <c r="E470" s="37"/>
      <c r="F470" s="37"/>
      <c r="G470" s="37"/>
      <c r="H470" s="54" t="str">
        <f t="shared" ref="H470:K470" si="942">IFERROR(H476/H464,"NA")</f>
        <v>NA</v>
      </c>
      <c r="I470" s="54">
        <f t="shared" si="942"/>
        <v>0.640625</v>
      </c>
      <c r="J470" s="54" t="str">
        <f t="shared" si="942"/>
        <v>NA</v>
      </c>
      <c r="K470" s="55">
        <f t="shared" si="942"/>
        <v>0.5417515274949084</v>
      </c>
      <c r="L470" s="86">
        <f>K470</f>
        <v>0.5417515274949084</v>
      </c>
      <c r="M470" s="446"/>
      <c r="N470" s="446"/>
      <c r="O470" s="446"/>
      <c r="P470" s="446"/>
      <c r="Q470" s="446"/>
      <c r="R470" s="447"/>
    </row>
    <row r="471" spans="3:42" outlineLevel="3">
      <c r="C471" s="18" t="s">
        <v>33</v>
      </c>
      <c r="H471" s="23">
        <f>SUM(H472:H476)</f>
        <v>15057</v>
      </c>
      <c r="I471" s="23">
        <f t="shared" ref="I471" si="943">SUM(I472:I476)</f>
        <v>22412</v>
      </c>
      <c r="J471" s="23">
        <f t="shared" ref="J471" si="944">SUM(J472:J476)</f>
        <v>21506</v>
      </c>
      <c r="K471" s="23">
        <f t="shared" ref="K471" si="945">SUM(K472:K476)</f>
        <v>27661</v>
      </c>
      <c r="L471" s="23">
        <f>SUM(L472:L476)</f>
        <v>33193.199999999997</v>
      </c>
      <c r="M471" s="23">
        <f>M459*M465</f>
        <v>36877.645199999999</v>
      </c>
      <c r="N471" s="23">
        <f t="shared" ref="N471:R471" si="946">N459*N465</f>
        <v>40971.063817200004</v>
      </c>
      <c r="O471" s="23">
        <f t="shared" si="946"/>
        <v>45518.851900909212</v>
      </c>
      <c r="P471" s="23">
        <f t="shared" si="946"/>
        <v>50571.444461910141</v>
      </c>
      <c r="Q471" s="23">
        <f t="shared" si="946"/>
        <v>56184.874797182172</v>
      </c>
      <c r="R471" s="23">
        <f t="shared" si="946"/>
        <v>62421.395899669398</v>
      </c>
      <c r="S471" s="144">
        <f>POWER(R471/M471,1/5)-1</f>
        <v>0.11100000000000021</v>
      </c>
    </row>
    <row r="472" spans="3:42" outlineLevel="3">
      <c r="D472" s="27" t="s">
        <v>25</v>
      </c>
      <c r="E472" s="28"/>
      <c r="F472" s="28"/>
      <c r="G472" s="28"/>
      <c r="H472" s="398">
        <v>1247</v>
      </c>
      <c r="I472" s="398">
        <v>4992</v>
      </c>
      <c r="J472" s="398">
        <v>5010</v>
      </c>
      <c r="K472" s="399">
        <v>5761</v>
      </c>
      <c r="L472" s="83">
        <f>L466*L460</f>
        <v>6913.1999999999989</v>
      </c>
      <c r="M472" s="436"/>
      <c r="N472" s="436"/>
      <c r="O472" s="436"/>
      <c r="P472" s="436"/>
      <c r="Q472" s="436"/>
      <c r="R472" s="437"/>
    </row>
    <row r="473" spans="3:42" outlineLevel="3">
      <c r="D473" s="31" t="s">
        <v>26</v>
      </c>
      <c r="H473" s="400"/>
      <c r="I473" s="400">
        <v>486</v>
      </c>
      <c r="J473" s="400">
        <v>348</v>
      </c>
      <c r="K473" s="401">
        <v>360</v>
      </c>
      <c r="L473" s="84">
        <f>L461*L467</f>
        <v>431.99999999999994</v>
      </c>
      <c r="M473" s="438"/>
      <c r="N473" s="438"/>
      <c r="O473" s="438"/>
      <c r="P473" s="438"/>
      <c r="Q473" s="438"/>
      <c r="R473" s="439"/>
    </row>
    <row r="474" spans="3:42" outlineLevel="3">
      <c r="D474" s="31" t="s">
        <v>27</v>
      </c>
      <c r="H474" s="400">
        <v>3555</v>
      </c>
      <c r="I474" s="400">
        <v>2722</v>
      </c>
      <c r="J474" s="400">
        <v>5307</v>
      </c>
      <c r="K474" s="401">
        <v>7342</v>
      </c>
      <c r="L474" s="84">
        <f t="shared" ref="L474" si="947">L462*L468</f>
        <v>8810.4</v>
      </c>
      <c r="M474" s="438"/>
      <c r="N474" s="438"/>
      <c r="O474" s="438"/>
      <c r="P474" s="438"/>
      <c r="Q474" s="438"/>
      <c r="R474" s="439"/>
    </row>
    <row r="475" spans="3:42" outlineLevel="3">
      <c r="D475" s="31" t="s">
        <v>28</v>
      </c>
      <c r="H475" s="400">
        <v>10255</v>
      </c>
      <c r="I475" s="400">
        <v>13925</v>
      </c>
      <c r="J475" s="400">
        <v>10841</v>
      </c>
      <c r="K475" s="401">
        <v>13666</v>
      </c>
      <c r="L475" s="84">
        <f t="shared" ref="L475" si="948">L463*L469</f>
        <v>16399.2</v>
      </c>
      <c r="M475" s="438"/>
      <c r="N475" s="438"/>
      <c r="O475" s="438"/>
      <c r="P475" s="438"/>
      <c r="Q475" s="438"/>
      <c r="R475" s="439"/>
    </row>
    <row r="476" spans="3:42" outlineLevel="3">
      <c r="D476" s="33" t="s">
        <v>29</v>
      </c>
      <c r="E476" s="34"/>
      <c r="F476" s="34"/>
      <c r="G476" s="34"/>
      <c r="H476" s="402"/>
      <c r="I476" s="402">
        <v>287</v>
      </c>
      <c r="J476" s="402"/>
      <c r="K476" s="403">
        <v>532</v>
      </c>
      <c r="L476" s="85">
        <f>L464*L470</f>
        <v>638.4</v>
      </c>
      <c r="M476" s="440"/>
      <c r="N476" s="440"/>
      <c r="O476" s="440"/>
      <c r="P476" s="440"/>
      <c r="Q476" s="440"/>
      <c r="R476" s="441"/>
    </row>
    <row r="477" spans="3:42" outlineLevel="3">
      <c r="H477" s="43"/>
      <c r="I477" s="43"/>
      <c r="J477" s="43"/>
      <c r="K477" s="43"/>
      <c r="L477" s="144">
        <f>L471/集团!L$9/1000/集团!L$23</f>
        <v>4.3956410674061324E-3</v>
      </c>
      <c r="M477" s="144">
        <f>M471/集团!N$9/1000/集团!N$23</f>
        <v>4.4673603192396036E-3</v>
      </c>
      <c r="R477" s="144">
        <f>R471/集团!S$9/1000/集团!S$23</f>
        <v>4.485495771788711E-3</v>
      </c>
      <c r="S477" s="526">
        <f>R477-M477</f>
        <v>1.8135452549107416E-5</v>
      </c>
    </row>
    <row r="478" spans="3:42" ht="15" outlineLevel="3" thickBot="1">
      <c r="C478" s="37" t="s">
        <v>34</v>
      </c>
      <c r="D478" s="37"/>
      <c r="E478" s="37"/>
      <c r="F478" s="37"/>
      <c r="G478" s="37"/>
      <c r="H478" s="404">
        <v>-10742</v>
      </c>
      <c r="I478" s="404">
        <v>-16986</v>
      </c>
      <c r="J478" s="404">
        <v>-15846</v>
      </c>
      <c r="K478" s="404">
        <v>-20495</v>
      </c>
      <c r="L478" s="39">
        <f>L479-L471</f>
        <v>-24594</v>
      </c>
      <c r="M478" s="39">
        <f t="shared" ref="M478:R478" si="949">M479-M471</f>
        <v>-27326.335093199999</v>
      </c>
      <c r="N478" s="39">
        <f t="shared" si="949"/>
        <v>-30359.558288545202</v>
      </c>
      <c r="O478" s="39">
        <f t="shared" si="949"/>
        <v>-33729.469258573728</v>
      </c>
      <c r="P478" s="39">
        <f t="shared" si="949"/>
        <v>-37473.440346275413</v>
      </c>
      <c r="Q478" s="39">
        <f t="shared" si="949"/>
        <v>-41632.99222471199</v>
      </c>
      <c r="R478" s="39">
        <f t="shared" si="949"/>
        <v>-46254.254361655025</v>
      </c>
    </row>
    <row r="479" spans="3:42" outlineLevel="3">
      <c r="C479" s="18" t="s">
        <v>36</v>
      </c>
      <c r="D479" s="18"/>
      <c r="E479" s="18"/>
      <c r="F479" s="18"/>
      <c r="G479" s="18"/>
      <c r="H479" s="23">
        <f>H478+H471</f>
        <v>4315</v>
      </c>
      <c r="I479" s="23">
        <f>I478+I471</f>
        <v>5426</v>
      </c>
      <c r="J479" s="23">
        <f>J478+J471</f>
        <v>5660</v>
      </c>
      <c r="K479" s="23">
        <f>K478+K471</f>
        <v>7166</v>
      </c>
      <c r="L479" s="23">
        <f>L480*L471</f>
        <v>8599.1999999999989</v>
      </c>
      <c r="M479" s="23">
        <f t="shared" ref="M479:R479" si="950">M480*M471</f>
        <v>9551.3101067999996</v>
      </c>
      <c r="N479" s="23">
        <f t="shared" si="950"/>
        <v>10611.505528654801</v>
      </c>
      <c r="O479" s="23">
        <f t="shared" si="950"/>
        <v>11789.382642335486</v>
      </c>
      <c r="P479" s="23">
        <f t="shared" si="950"/>
        <v>13098.004115634727</v>
      </c>
      <c r="Q479" s="23">
        <f t="shared" si="950"/>
        <v>14551.882572470184</v>
      </c>
      <c r="R479" s="23">
        <f t="shared" si="950"/>
        <v>16167.141538014375</v>
      </c>
    </row>
    <row r="480" spans="3:42" outlineLevel="3">
      <c r="C480" s="22" t="s">
        <v>19</v>
      </c>
      <c r="D480" s="22"/>
      <c r="E480" s="22"/>
      <c r="F480" s="22"/>
      <c r="G480" s="22"/>
      <c r="H480" s="56">
        <f>IFERROR(H479/H471,"NA")</f>
        <v>0.28657767151490998</v>
      </c>
      <c r="I480" s="56">
        <f t="shared" ref="I480" si="951">IFERROR(I479/I471,"NA")</f>
        <v>0.24210244511868642</v>
      </c>
      <c r="J480" s="56">
        <f t="shared" ref="J480" si="952">IFERROR(J479/J471,"NA")</f>
        <v>0.26318236771133635</v>
      </c>
      <c r="K480" s="56">
        <f t="shared" ref="K480" si="953">IFERROR(K479/K471,"NA")</f>
        <v>0.25906510972126823</v>
      </c>
      <c r="L480" s="79">
        <f>K480</f>
        <v>0.25906510972126823</v>
      </c>
      <c r="M480" s="65">
        <f t="shared" ref="M480:R480" si="954">CHOOSE(case,T480,AB480,AJ480)</f>
        <v>0.25900000000000001</v>
      </c>
      <c r="N480" s="65">
        <f t="shared" si="954"/>
        <v>0.25900000000000001</v>
      </c>
      <c r="O480" s="65">
        <f t="shared" si="954"/>
        <v>0.25900000000000001</v>
      </c>
      <c r="P480" s="65">
        <f t="shared" si="954"/>
        <v>0.25900000000000001</v>
      </c>
      <c r="Q480" s="65">
        <f t="shared" si="954"/>
        <v>0.25900000000000001</v>
      </c>
      <c r="R480" s="65">
        <f t="shared" si="954"/>
        <v>0.25900000000000001</v>
      </c>
      <c r="T480" s="471">
        <f>AB480+1%</f>
        <v>0.26900000000000002</v>
      </c>
      <c r="U480" s="79">
        <f t="shared" ref="U480" si="955">T480</f>
        <v>0.26900000000000002</v>
      </c>
      <c r="V480" s="79">
        <f t="shared" ref="V480" si="956">U480</f>
        <v>0.26900000000000002</v>
      </c>
      <c r="W480" s="79">
        <f t="shared" ref="W480" si="957">V480</f>
        <v>0.26900000000000002</v>
      </c>
      <c r="X480" s="79">
        <f t="shared" ref="X480" si="958">W480</f>
        <v>0.26900000000000002</v>
      </c>
      <c r="Y480" s="79">
        <f t="shared" ref="Y480" si="959">X480</f>
        <v>0.26900000000000002</v>
      </c>
      <c r="AB480" s="471">
        <v>0.25900000000000001</v>
      </c>
      <c r="AC480" s="79">
        <f t="shared" ref="AC480" si="960">AB480</f>
        <v>0.25900000000000001</v>
      </c>
      <c r="AD480" s="79">
        <f t="shared" ref="AD480" si="961">AC480</f>
        <v>0.25900000000000001</v>
      </c>
      <c r="AE480" s="79">
        <f t="shared" ref="AE480" si="962">AD480</f>
        <v>0.25900000000000001</v>
      </c>
      <c r="AF480" s="79">
        <f t="shared" ref="AF480" si="963">AE480</f>
        <v>0.25900000000000001</v>
      </c>
      <c r="AG480" s="79">
        <f t="shared" ref="AG480" si="964">AF480</f>
        <v>0.25900000000000001</v>
      </c>
      <c r="AJ480" s="471">
        <f>AB480-1%</f>
        <v>0.249</v>
      </c>
      <c r="AK480" s="79">
        <f t="shared" ref="AK480" si="965">AJ480</f>
        <v>0.249</v>
      </c>
      <c r="AL480" s="79">
        <f t="shared" ref="AL480" si="966">AK480</f>
        <v>0.249</v>
      </c>
      <c r="AM480" s="79">
        <f t="shared" ref="AM480" si="967">AL480</f>
        <v>0.249</v>
      </c>
      <c r="AN480" s="79">
        <f t="shared" ref="AN480" si="968">AM480</f>
        <v>0.249</v>
      </c>
      <c r="AO480" s="79">
        <f t="shared" ref="AO480" si="969">AN480</f>
        <v>0.249</v>
      </c>
    </row>
    <row r="481" spans="1:42" outlineLevel="3"/>
    <row r="482" spans="1:42" s="26" customFormat="1" outlineLevel="3">
      <c r="A482" s="26" t="s">
        <v>8</v>
      </c>
      <c r="C482" s="26" t="s">
        <v>57</v>
      </c>
    </row>
    <row r="483" spans="1:42" outlineLevel="3"/>
    <row r="484" spans="1:42" s="18" customFormat="1" outlineLevel="3">
      <c r="C484" s="18" t="s">
        <v>24</v>
      </c>
      <c r="H484" s="23">
        <f>SUM(H485:H489)</f>
        <v>589377</v>
      </c>
      <c r="I484" s="23">
        <f t="shared" ref="I484" si="970">SUM(I485:I489)</f>
        <v>717677</v>
      </c>
      <c r="J484" s="23">
        <f t="shared" ref="J484" si="971">SUM(J485:J489)</f>
        <v>433262</v>
      </c>
      <c r="K484" s="23">
        <f t="shared" ref="K484" si="972">SUM(K485:K489)</f>
        <v>561526</v>
      </c>
      <c r="L484" s="23">
        <f>SUM(L485:L489)</f>
        <v>673831.2</v>
      </c>
      <c r="M484" s="23">
        <f t="shared" ref="M484:R484" si="973">CHOOSE(case,T484,AB484,AJ484)</f>
        <v>727737.696</v>
      </c>
      <c r="N484" s="23">
        <f t="shared" si="973"/>
        <v>785956.71168000007</v>
      </c>
      <c r="O484" s="23">
        <f t="shared" si="973"/>
        <v>848833.24861440016</v>
      </c>
      <c r="P484" s="23">
        <f t="shared" si="973"/>
        <v>916739.9085035522</v>
      </c>
      <c r="Q484" s="23">
        <f t="shared" si="973"/>
        <v>990079.10118383646</v>
      </c>
      <c r="R484" s="23">
        <f t="shared" si="973"/>
        <v>1069285.4292785435</v>
      </c>
      <c r="T484" s="20">
        <f>$L484*(1+$Z484)</f>
        <v>754690.94400000002</v>
      </c>
      <c r="U484" s="20">
        <f>T484*(1+$Z484)</f>
        <v>845253.85728000011</v>
      </c>
      <c r="V484" s="20">
        <f>U484*(1+$Z484)</f>
        <v>946684.32015360019</v>
      </c>
      <c r="W484" s="20">
        <f>V484*(1+$Z484)</f>
        <v>1060286.4385720324</v>
      </c>
      <c r="X484" s="20">
        <f>W484*(1+$Z484)</f>
        <v>1187520.8112006765</v>
      </c>
      <c r="Y484" s="20">
        <f t="shared" ref="Y484" si="974">X484*(1+$Z484)</f>
        <v>1330023.3085447578</v>
      </c>
      <c r="Z484" s="472">
        <v>0.12</v>
      </c>
      <c r="AA484" s="1"/>
      <c r="AB484" s="20">
        <f>$L484*(1+$AH484)</f>
        <v>727737.696</v>
      </c>
      <c r="AC484" s="20">
        <f>AB484*(1+$AH484)</f>
        <v>785956.71168000007</v>
      </c>
      <c r="AD484" s="20">
        <f t="shared" ref="AD484" si="975">AC484*(1+$AH484)</f>
        <v>848833.24861440016</v>
      </c>
      <c r="AE484" s="20">
        <f>AD484*(1+$AH484)</f>
        <v>916739.9085035522</v>
      </c>
      <c r="AF484" s="20">
        <f t="shared" ref="AF484" si="976">AE484*(1+$AH484)</f>
        <v>990079.10118383646</v>
      </c>
      <c r="AG484" s="20">
        <f>AF484*(1+$AH484)</f>
        <v>1069285.4292785435</v>
      </c>
      <c r="AH484" s="472">
        <v>0.08</v>
      </c>
      <c r="AI484" s="1"/>
      <c r="AJ484" s="20">
        <f>$L484*(1+$AP484)</f>
        <v>700784.44799999997</v>
      </c>
      <c r="AK484" s="20">
        <f>AJ484*(1+$AP484)</f>
        <v>728815.82591999997</v>
      </c>
      <c r="AL484" s="20">
        <f t="shared" ref="AL484:AM484" si="977">AK484*(1+$AP484)</f>
        <v>757968.45895680005</v>
      </c>
      <c r="AM484" s="20">
        <f t="shared" si="977"/>
        <v>788287.19731507206</v>
      </c>
      <c r="AN484" s="20">
        <f>AM484*(1+$AP484)</f>
        <v>819818.68520767498</v>
      </c>
      <c r="AO484" s="20">
        <f t="shared" ref="AO484" si="978">AN484*(1+$AP484)</f>
        <v>852611.43261598202</v>
      </c>
      <c r="AP484" s="472">
        <v>0.04</v>
      </c>
    </row>
    <row r="485" spans="1:42" outlineLevel="3">
      <c r="D485" s="27" t="s">
        <v>25</v>
      </c>
      <c r="E485" s="28"/>
      <c r="F485" s="28"/>
      <c r="G485" s="28"/>
      <c r="H485" s="398"/>
      <c r="I485" s="398"/>
      <c r="J485" s="398"/>
      <c r="K485" s="399"/>
      <c r="L485" s="159">
        <f>K485*1.2</f>
        <v>0</v>
      </c>
      <c r="M485" s="436"/>
      <c r="N485" s="436"/>
      <c r="O485" s="436"/>
      <c r="P485" s="436"/>
      <c r="Q485" s="436"/>
      <c r="R485" s="437"/>
    </row>
    <row r="486" spans="1:42" outlineLevel="3">
      <c r="D486" s="31" t="s">
        <v>26</v>
      </c>
      <c r="H486" s="400"/>
      <c r="I486" s="400"/>
      <c r="J486" s="400"/>
      <c r="K486" s="401"/>
      <c r="L486" s="162">
        <f t="shared" ref="L486:L489" si="979">K486*1.2</f>
        <v>0</v>
      </c>
      <c r="M486" s="438"/>
      <c r="N486" s="438"/>
      <c r="O486" s="438"/>
      <c r="P486" s="438"/>
      <c r="Q486" s="438"/>
      <c r="R486" s="439"/>
    </row>
    <row r="487" spans="1:42" outlineLevel="3">
      <c r="D487" s="31" t="s">
        <v>27</v>
      </c>
      <c r="H487" s="400"/>
      <c r="I487" s="400"/>
      <c r="J487" s="400"/>
      <c r="K487" s="401"/>
      <c r="L487" s="162">
        <f t="shared" si="979"/>
        <v>0</v>
      </c>
      <c r="M487" s="438"/>
      <c r="N487" s="438"/>
      <c r="O487" s="438"/>
      <c r="P487" s="438"/>
      <c r="Q487" s="438"/>
      <c r="R487" s="439"/>
    </row>
    <row r="488" spans="1:42" outlineLevel="3">
      <c r="D488" s="31" t="s">
        <v>28</v>
      </c>
      <c r="H488" s="400">
        <v>589377</v>
      </c>
      <c r="I488" s="400">
        <v>717677</v>
      </c>
      <c r="J488" s="400">
        <v>433262</v>
      </c>
      <c r="K488" s="401">
        <v>561526</v>
      </c>
      <c r="L488" s="162">
        <f t="shared" si="979"/>
        <v>673831.2</v>
      </c>
      <c r="M488" s="438"/>
      <c r="N488" s="438"/>
      <c r="O488" s="438"/>
      <c r="P488" s="438"/>
      <c r="Q488" s="438"/>
      <c r="R488" s="439"/>
    </row>
    <row r="489" spans="1:42" outlineLevel="3">
      <c r="D489" s="33" t="s">
        <v>29</v>
      </c>
      <c r="E489" s="34"/>
      <c r="F489" s="34"/>
      <c r="G489" s="34"/>
      <c r="H489" s="402"/>
      <c r="I489" s="402"/>
      <c r="J489" s="402"/>
      <c r="K489" s="403"/>
      <c r="L489" s="163">
        <f t="shared" si="979"/>
        <v>0</v>
      </c>
      <c r="M489" s="440"/>
      <c r="N489" s="440"/>
      <c r="O489" s="440"/>
      <c r="P489" s="440"/>
      <c r="Q489" s="440"/>
      <c r="R489" s="441"/>
      <c r="AB489" s="448"/>
      <c r="AC489" s="448"/>
      <c r="AD489" s="448"/>
      <c r="AE489" s="448"/>
      <c r="AF489" s="448"/>
      <c r="AG489" s="448"/>
    </row>
    <row r="490" spans="1:42" outlineLevel="3">
      <c r="C490" s="1" t="s">
        <v>31</v>
      </c>
      <c r="H490" s="57">
        <f>IFERROR(H496/H484,"NA")</f>
        <v>4.413134547157422E-2</v>
      </c>
      <c r="I490" s="57">
        <f t="shared" ref="I490:K490" si="980">IFERROR(I496/I484,"NA")</f>
        <v>4.9140490777884759E-2</v>
      </c>
      <c r="J490" s="57">
        <f t="shared" si="980"/>
        <v>4.8737253670988918E-2</v>
      </c>
      <c r="K490" s="57">
        <f t="shared" si="980"/>
        <v>4.8346826326830815E-2</v>
      </c>
      <c r="L490" s="57">
        <f>IFERROR(L496/L484,"NA")</f>
        <v>4.8346826326830815E-2</v>
      </c>
      <c r="M490" s="57">
        <f t="shared" ref="M490:R490" si="981">CHOOSE(case,T490,AB490,AJ490)</f>
        <v>4.8830294590099126E-2</v>
      </c>
      <c r="N490" s="57">
        <f t="shared" si="981"/>
        <v>4.9318597536000118E-2</v>
      </c>
      <c r="O490" s="57">
        <f t="shared" si="981"/>
        <v>4.9811783511360119E-2</v>
      </c>
      <c r="P490" s="57">
        <f t="shared" si="981"/>
        <v>5.0309901346473722E-2</v>
      </c>
      <c r="Q490" s="57">
        <f t="shared" si="981"/>
        <v>5.0813000359938458E-2</v>
      </c>
      <c r="R490" s="57">
        <f t="shared" si="981"/>
        <v>5.1321130363537845E-2</v>
      </c>
      <c r="T490" s="448">
        <f>$L490*(1+$Z490)</f>
        <v>4.9313762853367429E-2</v>
      </c>
      <c r="U490" s="448">
        <f>T490*(1+$Z490)</f>
        <v>5.0300038110434778E-2</v>
      </c>
      <c r="V490" s="448">
        <f t="shared" ref="V490" si="982">U490*(1+$Z490)</f>
        <v>5.1306038872643477E-2</v>
      </c>
      <c r="W490" s="448">
        <f>V490*(1+$Z490)</f>
        <v>5.2332159650096348E-2</v>
      </c>
      <c r="X490" s="448">
        <f t="shared" ref="X490:Y490" si="983">W490*(1+$Z490)</f>
        <v>5.3378802843098275E-2</v>
      </c>
      <c r="Y490" s="448">
        <f t="shared" si="983"/>
        <v>5.4446378899960242E-2</v>
      </c>
      <c r="Z490" s="472">
        <v>0.02</v>
      </c>
      <c r="AB490" s="448">
        <f>$L490*(1+$AH490)</f>
        <v>4.8830294590099126E-2</v>
      </c>
      <c r="AC490" s="448">
        <f>AB490*(1+$AH490)</f>
        <v>4.9318597536000118E-2</v>
      </c>
      <c r="AD490" s="448">
        <f t="shared" ref="AD490:AF490" si="984">AC490*(1+$AH490)</f>
        <v>4.9811783511360119E-2</v>
      </c>
      <c r="AE490" s="448">
        <f t="shared" si="984"/>
        <v>5.0309901346473722E-2</v>
      </c>
      <c r="AF490" s="448">
        <f t="shared" si="984"/>
        <v>5.0813000359938458E-2</v>
      </c>
      <c r="AG490" s="448">
        <f>AF490*(1+$AH490)</f>
        <v>5.1321130363537845E-2</v>
      </c>
      <c r="AH490" s="472">
        <v>0.01</v>
      </c>
      <c r="AJ490" s="448">
        <f>$L490*(1+$AP490)</f>
        <v>4.8346826326830815E-2</v>
      </c>
      <c r="AK490" s="448">
        <f>AJ490*(1+$AP490)</f>
        <v>4.8346826326830815E-2</v>
      </c>
      <c r="AL490" s="448">
        <f t="shared" ref="AL490:AM490" si="985">AK490*(1+$AP490)</f>
        <v>4.8346826326830815E-2</v>
      </c>
      <c r="AM490" s="448">
        <f t="shared" si="985"/>
        <v>4.8346826326830815E-2</v>
      </c>
      <c r="AN490" s="448">
        <f>AM490*(1+$AP490)</f>
        <v>4.8346826326830815E-2</v>
      </c>
      <c r="AO490" s="448">
        <f t="shared" ref="AO490" si="986">AN490*(1+$AP490)</f>
        <v>4.8346826326830815E-2</v>
      </c>
      <c r="AP490" s="472">
        <v>0</v>
      </c>
    </row>
    <row r="491" spans="1:42" outlineLevel="3">
      <c r="D491" s="27" t="s">
        <v>25</v>
      </c>
      <c r="E491" s="28"/>
      <c r="F491" s="28"/>
      <c r="G491" s="28"/>
      <c r="H491" s="50" t="str">
        <f>IFERROR(H497/H485,"NA")</f>
        <v>NA</v>
      </c>
      <c r="I491" s="50" t="str">
        <f t="shared" ref="I491:K491" si="987">IFERROR(I497/I485,"NA")</f>
        <v>NA</v>
      </c>
      <c r="J491" s="50" t="str">
        <f t="shared" si="987"/>
        <v>NA</v>
      </c>
      <c r="K491" s="51" t="str">
        <f t="shared" si="987"/>
        <v>NA</v>
      </c>
      <c r="L491" s="81"/>
      <c r="M491" s="442"/>
      <c r="N491" s="442"/>
      <c r="O491" s="442"/>
      <c r="P491" s="442"/>
      <c r="Q491" s="442"/>
      <c r="R491" s="443"/>
    </row>
    <row r="492" spans="1:42" outlineLevel="3">
      <c r="D492" s="31" t="s">
        <v>26</v>
      </c>
      <c r="H492" s="52" t="str">
        <f t="shared" ref="H492:K492" si="988">IFERROR(H498/H486,"NA")</f>
        <v>NA</v>
      </c>
      <c r="I492" s="52" t="str">
        <f t="shared" si="988"/>
        <v>NA</v>
      </c>
      <c r="J492" s="52" t="str">
        <f t="shared" si="988"/>
        <v>NA</v>
      </c>
      <c r="K492" s="53" t="str">
        <f t="shared" si="988"/>
        <v>NA</v>
      </c>
      <c r="L492" s="82"/>
      <c r="M492" s="444"/>
      <c r="N492" s="444"/>
      <c r="O492" s="444"/>
      <c r="P492" s="444"/>
      <c r="Q492" s="444"/>
      <c r="R492" s="445"/>
    </row>
    <row r="493" spans="1:42" outlineLevel="3">
      <c r="D493" s="31" t="s">
        <v>27</v>
      </c>
      <c r="H493" s="52" t="str">
        <f t="shared" ref="H493:K493" si="989">IFERROR(H499/H487,"NA")</f>
        <v>NA</v>
      </c>
      <c r="I493" s="52" t="str">
        <f t="shared" si="989"/>
        <v>NA</v>
      </c>
      <c r="J493" s="52" t="str">
        <f t="shared" si="989"/>
        <v>NA</v>
      </c>
      <c r="K493" s="53" t="str">
        <f t="shared" si="989"/>
        <v>NA</v>
      </c>
      <c r="L493" s="82"/>
      <c r="M493" s="444"/>
      <c r="N493" s="444"/>
      <c r="O493" s="444"/>
      <c r="P493" s="444"/>
      <c r="Q493" s="444"/>
      <c r="R493" s="445"/>
    </row>
    <row r="494" spans="1:42" outlineLevel="3">
      <c r="D494" s="31" t="s">
        <v>28</v>
      </c>
      <c r="H494" s="52">
        <f t="shared" ref="H494:K494" si="990">IFERROR(H500/H488,"NA")</f>
        <v>4.413134547157422E-2</v>
      </c>
      <c r="I494" s="52">
        <f t="shared" si="990"/>
        <v>4.9140490777884759E-2</v>
      </c>
      <c r="J494" s="52">
        <f t="shared" si="990"/>
        <v>4.8737253670988918E-2</v>
      </c>
      <c r="K494" s="53">
        <f t="shared" si="990"/>
        <v>4.8346826326830815E-2</v>
      </c>
      <c r="L494" s="82">
        <f>K494</f>
        <v>4.8346826326830815E-2</v>
      </c>
      <c r="M494" s="444"/>
      <c r="N494" s="444"/>
      <c r="O494" s="444"/>
      <c r="P494" s="444"/>
      <c r="Q494" s="444"/>
      <c r="R494" s="445"/>
    </row>
    <row r="495" spans="1:42" ht="15" outlineLevel="3" thickBot="1">
      <c r="C495" s="37"/>
      <c r="D495" s="38" t="s">
        <v>29</v>
      </c>
      <c r="E495" s="37"/>
      <c r="F495" s="37"/>
      <c r="G495" s="37"/>
      <c r="H495" s="54" t="str">
        <f t="shared" ref="H495:K495" si="991">IFERROR(H501/H489,"NA")</f>
        <v>NA</v>
      </c>
      <c r="I495" s="54" t="str">
        <f t="shared" si="991"/>
        <v>NA</v>
      </c>
      <c r="J495" s="54" t="str">
        <f t="shared" si="991"/>
        <v>NA</v>
      </c>
      <c r="K495" s="55" t="str">
        <f t="shared" si="991"/>
        <v>NA</v>
      </c>
      <c r="L495" s="86"/>
      <c r="M495" s="446"/>
      <c r="N495" s="446"/>
      <c r="O495" s="446"/>
      <c r="P495" s="446"/>
      <c r="Q495" s="446"/>
      <c r="R495" s="447"/>
    </row>
    <row r="496" spans="1:42" outlineLevel="3">
      <c r="C496" s="18" t="s">
        <v>33</v>
      </c>
      <c r="H496" s="23">
        <f>SUM(H497:H501)</f>
        <v>26010</v>
      </c>
      <c r="I496" s="23">
        <f t="shared" ref="I496" si="992">SUM(I497:I501)</f>
        <v>35267</v>
      </c>
      <c r="J496" s="23">
        <f t="shared" ref="J496" si="993">SUM(J497:J501)</f>
        <v>21116</v>
      </c>
      <c r="K496" s="23">
        <f t="shared" ref="K496" si="994">SUM(K497:K501)</f>
        <v>27148</v>
      </c>
      <c r="L496" s="23">
        <f>SUM(L497:L501)</f>
        <v>32577.599999999999</v>
      </c>
      <c r="M496" s="23">
        <f>M484*M490</f>
        <v>35535.646079999999</v>
      </c>
      <c r="N496" s="23">
        <f t="shared" ref="N496:R496" si="995">N484*N490</f>
        <v>38762.282744064003</v>
      </c>
      <c r="O496" s="23">
        <f t="shared" si="995"/>
        <v>42281.898017225023</v>
      </c>
      <c r="P496" s="23">
        <f t="shared" si="995"/>
        <v>46121.09435718906</v>
      </c>
      <c r="Q496" s="23">
        <f t="shared" si="995"/>
        <v>50308.889724821827</v>
      </c>
      <c r="R496" s="23">
        <f t="shared" si="995"/>
        <v>54876.936911835655</v>
      </c>
      <c r="S496" s="144">
        <f>POWER(R496/M496,1/5)-1</f>
        <v>9.0800000000000214E-2</v>
      </c>
    </row>
    <row r="497" spans="1:42" outlineLevel="3">
      <c r="D497" s="27" t="s">
        <v>25</v>
      </c>
      <c r="E497" s="28"/>
      <c r="F497" s="28"/>
      <c r="G497" s="28"/>
      <c r="H497" s="398"/>
      <c r="I497" s="398"/>
      <c r="J497" s="398"/>
      <c r="K497" s="399"/>
      <c r="L497" s="83">
        <f>L491*L485</f>
        <v>0</v>
      </c>
      <c r="M497" s="436"/>
      <c r="N497" s="436"/>
      <c r="O497" s="436"/>
      <c r="P497" s="436"/>
      <c r="Q497" s="436"/>
      <c r="R497" s="437"/>
    </row>
    <row r="498" spans="1:42" outlineLevel="3">
      <c r="D498" s="31" t="s">
        <v>26</v>
      </c>
      <c r="H498" s="400"/>
      <c r="I498" s="400"/>
      <c r="J498" s="400"/>
      <c r="K498" s="401"/>
      <c r="L498" s="84">
        <f>L486*L492</f>
        <v>0</v>
      </c>
      <c r="M498" s="438"/>
      <c r="N498" s="438"/>
      <c r="O498" s="438"/>
      <c r="P498" s="438"/>
      <c r="Q498" s="438"/>
      <c r="R498" s="439"/>
    </row>
    <row r="499" spans="1:42" outlineLevel="3">
      <c r="D499" s="31" t="s">
        <v>27</v>
      </c>
      <c r="H499" s="400"/>
      <c r="I499" s="400"/>
      <c r="J499" s="400"/>
      <c r="K499" s="401"/>
      <c r="L499" s="84">
        <f t="shared" ref="L499" si="996">L487*L493</f>
        <v>0</v>
      </c>
      <c r="M499" s="438"/>
      <c r="N499" s="438"/>
      <c r="O499" s="438"/>
      <c r="P499" s="438"/>
      <c r="Q499" s="438"/>
      <c r="R499" s="439"/>
    </row>
    <row r="500" spans="1:42" outlineLevel="3">
      <c r="D500" s="31" t="s">
        <v>28</v>
      </c>
      <c r="H500" s="400">
        <v>26010</v>
      </c>
      <c r="I500" s="400">
        <v>35267</v>
      </c>
      <c r="J500" s="400">
        <v>21116</v>
      </c>
      <c r="K500" s="401">
        <v>27148</v>
      </c>
      <c r="L500" s="84">
        <f t="shared" ref="L500" si="997">L488*L494</f>
        <v>32577.599999999999</v>
      </c>
      <c r="M500" s="438"/>
      <c r="N500" s="438"/>
      <c r="O500" s="438"/>
      <c r="P500" s="438"/>
      <c r="Q500" s="438"/>
      <c r="R500" s="439"/>
    </row>
    <row r="501" spans="1:42" outlineLevel="3">
      <c r="D501" s="33" t="s">
        <v>29</v>
      </c>
      <c r="E501" s="34"/>
      <c r="F501" s="34"/>
      <c r="G501" s="34"/>
      <c r="H501" s="402"/>
      <c r="I501" s="402"/>
      <c r="J501" s="402"/>
      <c r="K501" s="403"/>
      <c r="L501" s="85">
        <f>L489*L495</f>
        <v>0</v>
      </c>
      <c r="M501" s="440"/>
      <c r="N501" s="440"/>
      <c r="O501" s="440"/>
      <c r="P501" s="440"/>
      <c r="Q501" s="440"/>
      <c r="R501" s="441"/>
    </row>
    <row r="502" spans="1:42" outlineLevel="3">
      <c r="H502" s="43"/>
      <c r="I502" s="43"/>
      <c r="J502" s="43"/>
      <c r="K502" s="43"/>
      <c r="L502" s="144">
        <f>L496/集团!L$9/1000/集团!L$23</f>
        <v>4.3141196521435127E-3</v>
      </c>
      <c r="M502" s="144">
        <f>M496/集团!N$9/1000/集团!N$23</f>
        <v>4.3047904592437031E-3</v>
      </c>
      <c r="R502" s="144">
        <f>R496/集团!S$9/1000/集团!S$23</f>
        <v>3.9433637287188301E-3</v>
      </c>
      <c r="S502" s="526">
        <f>R502-M502</f>
        <v>-3.6142673052487299E-4</v>
      </c>
    </row>
    <row r="503" spans="1:42" ht="15" outlineLevel="3" thickBot="1">
      <c r="C503" s="37" t="s">
        <v>34</v>
      </c>
      <c r="D503" s="37"/>
      <c r="E503" s="37"/>
      <c r="F503" s="37"/>
      <c r="G503" s="37"/>
      <c r="H503" s="44">
        <v>-18050</v>
      </c>
      <c r="I503" s="44">
        <v>-22740</v>
      </c>
      <c r="J503" s="44">
        <v>-12853</v>
      </c>
      <c r="K503" s="44">
        <v>-15035</v>
      </c>
      <c r="L503" s="39">
        <f>L504-L496</f>
        <v>-18042</v>
      </c>
      <c r="M503" s="39">
        <f t="shared" ref="M503:R503" si="998">M504-M496</f>
        <v>-19686.747928320001</v>
      </c>
      <c r="N503" s="39">
        <f t="shared" si="998"/>
        <v>-21474.304640211456</v>
      </c>
      <c r="O503" s="39">
        <f t="shared" si="998"/>
        <v>-23424.171501542663</v>
      </c>
      <c r="P503" s="39">
        <f t="shared" si="998"/>
        <v>-25551.086273882738</v>
      </c>
      <c r="Q503" s="39">
        <f t="shared" si="998"/>
        <v>-27871.124907551293</v>
      </c>
      <c r="R503" s="39">
        <f t="shared" si="998"/>
        <v>-30401.823049156952</v>
      </c>
    </row>
    <row r="504" spans="1:42" outlineLevel="3">
      <c r="C504" s="18" t="s">
        <v>36</v>
      </c>
      <c r="D504" s="18"/>
      <c r="E504" s="18"/>
      <c r="F504" s="18"/>
      <c r="G504" s="18"/>
      <c r="H504" s="23">
        <f>H503+H496</f>
        <v>7960</v>
      </c>
      <c r="I504" s="23">
        <f>I503+I496</f>
        <v>12527</v>
      </c>
      <c r="J504" s="23">
        <f>J503+J496</f>
        <v>8263</v>
      </c>
      <c r="K504" s="23">
        <f>K503+K496</f>
        <v>12113</v>
      </c>
      <c r="L504" s="23">
        <f>L505*L496</f>
        <v>14535.599999999999</v>
      </c>
      <c r="M504" s="23">
        <f t="shared" ref="M504:R504" si="999">M505*M496</f>
        <v>15848.89815168</v>
      </c>
      <c r="N504" s="23">
        <f t="shared" si="999"/>
        <v>17287.978103852547</v>
      </c>
      <c r="O504" s="23">
        <f t="shared" si="999"/>
        <v>18857.72651568236</v>
      </c>
      <c r="P504" s="23">
        <f t="shared" si="999"/>
        <v>20570.008083306322</v>
      </c>
      <c r="Q504" s="23">
        <f t="shared" si="999"/>
        <v>22437.764817270534</v>
      </c>
      <c r="R504" s="23">
        <f t="shared" si="999"/>
        <v>24475.113862678703</v>
      </c>
    </row>
    <row r="505" spans="1:42" outlineLevel="3">
      <c r="C505" s="22" t="s">
        <v>19</v>
      </c>
      <c r="D505" s="22"/>
      <c r="E505" s="22"/>
      <c r="F505" s="22"/>
      <c r="G505" s="22"/>
      <c r="H505" s="56">
        <f>IFERROR(H504/H496,"NA")</f>
        <v>0.30603613994617457</v>
      </c>
      <c r="I505" s="56">
        <f t="shared" ref="I505" si="1000">IFERROR(I504/I496,"NA")</f>
        <v>0.35520458218731393</v>
      </c>
      <c r="J505" s="56">
        <f t="shared" ref="J505" si="1001">IFERROR(J504/J496,"NA")</f>
        <v>0.39131464292479634</v>
      </c>
      <c r="K505" s="56">
        <f t="shared" ref="K505" si="1002">IFERROR(K504/K496,"NA")</f>
        <v>0.44618388094887285</v>
      </c>
      <c r="L505" s="79">
        <f>K505</f>
        <v>0.44618388094887285</v>
      </c>
      <c r="M505" s="65">
        <f t="shared" ref="M505:R505" si="1003">CHOOSE(case,T505,AB505,AJ505)</f>
        <v>0.44600000000000001</v>
      </c>
      <c r="N505" s="65">
        <f t="shared" si="1003"/>
        <v>0.44600000000000001</v>
      </c>
      <c r="O505" s="65">
        <f t="shared" si="1003"/>
        <v>0.44600000000000001</v>
      </c>
      <c r="P505" s="65">
        <f t="shared" si="1003"/>
        <v>0.44600000000000001</v>
      </c>
      <c r="Q505" s="65">
        <f t="shared" si="1003"/>
        <v>0.44600000000000001</v>
      </c>
      <c r="R505" s="65">
        <f t="shared" si="1003"/>
        <v>0.44600000000000001</v>
      </c>
      <c r="T505" s="471">
        <f>AB505+1%</f>
        <v>0.45600000000000002</v>
      </c>
      <c r="U505" s="79">
        <f t="shared" ref="U505" si="1004">T505</f>
        <v>0.45600000000000002</v>
      </c>
      <c r="V505" s="79">
        <f t="shared" ref="V505" si="1005">U505</f>
        <v>0.45600000000000002</v>
      </c>
      <c r="W505" s="79">
        <f t="shared" ref="W505" si="1006">V505</f>
        <v>0.45600000000000002</v>
      </c>
      <c r="X505" s="79">
        <f t="shared" ref="X505" si="1007">W505</f>
        <v>0.45600000000000002</v>
      </c>
      <c r="Y505" s="79">
        <f t="shared" ref="Y505" si="1008">X505</f>
        <v>0.45600000000000002</v>
      </c>
      <c r="AB505" s="471">
        <v>0.44600000000000001</v>
      </c>
      <c r="AC505" s="79">
        <f t="shared" ref="AC505" si="1009">AB505</f>
        <v>0.44600000000000001</v>
      </c>
      <c r="AD505" s="79">
        <f t="shared" ref="AD505" si="1010">AC505</f>
        <v>0.44600000000000001</v>
      </c>
      <c r="AE505" s="79">
        <f t="shared" ref="AE505" si="1011">AD505</f>
        <v>0.44600000000000001</v>
      </c>
      <c r="AF505" s="79">
        <f t="shared" ref="AF505" si="1012">AE505</f>
        <v>0.44600000000000001</v>
      </c>
      <c r="AG505" s="79">
        <f t="shared" ref="AG505" si="1013">AF505</f>
        <v>0.44600000000000001</v>
      </c>
      <c r="AJ505" s="471">
        <f>AB505-1%</f>
        <v>0.436</v>
      </c>
      <c r="AK505" s="79">
        <f t="shared" ref="AK505" si="1014">AJ505</f>
        <v>0.436</v>
      </c>
      <c r="AL505" s="79">
        <f t="shared" ref="AL505" si="1015">AK505</f>
        <v>0.436</v>
      </c>
      <c r="AM505" s="79">
        <f t="shared" ref="AM505" si="1016">AL505</f>
        <v>0.436</v>
      </c>
      <c r="AN505" s="79">
        <f t="shared" ref="AN505" si="1017">AM505</f>
        <v>0.436</v>
      </c>
      <c r="AO505" s="79">
        <f t="shared" ref="AO505" si="1018">AN505</f>
        <v>0.436</v>
      </c>
    </row>
    <row r="506" spans="1:42" outlineLevel="3"/>
    <row r="507" spans="1:42" s="26" customFormat="1" outlineLevel="3">
      <c r="A507" s="26" t="s">
        <v>8</v>
      </c>
      <c r="C507" s="26" t="s">
        <v>58</v>
      </c>
    </row>
    <row r="508" spans="1:42" outlineLevel="3"/>
    <row r="509" spans="1:42" s="18" customFormat="1" outlineLevel="3">
      <c r="C509" s="18" t="s">
        <v>24</v>
      </c>
      <c r="H509" s="23">
        <f>SUM(H510:H514)</f>
        <v>4134524</v>
      </c>
      <c r="I509" s="23">
        <f t="shared" ref="I509" si="1019">SUM(I510:I514)</f>
        <v>1427168</v>
      </c>
      <c r="J509" s="23">
        <f t="shared" ref="J509" si="1020">SUM(J510:J514)</f>
        <v>2188322</v>
      </c>
      <c r="K509" s="23">
        <f t="shared" ref="K509" si="1021">SUM(K510:K514)</f>
        <v>2943267</v>
      </c>
      <c r="L509" s="23">
        <f>SUM(L510:L514)</f>
        <v>3531920.4</v>
      </c>
      <c r="M509" s="23">
        <f t="shared" ref="M509:R509" si="1022">CHOOSE(case,T509,AB509,AJ509)</f>
        <v>3885112.4400000004</v>
      </c>
      <c r="N509" s="23">
        <f t="shared" si="1022"/>
        <v>4273623.6840000004</v>
      </c>
      <c r="O509" s="23">
        <f t="shared" si="1022"/>
        <v>4700986.0524000004</v>
      </c>
      <c r="P509" s="23">
        <f t="shared" si="1022"/>
        <v>5171084.6576400008</v>
      </c>
      <c r="Q509" s="23">
        <f t="shared" si="1022"/>
        <v>5688193.1234040009</v>
      </c>
      <c r="R509" s="23">
        <f t="shared" si="1022"/>
        <v>6257012.4357444011</v>
      </c>
      <c r="T509" s="20">
        <f>$L509*(1+$Z509)</f>
        <v>4061708.4599999995</v>
      </c>
      <c r="U509" s="20">
        <f>T509*(1+$Z509)</f>
        <v>4670964.7289999994</v>
      </c>
      <c r="V509" s="20">
        <f>U509*(1+$Z509)</f>
        <v>5371609.4383499986</v>
      </c>
      <c r="W509" s="20">
        <f>V509*(1+$Z509)</f>
        <v>6177350.8541024979</v>
      </c>
      <c r="X509" s="20">
        <f>W509*(1+$Z509)</f>
        <v>7103953.4822178725</v>
      </c>
      <c r="Y509" s="20">
        <f t="shared" ref="Y509" si="1023">X509*(1+$Z509)</f>
        <v>8169546.5045505529</v>
      </c>
      <c r="Z509" s="472">
        <v>0.15</v>
      </c>
      <c r="AA509" s="1"/>
      <c r="AB509" s="20">
        <f>$L509*(1+$AH509)</f>
        <v>3885112.4400000004</v>
      </c>
      <c r="AC509" s="20">
        <f>AB509*(1+$AH509)</f>
        <v>4273623.6840000004</v>
      </c>
      <c r="AD509" s="20">
        <f t="shared" ref="AD509" si="1024">AC509*(1+$AH509)</f>
        <v>4700986.0524000004</v>
      </c>
      <c r="AE509" s="20">
        <f>AD509*(1+$AH509)</f>
        <v>5171084.6576400008</v>
      </c>
      <c r="AF509" s="20">
        <f t="shared" ref="AF509" si="1025">AE509*(1+$AH509)</f>
        <v>5688193.1234040009</v>
      </c>
      <c r="AG509" s="20">
        <f>AF509*(1+$AH509)</f>
        <v>6257012.4357444011</v>
      </c>
      <c r="AH509" s="472">
        <v>0.1</v>
      </c>
      <c r="AI509" s="1"/>
      <c r="AJ509" s="20">
        <f>$L509*(1+$AP509)</f>
        <v>3708516.42</v>
      </c>
      <c r="AK509" s="20">
        <f>AJ509*(1+$AP509)</f>
        <v>3893942.2409999999</v>
      </c>
      <c r="AL509" s="20">
        <f t="shared" ref="AL509:AM509" si="1026">AK509*(1+$AP509)</f>
        <v>4088639.35305</v>
      </c>
      <c r="AM509" s="20">
        <f t="shared" si="1026"/>
        <v>4293071.3207025006</v>
      </c>
      <c r="AN509" s="20">
        <f>AM509*(1+$AP509)</f>
        <v>4507724.886737626</v>
      </c>
      <c r="AO509" s="20">
        <f t="shared" ref="AO509" si="1027">AN509*(1+$AP509)</f>
        <v>4733111.1310745077</v>
      </c>
      <c r="AP509" s="472">
        <v>0.05</v>
      </c>
    </row>
    <row r="510" spans="1:42" outlineLevel="3">
      <c r="D510" s="27" t="s">
        <v>25</v>
      </c>
      <c r="E510" s="28"/>
      <c r="F510" s="28"/>
      <c r="G510" s="28"/>
      <c r="H510" s="398">
        <v>112015</v>
      </c>
      <c r="I510" s="398">
        <v>87308</v>
      </c>
      <c r="J510" s="398">
        <v>75619</v>
      </c>
      <c r="K510" s="399">
        <v>423499</v>
      </c>
      <c r="L510" s="159">
        <f>K510*1.2</f>
        <v>508198.8</v>
      </c>
      <c r="M510" s="436"/>
      <c r="N510" s="436"/>
      <c r="O510" s="436"/>
      <c r="P510" s="436"/>
      <c r="Q510" s="436"/>
      <c r="R510" s="437"/>
    </row>
    <row r="511" spans="1:42" outlineLevel="3">
      <c r="D511" s="31" t="s">
        <v>26</v>
      </c>
      <c r="H511" s="400">
        <v>15268</v>
      </c>
      <c r="I511" s="400">
        <v>33034</v>
      </c>
      <c r="J511" s="400">
        <v>50520</v>
      </c>
      <c r="K511" s="401">
        <v>59570</v>
      </c>
      <c r="L511" s="162">
        <f t="shared" ref="L511:L514" si="1028">K511*1.2</f>
        <v>71484</v>
      </c>
      <c r="M511" s="438"/>
      <c r="N511" s="438"/>
      <c r="O511" s="438"/>
      <c r="P511" s="438"/>
      <c r="Q511" s="438"/>
      <c r="R511" s="439"/>
    </row>
    <row r="512" spans="1:42" outlineLevel="3">
      <c r="D512" s="31" t="s">
        <v>27</v>
      </c>
      <c r="H512" s="400">
        <v>1035914</v>
      </c>
      <c r="I512" s="400">
        <v>44653</v>
      </c>
      <c r="J512" s="400">
        <v>849376</v>
      </c>
      <c r="K512" s="401">
        <v>962008</v>
      </c>
      <c r="L512" s="162">
        <f t="shared" si="1028"/>
        <v>1154409.5999999999</v>
      </c>
      <c r="M512" s="438"/>
      <c r="N512" s="438"/>
      <c r="O512" s="438"/>
      <c r="P512" s="438"/>
      <c r="Q512" s="438"/>
      <c r="R512" s="439"/>
    </row>
    <row r="513" spans="3:42" outlineLevel="3">
      <c r="D513" s="31" t="s">
        <v>28</v>
      </c>
      <c r="H513" s="400">
        <v>1969037</v>
      </c>
      <c r="I513" s="400">
        <v>1248003</v>
      </c>
      <c r="J513" s="400">
        <v>1143441</v>
      </c>
      <c r="K513" s="401">
        <v>1487782</v>
      </c>
      <c r="L513" s="162">
        <f t="shared" si="1028"/>
        <v>1785338.4</v>
      </c>
      <c r="M513" s="438"/>
      <c r="N513" s="438"/>
      <c r="O513" s="438"/>
      <c r="P513" s="438"/>
      <c r="Q513" s="438"/>
      <c r="R513" s="439"/>
    </row>
    <row r="514" spans="3:42" outlineLevel="3">
      <c r="D514" s="33" t="s">
        <v>29</v>
      </c>
      <c r="E514" s="34"/>
      <c r="F514" s="34"/>
      <c r="G514" s="34"/>
      <c r="H514" s="402">
        <v>1002290</v>
      </c>
      <c r="I514" s="402">
        <v>14170</v>
      </c>
      <c r="J514" s="402">
        <v>69366</v>
      </c>
      <c r="K514" s="403">
        <v>10408</v>
      </c>
      <c r="L514" s="163">
        <f t="shared" si="1028"/>
        <v>12489.6</v>
      </c>
      <c r="M514" s="440"/>
      <c r="N514" s="440"/>
      <c r="O514" s="440"/>
      <c r="P514" s="440"/>
      <c r="Q514" s="440"/>
      <c r="R514" s="441"/>
      <c r="AB514" s="448"/>
      <c r="AC514" s="448"/>
      <c r="AD514" s="448"/>
      <c r="AE514" s="448"/>
      <c r="AF514" s="448"/>
      <c r="AG514" s="448"/>
    </row>
    <row r="515" spans="3:42" outlineLevel="3">
      <c r="C515" s="1" t="s">
        <v>31</v>
      </c>
      <c r="H515" s="57">
        <f>IFERROR(H521/H509,"NA")</f>
        <v>5.5388721893983445E-2</v>
      </c>
      <c r="I515" s="57">
        <f t="shared" ref="I515:K515" si="1029">IFERROR(I521/I509,"NA")</f>
        <v>0.14207717661830982</v>
      </c>
      <c r="J515" s="57">
        <f t="shared" si="1029"/>
        <v>0.10561973969095956</v>
      </c>
      <c r="K515" s="57">
        <f t="shared" si="1029"/>
        <v>8.6845332074867831E-2</v>
      </c>
      <c r="L515" s="57">
        <f>IFERROR(L521/L509,"NA")</f>
        <v>8.6845332074867804E-2</v>
      </c>
      <c r="M515" s="57">
        <f t="shared" ref="M515:R515" si="1030">CHOOSE(case,T515,AB515,AJ515)</f>
        <v>8.7713785395616486E-2</v>
      </c>
      <c r="N515" s="57">
        <f t="shared" si="1030"/>
        <v>8.8590923249572656E-2</v>
      </c>
      <c r="O515" s="57">
        <f t="shared" si="1030"/>
        <v>8.9476832482068377E-2</v>
      </c>
      <c r="P515" s="57">
        <f t="shared" si="1030"/>
        <v>9.0371600806889066E-2</v>
      </c>
      <c r="Q515" s="57">
        <f t="shared" si="1030"/>
        <v>9.1275316814957957E-2</v>
      </c>
      <c r="R515" s="57">
        <f t="shared" si="1030"/>
        <v>9.2188069983107537E-2</v>
      </c>
      <c r="T515" s="448">
        <f>$L515*(1+$Z515)</f>
        <v>8.8582238716365155E-2</v>
      </c>
      <c r="U515" s="448">
        <f>T515*(1+$Z515)</f>
        <v>9.0353883490692455E-2</v>
      </c>
      <c r="V515" s="448">
        <f t="shared" ref="V515" si="1031">U515*(1+$Z515)</f>
        <v>9.2160961160506302E-2</v>
      </c>
      <c r="W515" s="448">
        <f>V515*(1+$Z515)</f>
        <v>9.4004180383716426E-2</v>
      </c>
      <c r="X515" s="448">
        <f t="shared" ref="X515:Y515" si="1032">W515*(1+$Z515)</f>
        <v>9.5884263991390759E-2</v>
      </c>
      <c r="Y515" s="448">
        <f t="shared" si="1032"/>
        <v>9.7801949271218575E-2</v>
      </c>
      <c r="Z515" s="472">
        <v>0.02</v>
      </c>
      <c r="AB515" s="448">
        <f>$L515*(1+$AH515)</f>
        <v>8.7713785395616486E-2</v>
      </c>
      <c r="AC515" s="448">
        <f>AB515*(1+$AH515)</f>
        <v>8.8590923249572656E-2</v>
      </c>
      <c r="AD515" s="448">
        <f t="shared" ref="AD515:AF515" si="1033">AC515*(1+$AH515)</f>
        <v>8.9476832482068377E-2</v>
      </c>
      <c r="AE515" s="448">
        <f t="shared" si="1033"/>
        <v>9.0371600806889066E-2</v>
      </c>
      <c r="AF515" s="448">
        <f t="shared" si="1033"/>
        <v>9.1275316814957957E-2</v>
      </c>
      <c r="AG515" s="448">
        <f>AF515*(1+$AH515)</f>
        <v>9.2188069983107537E-2</v>
      </c>
      <c r="AH515" s="472">
        <v>0.01</v>
      </c>
      <c r="AJ515" s="448">
        <f>$L515*(1+$AP515)</f>
        <v>8.6845332074867804E-2</v>
      </c>
      <c r="AK515" s="448">
        <f>AJ515*(1+$AP515)</f>
        <v>8.6845332074867804E-2</v>
      </c>
      <c r="AL515" s="448">
        <f t="shared" ref="AL515:AM515" si="1034">AK515*(1+$AP515)</f>
        <v>8.6845332074867804E-2</v>
      </c>
      <c r="AM515" s="448">
        <f t="shared" si="1034"/>
        <v>8.6845332074867804E-2</v>
      </c>
      <c r="AN515" s="448">
        <f>AM515*(1+$AP515)</f>
        <v>8.6845332074867804E-2</v>
      </c>
      <c r="AO515" s="448">
        <f t="shared" ref="AO515" si="1035">AN515*(1+$AP515)</f>
        <v>8.6845332074867804E-2</v>
      </c>
      <c r="AP515" s="472">
        <v>0</v>
      </c>
    </row>
    <row r="516" spans="3:42" outlineLevel="3">
      <c r="D516" s="27" t="s">
        <v>25</v>
      </c>
      <c r="E516" s="28"/>
      <c r="F516" s="28"/>
      <c r="G516" s="28"/>
      <c r="H516" s="50">
        <f>IFERROR(H522/H510,"NA")</f>
        <v>0.11759139400973084</v>
      </c>
      <c r="I516" s="50">
        <f t="shared" ref="I516:K516" si="1036">IFERROR(I522/I510,"NA")</f>
        <v>0.15654922802034177</v>
      </c>
      <c r="J516" s="50">
        <f t="shared" si="1036"/>
        <v>0.13681746650973961</v>
      </c>
      <c r="K516" s="51">
        <f t="shared" si="1036"/>
        <v>6.7742780974689429E-2</v>
      </c>
      <c r="L516" s="81">
        <f>K516</f>
        <v>6.7742780974689429E-2</v>
      </c>
      <c r="M516" s="442"/>
      <c r="N516" s="442"/>
      <c r="O516" s="442"/>
      <c r="P516" s="442"/>
      <c r="Q516" s="442"/>
      <c r="R516" s="443"/>
    </row>
    <row r="517" spans="3:42" outlineLevel="3">
      <c r="D517" s="31" t="s">
        <v>26</v>
      </c>
      <c r="H517" s="52">
        <f t="shared" ref="H517:K517" si="1037">IFERROR(H523/H511,"NA")</f>
        <v>0.12693214566413413</v>
      </c>
      <c r="I517" s="52">
        <f t="shared" si="1037"/>
        <v>0.16371011684930678</v>
      </c>
      <c r="J517" s="52">
        <f t="shared" si="1037"/>
        <v>0.20661124307205067</v>
      </c>
      <c r="K517" s="53">
        <f t="shared" si="1037"/>
        <v>0.1317273795534665</v>
      </c>
      <c r="L517" s="82">
        <f>K517</f>
        <v>0.1317273795534665</v>
      </c>
      <c r="M517" s="444"/>
      <c r="N517" s="444"/>
      <c r="O517" s="444"/>
      <c r="P517" s="444"/>
      <c r="Q517" s="444"/>
      <c r="R517" s="445"/>
    </row>
    <row r="518" spans="3:42" outlineLevel="3">
      <c r="D518" s="31" t="s">
        <v>27</v>
      </c>
      <c r="H518" s="52">
        <f t="shared" ref="H518:K518" si="1038">IFERROR(H524/H512,"NA")</f>
        <v>8.1532829945342958E-2</v>
      </c>
      <c r="I518" s="52">
        <f t="shared" si="1038"/>
        <v>1.9432736882180368</v>
      </c>
      <c r="J518" s="52">
        <f t="shared" si="1038"/>
        <v>0.13104443732810911</v>
      </c>
      <c r="K518" s="53">
        <f t="shared" si="1038"/>
        <v>0.11833789323997305</v>
      </c>
      <c r="L518" s="82">
        <f t="shared" ref="L518" si="1039">K518</f>
        <v>0.11833789323997305</v>
      </c>
      <c r="M518" s="444"/>
      <c r="N518" s="444"/>
      <c r="O518" s="444"/>
      <c r="P518" s="444"/>
      <c r="Q518" s="444"/>
      <c r="R518" s="445"/>
    </row>
    <row r="519" spans="3:42" outlineLevel="3">
      <c r="D519" s="31" t="s">
        <v>28</v>
      </c>
      <c r="H519" s="52">
        <f t="shared" ref="H519:K519" si="1040">IFERROR(H525/H513,"NA")</f>
        <v>6.515723168228936E-2</v>
      </c>
      <c r="I519" s="52">
        <f t="shared" si="1040"/>
        <v>7.5492606988925501E-2</v>
      </c>
      <c r="J519" s="52">
        <f t="shared" si="1040"/>
        <v>8.1372803668925645E-2</v>
      </c>
      <c r="K519" s="53">
        <f t="shared" si="1040"/>
        <v>6.8920043393454145E-2</v>
      </c>
      <c r="L519" s="82">
        <f>K519</f>
        <v>6.8920043393454145E-2</v>
      </c>
      <c r="M519" s="444"/>
      <c r="N519" s="444"/>
      <c r="O519" s="444"/>
      <c r="P519" s="444"/>
      <c r="Q519" s="444"/>
      <c r="R519" s="445"/>
    </row>
    <row r="520" spans="3:42" ht="15" outlineLevel="3" thickBot="1">
      <c r="C520" s="37"/>
      <c r="D520" s="38" t="s">
        <v>29</v>
      </c>
      <c r="E520" s="37"/>
      <c r="F520" s="37"/>
      <c r="G520" s="37"/>
      <c r="H520" s="54">
        <f t="shared" ref="H520:K520" si="1041">IFERROR(H526/H514,"NA")</f>
        <v>1.1353999341507947E-3</v>
      </c>
      <c r="I520" s="54">
        <f t="shared" si="1041"/>
        <v>0.19082568807339451</v>
      </c>
      <c r="J520" s="54">
        <f t="shared" si="1041"/>
        <v>8.64256263875674E-2</v>
      </c>
      <c r="K520" s="55">
        <f t="shared" si="1041"/>
        <v>0.25874327440430439</v>
      </c>
      <c r="L520" s="86">
        <f>K520</f>
        <v>0.25874327440430439</v>
      </c>
      <c r="M520" s="446"/>
      <c r="N520" s="446"/>
      <c r="O520" s="446"/>
      <c r="P520" s="446"/>
      <c r="Q520" s="446"/>
      <c r="R520" s="447"/>
    </row>
    <row r="521" spans="3:42" outlineLevel="3">
      <c r="C521" s="18" t="s">
        <v>33</v>
      </c>
      <c r="H521" s="23">
        <f>SUM(H522:H526)</f>
        <v>229006</v>
      </c>
      <c r="I521" s="23">
        <f t="shared" ref="I521" si="1042">SUM(I522:I526)</f>
        <v>202768</v>
      </c>
      <c r="J521" s="23">
        <f t="shared" ref="J521" si="1043">SUM(J522:J526)</f>
        <v>231130</v>
      </c>
      <c r="K521" s="23">
        <f t="shared" ref="K521" si="1044">SUM(K522:K526)</f>
        <v>255609</v>
      </c>
      <c r="L521" s="23">
        <f>SUM(L522:L526)</f>
        <v>306730.79999999993</v>
      </c>
      <c r="M521" s="23">
        <f>M509*M515</f>
        <v>340777.91879999998</v>
      </c>
      <c r="N521" s="23">
        <f t="shared" ref="N521:R521" si="1045">N509*N515</f>
        <v>378604.26778679999</v>
      </c>
      <c r="O521" s="23">
        <f t="shared" si="1045"/>
        <v>420629.34151113476</v>
      </c>
      <c r="P521" s="23">
        <f t="shared" si="1045"/>
        <v>467319.19841887074</v>
      </c>
      <c r="Q521" s="23">
        <f t="shared" si="1045"/>
        <v>519191.62944336544</v>
      </c>
      <c r="R521" s="23">
        <f t="shared" si="1045"/>
        <v>576821.900311579</v>
      </c>
    </row>
    <row r="522" spans="3:42" outlineLevel="3">
      <c r="D522" s="27" t="s">
        <v>25</v>
      </c>
      <c r="E522" s="28"/>
      <c r="F522" s="28"/>
      <c r="G522" s="28"/>
      <c r="H522" s="398">
        <v>13172</v>
      </c>
      <c r="I522" s="398">
        <v>13668</v>
      </c>
      <c r="J522" s="398">
        <v>10346</v>
      </c>
      <c r="K522" s="399">
        <v>28689</v>
      </c>
      <c r="L522" s="83">
        <f>L516*L510</f>
        <v>34426.799999999996</v>
      </c>
      <c r="M522" s="436"/>
      <c r="N522" s="436"/>
      <c r="O522" s="436"/>
      <c r="P522" s="436"/>
      <c r="Q522" s="436"/>
      <c r="R522" s="437"/>
    </row>
    <row r="523" spans="3:42" outlineLevel="3">
      <c r="D523" s="31" t="s">
        <v>26</v>
      </c>
      <c r="H523" s="400">
        <v>1938</v>
      </c>
      <c r="I523" s="400">
        <v>5408</v>
      </c>
      <c r="J523" s="400">
        <v>10438</v>
      </c>
      <c r="K523" s="401">
        <v>7847</v>
      </c>
      <c r="L523" s="84">
        <f>L511*L517</f>
        <v>9416.4</v>
      </c>
      <c r="M523" s="438"/>
      <c r="N523" s="438"/>
      <c r="O523" s="438"/>
      <c r="P523" s="438"/>
      <c r="Q523" s="438"/>
      <c r="R523" s="439"/>
    </row>
    <row r="524" spans="3:42" outlineLevel="3">
      <c r="D524" s="31" t="s">
        <v>27</v>
      </c>
      <c r="H524" s="400">
        <v>84461</v>
      </c>
      <c r="I524" s="400">
        <v>86773</v>
      </c>
      <c r="J524" s="400">
        <v>111306</v>
      </c>
      <c r="K524" s="401">
        <v>113842</v>
      </c>
      <c r="L524" s="84">
        <f t="shared" ref="L524" si="1046">L512*L518</f>
        <v>136610.4</v>
      </c>
      <c r="M524" s="438"/>
      <c r="N524" s="438"/>
      <c r="O524" s="438"/>
      <c r="P524" s="438"/>
      <c r="Q524" s="438"/>
      <c r="R524" s="439"/>
    </row>
    <row r="525" spans="3:42" outlineLevel="3">
      <c r="D525" s="31" t="s">
        <v>28</v>
      </c>
      <c r="H525" s="400">
        <v>128297</v>
      </c>
      <c r="I525" s="400">
        <v>94215</v>
      </c>
      <c r="J525" s="400">
        <v>93045</v>
      </c>
      <c r="K525" s="401">
        <v>102538</v>
      </c>
      <c r="L525" s="84">
        <f t="shared" ref="L525" si="1047">L513*L519</f>
        <v>123045.59999999999</v>
      </c>
      <c r="M525" s="438"/>
      <c r="N525" s="438"/>
      <c r="O525" s="438"/>
      <c r="P525" s="438"/>
      <c r="Q525" s="438"/>
      <c r="R525" s="439"/>
    </row>
    <row r="526" spans="3:42" outlineLevel="3">
      <c r="D526" s="33" t="s">
        <v>29</v>
      </c>
      <c r="E526" s="34"/>
      <c r="F526" s="34"/>
      <c r="G526" s="34"/>
      <c r="H526" s="402">
        <v>1138</v>
      </c>
      <c r="I526" s="402">
        <v>2704</v>
      </c>
      <c r="J526" s="402">
        <v>5995</v>
      </c>
      <c r="K526" s="403">
        <v>2693</v>
      </c>
      <c r="L526" s="85">
        <f>L514*L520</f>
        <v>3231.6000000000004</v>
      </c>
      <c r="M526" s="440"/>
      <c r="N526" s="440"/>
      <c r="O526" s="440"/>
      <c r="P526" s="440"/>
      <c r="Q526" s="440"/>
      <c r="R526" s="441"/>
    </row>
    <row r="527" spans="3:42" outlineLevel="3">
      <c r="H527" s="43"/>
      <c r="I527" s="43"/>
      <c r="J527" s="43"/>
      <c r="K527" s="43"/>
    </row>
    <row r="528" spans="3:42" ht="15" outlineLevel="3" thickBot="1">
      <c r="C528" s="37" t="s">
        <v>34</v>
      </c>
      <c r="D528" s="37"/>
      <c r="E528" s="37"/>
      <c r="F528" s="37"/>
      <c r="G528" s="37"/>
      <c r="H528" s="404">
        <v>-177674</v>
      </c>
      <c r="I528" s="404">
        <v>-149553</v>
      </c>
      <c r="J528" s="404">
        <v>-154840</v>
      </c>
      <c r="K528" s="404">
        <v>-176325</v>
      </c>
      <c r="L528" s="39">
        <f>L529-L521</f>
        <v>-211589.99999999994</v>
      </c>
      <c r="M528" s="39">
        <f t="shared" ref="M528:R528" si="1048">M529-M521</f>
        <v>-235136.76397199999</v>
      </c>
      <c r="N528" s="39">
        <f t="shared" si="1048"/>
        <v>-261236.94477289199</v>
      </c>
      <c r="O528" s="39">
        <f t="shared" si="1048"/>
        <v>-290234.245642683</v>
      </c>
      <c r="P528" s="39">
        <f t="shared" si="1048"/>
        <v>-322450.24690902082</v>
      </c>
      <c r="Q528" s="39">
        <f t="shared" si="1048"/>
        <v>-358242.22431592213</v>
      </c>
      <c r="R528" s="39">
        <f t="shared" si="1048"/>
        <v>-398007.11121498951</v>
      </c>
    </row>
    <row r="529" spans="1:42" outlineLevel="3">
      <c r="C529" s="18" t="s">
        <v>36</v>
      </c>
      <c r="D529" s="18"/>
      <c r="E529" s="18"/>
      <c r="F529" s="18"/>
      <c r="G529" s="18"/>
      <c r="H529" s="23">
        <f>H528+H521</f>
        <v>51332</v>
      </c>
      <c r="I529" s="23">
        <f>I528+I521</f>
        <v>53215</v>
      </c>
      <c r="J529" s="23">
        <f>J528+J521</f>
        <v>76290</v>
      </c>
      <c r="K529" s="23">
        <f>K528+K521</f>
        <v>79284</v>
      </c>
      <c r="L529" s="23">
        <f>L530*L521</f>
        <v>95140.799999999974</v>
      </c>
      <c r="M529" s="23">
        <f t="shared" ref="M529:R529" si="1049">M530*M521</f>
        <v>105641.154828</v>
      </c>
      <c r="N529" s="23">
        <f t="shared" si="1049"/>
        <v>117367.323013908</v>
      </c>
      <c r="O529" s="23">
        <f t="shared" si="1049"/>
        <v>130395.09586845177</v>
      </c>
      <c r="P529" s="23">
        <f t="shared" si="1049"/>
        <v>144868.95150984993</v>
      </c>
      <c r="Q529" s="23">
        <f t="shared" si="1049"/>
        <v>160949.40512744329</v>
      </c>
      <c r="R529" s="23">
        <f t="shared" si="1049"/>
        <v>178814.78909658949</v>
      </c>
    </row>
    <row r="530" spans="1:42" outlineLevel="3">
      <c r="C530" s="22" t="s">
        <v>19</v>
      </c>
      <c r="D530" s="22"/>
      <c r="E530" s="22"/>
      <c r="F530" s="22"/>
      <c r="G530" s="22"/>
      <c r="H530" s="56">
        <f>IFERROR(H529/H521,"NA")</f>
        <v>0.2241513322795036</v>
      </c>
      <c r="I530" s="56">
        <f t="shared" ref="I530" si="1050">IFERROR(I529/I521,"NA")</f>
        <v>0.26244279176201374</v>
      </c>
      <c r="J530" s="56">
        <f t="shared" ref="J530" si="1051">IFERROR(J529/J521,"NA")</f>
        <v>0.33007398433781854</v>
      </c>
      <c r="K530" s="56">
        <f t="shared" ref="K530" si="1052">IFERROR(K529/K521,"NA")</f>
        <v>0.3101768717063953</v>
      </c>
      <c r="L530" s="79">
        <f>K530</f>
        <v>0.3101768717063953</v>
      </c>
      <c r="M530" s="65">
        <f t="shared" ref="M530:R530" si="1053">CHOOSE(case,T530,AB530,AJ530)</f>
        <v>0.31</v>
      </c>
      <c r="N530" s="65">
        <f t="shared" si="1053"/>
        <v>0.31</v>
      </c>
      <c r="O530" s="65">
        <f t="shared" si="1053"/>
        <v>0.31</v>
      </c>
      <c r="P530" s="65">
        <f t="shared" si="1053"/>
        <v>0.31</v>
      </c>
      <c r="Q530" s="65">
        <f t="shared" si="1053"/>
        <v>0.31</v>
      </c>
      <c r="R530" s="65">
        <f t="shared" si="1053"/>
        <v>0.31</v>
      </c>
      <c r="T530" s="471">
        <f>AB530+1%</f>
        <v>0.32</v>
      </c>
      <c r="U530" s="79">
        <f t="shared" ref="U530" si="1054">T530</f>
        <v>0.32</v>
      </c>
      <c r="V530" s="79">
        <f t="shared" ref="V530" si="1055">U530</f>
        <v>0.32</v>
      </c>
      <c r="W530" s="79">
        <f t="shared" ref="W530" si="1056">V530</f>
        <v>0.32</v>
      </c>
      <c r="X530" s="79">
        <f t="shared" ref="X530" si="1057">W530</f>
        <v>0.32</v>
      </c>
      <c r="Y530" s="79">
        <f t="shared" ref="Y530" si="1058">X530</f>
        <v>0.32</v>
      </c>
      <c r="AB530" s="471">
        <v>0.31</v>
      </c>
      <c r="AC530" s="79">
        <f t="shared" ref="AC530" si="1059">AB530</f>
        <v>0.31</v>
      </c>
      <c r="AD530" s="79">
        <f t="shared" ref="AD530" si="1060">AC530</f>
        <v>0.31</v>
      </c>
      <c r="AE530" s="79">
        <f t="shared" ref="AE530" si="1061">AD530</f>
        <v>0.31</v>
      </c>
      <c r="AF530" s="79">
        <f t="shared" ref="AF530" si="1062">AE530</f>
        <v>0.31</v>
      </c>
      <c r="AG530" s="79">
        <f t="shared" ref="AG530" si="1063">AF530</f>
        <v>0.31</v>
      </c>
      <c r="AJ530" s="471">
        <f>AB530-1%</f>
        <v>0.3</v>
      </c>
      <c r="AK530" s="79">
        <f t="shared" ref="AK530" si="1064">AJ530</f>
        <v>0.3</v>
      </c>
      <c r="AL530" s="79">
        <f t="shared" ref="AL530" si="1065">AK530</f>
        <v>0.3</v>
      </c>
      <c r="AM530" s="79">
        <f t="shared" ref="AM530" si="1066">AL530</f>
        <v>0.3</v>
      </c>
      <c r="AN530" s="79">
        <f t="shared" ref="AN530" si="1067">AM530</f>
        <v>0.3</v>
      </c>
      <c r="AO530" s="79">
        <f t="shared" ref="AO530" si="1068">AN530</f>
        <v>0.3</v>
      </c>
    </row>
    <row r="531" spans="1:42" outlineLevel="2"/>
    <row r="532" spans="1:42" s="16" customFormat="1" outlineLevel="2">
      <c r="A532" s="15" t="s">
        <v>8</v>
      </c>
      <c r="B532" s="15" t="s">
        <v>59</v>
      </c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 spans="1:42" outlineLevel="2">
      <c r="L533" s="20"/>
      <c r="M533" s="20"/>
      <c r="R533" s="20"/>
      <c r="S533" s="526"/>
    </row>
    <row r="534" spans="1:42" outlineLevel="2">
      <c r="C534" s="18" t="s">
        <v>33</v>
      </c>
      <c r="H534" s="405">
        <v>45584</v>
      </c>
      <c r="I534" s="405">
        <v>36586</v>
      </c>
      <c r="J534" s="405">
        <v>28514</v>
      </c>
      <c r="K534" s="405">
        <v>11206</v>
      </c>
      <c r="L534" s="460">
        <f>K534*1.2</f>
        <v>13447.199999999999</v>
      </c>
      <c r="M534" s="73">
        <f t="shared" ref="M534:R534" si="1069">L534*(1+M535)</f>
        <v>13447.199999999999</v>
      </c>
      <c r="N534" s="73">
        <f t="shared" si="1069"/>
        <v>13447.199999999999</v>
      </c>
      <c r="O534" s="73">
        <f t="shared" si="1069"/>
        <v>13447.199999999999</v>
      </c>
      <c r="P534" s="73">
        <f t="shared" si="1069"/>
        <v>13447.199999999999</v>
      </c>
      <c r="Q534" s="73">
        <f t="shared" si="1069"/>
        <v>13447.199999999999</v>
      </c>
      <c r="R534" s="73">
        <f t="shared" si="1069"/>
        <v>13447.199999999999</v>
      </c>
      <c r="S534" s="463"/>
    </row>
    <row r="535" spans="1:42" s="22" customFormat="1" outlineLevel="2">
      <c r="C535" s="89"/>
      <c r="D535" s="22" t="s">
        <v>151</v>
      </c>
      <c r="H535" s="92"/>
      <c r="I535" s="24">
        <f>I534/H534-1</f>
        <v>-0.19739382239382242</v>
      </c>
      <c r="J535" s="24">
        <f t="shared" ref="J535:K535" si="1070">J534/I534-1</f>
        <v>-0.22063084239873176</v>
      </c>
      <c r="K535" s="24">
        <f t="shared" si="1070"/>
        <v>-0.60700007014098345</v>
      </c>
      <c r="L535" s="24">
        <f>L534/J534-1</f>
        <v>-0.52840008416918005</v>
      </c>
      <c r="M535" s="179">
        <f t="shared" ref="M535:R535" si="1071">CHOOSE(case,T535,AB535,AJ535)</f>
        <v>0</v>
      </c>
      <c r="N535" s="179">
        <f t="shared" si="1071"/>
        <v>0</v>
      </c>
      <c r="O535" s="179">
        <f t="shared" si="1071"/>
        <v>0</v>
      </c>
      <c r="P535" s="179">
        <f t="shared" si="1071"/>
        <v>0</v>
      </c>
      <c r="Q535" s="179">
        <f t="shared" si="1071"/>
        <v>0</v>
      </c>
      <c r="R535" s="179">
        <f t="shared" si="1071"/>
        <v>0</v>
      </c>
      <c r="T535" s="471">
        <v>0.03</v>
      </c>
      <c r="U535" s="79">
        <f t="shared" ref="U535" si="1072">T535</f>
        <v>0.03</v>
      </c>
      <c r="V535" s="79">
        <f t="shared" ref="V535" si="1073">U535</f>
        <v>0.03</v>
      </c>
      <c r="W535" s="79">
        <f t="shared" ref="W535" si="1074">V535</f>
        <v>0.03</v>
      </c>
      <c r="X535" s="79">
        <f t="shared" ref="X535" si="1075">W535</f>
        <v>0.03</v>
      </c>
      <c r="Y535" s="79">
        <f t="shared" ref="Y535" si="1076">X535</f>
        <v>0.03</v>
      </c>
      <c r="Z535" s="1"/>
      <c r="AA535" s="1"/>
      <c r="AB535" s="471">
        <v>0</v>
      </c>
      <c r="AC535" s="79">
        <f t="shared" ref="AC535" si="1077">AB535</f>
        <v>0</v>
      </c>
      <c r="AD535" s="79">
        <f t="shared" ref="AD535" si="1078">AC535</f>
        <v>0</v>
      </c>
      <c r="AE535" s="79">
        <f t="shared" ref="AE535" si="1079">AD535</f>
        <v>0</v>
      </c>
      <c r="AF535" s="79">
        <f t="shared" ref="AF535" si="1080">AE535</f>
        <v>0</v>
      </c>
      <c r="AG535" s="79">
        <f t="shared" ref="AG535" si="1081">AF535</f>
        <v>0</v>
      </c>
      <c r="AH535" s="1"/>
      <c r="AI535" s="1"/>
      <c r="AJ535" s="471">
        <v>-0.03</v>
      </c>
      <c r="AK535" s="79">
        <f t="shared" ref="AK535" si="1082">AJ535</f>
        <v>-0.03</v>
      </c>
      <c r="AL535" s="79">
        <f t="shared" ref="AL535" si="1083">AK535</f>
        <v>-0.03</v>
      </c>
      <c r="AM535" s="79">
        <f t="shared" ref="AM535" si="1084">AL535</f>
        <v>-0.03</v>
      </c>
      <c r="AN535" s="79">
        <f t="shared" ref="AN535" si="1085">AM535</f>
        <v>-0.03</v>
      </c>
      <c r="AO535" s="79">
        <f t="shared" ref="AO535" si="1086">AN535</f>
        <v>-0.03</v>
      </c>
      <c r="AP535" s="1"/>
    </row>
    <row r="536" spans="1:42" s="22" customFormat="1" outlineLevel="2">
      <c r="C536" s="89"/>
      <c r="H536" s="92"/>
      <c r="I536" s="92"/>
      <c r="J536" s="92"/>
      <c r="K536" s="92"/>
    </row>
    <row r="537" spans="1:42" ht="15" outlineLevel="2" thickBot="1">
      <c r="C537" s="37" t="s">
        <v>34</v>
      </c>
      <c r="D537" s="37"/>
      <c r="E537" s="37"/>
      <c r="F537" s="37"/>
      <c r="G537" s="37"/>
      <c r="H537" s="404">
        <v>-37044</v>
      </c>
      <c r="I537" s="404">
        <v>-26797</v>
      </c>
      <c r="J537" s="404">
        <v>-20954</v>
      </c>
      <c r="K537" s="404">
        <v>-5803</v>
      </c>
      <c r="L537" s="39">
        <f>L538-L534</f>
        <v>-6963.5999999999995</v>
      </c>
      <c r="M537" s="39">
        <f t="shared" ref="M537:R537" si="1087">M538-M534</f>
        <v>-8068.3199999999988</v>
      </c>
      <c r="N537" s="39">
        <f t="shared" si="1087"/>
        <v>-8068.3199999999988</v>
      </c>
      <c r="O537" s="39">
        <f t="shared" si="1087"/>
        <v>-8068.3199999999988</v>
      </c>
      <c r="P537" s="39">
        <f t="shared" si="1087"/>
        <v>-8068.3199999999988</v>
      </c>
      <c r="Q537" s="39">
        <f t="shared" si="1087"/>
        <v>-8068.3199999999988</v>
      </c>
      <c r="R537" s="39">
        <f t="shared" si="1087"/>
        <v>-8068.3199999999988</v>
      </c>
    </row>
    <row r="538" spans="1:42" outlineLevel="2">
      <c r="C538" s="18" t="s">
        <v>36</v>
      </c>
      <c r="D538" s="18"/>
      <c r="E538" s="18"/>
      <c r="F538" s="18"/>
      <c r="G538" s="18"/>
      <c r="H538" s="23">
        <f>SUM(H534:H537)</f>
        <v>8540</v>
      </c>
      <c r="I538" s="23">
        <f t="shared" ref="I538:J538" si="1088">SUM(I534,I537)</f>
        <v>9789</v>
      </c>
      <c r="J538" s="23">
        <f t="shared" si="1088"/>
        <v>7560</v>
      </c>
      <c r="K538" s="23">
        <f>SUM(K534,K537)</f>
        <v>5403</v>
      </c>
      <c r="L538" s="23">
        <f>L539*L534</f>
        <v>6483.5999999999995</v>
      </c>
      <c r="M538" s="23">
        <f t="shared" ref="M538:R538" si="1089">M539*M534</f>
        <v>5378.88</v>
      </c>
      <c r="N538" s="23">
        <f t="shared" si="1089"/>
        <v>5378.88</v>
      </c>
      <c r="O538" s="23">
        <f t="shared" si="1089"/>
        <v>5378.88</v>
      </c>
      <c r="P538" s="23">
        <f t="shared" si="1089"/>
        <v>5378.88</v>
      </c>
      <c r="Q538" s="23">
        <f t="shared" si="1089"/>
        <v>5378.88</v>
      </c>
      <c r="R538" s="23">
        <f t="shared" si="1089"/>
        <v>5378.88</v>
      </c>
    </row>
    <row r="539" spans="1:42" s="22" customFormat="1" outlineLevel="2">
      <c r="C539" s="22" t="s">
        <v>19</v>
      </c>
      <c r="H539" s="25">
        <f>H538/H534</f>
        <v>0.18734643734643736</v>
      </c>
      <c r="I539" s="25">
        <f t="shared" ref="I539:J539" si="1090">I538/I534</f>
        <v>0.26756136226972066</v>
      </c>
      <c r="J539" s="25">
        <f t="shared" si="1090"/>
        <v>0.26513291716349863</v>
      </c>
      <c r="K539" s="25">
        <f>K538/K534</f>
        <v>0.48215241834731393</v>
      </c>
      <c r="L539" s="93">
        <f>K539</f>
        <v>0.48215241834731393</v>
      </c>
      <c r="M539" s="461">
        <f t="shared" ref="M539:R539" si="1091">CHOOSE(case,T539,AB539,AJ539)</f>
        <v>0.4</v>
      </c>
      <c r="N539" s="461">
        <f t="shared" si="1091"/>
        <v>0.4</v>
      </c>
      <c r="O539" s="461">
        <f t="shared" si="1091"/>
        <v>0.4</v>
      </c>
      <c r="P539" s="461">
        <f t="shared" si="1091"/>
        <v>0.4</v>
      </c>
      <c r="Q539" s="461">
        <f t="shared" si="1091"/>
        <v>0.4</v>
      </c>
      <c r="R539" s="461">
        <f t="shared" si="1091"/>
        <v>0.4</v>
      </c>
      <c r="T539" s="471">
        <v>0.48</v>
      </c>
      <c r="U539" s="79">
        <f t="shared" ref="U539" si="1092">T539</f>
        <v>0.48</v>
      </c>
      <c r="V539" s="79">
        <f t="shared" ref="V539" si="1093">U539</f>
        <v>0.48</v>
      </c>
      <c r="W539" s="79">
        <f t="shared" ref="W539" si="1094">V539</f>
        <v>0.48</v>
      </c>
      <c r="X539" s="79">
        <f t="shared" ref="X539" si="1095">W539</f>
        <v>0.48</v>
      </c>
      <c r="Y539" s="79">
        <f t="shared" ref="Y539" si="1096">X539</f>
        <v>0.48</v>
      </c>
      <c r="Z539" s="1"/>
      <c r="AA539" s="1"/>
      <c r="AB539" s="471">
        <v>0.4</v>
      </c>
      <c r="AC539" s="79">
        <f t="shared" ref="AC539" si="1097">AB539</f>
        <v>0.4</v>
      </c>
      <c r="AD539" s="79">
        <f t="shared" ref="AD539" si="1098">AC539</f>
        <v>0.4</v>
      </c>
      <c r="AE539" s="79">
        <f t="shared" ref="AE539" si="1099">AD539</f>
        <v>0.4</v>
      </c>
      <c r="AF539" s="79">
        <f t="shared" ref="AF539" si="1100">AE539</f>
        <v>0.4</v>
      </c>
      <c r="AG539" s="79">
        <f t="shared" ref="AG539" si="1101">AF539</f>
        <v>0.4</v>
      </c>
      <c r="AH539" s="1"/>
      <c r="AI539" s="1"/>
      <c r="AJ539" s="471">
        <v>0.35</v>
      </c>
      <c r="AK539" s="79">
        <f t="shared" ref="AK539" si="1102">AJ539</f>
        <v>0.35</v>
      </c>
      <c r="AL539" s="79">
        <f t="shared" ref="AL539" si="1103">AK539</f>
        <v>0.35</v>
      </c>
      <c r="AM539" s="79">
        <f t="shared" ref="AM539" si="1104">AL539</f>
        <v>0.35</v>
      </c>
      <c r="AN539" s="79">
        <f t="shared" ref="AN539" si="1105">AM539</f>
        <v>0.35</v>
      </c>
      <c r="AO539" s="79">
        <f t="shared" ref="AO539" si="1106">AN539</f>
        <v>0.35</v>
      </c>
      <c r="AP539" s="1"/>
    </row>
    <row r="540" spans="1:42" outlineLevel="2"/>
    <row r="541" spans="1:42" outlineLevel="1"/>
    <row r="542" spans="1:42" s="62" customFormat="1" outlineLevel="1">
      <c r="A542" s="10" t="s">
        <v>8</v>
      </c>
      <c r="B542" s="10" t="s">
        <v>60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42" outlineLevel="1">
      <c r="L543" s="20"/>
      <c r="M543" s="20"/>
      <c r="R543" s="20"/>
      <c r="S543" s="526"/>
    </row>
    <row r="544" spans="1:42" s="18" customFormat="1" outlineLevel="1">
      <c r="C544" s="18" t="s">
        <v>24</v>
      </c>
      <c r="H544" s="23">
        <f>SUM(H545:H549)</f>
        <v>651986</v>
      </c>
      <c r="I544" s="23">
        <f t="shared" ref="I544" si="1107">SUM(I545:I549)</f>
        <v>593407</v>
      </c>
      <c r="J544" s="23">
        <f t="shared" ref="J544" si="1108">SUM(J545:J549)</f>
        <v>517354</v>
      </c>
      <c r="K544" s="23">
        <f t="shared" ref="K544" si="1109">SUM(K545:K549)</f>
        <v>259084</v>
      </c>
      <c r="L544" s="23">
        <f>SUM(L545:L549)</f>
        <v>310900.80000000005</v>
      </c>
      <c r="M544" s="23">
        <f t="shared" ref="M544:R544" si="1110">CHOOSE(case,T544,AB544,AJ544)</f>
        <v>341990.88000000006</v>
      </c>
      <c r="N544" s="23">
        <f t="shared" si="1110"/>
        <v>376189.96800000011</v>
      </c>
      <c r="O544" s="23">
        <f t="shared" si="1110"/>
        <v>413808.96480000013</v>
      </c>
      <c r="P544" s="23">
        <f t="shared" si="1110"/>
        <v>455189.86128000019</v>
      </c>
      <c r="Q544" s="23">
        <f t="shared" si="1110"/>
        <v>500708.84740800026</v>
      </c>
      <c r="R544" s="23">
        <f t="shared" si="1110"/>
        <v>550779.73214880028</v>
      </c>
      <c r="S544" s="463"/>
      <c r="T544" s="20">
        <f>$L544*(1+$Z544)</f>
        <v>357535.92000000004</v>
      </c>
      <c r="U544" s="20">
        <f>T544*(1+$Z544)</f>
        <v>411166.30800000002</v>
      </c>
      <c r="V544" s="20">
        <f>U544*(1+$Z544)</f>
        <v>472841.25419999997</v>
      </c>
      <c r="W544" s="20">
        <f>V544*(1+$Z544)</f>
        <v>543767.44232999987</v>
      </c>
      <c r="X544" s="20">
        <f>W544*(1+$Z544)</f>
        <v>625332.55867949978</v>
      </c>
      <c r="Y544" s="20">
        <f t="shared" ref="Y544" si="1111">X544*(1+$Z544)</f>
        <v>719132.44248142466</v>
      </c>
      <c r="Z544" s="472">
        <v>0.15</v>
      </c>
      <c r="AA544" s="1"/>
      <c r="AB544" s="20">
        <f>$L544*(1+$AH544)</f>
        <v>341990.88000000006</v>
      </c>
      <c r="AC544" s="20">
        <f>AB544*(1+$AH544)</f>
        <v>376189.96800000011</v>
      </c>
      <c r="AD544" s="20">
        <f t="shared" ref="AD544" si="1112">AC544*(1+$AH544)</f>
        <v>413808.96480000013</v>
      </c>
      <c r="AE544" s="20">
        <f>AD544*(1+$AH544)</f>
        <v>455189.86128000019</v>
      </c>
      <c r="AF544" s="20">
        <f t="shared" ref="AF544" si="1113">AE544*(1+$AH544)</f>
        <v>500708.84740800026</v>
      </c>
      <c r="AG544" s="20">
        <f>AF544*(1+$AH544)</f>
        <v>550779.73214880028</v>
      </c>
      <c r="AH544" s="472">
        <v>0.1</v>
      </c>
      <c r="AI544" s="1"/>
      <c r="AJ544" s="20">
        <f>$L544*(1+$AP544)</f>
        <v>326445.84000000008</v>
      </c>
      <c r="AK544" s="20">
        <f>AJ544*(1+$AP544)</f>
        <v>342768.1320000001</v>
      </c>
      <c r="AL544" s="20">
        <f t="shared" ref="AL544:AM544" si="1114">AK544*(1+$AP544)</f>
        <v>359906.53860000015</v>
      </c>
      <c r="AM544" s="20">
        <f t="shared" si="1114"/>
        <v>377901.86553000018</v>
      </c>
      <c r="AN544" s="20">
        <f>AM544*(1+$AP544)</f>
        <v>396796.95880650019</v>
      </c>
      <c r="AO544" s="20">
        <f t="shared" ref="AO544" si="1115">AN544*(1+$AP544)</f>
        <v>416636.80674682523</v>
      </c>
      <c r="AP544" s="472">
        <v>0.05</v>
      </c>
    </row>
    <row r="545" spans="3:42" outlineLevel="1">
      <c r="D545" s="27" t="s">
        <v>25</v>
      </c>
      <c r="E545" s="28"/>
      <c r="F545" s="28"/>
      <c r="G545" s="28"/>
      <c r="H545" s="398">
        <v>1309</v>
      </c>
      <c r="I545" s="398">
        <v>596</v>
      </c>
      <c r="J545" s="398">
        <v>-478</v>
      </c>
      <c r="K545" s="398">
        <v>394</v>
      </c>
      <c r="L545" s="159">
        <f>K545*1.2</f>
        <v>472.79999999999995</v>
      </c>
      <c r="M545" s="436"/>
      <c r="N545" s="436"/>
      <c r="O545" s="436"/>
      <c r="P545" s="436"/>
      <c r="Q545" s="436"/>
      <c r="R545" s="437"/>
    </row>
    <row r="546" spans="3:42" outlineLevel="1">
      <c r="D546" s="31" t="s">
        <v>26</v>
      </c>
      <c r="H546" s="400">
        <v>12672</v>
      </c>
      <c r="I546" s="400">
        <v>6762</v>
      </c>
      <c r="J546" s="400">
        <v>26294</v>
      </c>
      <c r="K546" s="400">
        <v>31716</v>
      </c>
      <c r="L546" s="162">
        <f t="shared" ref="L546:L549" si="1116">K546*1.2</f>
        <v>38059.199999999997</v>
      </c>
      <c r="M546" s="438"/>
      <c r="N546" s="438"/>
      <c r="O546" s="438"/>
      <c r="P546" s="438"/>
      <c r="Q546" s="438"/>
      <c r="R546" s="439"/>
    </row>
    <row r="547" spans="3:42" outlineLevel="1">
      <c r="D547" s="31" t="s">
        <v>27</v>
      </c>
      <c r="H547" s="400">
        <v>3837</v>
      </c>
      <c r="I547" s="400">
        <v>3415</v>
      </c>
      <c r="J547" s="400">
        <v>3992</v>
      </c>
      <c r="K547" s="400">
        <v>3936</v>
      </c>
      <c r="L547" s="162">
        <f t="shared" si="1116"/>
        <v>4723.2</v>
      </c>
      <c r="M547" s="438"/>
      <c r="N547" s="438"/>
      <c r="O547" s="438"/>
      <c r="P547" s="438"/>
      <c r="Q547" s="438"/>
      <c r="R547" s="439"/>
    </row>
    <row r="548" spans="3:42" outlineLevel="1">
      <c r="D548" s="31" t="s">
        <v>28</v>
      </c>
      <c r="H548" s="400">
        <v>629971</v>
      </c>
      <c r="I548" s="400">
        <v>581111</v>
      </c>
      <c r="J548" s="400">
        <v>486534</v>
      </c>
      <c r="K548" s="400">
        <v>222461</v>
      </c>
      <c r="L548" s="162">
        <f t="shared" si="1116"/>
        <v>266953.2</v>
      </c>
      <c r="M548" s="438"/>
      <c r="N548" s="438"/>
      <c r="O548" s="438"/>
      <c r="P548" s="438"/>
      <c r="Q548" s="438"/>
      <c r="R548" s="439"/>
    </row>
    <row r="549" spans="3:42" outlineLevel="1">
      <c r="D549" s="33" t="s">
        <v>29</v>
      </c>
      <c r="E549" s="34"/>
      <c r="F549" s="34"/>
      <c r="G549" s="34"/>
      <c r="H549" s="402">
        <v>4197</v>
      </c>
      <c r="I549" s="402">
        <v>1523</v>
      </c>
      <c r="J549" s="402">
        <v>1012</v>
      </c>
      <c r="K549" s="402">
        <v>577</v>
      </c>
      <c r="L549" s="163">
        <f t="shared" si="1116"/>
        <v>692.4</v>
      </c>
      <c r="M549" s="440"/>
      <c r="N549" s="440"/>
      <c r="O549" s="440"/>
      <c r="P549" s="440"/>
      <c r="Q549" s="440"/>
      <c r="R549" s="441"/>
      <c r="AB549" s="448"/>
      <c r="AC549" s="448"/>
      <c r="AD549" s="448"/>
      <c r="AE549" s="448"/>
      <c r="AF549" s="448"/>
      <c r="AG549" s="448"/>
    </row>
    <row r="550" spans="3:42" outlineLevel="1">
      <c r="C550" s="1" t="s">
        <v>31</v>
      </c>
      <c r="H550" s="57">
        <f>IFERROR(H556/H544,"NA")</f>
        <v>0.24591785713190162</v>
      </c>
      <c r="I550" s="57">
        <f t="shared" ref="I550:J550" si="1117">IFERROR(I556/I544,"NA")</f>
        <v>0.21177370674764537</v>
      </c>
      <c r="J550" s="57">
        <f t="shared" si="1117"/>
        <v>0.18486954773713937</v>
      </c>
      <c r="K550" s="57">
        <f t="shared" ref="K550" si="1118">IFERROR(K556/K544,"NA")</f>
        <v>0.15929968658813357</v>
      </c>
      <c r="L550" s="57">
        <f>IFERROR(L556/L544,"NA")</f>
        <v>0.15929968658813354</v>
      </c>
      <c r="M550" s="57">
        <f t="shared" ref="M550:R550" si="1119">CHOOSE(case,T550,AB550,AJ550)</f>
        <v>0.16089268345401486</v>
      </c>
      <c r="N550" s="57">
        <f t="shared" si="1119"/>
        <v>0.162501610288555</v>
      </c>
      <c r="O550" s="57">
        <f t="shared" si="1119"/>
        <v>0.16412662639144054</v>
      </c>
      <c r="P550" s="57">
        <f t="shared" si="1119"/>
        <v>0.16576789265535496</v>
      </c>
      <c r="Q550" s="57">
        <f t="shared" si="1119"/>
        <v>0.16742557158190852</v>
      </c>
      <c r="R550" s="57">
        <f t="shared" si="1119"/>
        <v>0.1690998272977276</v>
      </c>
      <c r="T550" s="448">
        <f>$L550*(1+$Z550)</f>
        <v>0.16248568031989621</v>
      </c>
      <c r="U550" s="448">
        <f>T550*(1+$Z550)</f>
        <v>0.16573539392629413</v>
      </c>
      <c r="V550" s="448">
        <f t="shared" ref="V550" si="1120">U550*(1+$Z550)</f>
        <v>0.16905010180482002</v>
      </c>
      <c r="W550" s="448">
        <f>V550*(1+$Z550)</f>
        <v>0.17243110384091642</v>
      </c>
      <c r="X550" s="448">
        <f>W550*(1+$Z550)</f>
        <v>0.17587972591773476</v>
      </c>
      <c r="Y550" s="448">
        <f t="shared" ref="Y550" si="1121">X550*(1+$Z550)</f>
        <v>0.17939732043608947</v>
      </c>
      <c r="Z550" s="472">
        <v>0.02</v>
      </c>
      <c r="AB550" s="448">
        <f>$L550*(1+$AH550)</f>
        <v>0.16089268345401486</v>
      </c>
      <c r="AC550" s="448">
        <f>AB550*(1+$AH550)</f>
        <v>0.162501610288555</v>
      </c>
      <c r="AD550" s="448">
        <f t="shared" ref="AD550:AF550" si="1122">AC550*(1+$AH550)</f>
        <v>0.16412662639144054</v>
      </c>
      <c r="AE550" s="448">
        <f t="shared" si="1122"/>
        <v>0.16576789265535496</v>
      </c>
      <c r="AF550" s="448">
        <f t="shared" si="1122"/>
        <v>0.16742557158190852</v>
      </c>
      <c r="AG550" s="448">
        <f>AF550*(1+$AH550)</f>
        <v>0.1690998272977276</v>
      </c>
      <c r="AH550" s="472">
        <v>0.01</v>
      </c>
      <c r="AJ550" s="448">
        <f>$L550*(1+$AP550)</f>
        <v>0.15929968658813354</v>
      </c>
      <c r="AK550" s="448">
        <f>AJ550*(1+$AP550)</f>
        <v>0.15929968658813354</v>
      </c>
      <c r="AL550" s="448">
        <f t="shared" ref="AL550:AM550" si="1123">AK550*(1+$AP550)</f>
        <v>0.15929968658813354</v>
      </c>
      <c r="AM550" s="448">
        <f t="shared" si="1123"/>
        <v>0.15929968658813354</v>
      </c>
      <c r="AN550" s="448">
        <f>AM550*(1+$AP550)</f>
        <v>0.15929968658813354</v>
      </c>
      <c r="AO550" s="448">
        <f t="shared" ref="AO550" si="1124">AN550*(1+$AP550)</f>
        <v>0.15929968658813354</v>
      </c>
      <c r="AP550" s="472">
        <v>0</v>
      </c>
    </row>
    <row r="551" spans="3:42" outlineLevel="1">
      <c r="D551" s="27" t="s">
        <v>25</v>
      </c>
      <c r="E551" s="28"/>
      <c r="F551" s="28"/>
      <c r="G551" s="28"/>
      <c r="H551" s="50">
        <f>IFERROR(H557/H545,"NA")</f>
        <v>0.83575248281130632</v>
      </c>
      <c r="I551" s="50">
        <f t="shared" ref="I551:J551" si="1125">IFERROR(I557/I545,"NA")</f>
        <v>0.80369127516778527</v>
      </c>
      <c r="J551" s="50">
        <f t="shared" si="1125"/>
        <v>0.84309623430962344</v>
      </c>
      <c r="K551" s="50">
        <f t="shared" ref="K551" si="1126">IFERROR(K557/K545,"NA")</f>
        <v>-0.23096446700507614</v>
      </c>
      <c r="L551" s="81">
        <f>K551</f>
        <v>-0.23096446700507614</v>
      </c>
      <c r="M551" s="442"/>
      <c r="N551" s="442"/>
      <c r="O551" s="442"/>
      <c r="P551" s="442"/>
      <c r="Q551" s="442"/>
      <c r="R551" s="443"/>
    </row>
    <row r="552" spans="3:42" outlineLevel="1">
      <c r="D552" s="31" t="s">
        <v>26</v>
      </c>
      <c r="H552" s="52">
        <f t="shared" ref="H552:J552" si="1127">IFERROR(H558/H546,"NA")</f>
        <v>0.21504103535353536</v>
      </c>
      <c r="I552" s="52">
        <f t="shared" si="1127"/>
        <v>0.19328601005619639</v>
      </c>
      <c r="J552" s="52">
        <f t="shared" si="1127"/>
        <v>0.23655586825891839</v>
      </c>
      <c r="K552" s="52">
        <f t="shared" ref="K552" si="1128">IFERROR(K558/K546,"NA")</f>
        <v>0.17423382519863792</v>
      </c>
      <c r="L552" s="82">
        <f>K552</f>
        <v>0.17423382519863792</v>
      </c>
      <c r="M552" s="444"/>
      <c r="N552" s="444"/>
      <c r="O552" s="444"/>
      <c r="P552" s="444"/>
      <c r="Q552" s="444"/>
      <c r="R552" s="445"/>
    </row>
    <row r="553" spans="3:42" outlineLevel="1">
      <c r="D553" s="31" t="s">
        <v>27</v>
      </c>
      <c r="H553" s="52">
        <f t="shared" ref="H553:J553" si="1129">IFERROR(H559/H547,"NA")</f>
        <v>0.18712535835287986</v>
      </c>
      <c r="I553" s="52">
        <f t="shared" si="1129"/>
        <v>0.20322108345534406</v>
      </c>
      <c r="J553" s="52">
        <f t="shared" si="1129"/>
        <v>0.31963927855711421</v>
      </c>
      <c r="K553" s="52">
        <f t="shared" ref="K553" si="1130">IFERROR(K559/K547,"NA")</f>
        <v>0.44181910569105692</v>
      </c>
      <c r="L553" s="82">
        <f t="shared" ref="L553" si="1131">K553</f>
        <v>0.44181910569105692</v>
      </c>
      <c r="M553" s="444"/>
      <c r="N553" s="444"/>
      <c r="O553" s="444"/>
      <c r="P553" s="444"/>
      <c r="Q553" s="444"/>
      <c r="R553" s="445"/>
    </row>
    <row r="554" spans="3:42" outlineLevel="1">
      <c r="D554" s="31" t="s">
        <v>28</v>
      </c>
      <c r="H554" s="52">
        <f t="shared" ref="H554:J554" si="1132">IFERROR(H560/H548,"NA")</f>
        <v>0.17720022032760238</v>
      </c>
      <c r="I554" s="52">
        <f t="shared" si="1132"/>
        <v>0.16618511781742215</v>
      </c>
      <c r="J554" s="52">
        <f t="shared" si="1132"/>
        <v>0.16050060221896106</v>
      </c>
      <c r="K554" s="52">
        <f t="shared" ref="K554" si="1133">IFERROR(K560/K548,"NA")</f>
        <v>0.1405055268114411</v>
      </c>
      <c r="L554" s="82">
        <f>K554</f>
        <v>0.1405055268114411</v>
      </c>
      <c r="M554" s="444"/>
      <c r="N554" s="444"/>
      <c r="O554" s="444"/>
      <c r="P554" s="444"/>
      <c r="Q554" s="444"/>
      <c r="R554" s="445"/>
    </row>
    <row r="555" spans="3:42" ht="15" outlineLevel="1" thickBot="1">
      <c r="C555" s="37"/>
      <c r="D555" s="33" t="s">
        <v>29</v>
      </c>
      <c r="E555" s="34"/>
      <c r="F555" s="34"/>
      <c r="G555" s="34"/>
      <c r="H555" s="78">
        <f t="shared" ref="H555:J555" si="1134">IFERROR(H561/H549,"NA")</f>
        <v>10.523469144627114</v>
      </c>
      <c r="I555" s="78">
        <f t="shared" si="1134"/>
        <v>17.476034143138541</v>
      </c>
      <c r="J555" s="78">
        <f t="shared" si="1134"/>
        <v>10.336956521739131</v>
      </c>
      <c r="K555" s="78">
        <f t="shared" ref="K555" si="1135">IFERROR(K561/K549,"NA")</f>
        <v>4.9237435008665509</v>
      </c>
      <c r="L555" s="86">
        <f>K555</f>
        <v>4.9237435008665509</v>
      </c>
      <c r="M555" s="446"/>
      <c r="N555" s="446"/>
      <c r="O555" s="446"/>
      <c r="P555" s="446"/>
      <c r="Q555" s="446"/>
      <c r="R555" s="447"/>
    </row>
    <row r="556" spans="3:42" outlineLevel="1">
      <c r="C556" s="18" t="s">
        <v>33</v>
      </c>
      <c r="H556" s="23">
        <f>SUM(H557:H561)</f>
        <v>160335</v>
      </c>
      <c r="I556" s="23">
        <f t="shared" ref="I556" si="1136">SUM(I557:I561)</f>
        <v>125668</v>
      </c>
      <c r="J556" s="23">
        <f t="shared" ref="J556" si="1137">SUM(J557:J561)</f>
        <v>95643</v>
      </c>
      <c r="K556" s="23">
        <f t="shared" ref="K556" si="1138">SUM(K557:K561)</f>
        <v>41272</v>
      </c>
      <c r="L556" s="23">
        <f>SUM(L557:L561)</f>
        <v>49526.399999999994</v>
      </c>
      <c r="M556" s="23">
        <f>M544*M550</f>
        <v>55023.830399999992</v>
      </c>
      <c r="N556" s="23">
        <f>N544*N550</f>
        <v>61131.475574399992</v>
      </c>
      <c r="O556" s="23">
        <f t="shared" ref="O556:R556" si="1139">O544*O550</f>
        <v>67917.0693631584</v>
      </c>
      <c r="P556" s="23">
        <f t="shared" si="1139"/>
        <v>75455.864062468987</v>
      </c>
      <c r="Q556" s="23">
        <f t="shared" si="1139"/>
        <v>83831.464973403054</v>
      </c>
      <c r="R556" s="23">
        <f t="shared" si="1139"/>
        <v>93136.757585450789</v>
      </c>
    </row>
    <row r="557" spans="3:42" outlineLevel="1">
      <c r="D557" s="27" t="s">
        <v>25</v>
      </c>
      <c r="E557" s="28"/>
      <c r="F557" s="28"/>
      <c r="G557" s="28"/>
      <c r="H557" s="398">
        <v>1094</v>
      </c>
      <c r="I557" s="398">
        <v>479</v>
      </c>
      <c r="J557" s="398">
        <v>-403</v>
      </c>
      <c r="K557" s="398">
        <v>-91</v>
      </c>
      <c r="L557" s="83">
        <f>L551*L545</f>
        <v>-109.19999999999999</v>
      </c>
      <c r="M557" s="436"/>
      <c r="N557" s="436"/>
      <c r="O557" s="436"/>
      <c r="P557" s="436"/>
      <c r="Q557" s="436"/>
      <c r="R557" s="437"/>
    </row>
    <row r="558" spans="3:42" outlineLevel="1">
      <c r="D558" s="31" t="s">
        <v>26</v>
      </c>
      <c r="H558" s="400">
        <v>2725</v>
      </c>
      <c r="I558" s="400">
        <v>1307</v>
      </c>
      <c r="J558" s="400">
        <v>6220</v>
      </c>
      <c r="K558" s="400">
        <v>5526</v>
      </c>
      <c r="L558" s="84">
        <f>L546*L552</f>
        <v>6631.2</v>
      </c>
      <c r="M558" s="438"/>
      <c r="N558" s="438"/>
      <c r="O558" s="438"/>
      <c r="P558" s="438"/>
      <c r="Q558" s="438"/>
      <c r="R558" s="439"/>
    </row>
    <row r="559" spans="3:42" outlineLevel="1">
      <c r="D559" s="31" t="s">
        <v>27</v>
      </c>
      <c r="H559" s="400">
        <v>718</v>
      </c>
      <c r="I559" s="400">
        <v>694</v>
      </c>
      <c r="J559" s="400">
        <v>1276</v>
      </c>
      <c r="K559" s="400">
        <v>1739</v>
      </c>
      <c r="L559" s="84">
        <f t="shared" ref="L559" si="1140">L547*L553</f>
        <v>2086.8000000000002</v>
      </c>
      <c r="M559" s="438"/>
      <c r="N559" s="438"/>
      <c r="O559" s="438"/>
      <c r="P559" s="438"/>
      <c r="Q559" s="438"/>
      <c r="R559" s="439"/>
    </row>
    <row r="560" spans="3:42" outlineLevel="1">
      <c r="D560" s="31" t="s">
        <v>28</v>
      </c>
      <c r="H560" s="400">
        <v>111631</v>
      </c>
      <c r="I560" s="400">
        <v>96572</v>
      </c>
      <c r="J560" s="400">
        <v>78089</v>
      </c>
      <c r="K560" s="400">
        <v>31257</v>
      </c>
      <c r="L560" s="84">
        <f t="shared" ref="L560" si="1141">L548*L554</f>
        <v>37508.400000000001</v>
      </c>
      <c r="M560" s="438"/>
      <c r="N560" s="438"/>
      <c r="O560" s="438"/>
      <c r="P560" s="438"/>
      <c r="Q560" s="438"/>
      <c r="R560" s="439"/>
    </row>
    <row r="561" spans="1:42" outlineLevel="1">
      <c r="D561" s="33" t="s">
        <v>29</v>
      </c>
      <c r="E561" s="34"/>
      <c r="F561" s="34"/>
      <c r="G561" s="34"/>
      <c r="H561" s="402">
        <v>44167</v>
      </c>
      <c r="I561" s="402">
        <v>26616</v>
      </c>
      <c r="J561" s="402">
        <v>10461</v>
      </c>
      <c r="K561" s="402">
        <v>2841</v>
      </c>
      <c r="L561" s="85">
        <f>L549*L555</f>
        <v>3409.2</v>
      </c>
      <c r="M561" s="440"/>
      <c r="N561" s="440"/>
      <c r="O561" s="440"/>
      <c r="P561" s="440"/>
      <c r="Q561" s="440"/>
      <c r="R561" s="441"/>
    </row>
    <row r="562" spans="1:42" outlineLevel="1">
      <c r="H562" s="43"/>
      <c r="I562" s="43"/>
      <c r="J562" s="43"/>
      <c r="K562" s="43"/>
    </row>
    <row r="563" spans="1:42" ht="14.5" customHeight="1" outlineLevel="1" thickBot="1">
      <c r="C563" s="37" t="s">
        <v>34</v>
      </c>
      <c r="D563" s="37"/>
      <c r="E563" s="37"/>
      <c r="F563" s="37"/>
      <c r="G563" s="37"/>
      <c r="H563" s="404">
        <v>-79786</v>
      </c>
      <c r="I563" s="404">
        <v>-67148</v>
      </c>
      <c r="J563" s="404">
        <v>-50281</v>
      </c>
      <c r="K563" s="404">
        <v>-25449</v>
      </c>
      <c r="L563" s="39">
        <f>L564-L556</f>
        <v>-30538.799999999996</v>
      </c>
      <c r="M563" s="39">
        <f t="shared" ref="M563:R563" si="1142">M564-M556</f>
        <v>-33949.70335679999</v>
      </c>
      <c r="N563" s="39">
        <f t="shared" si="1142"/>
        <v>-37718.120429404793</v>
      </c>
      <c r="O563" s="39">
        <f t="shared" si="1142"/>
        <v>-41904.831797068735</v>
      </c>
      <c r="P563" s="39">
        <f t="shared" si="1142"/>
        <v>-46556.268126543364</v>
      </c>
      <c r="Q563" s="39">
        <f t="shared" si="1142"/>
        <v>-51724.013888589689</v>
      </c>
      <c r="R563" s="39">
        <f t="shared" si="1142"/>
        <v>-57465.379430223133</v>
      </c>
    </row>
    <row r="564" spans="1:42" s="18" customFormat="1" outlineLevel="1">
      <c r="C564" s="18" t="s">
        <v>36</v>
      </c>
      <c r="H564" s="23">
        <f>H563+H556</f>
        <v>80549</v>
      </c>
      <c r="I564" s="23">
        <f>I563+I556</f>
        <v>58520</v>
      </c>
      <c r="J564" s="23">
        <f>J563+J556</f>
        <v>45362</v>
      </c>
      <c r="K564" s="23">
        <f>K563+K556</f>
        <v>15823</v>
      </c>
      <c r="L564" s="23">
        <f>L565*L556</f>
        <v>18987.599999999999</v>
      </c>
      <c r="M564" s="23">
        <f t="shared" ref="M564:R564" si="1143">M565*M556</f>
        <v>21074.127043199998</v>
      </c>
      <c r="N564" s="23">
        <f t="shared" si="1143"/>
        <v>23413.355144995199</v>
      </c>
      <c r="O564" s="23">
        <f t="shared" si="1143"/>
        <v>26012.237566089669</v>
      </c>
      <c r="P564" s="23">
        <f t="shared" si="1143"/>
        <v>28899.595935925623</v>
      </c>
      <c r="Q564" s="23">
        <f t="shared" si="1143"/>
        <v>32107.451084813369</v>
      </c>
      <c r="R564" s="23">
        <f t="shared" si="1143"/>
        <v>35671.378155227656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s="22" customFormat="1" outlineLevel="1">
      <c r="C565" s="22" t="s">
        <v>19</v>
      </c>
      <c r="H565" s="56">
        <f>IFERROR(H564/H556,"NA")</f>
        <v>0.50237939314560143</v>
      </c>
      <c r="I565" s="56">
        <f t="shared" ref="I565" si="1144">IFERROR(I564/I556,"NA")</f>
        <v>0.46567145176178504</v>
      </c>
      <c r="J565" s="56">
        <f t="shared" ref="J565" si="1145">IFERROR(J564/J556,"NA")</f>
        <v>0.47428457911190575</v>
      </c>
      <c r="K565" s="56">
        <f t="shared" ref="K565" si="1146">IFERROR(K564/K556,"NA")</f>
        <v>0.38338340763713896</v>
      </c>
      <c r="L565" s="79">
        <f>K565</f>
        <v>0.38338340763713896</v>
      </c>
      <c r="M565" s="65">
        <f t="shared" ref="M565:R565" si="1147">CHOOSE(case,T565,AB565,AJ565)</f>
        <v>0.38300000000000001</v>
      </c>
      <c r="N565" s="65">
        <f t="shared" si="1147"/>
        <v>0.38300000000000001</v>
      </c>
      <c r="O565" s="65">
        <f t="shared" si="1147"/>
        <v>0.38300000000000001</v>
      </c>
      <c r="P565" s="65">
        <f t="shared" si="1147"/>
        <v>0.38300000000000001</v>
      </c>
      <c r="Q565" s="65">
        <f t="shared" si="1147"/>
        <v>0.38300000000000001</v>
      </c>
      <c r="R565" s="65">
        <f t="shared" si="1147"/>
        <v>0.38300000000000001</v>
      </c>
      <c r="S565" s="1"/>
      <c r="T565" s="471">
        <v>0.4</v>
      </c>
      <c r="U565" s="79">
        <f t="shared" ref="U565" si="1148">T565</f>
        <v>0.4</v>
      </c>
      <c r="V565" s="79">
        <f t="shared" ref="V565" si="1149">U565</f>
        <v>0.4</v>
      </c>
      <c r="W565" s="79">
        <f t="shared" ref="W565" si="1150">V565</f>
        <v>0.4</v>
      </c>
      <c r="X565" s="79">
        <f t="shared" ref="X565" si="1151">W565</f>
        <v>0.4</v>
      </c>
      <c r="Y565" s="79">
        <f t="shared" ref="Y565" si="1152">X565</f>
        <v>0.4</v>
      </c>
      <c r="Z565" s="1"/>
      <c r="AA565" s="1"/>
      <c r="AB565" s="471">
        <v>0.38300000000000001</v>
      </c>
      <c r="AC565" s="79">
        <f t="shared" ref="AC565" si="1153">AB565</f>
        <v>0.38300000000000001</v>
      </c>
      <c r="AD565" s="79">
        <f t="shared" ref="AD565" si="1154">AC565</f>
        <v>0.38300000000000001</v>
      </c>
      <c r="AE565" s="79">
        <f t="shared" ref="AE565" si="1155">AD565</f>
        <v>0.38300000000000001</v>
      </c>
      <c r="AF565" s="79">
        <f t="shared" ref="AF565" si="1156">AE565</f>
        <v>0.38300000000000001</v>
      </c>
      <c r="AG565" s="79">
        <f t="shared" ref="AG565" si="1157">AF565</f>
        <v>0.38300000000000001</v>
      </c>
      <c r="AH565" s="1"/>
      <c r="AI565" s="1"/>
      <c r="AJ565" s="471">
        <v>0.35</v>
      </c>
      <c r="AK565" s="79">
        <f t="shared" ref="AK565" si="1158">AJ565</f>
        <v>0.35</v>
      </c>
      <c r="AL565" s="79">
        <f t="shared" ref="AL565" si="1159">AK565</f>
        <v>0.35</v>
      </c>
      <c r="AM565" s="79">
        <f t="shared" ref="AM565" si="1160">AL565</f>
        <v>0.35</v>
      </c>
      <c r="AN565" s="79">
        <f t="shared" ref="AN565" si="1161">AM565</f>
        <v>0.35</v>
      </c>
      <c r="AO565" s="79">
        <f t="shared" ref="AO565" si="1162">AN565</f>
        <v>0.35</v>
      </c>
      <c r="AP565" s="1"/>
    </row>
    <row r="566" spans="1:42" outlineLevel="1"/>
    <row r="567" spans="1:42" s="62" customFormat="1" outlineLevel="1">
      <c r="A567" s="10" t="s">
        <v>8</v>
      </c>
      <c r="B567" s="10" t="s">
        <v>61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42" outlineLevel="1">
      <c r="L568" s="42">
        <f>L571/7.1</f>
        <v>25441.690140845069</v>
      </c>
      <c r="M568" s="42">
        <f>M571/7.1</f>
        <v>28265.717746478877</v>
      </c>
      <c r="R568" s="42">
        <f>R571/7.1</f>
        <v>47844.31186623784</v>
      </c>
      <c r="S568" s="526">
        <f>POWER(R568/M568,1/5)-1</f>
        <v>0.11100000000000021</v>
      </c>
    </row>
    <row r="569" spans="1:42" outlineLevel="1">
      <c r="C569" s="1" t="s">
        <v>62</v>
      </c>
      <c r="H569" s="394">
        <v>598</v>
      </c>
      <c r="I569" s="394">
        <v>1080</v>
      </c>
      <c r="J569" s="394">
        <v>1343</v>
      </c>
      <c r="K569" s="394">
        <v>1637</v>
      </c>
      <c r="L569" s="80">
        <f>K569*1.2</f>
        <v>1964.3999999999999</v>
      </c>
      <c r="M569" s="20">
        <f t="shared" ref="M569:R570" si="1163">CHOOSE(case,T569,AB569,AJ569)</f>
        <v>2160.84</v>
      </c>
      <c r="N569" s="20">
        <f t="shared" si="1163"/>
        <v>2376.9240000000004</v>
      </c>
      <c r="O569" s="20">
        <f t="shared" si="1163"/>
        <v>2614.6164000000008</v>
      </c>
      <c r="P569" s="20">
        <f t="shared" si="1163"/>
        <v>2876.0780400000012</v>
      </c>
      <c r="Q569" s="20">
        <f t="shared" si="1163"/>
        <v>3163.6858440000015</v>
      </c>
      <c r="R569" s="20">
        <f t="shared" si="1163"/>
        <v>3480.0544284000021</v>
      </c>
      <c r="S569" s="463"/>
      <c r="T569" s="20">
        <f>$L569*(1+$Z569)</f>
        <v>2259.0599999999995</v>
      </c>
      <c r="U569" s="20">
        <f>T569*(1+$Z569)</f>
        <v>2597.9189999999994</v>
      </c>
      <c r="V569" s="20">
        <f>U569*(1+$Z569)</f>
        <v>2987.6068499999992</v>
      </c>
      <c r="W569" s="20">
        <f>V569*(1+$Z569)</f>
        <v>3435.747877499999</v>
      </c>
      <c r="X569" s="20">
        <f>W569*(1+$Z569)</f>
        <v>3951.1100591249988</v>
      </c>
      <c r="Y569" s="20">
        <f t="shared" ref="Y569" si="1164">X569*(1+$Z569)</f>
        <v>4543.7765679937484</v>
      </c>
      <c r="Z569" s="472">
        <v>0.15</v>
      </c>
      <c r="AB569" s="20">
        <f>$L569*(1+$AH569)</f>
        <v>2160.84</v>
      </c>
      <c r="AC569" s="20">
        <f>AB569*(1+$AH569)</f>
        <v>2376.9240000000004</v>
      </c>
      <c r="AD569" s="20">
        <f t="shared" ref="AD569" si="1165">AC569*(1+$AH569)</f>
        <v>2614.6164000000008</v>
      </c>
      <c r="AE569" s="20">
        <f>AD569*(1+$AH569)</f>
        <v>2876.0780400000012</v>
      </c>
      <c r="AF569" s="20">
        <f t="shared" ref="AF569" si="1166">AE569*(1+$AH569)</f>
        <v>3163.6858440000015</v>
      </c>
      <c r="AG569" s="20">
        <f>AF569*(1+$AH569)</f>
        <v>3480.0544284000021</v>
      </c>
      <c r="AH569" s="472">
        <v>0.1</v>
      </c>
      <c r="AJ569" s="20">
        <f>$L569*(1+$AP569)</f>
        <v>2062.62</v>
      </c>
      <c r="AK569" s="20">
        <f>AJ569*(1+$AP569)</f>
        <v>2165.7510000000002</v>
      </c>
      <c r="AL569" s="20">
        <f t="shared" ref="AL569:AM569" si="1167">AK569*(1+$AP569)</f>
        <v>2274.0385500000002</v>
      </c>
      <c r="AM569" s="20">
        <f t="shared" si="1167"/>
        <v>2387.7404775000005</v>
      </c>
      <c r="AN569" s="20">
        <f>AM569*(1+$AP569)</f>
        <v>2507.1275013750005</v>
      </c>
      <c r="AO569" s="20">
        <f t="shared" ref="AO569" si="1168">AN569*(1+$AP569)</f>
        <v>2632.4838764437504</v>
      </c>
      <c r="AP569" s="472">
        <v>0.05</v>
      </c>
    </row>
    <row r="570" spans="1:42" outlineLevel="1">
      <c r="C570" s="1" t="s">
        <v>30</v>
      </c>
      <c r="H570" s="41">
        <f>H571/H569</f>
        <v>94.267558528428097</v>
      </c>
      <c r="I570" s="41">
        <f>I571/I569</f>
        <v>101.10092592592592</v>
      </c>
      <c r="J570" s="41">
        <f>J571/J569</f>
        <v>92.942665673864482</v>
      </c>
      <c r="K570" s="41">
        <f>K571/K569</f>
        <v>91.954795357361022</v>
      </c>
      <c r="L570" s="87">
        <f>K570</f>
        <v>91.954795357361022</v>
      </c>
      <c r="M570" s="20">
        <f t="shared" si="1163"/>
        <v>92.874343310934634</v>
      </c>
      <c r="N570" s="20">
        <f t="shared" si="1163"/>
        <v>93.803086744043981</v>
      </c>
      <c r="O570" s="20">
        <f t="shared" si="1163"/>
        <v>94.741117611484427</v>
      </c>
      <c r="P570" s="20">
        <f t="shared" si="1163"/>
        <v>95.688528787599267</v>
      </c>
      <c r="Q570" s="20">
        <f t="shared" si="1163"/>
        <v>96.645414075475259</v>
      </c>
      <c r="R570" s="20">
        <f t="shared" si="1163"/>
        <v>97.611868216230008</v>
      </c>
      <c r="T570" s="448">
        <f>$L570*(1+$Z570)</f>
        <v>93.793891264508247</v>
      </c>
      <c r="U570" s="448">
        <f>T570*(1+$Z570)</f>
        <v>95.669769089798407</v>
      </c>
      <c r="V570" s="448">
        <f t="shared" ref="V570" si="1169">U570*(1+$Z570)</f>
        <v>97.583164471594372</v>
      </c>
      <c r="W570" s="448">
        <f>V570*(1+$Z570)</f>
        <v>99.534827761026264</v>
      </c>
      <c r="X570" s="448">
        <f>W570*(1+$Z570)</f>
        <v>101.52552431624679</v>
      </c>
      <c r="Y570" s="448">
        <f t="shared" ref="Y570" si="1170">X570*(1+$Z570)</f>
        <v>103.55603480257173</v>
      </c>
      <c r="Z570" s="472">
        <v>0.02</v>
      </c>
      <c r="AB570" s="448">
        <f>$L570*(1+$AH570)</f>
        <v>92.874343310934634</v>
      </c>
      <c r="AC570" s="448">
        <f>AB570*(1+$AH570)</f>
        <v>93.803086744043981</v>
      </c>
      <c r="AD570" s="448">
        <f t="shared" ref="AD570:AF570" si="1171">AC570*(1+$AH570)</f>
        <v>94.741117611484427</v>
      </c>
      <c r="AE570" s="448">
        <f t="shared" si="1171"/>
        <v>95.688528787599267</v>
      </c>
      <c r="AF570" s="448">
        <f t="shared" si="1171"/>
        <v>96.645414075475259</v>
      </c>
      <c r="AG570" s="448">
        <f>AF570*(1+$AH570)</f>
        <v>97.611868216230008</v>
      </c>
      <c r="AH570" s="472">
        <v>0.01</v>
      </c>
      <c r="AJ570" s="448">
        <f>$L570*(1+$AP570)</f>
        <v>91.954795357361022</v>
      </c>
      <c r="AK570" s="448">
        <f>AJ570*(1+$AP570)</f>
        <v>91.954795357361022</v>
      </c>
      <c r="AL570" s="448">
        <f t="shared" ref="AL570:AM570" si="1172">AK570*(1+$AP570)</f>
        <v>91.954795357361022</v>
      </c>
      <c r="AM570" s="448">
        <f t="shared" si="1172"/>
        <v>91.954795357361022</v>
      </c>
      <c r="AN570" s="448">
        <f>AM570*(1+$AP570)</f>
        <v>91.954795357361022</v>
      </c>
      <c r="AO570" s="448">
        <f t="shared" ref="AO570" si="1173">AN570*(1+$AP570)</f>
        <v>91.954795357361022</v>
      </c>
      <c r="AP570" s="472">
        <v>0</v>
      </c>
    </row>
    <row r="571" spans="1:42" s="18" customFormat="1" outlineLevel="1">
      <c r="C571" s="18" t="s">
        <v>32</v>
      </c>
      <c r="H571" s="405">
        <v>56372</v>
      </c>
      <c r="I571" s="405">
        <v>109189</v>
      </c>
      <c r="J571" s="405">
        <v>124822</v>
      </c>
      <c r="K571" s="405">
        <v>150530</v>
      </c>
      <c r="L571" s="73">
        <f t="shared" ref="L571:R571" si="1174">L569*L570</f>
        <v>180635.99999999997</v>
      </c>
      <c r="M571" s="73">
        <f t="shared" si="1174"/>
        <v>200686.59600000002</v>
      </c>
      <c r="N571" s="73">
        <f t="shared" si="1174"/>
        <v>222962.80815600004</v>
      </c>
      <c r="O571" s="73">
        <f t="shared" si="1174"/>
        <v>247711.67986131608</v>
      </c>
      <c r="P571" s="73">
        <f t="shared" si="1174"/>
        <v>275207.67632592219</v>
      </c>
      <c r="Q571" s="73">
        <f t="shared" si="1174"/>
        <v>305755.72839809954</v>
      </c>
      <c r="R571" s="73">
        <f t="shared" si="1174"/>
        <v>339694.61425028864</v>
      </c>
      <c r="T571" s="448"/>
      <c r="U571" s="448"/>
      <c r="V571" s="448"/>
      <c r="W571" s="448"/>
      <c r="X571" s="448"/>
      <c r="Y571" s="448"/>
      <c r="Z571" s="462"/>
      <c r="AA571" s="1"/>
      <c r="AB571" s="448"/>
      <c r="AC571" s="448"/>
      <c r="AD571" s="448"/>
      <c r="AE571" s="448"/>
      <c r="AF571" s="448"/>
      <c r="AG571" s="448"/>
      <c r="AH571" s="462"/>
      <c r="AI571" s="1"/>
      <c r="AJ571" s="448"/>
      <c r="AK571" s="448"/>
      <c r="AL571" s="448"/>
      <c r="AM571" s="448"/>
      <c r="AN571" s="448"/>
      <c r="AO571" s="448"/>
      <c r="AP571" s="462"/>
    </row>
    <row r="572" spans="1:42" outlineLevel="1"/>
    <row r="573" spans="1:42" ht="14.5" customHeight="1" outlineLevel="1" thickBot="1">
      <c r="C573" s="37" t="s">
        <v>34</v>
      </c>
      <c r="D573" s="37"/>
      <c r="E573" s="37"/>
      <c r="F573" s="37"/>
      <c r="G573" s="37"/>
      <c r="H573" s="404">
        <v>-48031</v>
      </c>
      <c r="I573" s="404">
        <v>-97905.4</v>
      </c>
      <c r="J573" s="404">
        <v>-109790</v>
      </c>
      <c r="K573" s="404">
        <v>-128348</v>
      </c>
      <c r="L573" s="39">
        <f>L574-L571</f>
        <v>-154017.59999999998</v>
      </c>
      <c r="M573" s="39">
        <f t="shared" ref="M573:R573" si="1175">M574-M571</f>
        <v>-171185.66638800001</v>
      </c>
      <c r="N573" s="39">
        <f t="shared" si="1175"/>
        <v>-190187.27535706805</v>
      </c>
      <c r="O573" s="39">
        <f t="shared" si="1175"/>
        <v>-211298.06292170263</v>
      </c>
      <c r="P573" s="39">
        <f t="shared" si="1175"/>
        <v>-234752.14790601164</v>
      </c>
      <c r="Q573" s="39">
        <f t="shared" si="1175"/>
        <v>-260809.63632357892</v>
      </c>
      <c r="R573" s="39">
        <f t="shared" si="1175"/>
        <v>-289759.50595549622</v>
      </c>
    </row>
    <row r="574" spans="1:42" s="18" customFormat="1" outlineLevel="1">
      <c r="C574" s="18" t="s">
        <v>36</v>
      </c>
      <c r="H574" s="23">
        <f>H571+H573</f>
        <v>8341</v>
      </c>
      <c r="I574" s="23">
        <f t="shared" ref="I574:K574" si="1176">I571+I573</f>
        <v>11283.600000000006</v>
      </c>
      <c r="J574" s="23">
        <f t="shared" si="1176"/>
        <v>15032</v>
      </c>
      <c r="K574" s="23">
        <f t="shared" si="1176"/>
        <v>22182</v>
      </c>
      <c r="L574" s="23">
        <f>L571*L575</f>
        <v>26618.399999999994</v>
      </c>
      <c r="M574" s="23">
        <f t="shared" ref="M574:R574" si="1177">M571*M575</f>
        <v>29500.929612</v>
      </c>
      <c r="N574" s="23">
        <f t="shared" si="1177"/>
        <v>32775.532798932007</v>
      </c>
      <c r="O574" s="23">
        <f t="shared" si="1177"/>
        <v>36413.616939613465</v>
      </c>
      <c r="P574" s="23">
        <f t="shared" si="1177"/>
        <v>40455.528419910559</v>
      </c>
      <c r="Q574" s="23">
        <f t="shared" si="1177"/>
        <v>44946.092074520631</v>
      </c>
      <c r="R574" s="23">
        <f t="shared" si="1177"/>
        <v>49935.10829479243</v>
      </c>
    </row>
    <row r="575" spans="1:42" s="22" customFormat="1" outlineLevel="1">
      <c r="C575" s="22" t="s">
        <v>19</v>
      </c>
      <c r="H575" s="56">
        <f>IFERROR(H574/H571,"NA")</f>
        <v>0.14796352799262044</v>
      </c>
      <c r="I575" s="56">
        <f t="shared" ref="I575:K575" si="1178">IFERROR(I574/I571,"NA")</f>
        <v>0.10334008004469319</v>
      </c>
      <c r="J575" s="56">
        <f t="shared" si="1178"/>
        <v>0.12042748874397141</v>
      </c>
      <c r="K575" s="56">
        <f t="shared" si="1178"/>
        <v>0.14735933036603999</v>
      </c>
      <c r="L575" s="88">
        <f>K575</f>
        <v>0.14735933036603999</v>
      </c>
      <c r="M575" s="65">
        <f t="shared" ref="M575:R575" si="1179">CHOOSE(case,T575,AB575,AJ575)</f>
        <v>0.14699999999999999</v>
      </c>
      <c r="N575" s="65">
        <f t="shared" si="1179"/>
        <v>0.14699999999999999</v>
      </c>
      <c r="O575" s="65">
        <f t="shared" si="1179"/>
        <v>0.14699999999999999</v>
      </c>
      <c r="P575" s="65">
        <f t="shared" si="1179"/>
        <v>0.14699999999999999</v>
      </c>
      <c r="Q575" s="65">
        <f t="shared" si="1179"/>
        <v>0.14699999999999999</v>
      </c>
      <c r="R575" s="65">
        <f t="shared" si="1179"/>
        <v>0.14699999999999999</v>
      </c>
      <c r="T575" s="471">
        <v>0.15</v>
      </c>
      <c r="U575" s="79">
        <f t="shared" ref="U575" si="1180">T575</f>
        <v>0.15</v>
      </c>
      <c r="V575" s="79">
        <f t="shared" ref="V575" si="1181">U575</f>
        <v>0.15</v>
      </c>
      <c r="W575" s="79">
        <f t="shared" ref="W575" si="1182">V575</f>
        <v>0.15</v>
      </c>
      <c r="X575" s="79">
        <f t="shared" ref="X575" si="1183">W575</f>
        <v>0.15</v>
      </c>
      <c r="Y575" s="79">
        <f t="shared" ref="Y575" si="1184">X575</f>
        <v>0.15</v>
      </c>
      <c r="Z575" s="1"/>
      <c r="AA575" s="1"/>
      <c r="AB575" s="471">
        <v>0.14699999999999999</v>
      </c>
      <c r="AC575" s="79">
        <f t="shared" ref="AC575" si="1185">AB575</f>
        <v>0.14699999999999999</v>
      </c>
      <c r="AD575" s="79">
        <f t="shared" ref="AD575" si="1186">AC575</f>
        <v>0.14699999999999999</v>
      </c>
      <c r="AE575" s="79">
        <f t="shared" ref="AE575" si="1187">AD575</f>
        <v>0.14699999999999999</v>
      </c>
      <c r="AF575" s="79">
        <f t="shared" ref="AF575" si="1188">AE575</f>
        <v>0.14699999999999999</v>
      </c>
      <c r="AG575" s="79">
        <f t="shared" ref="AG575" si="1189">AF575</f>
        <v>0.14699999999999999</v>
      </c>
      <c r="AH575" s="1"/>
      <c r="AI575" s="1"/>
      <c r="AJ575" s="471">
        <v>0.14000000000000001</v>
      </c>
      <c r="AK575" s="79">
        <f t="shared" ref="AK575" si="1190">AJ575</f>
        <v>0.14000000000000001</v>
      </c>
      <c r="AL575" s="79">
        <f t="shared" ref="AL575" si="1191">AK575</f>
        <v>0.14000000000000001</v>
      </c>
      <c r="AM575" s="79">
        <f t="shared" ref="AM575" si="1192">AL575</f>
        <v>0.14000000000000001</v>
      </c>
      <c r="AN575" s="79">
        <f t="shared" ref="AN575" si="1193">AM575</f>
        <v>0.14000000000000001</v>
      </c>
      <c r="AO575" s="79">
        <f t="shared" ref="AO575" si="1194">AN575</f>
        <v>0.14000000000000001</v>
      </c>
      <c r="AP575" s="1"/>
    </row>
    <row r="576" spans="1:42" outlineLevel="1"/>
    <row r="577" spans="1:42" s="62" customFormat="1" outlineLevel="1">
      <c r="A577" s="10" t="s">
        <v>8</v>
      </c>
      <c r="B577" s="10" t="s">
        <v>335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42" outlineLevel="1">
      <c r="L578" s="42">
        <f>L579/7.1</f>
        <v>2497.6901408450703</v>
      </c>
      <c r="M578" s="42">
        <f>M579/7.1</f>
        <v>2747.4591549295774</v>
      </c>
      <c r="R578" s="42">
        <f>R579/7.1</f>
        <v>4424.8104436056356</v>
      </c>
      <c r="S578" s="526">
        <f>POWER(R578/M578,1/5)-1</f>
        <v>0.10000000000000009</v>
      </c>
    </row>
    <row r="579" spans="1:42" s="18" customFormat="1" outlineLevel="1">
      <c r="C579" s="18" t="s">
        <v>32</v>
      </c>
      <c r="H579" s="405">
        <v>31756</v>
      </c>
      <c r="I579" s="405">
        <v>19049</v>
      </c>
      <c r="J579" s="405">
        <v>13798.4</v>
      </c>
      <c r="K579" s="405">
        <v>14778</v>
      </c>
      <c r="L579" s="178">
        <f>K579*1.2</f>
        <v>17733.599999999999</v>
      </c>
      <c r="M579" s="73">
        <f t="shared" ref="M579:R579" si="1195">L579*(1+M580)</f>
        <v>19506.96</v>
      </c>
      <c r="N579" s="73">
        <f t="shared" si="1195"/>
        <v>21457.655999999999</v>
      </c>
      <c r="O579" s="73">
        <f t="shared" si="1195"/>
        <v>23603.421600000001</v>
      </c>
      <c r="P579" s="73">
        <f t="shared" si="1195"/>
        <v>25963.763760000005</v>
      </c>
      <c r="Q579" s="73">
        <f t="shared" si="1195"/>
        <v>28560.140136000009</v>
      </c>
      <c r="R579" s="73">
        <f t="shared" si="1195"/>
        <v>31416.154149600014</v>
      </c>
      <c r="S579" s="463"/>
    </row>
    <row r="580" spans="1:42" s="22" customFormat="1" outlineLevel="1">
      <c r="D580" s="22" t="s">
        <v>151</v>
      </c>
      <c r="H580" s="90"/>
      <c r="I580" s="91">
        <f>I579/H579-1</f>
        <v>-0.40014485451568205</v>
      </c>
      <c r="J580" s="91">
        <f t="shared" ref="J580" si="1196">J579/I579-1</f>
        <v>-0.27563651635256448</v>
      </c>
      <c r="K580" s="91"/>
      <c r="L580" s="179">
        <f>L579/J579-1</f>
        <v>0.2851924860853432</v>
      </c>
      <c r="M580" s="65">
        <f t="shared" ref="M580:R580" si="1197">CHOOSE(case,T580,AB580,AJ580)</f>
        <v>0.1</v>
      </c>
      <c r="N580" s="65">
        <f t="shared" si="1197"/>
        <v>0.1</v>
      </c>
      <c r="O580" s="65">
        <f t="shared" si="1197"/>
        <v>0.1</v>
      </c>
      <c r="P580" s="65">
        <f t="shared" si="1197"/>
        <v>0.1</v>
      </c>
      <c r="Q580" s="65">
        <f t="shared" si="1197"/>
        <v>0.1</v>
      </c>
      <c r="R580" s="65">
        <f t="shared" si="1197"/>
        <v>0.1</v>
      </c>
      <c r="T580" s="471">
        <v>0.15</v>
      </c>
      <c r="U580" s="79">
        <f t="shared" ref="U580" si="1198">T580</f>
        <v>0.15</v>
      </c>
      <c r="V580" s="79">
        <f t="shared" ref="V580" si="1199">U580</f>
        <v>0.15</v>
      </c>
      <c r="W580" s="79">
        <f t="shared" ref="W580" si="1200">V580</f>
        <v>0.15</v>
      </c>
      <c r="X580" s="79">
        <f t="shared" ref="X580" si="1201">W580</f>
        <v>0.15</v>
      </c>
      <c r="Y580" s="79">
        <f t="shared" ref="Y580" si="1202">X580</f>
        <v>0.15</v>
      </c>
      <c r="Z580" s="1"/>
      <c r="AA580" s="1"/>
      <c r="AB580" s="471">
        <v>0.1</v>
      </c>
      <c r="AC580" s="79">
        <f t="shared" ref="AC580" si="1203">AB580</f>
        <v>0.1</v>
      </c>
      <c r="AD580" s="79">
        <f t="shared" ref="AD580" si="1204">AC580</f>
        <v>0.1</v>
      </c>
      <c r="AE580" s="79">
        <f t="shared" ref="AE580" si="1205">AD580</f>
        <v>0.1</v>
      </c>
      <c r="AF580" s="79">
        <f t="shared" ref="AF580" si="1206">AE580</f>
        <v>0.1</v>
      </c>
      <c r="AG580" s="79">
        <f t="shared" ref="AG580" si="1207">AF580</f>
        <v>0.1</v>
      </c>
      <c r="AH580" s="1"/>
      <c r="AI580" s="1"/>
      <c r="AJ580" s="471">
        <v>0.05</v>
      </c>
      <c r="AK580" s="79">
        <f t="shared" ref="AK580" si="1208">AJ580</f>
        <v>0.05</v>
      </c>
      <c r="AL580" s="79">
        <f t="shared" ref="AL580" si="1209">AK580</f>
        <v>0.05</v>
      </c>
      <c r="AM580" s="79">
        <f t="shared" ref="AM580" si="1210">AL580</f>
        <v>0.05</v>
      </c>
      <c r="AN580" s="79">
        <f t="shared" ref="AN580" si="1211">AM580</f>
        <v>0.05</v>
      </c>
      <c r="AO580" s="79">
        <f t="shared" ref="AO580" si="1212">AN580</f>
        <v>0.05</v>
      </c>
      <c r="AP580" s="1"/>
    </row>
    <row r="581" spans="1:42" outlineLevel="1"/>
    <row r="582" spans="1:42" ht="14.5" customHeight="1" outlineLevel="1" thickBot="1">
      <c r="C582" s="37" t="s">
        <v>34</v>
      </c>
      <c r="D582" s="37"/>
      <c r="E582" s="37"/>
      <c r="F582" s="37"/>
      <c r="G582" s="37"/>
      <c r="H582" s="404">
        <v>-13256</v>
      </c>
      <c r="I582" s="404">
        <v>-14488.4</v>
      </c>
      <c r="J582" s="404">
        <v>-8804</v>
      </c>
      <c r="K582" s="404">
        <v>-11950</v>
      </c>
      <c r="L582" s="39">
        <f>L583-L579</f>
        <v>-14340</v>
      </c>
      <c r="M582" s="39">
        <f>M583-M579</f>
        <v>-15781.130639999999</v>
      </c>
      <c r="N582" s="39">
        <f t="shared" ref="N582:R582" si="1213">N583-N579</f>
        <v>-17359.243704</v>
      </c>
      <c r="O582" s="39">
        <f t="shared" si="1213"/>
        <v>-19095.1680744</v>
      </c>
      <c r="P582" s="39">
        <f t="shared" si="1213"/>
        <v>-21004.684881840003</v>
      </c>
      <c r="Q582" s="39">
        <f t="shared" si="1213"/>
        <v>-23105.153370024007</v>
      </c>
      <c r="R582" s="39">
        <f t="shared" si="1213"/>
        <v>-25415.668707026409</v>
      </c>
    </row>
    <row r="583" spans="1:42" s="18" customFormat="1" outlineLevel="1">
      <c r="C583" s="18" t="s">
        <v>36</v>
      </c>
      <c r="H583" s="23">
        <f>H579+H582</f>
        <v>18500</v>
      </c>
      <c r="I583" s="23">
        <f t="shared" ref="I583" si="1214">I579+I582</f>
        <v>4560.6000000000004</v>
      </c>
      <c r="J583" s="23">
        <f t="shared" ref="J583" si="1215">J579+J582</f>
        <v>4994.3999999999996</v>
      </c>
      <c r="K583" s="23">
        <f t="shared" ref="K583" si="1216">K579+K582</f>
        <v>2828</v>
      </c>
      <c r="L583" s="23">
        <f>L584*L579</f>
        <v>3393.5999999999995</v>
      </c>
      <c r="M583" s="23">
        <f t="shared" ref="M583:R583" si="1217">M584*M579</f>
        <v>3725.8293599999997</v>
      </c>
      <c r="N583" s="23">
        <f t="shared" si="1217"/>
        <v>4098.4122959999995</v>
      </c>
      <c r="O583" s="23">
        <f t="shared" si="1217"/>
        <v>4508.2535256000001</v>
      </c>
      <c r="P583" s="23">
        <f t="shared" si="1217"/>
        <v>4959.0788781600013</v>
      </c>
      <c r="Q583" s="23">
        <f t="shared" si="1217"/>
        <v>5454.9867659760021</v>
      </c>
      <c r="R583" s="23">
        <f t="shared" si="1217"/>
        <v>6000.485442573603</v>
      </c>
    </row>
    <row r="584" spans="1:42" s="22" customFormat="1" outlineLevel="1">
      <c r="C584" s="22" t="s">
        <v>19</v>
      </c>
      <c r="H584" s="56">
        <f>IFERROR(H583/H579,"NA")</f>
        <v>0.58256707393878326</v>
      </c>
      <c r="I584" s="56">
        <f t="shared" ref="I584" si="1218">IFERROR(I583/I579,"NA")</f>
        <v>0.2394141424746706</v>
      </c>
      <c r="J584" s="56">
        <f t="shared" ref="J584" si="1219">IFERROR(J583/J579,"NA")</f>
        <v>0.36195500927643781</v>
      </c>
      <c r="K584" s="56">
        <f t="shared" ref="K584" si="1220">IFERROR(K583/K579,"NA")</f>
        <v>0.19136554337528758</v>
      </c>
      <c r="L584" s="88">
        <f>K584</f>
        <v>0.19136554337528758</v>
      </c>
      <c r="M584" s="65">
        <f t="shared" ref="M584:R584" si="1221">CHOOSE(case,T584,AB584,AJ584)</f>
        <v>0.191</v>
      </c>
      <c r="N584" s="65">
        <f t="shared" si="1221"/>
        <v>0.191</v>
      </c>
      <c r="O584" s="65">
        <f t="shared" si="1221"/>
        <v>0.191</v>
      </c>
      <c r="P584" s="65">
        <f t="shared" si="1221"/>
        <v>0.191</v>
      </c>
      <c r="Q584" s="65">
        <f t="shared" si="1221"/>
        <v>0.191</v>
      </c>
      <c r="R584" s="65">
        <f t="shared" si="1221"/>
        <v>0.191</v>
      </c>
      <c r="T584" s="471">
        <v>0.2</v>
      </c>
      <c r="U584" s="79">
        <f t="shared" ref="U584" si="1222">T584</f>
        <v>0.2</v>
      </c>
      <c r="V584" s="79">
        <f t="shared" ref="V584" si="1223">U584</f>
        <v>0.2</v>
      </c>
      <c r="W584" s="79">
        <f t="shared" ref="W584" si="1224">V584</f>
        <v>0.2</v>
      </c>
      <c r="X584" s="79">
        <f t="shared" ref="X584" si="1225">W584</f>
        <v>0.2</v>
      </c>
      <c r="Y584" s="79">
        <f t="shared" ref="Y584" si="1226">X584</f>
        <v>0.2</v>
      </c>
      <c r="Z584" s="1"/>
      <c r="AA584" s="1"/>
      <c r="AB584" s="471">
        <v>0.191</v>
      </c>
      <c r="AC584" s="79">
        <f t="shared" ref="AC584" si="1227">AB584</f>
        <v>0.191</v>
      </c>
      <c r="AD584" s="79">
        <f t="shared" ref="AD584" si="1228">AC584</f>
        <v>0.191</v>
      </c>
      <c r="AE584" s="79">
        <f t="shared" ref="AE584" si="1229">AD584</f>
        <v>0.191</v>
      </c>
      <c r="AF584" s="79">
        <f t="shared" ref="AF584" si="1230">AE584</f>
        <v>0.191</v>
      </c>
      <c r="AG584" s="79">
        <f t="shared" ref="AG584" si="1231">AF584</f>
        <v>0.191</v>
      </c>
      <c r="AH584" s="1"/>
      <c r="AI584" s="1"/>
      <c r="AJ584" s="471">
        <v>0.18</v>
      </c>
      <c r="AK584" s="79">
        <f t="shared" ref="AK584" si="1232">AJ584</f>
        <v>0.18</v>
      </c>
      <c r="AL584" s="79">
        <f t="shared" ref="AL584" si="1233">AK584</f>
        <v>0.18</v>
      </c>
      <c r="AM584" s="79">
        <f t="shared" ref="AM584" si="1234">AL584</f>
        <v>0.18</v>
      </c>
      <c r="AN584" s="79">
        <f t="shared" ref="AN584" si="1235">AM584</f>
        <v>0.18</v>
      </c>
      <c r="AO584" s="79">
        <f t="shared" ref="AO584" si="1236">AN584</f>
        <v>0.18</v>
      </c>
      <c r="AP584" s="1"/>
    </row>
    <row r="585" spans="1:42" outlineLevel="1"/>
    <row r="586" spans="1:42" s="62" customFormat="1" outlineLevel="1">
      <c r="A586" s="10" t="s">
        <v>8</v>
      </c>
      <c r="B586" s="10" t="s">
        <v>63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42" outlineLevel="1">
      <c r="H587" s="144"/>
      <c r="I587" s="144"/>
      <c r="J587" s="144"/>
      <c r="K587" s="144"/>
      <c r="L587" s="42"/>
      <c r="M587" s="42"/>
      <c r="R587" s="42"/>
      <c r="S587" s="526"/>
    </row>
    <row r="588" spans="1:42" s="18" customFormat="1" outlineLevel="1">
      <c r="C588" s="18" t="s">
        <v>32</v>
      </c>
      <c r="H588" s="405">
        <v>-60728</v>
      </c>
      <c r="I588" s="405">
        <v>-16029</v>
      </c>
      <c r="J588" s="405">
        <v>-42310.5</v>
      </c>
      <c r="K588" s="405">
        <v>-21305</v>
      </c>
      <c r="L588" s="165">
        <f>K588*1.2</f>
        <v>-25566</v>
      </c>
      <c r="M588" s="23">
        <f>M589*M67</f>
        <v>-30396.483956699998</v>
      </c>
      <c r="N588" s="23">
        <f t="shared" ref="N588:R588" si="1237">N589*N67</f>
        <v>-30127.415645985657</v>
      </c>
      <c r="O588" s="23">
        <f t="shared" si="1237"/>
        <v>-29861.08773445804</v>
      </c>
      <c r="P588" s="23">
        <f t="shared" si="1237"/>
        <v>-29597.4722704552</v>
      </c>
      <c r="Q588" s="23">
        <f t="shared" si="1237"/>
        <v>-29336.541587422096</v>
      </c>
      <c r="R588" s="23">
        <f t="shared" si="1237"/>
        <v>-29078.268301002525</v>
      </c>
      <c r="S588" s="463"/>
    </row>
    <row r="589" spans="1:42" s="22" customFormat="1" outlineLevel="1">
      <c r="D589" s="22" t="s">
        <v>650</v>
      </c>
      <c r="H589" s="464">
        <f>H588/H67</f>
        <v>-9.2714928465321214E-2</v>
      </c>
      <c r="I589" s="464">
        <f t="shared" ref="I589:L589" si="1238">I588/I67</f>
        <v>-2.2710946565729126E-2</v>
      </c>
      <c r="J589" s="464">
        <f t="shared" si="1238"/>
        <v>-5.9381391037908772E-2</v>
      </c>
      <c r="K589" s="464">
        <f t="shared" si="1238"/>
        <v>-2.5152933495549389E-2</v>
      </c>
      <c r="L589" s="464">
        <f t="shared" si="1238"/>
        <v>-2.5152933495549389E-2</v>
      </c>
      <c r="M589" s="65">
        <f t="shared" ref="M589:R589" si="1239">CHOOSE(case,T589,AB589,AJ589)</f>
        <v>-0.03</v>
      </c>
      <c r="N589" s="65">
        <f t="shared" si="1239"/>
        <v>-0.03</v>
      </c>
      <c r="O589" s="65">
        <f t="shared" si="1239"/>
        <v>-0.03</v>
      </c>
      <c r="P589" s="65">
        <f t="shared" si="1239"/>
        <v>-0.03</v>
      </c>
      <c r="Q589" s="65">
        <f t="shared" si="1239"/>
        <v>-0.03</v>
      </c>
      <c r="R589" s="65">
        <f t="shared" si="1239"/>
        <v>-0.03</v>
      </c>
      <c r="T589" s="471">
        <v>-0.02</v>
      </c>
      <c r="U589" s="79">
        <f t="shared" ref="U589" si="1240">T589</f>
        <v>-0.02</v>
      </c>
      <c r="V589" s="79">
        <f t="shared" ref="V589" si="1241">U589</f>
        <v>-0.02</v>
      </c>
      <c r="W589" s="79">
        <f t="shared" ref="W589" si="1242">V589</f>
        <v>-0.02</v>
      </c>
      <c r="X589" s="79">
        <f t="shared" ref="X589" si="1243">W589</f>
        <v>-0.02</v>
      </c>
      <c r="Y589" s="79">
        <f t="shared" ref="Y589" si="1244">X589</f>
        <v>-0.02</v>
      </c>
      <c r="Z589" s="1"/>
      <c r="AA589" s="1"/>
      <c r="AB589" s="471">
        <v>-0.03</v>
      </c>
      <c r="AC589" s="79">
        <f t="shared" ref="AC589" si="1245">AB589</f>
        <v>-0.03</v>
      </c>
      <c r="AD589" s="79">
        <f t="shared" ref="AD589" si="1246">AC589</f>
        <v>-0.03</v>
      </c>
      <c r="AE589" s="79">
        <f t="shared" ref="AE589" si="1247">AD589</f>
        <v>-0.03</v>
      </c>
      <c r="AF589" s="79">
        <f t="shared" ref="AF589" si="1248">AE589</f>
        <v>-0.03</v>
      </c>
      <c r="AG589" s="79">
        <f t="shared" ref="AG589" si="1249">AF589</f>
        <v>-0.03</v>
      </c>
      <c r="AH589" s="1"/>
      <c r="AI589" s="1"/>
      <c r="AJ589" s="471">
        <v>-0.05</v>
      </c>
      <c r="AK589" s="79">
        <f t="shared" ref="AK589" si="1250">AJ589</f>
        <v>-0.05</v>
      </c>
      <c r="AL589" s="79">
        <f t="shared" ref="AL589" si="1251">AK589</f>
        <v>-0.05</v>
      </c>
      <c r="AM589" s="79">
        <f t="shared" ref="AM589" si="1252">AL589</f>
        <v>-0.05</v>
      </c>
      <c r="AN589" s="79">
        <f t="shared" ref="AN589" si="1253">AM589</f>
        <v>-0.05</v>
      </c>
      <c r="AO589" s="79">
        <f t="shared" ref="AO589" si="1254">AN589</f>
        <v>-0.05</v>
      </c>
    </row>
    <row r="590" spans="1:42" outlineLevel="1"/>
    <row r="591" spans="1:42" ht="14.5" customHeight="1" outlineLevel="1" thickBot="1">
      <c r="C591" s="37" t="s">
        <v>34</v>
      </c>
      <c r="D591" s="37"/>
      <c r="E591" s="37"/>
      <c r="F591" s="37"/>
      <c r="G591" s="37"/>
      <c r="H591" s="404">
        <v>95938</v>
      </c>
      <c r="I591" s="404">
        <v>98541.4</v>
      </c>
      <c r="J591" s="404">
        <v>120953</v>
      </c>
      <c r="K591" s="404">
        <v>91157</v>
      </c>
      <c r="L591" s="39">
        <f>L592-L588</f>
        <v>109388.40000000001</v>
      </c>
      <c r="M591" s="39">
        <f t="shared" ref="M591:R591" si="1255">M592-M588</f>
        <v>130056.43220093414</v>
      </c>
      <c r="N591" s="39">
        <f t="shared" si="1255"/>
        <v>128905.17850462871</v>
      </c>
      <c r="O591" s="39">
        <f t="shared" si="1255"/>
        <v>127765.65006383439</v>
      </c>
      <c r="P591" s="39">
        <f t="shared" si="1255"/>
        <v>126637.72728269818</v>
      </c>
      <c r="Q591" s="39">
        <f t="shared" si="1255"/>
        <v>125521.2917852446</v>
      </c>
      <c r="R591" s="39">
        <f t="shared" si="1255"/>
        <v>124416.22640293298</v>
      </c>
    </row>
    <row r="592" spans="1:42" s="18" customFormat="1" outlineLevel="1">
      <c r="C592" s="18" t="s">
        <v>36</v>
      </c>
      <c r="H592" s="23">
        <f>H588+H591</f>
        <v>35210</v>
      </c>
      <c r="I592" s="23">
        <f t="shared" ref="I592" si="1256">I588+I591</f>
        <v>82512.399999999994</v>
      </c>
      <c r="J592" s="23">
        <f t="shared" ref="J592" si="1257">J588+J591</f>
        <v>78642.5</v>
      </c>
      <c r="K592" s="23">
        <f t="shared" ref="K592" si="1258">K588+K591</f>
        <v>69852</v>
      </c>
      <c r="L592" s="23">
        <f>L593*L588</f>
        <v>83822.400000000009</v>
      </c>
      <c r="M592" s="23">
        <f t="shared" ref="M592:R592" si="1259">M593*M588</f>
        <v>99659.94824423414</v>
      </c>
      <c r="N592" s="23">
        <f t="shared" si="1259"/>
        <v>98777.762858643051</v>
      </c>
      <c r="O592" s="23">
        <f t="shared" si="1259"/>
        <v>97904.562329376349</v>
      </c>
      <c r="P592" s="23">
        <f t="shared" si="1259"/>
        <v>97040.255012242982</v>
      </c>
      <c r="Q592" s="23">
        <f t="shared" si="1259"/>
        <v>96184.750197822505</v>
      </c>
      <c r="R592" s="23">
        <f t="shared" si="1259"/>
        <v>95337.958101930461</v>
      </c>
    </row>
    <row r="593" spans="1:41" s="22" customFormat="1" outlineLevel="1">
      <c r="C593" s="22" t="s">
        <v>19</v>
      </c>
      <c r="H593" s="56">
        <f>IFERROR(H592/H588,"NA")</f>
        <v>-0.57979844552759852</v>
      </c>
      <c r="I593" s="56">
        <f t="shared" ref="I593" si="1260">IFERROR(I592/I588,"NA")</f>
        <v>-5.1476948031692551</v>
      </c>
      <c r="J593" s="56">
        <f t="shared" ref="J593" si="1261">IFERROR(J592/J588,"NA")</f>
        <v>-1.8586993772231479</v>
      </c>
      <c r="K593" s="56">
        <f t="shared" ref="K593" si="1262">IFERROR(K592/K588,"NA")</f>
        <v>-3.2786669795822578</v>
      </c>
      <c r="L593" s="88">
        <f>K593</f>
        <v>-3.2786669795822578</v>
      </c>
      <c r="M593" s="88">
        <f t="shared" ref="M593:R593" si="1263">L593</f>
        <v>-3.2786669795822578</v>
      </c>
      <c r="N593" s="88">
        <f t="shared" si="1263"/>
        <v>-3.2786669795822578</v>
      </c>
      <c r="O593" s="88">
        <f t="shared" si="1263"/>
        <v>-3.2786669795822578</v>
      </c>
      <c r="P593" s="88">
        <f t="shared" si="1263"/>
        <v>-3.2786669795822578</v>
      </c>
      <c r="Q593" s="88">
        <f t="shared" si="1263"/>
        <v>-3.2786669795822578</v>
      </c>
      <c r="R593" s="88">
        <f t="shared" si="1263"/>
        <v>-3.2786669795822578</v>
      </c>
    </row>
    <row r="595" spans="1:41" s="59" customFormat="1">
      <c r="A595" s="58" t="s">
        <v>8</v>
      </c>
      <c r="B595" s="58" t="s">
        <v>187</v>
      </c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</row>
    <row r="597" spans="1:41">
      <c r="C597" s="18" t="s">
        <v>64</v>
      </c>
      <c r="H597" s="23">
        <f>SUM(H598,H600,H602)</f>
        <v>-403546</v>
      </c>
      <c r="I597" s="23">
        <f t="shared" ref="I597:K597" si="1264">SUM(I598,I600,I602)</f>
        <v>-360963</v>
      </c>
      <c r="J597" s="23">
        <f t="shared" si="1264"/>
        <v>-377757</v>
      </c>
      <c r="K597" s="23">
        <f t="shared" si="1264"/>
        <v>-329955</v>
      </c>
      <c r="L597" s="23">
        <f>SUM(L598,L600,L602)</f>
        <v>-395946</v>
      </c>
      <c r="M597" s="23">
        <f t="shared" ref="M597" si="1265">SUM(M598,M600,M602)</f>
        <v>-442007.63395548769</v>
      </c>
      <c r="N597" s="23">
        <f t="shared" ref="N597" si="1266">SUM(N598,N600,N602)</f>
        <v>-474120.37997159513</v>
      </c>
      <c r="O597" s="23">
        <f t="shared" ref="O597" si="1267">SUM(O598,O600,O602)</f>
        <v>-509763.21636450384</v>
      </c>
      <c r="P597" s="23">
        <f t="shared" ref="P597" si="1268">SUM(P598,P600,P602)</f>
        <v>-552732.76926866581</v>
      </c>
      <c r="Q597" s="23">
        <f t="shared" ref="Q597" si="1269">SUM(Q598,Q600,Q602)</f>
        <v>-612874.82662304514</v>
      </c>
      <c r="R597" s="23">
        <f t="shared" ref="R597" si="1270">SUM(R598,R600,R602)</f>
        <v>-690772.66009865492</v>
      </c>
    </row>
    <row r="598" spans="1:41">
      <c r="D598" s="1" t="s">
        <v>65</v>
      </c>
      <c r="H598" s="394">
        <v>-185950</v>
      </c>
      <c r="I598" s="394">
        <v>-132048</v>
      </c>
      <c r="J598" s="394">
        <v>-132551</v>
      </c>
      <c r="K598" s="394">
        <v>-95235</v>
      </c>
      <c r="L598" s="20">
        <f>L599*L$12</f>
        <v>-114282</v>
      </c>
      <c r="M598" s="20">
        <f t="shared" ref="M598:R598" si="1271">M599*M$12</f>
        <v>-127809.43632447837</v>
      </c>
      <c r="N598" s="20">
        <f t="shared" si="1271"/>
        <v>-136810.8559122016</v>
      </c>
      <c r="O598" s="20">
        <f t="shared" si="1271"/>
        <v>-147719.22440575532</v>
      </c>
      <c r="P598" s="20">
        <f t="shared" si="1271"/>
        <v>-160903.33984101325</v>
      </c>
      <c r="Q598" s="20">
        <f t="shared" si="1271"/>
        <v>-176807.162188063</v>
      </c>
      <c r="R598" s="20">
        <f t="shared" si="1271"/>
        <v>-195963.87520529222</v>
      </c>
    </row>
    <row r="599" spans="1:41">
      <c r="E599" s="22" t="s">
        <v>130</v>
      </c>
      <c r="H599" s="56">
        <f>H598/H$12</f>
        <v>-0.12849313724338515</v>
      </c>
      <c r="I599" s="56">
        <f t="shared" ref="I599:K599" si="1272">I598/I$12</f>
        <v>-7.9492492496108083E-2</v>
      </c>
      <c r="J599" s="56">
        <f t="shared" si="1272"/>
        <v>-7.3538447557662603E-2</v>
      </c>
      <c r="K599" s="56">
        <f t="shared" si="1272"/>
        <v>-4.7732738764562348E-2</v>
      </c>
      <c r="L599" s="148">
        <f>K599</f>
        <v>-4.7732738764562348E-2</v>
      </c>
      <c r="M599" s="65">
        <f t="shared" ref="M599:R599" si="1273">CHOOSE(case,T599,AB599,AJ599)</f>
        <v>-4.8000000000000001E-2</v>
      </c>
      <c r="N599" s="65">
        <f t="shared" si="1273"/>
        <v>-4.6400000000000004E-2</v>
      </c>
      <c r="O599" s="65">
        <f t="shared" si="1273"/>
        <v>-4.4800000000000006E-2</v>
      </c>
      <c r="P599" s="65">
        <f t="shared" si="1273"/>
        <v>-4.3200000000000009E-2</v>
      </c>
      <c r="Q599" s="65">
        <f t="shared" si="1273"/>
        <v>-4.1600000000000012E-2</v>
      </c>
      <c r="R599" s="65">
        <f t="shared" si="1273"/>
        <v>-4.0000000000000015E-2</v>
      </c>
      <c r="S599" s="22"/>
      <c r="T599" s="79">
        <f>AB599+0.3%</f>
        <v>-4.4999999999999998E-2</v>
      </c>
      <c r="U599" s="79">
        <f t="shared" ref="U599:Y599" si="1274">AC599+0.3%</f>
        <v>-4.3400000000000001E-2</v>
      </c>
      <c r="V599" s="79">
        <f t="shared" si="1274"/>
        <v>-4.1800000000000004E-2</v>
      </c>
      <c r="W599" s="79">
        <f t="shared" si="1274"/>
        <v>-4.0200000000000007E-2</v>
      </c>
      <c r="X599" s="79">
        <f t="shared" si="1274"/>
        <v>-3.8600000000000009E-2</v>
      </c>
      <c r="Y599" s="79">
        <f t="shared" si="1274"/>
        <v>-3.7000000000000012E-2</v>
      </c>
      <c r="AB599" s="471">
        <v>-4.8000000000000001E-2</v>
      </c>
      <c r="AC599" s="79">
        <f>AB599+0.8%/5</f>
        <v>-4.6400000000000004E-2</v>
      </c>
      <c r="AD599" s="79">
        <f t="shared" ref="AD599:AG599" si="1275">AC599+0.8%/5</f>
        <v>-4.4800000000000006E-2</v>
      </c>
      <c r="AE599" s="79">
        <f t="shared" si="1275"/>
        <v>-4.3200000000000009E-2</v>
      </c>
      <c r="AF599" s="79">
        <f t="shared" si="1275"/>
        <v>-4.1600000000000012E-2</v>
      </c>
      <c r="AG599" s="79">
        <f t="shared" si="1275"/>
        <v>-4.0000000000000015E-2</v>
      </c>
      <c r="AJ599" s="79">
        <f>AB599-0.3%</f>
        <v>-5.1000000000000004E-2</v>
      </c>
      <c r="AK599" s="79">
        <f t="shared" ref="AK599:AO599" si="1276">AC599-0.3%</f>
        <v>-4.9400000000000006E-2</v>
      </c>
      <c r="AL599" s="79">
        <f t="shared" si="1276"/>
        <v>-4.7800000000000009E-2</v>
      </c>
      <c r="AM599" s="79">
        <f t="shared" si="1276"/>
        <v>-4.6200000000000012E-2</v>
      </c>
      <c r="AN599" s="79">
        <f t="shared" si="1276"/>
        <v>-4.4600000000000015E-2</v>
      </c>
      <c r="AO599" s="79">
        <f t="shared" si="1276"/>
        <v>-4.3000000000000017E-2</v>
      </c>
    </row>
    <row r="600" spans="1:41">
      <c r="D600" s="1" t="s">
        <v>66</v>
      </c>
      <c r="H600" s="394">
        <v>-158682</v>
      </c>
      <c r="I600" s="394">
        <v>-154028</v>
      </c>
      <c r="J600" s="394">
        <v>-166703</v>
      </c>
      <c r="K600" s="394">
        <v>-151997</v>
      </c>
      <c r="L600" s="20">
        <f>L601*L$12</f>
        <v>-182396.4</v>
      </c>
      <c r="M600" s="20">
        <f t="shared" ref="M600" si="1277">M601*M$12</f>
        <v>-194376.85107681082</v>
      </c>
      <c r="N600" s="20">
        <f t="shared" ref="N600" si="1278">N601*N$12</f>
        <v>-213472.11138024557</v>
      </c>
      <c r="O600" s="20">
        <f t="shared" ref="O600" si="1279">O601*O$12</f>
        <v>-236746.4355431525</v>
      </c>
      <c r="P600" s="20">
        <f t="shared" ref="P600" si="1280">P601*P$12</f>
        <v>-265192.54158981808</v>
      </c>
      <c r="Q600" s="20">
        <f t="shared" ref="Q600" si="1281">Q601*Q$12</f>
        <v>-300062.15505954914</v>
      </c>
      <c r="R600" s="20">
        <f t="shared" ref="R600" si="1282">R601*R$12</f>
        <v>-342936.78160926129</v>
      </c>
    </row>
    <row r="601" spans="1:41">
      <c r="E601" s="22" t="s">
        <v>130</v>
      </c>
      <c r="H601" s="56">
        <f>H600/H$12</f>
        <v>-0.10965070182336564</v>
      </c>
      <c r="I601" s="56">
        <f t="shared" ref="I601" si="1283">I600/I$12</f>
        <v>-9.2724385331020065E-2</v>
      </c>
      <c r="J601" s="56">
        <f t="shared" ref="J601" si="1284">J600/J$12</f>
        <v>-9.2485758864173262E-2</v>
      </c>
      <c r="K601" s="56">
        <f t="shared" ref="K601" si="1285">K600/K$12</f>
        <v>-7.6182423415731435E-2</v>
      </c>
      <c r="L601" s="148">
        <f>K601</f>
        <v>-7.6182423415731435E-2</v>
      </c>
      <c r="M601" s="65">
        <f t="shared" ref="M601:R601" si="1286">CHOOSE(case,T601,AB601,AJ601)</f>
        <v>-7.2999999999999995E-2</v>
      </c>
      <c r="N601" s="65">
        <f t="shared" si="1286"/>
        <v>-7.2399999999999992E-2</v>
      </c>
      <c r="O601" s="65">
        <f t="shared" si="1286"/>
        <v>-7.1800000000000003E-2</v>
      </c>
      <c r="P601" s="65">
        <f t="shared" si="1286"/>
        <v>-7.1199999999999999E-2</v>
      </c>
      <c r="Q601" s="65">
        <f t="shared" si="1286"/>
        <v>-7.060000000000001E-2</v>
      </c>
      <c r="R601" s="65">
        <f t="shared" si="1286"/>
        <v>-7.0000000000000007E-2</v>
      </c>
      <c r="S601" s="22"/>
      <c r="T601" s="79">
        <f>AB601+0.3%</f>
        <v>-6.9999999999999993E-2</v>
      </c>
      <c r="U601" s="79">
        <f t="shared" ref="U601" si="1287">AC601+0.3%</f>
        <v>-6.9399999999999989E-2</v>
      </c>
      <c r="V601" s="79">
        <f t="shared" ref="V601" si="1288">AD601+0.3%</f>
        <v>-6.88E-2</v>
      </c>
      <c r="W601" s="79">
        <f t="shared" ref="W601" si="1289">AE601+0.3%</f>
        <v>-6.8199999999999997E-2</v>
      </c>
      <c r="X601" s="79">
        <f t="shared" ref="X601" si="1290">AF601+0.3%</f>
        <v>-6.7600000000000007E-2</v>
      </c>
      <c r="Y601" s="79">
        <f t="shared" ref="Y601" si="1291">AG601+0.3%</f>
        <v>-6.7000000000000004E-2</v>
      </c>
      <c r="AB601" s="471">
        <v>-7.2999999999999995E-2</v>
      </c>
      <c r="AC601" s="471">
        <v>-7.2399999999999992E-2</v>
      </c>
      <c r="AD601" s="471">
        <v>-7.1800000000000003E-2</v>
      </c>
      <c r="AE601" s="471">
        <v>-7.1199999999999999E-2</v>
      </c>
      <c r="AF601" s="471">
        <v>-7.060000000000001E-2</v>
      </c>
      <c r="AG601" s="471">
        <v>-7.0000000000000007E-2</v>
      </c>
      <c r="AJ601" s="471">
        <v>-7.5999999999999998E-2</v>
      </c>
      <c r="AK601" s="79">
        <f t="shared" ref="AK601" si="1292">AJ601</f>
        <v>-7.5999999999999998E-2</v>
      </c>
      <c r="AL601" s="79">
        <f t="shared" ref="AL601" si="1293">AK601</f>
        <v>-7.5999999999999998E-2</v>
      </c>
      <c r="AM601" s="79">
        <f t="shared" ref="AM601" si="1294">AL601</f>
        <v>-7.5999999999999998E-2</v>
      </c>
      <c r="AN601" s="79">
        <f t="shared" ref="AN601" si="1295">AM601</f>
        <v>-7.5999999999999998E-2</v>
      </c>
      <c r="AO601" s="79">
        <f t="shared" ref="AO601" si="1296">AN601</f>
        <v>-7.5999999999999998E-2</v>
      </c>
    </row>
    <row r="602" spans="1:41">
      <c r="D602" s="1" t="s">
        <v>67</v>
      </c>
      <c r="H602" s="394">
        <v>-58914</v>
      </c>
      <c r="I602" s="394">
        <v>-74887</v>
      </c>
      <c r="J602" s="394">
        <v>-78503</v>
      </c>
      <c r="K602" s="394">
        <v>-82723</v>
      </c>
      <c r="L602" s="20">
        <f>L603*L$12</f>
        <v>-99267.599999999991</v>
      </c>
      <c r="M602" s="20">
        <f t="shared" ref="M602" si="1297">M603*M$12</f>
        <v>-119821.34655419846</v>
      </c>
      <c r="N602" s="20">
        <f t="shared" ref="N602" si="1298">N603*N$12</f>
        <v>-123837.41267914798</v>
      </c>
      <c r="O602" s="20">
        <f t="shared" ref="O602" si="1299">O603*O$12</f>
        <v>-125297.55641559602</v>
      </c>
      <c r="P602" s="20">
        <f t="shared" ref="P602" si="1300">P603*P$12</f>
        <v>-126636.88783783448</v>
      </c>
      <c r="Q602" s="20">
        <f t="shared" ref="Q602" si="1301">Q603*Q$12</f>
        <v>-136005.50937543303</v>
      </c>
      <c r="R602" s="20">
        <f t="shared" ref="R602" si="1302">R603*R$12</f>
        <v>-151872.0032841014</v>
      </c>
    </row>
    <row r="603" spans="1:41">
      <c r="E603" s="22" t="s">
        <v>130</v>
      </c>
      <c r="H603" s="56">
        <f>H602/H$12</f>
        <v>-4.0710108564435563E-2</v>
      </c>
      <c r="I603" s="56">
        <f t="shared" ref="I603" si="1303">I602/I$12</f>
        <v>-4.508174516506154E-2</v>
      </c>
      <c r="J603" s="56">
        <f t="shared" ref="J603" si="1304">J602/J$12</f>
        <v>-4.3552962622833383E-2</v>
      </c>
      <c r="K603" s="56">
        <f t="shared" ref="K603" si="1305">K602/K$12</f>
        <v>-4.1461598664575952E-2</v>
      </c>
      <c r="L603" s="148">
        <f>K603</f>
        <v>-4.1461598664575952E-2</v>
      </c>
      <c r="M603" s="65">
        <f t="shared" ref="M603:R603" si="1306">CHOOSE(case,T603,AB603,AJ603)</f>
        <v>-4.4999999999999998E-2</v>
      </c>
      <c r="N603" s="65">
        <f t="shared" si="1306"/>
        <v>-4.1999999999999996E-2</v>
      </c>
      <c r="O603" s="65">
        <f t="shared" si="1306"/>
        <v>-3.7999999999999999E-2</v>
      </c>
      <c r="P603" s="65">
        <f t="shared" si="1306"/>
        <v>-3.4000000000000002E-2</v>
      </c>
      <c r="Q603" s="65">
        <f t="shared" si="1306"/>
        <v>-3.2000000000000001E-2</v>
      </c>
      <c r="R603" s="65">
        <f t="shared" si="1306"/>
        <v>-3.1E-2</v>
      </c>
      <c r="S603" s="22"/>
      <c r="T603" s="79">
        <f>AB603+0.2%</f>
        <v>-4.2999999999999997E-2</v>
      </c>
      <c r="U603" s="79">
        <f t="shared" ref="U603:Y603" si="1307">AC603+0.2%</f>
        <v>-3.9999999999999994E-2</v>
      </c>
      <c r="V603" s="79">
        <f t="shared" si="1307"/>
        <v>-3.5999999999999997E-2</v>
      </c>
      <c r="W603" s="79">
        <f t="shared" si="1307"/>
        <v>-3.2000000000000001E-2</v>
      </c>
      <c r="X603" s="79">
        <f t="shared" si="1307"/>
        <v>-0.03</v>
      </c>
      <c r="Y603" s="79">
        <f t="shared" si="1307"/>
        <v>-2.8999999999999998E-2</v>
      </c>
      <c r="AB603" s="471">
        <v>-4.4999999999999998E-2</v>
      </c>
      <c r="AC603" s="471">
        <v>-4.1999999999999996E-2</v>
      </c>
      <c r="AD603" s="471">
        <v>-3.7999999999999999E-2</v>
      </c>
      <c r="AE603" s="471">
        <v>-3.4000000000000002E-2</v>
      </c>
      <c r="AF603" s="471">
        <v>-3.2000000000000001E-2</v>
      </c>
      <c r="AG603" s="471">
        <v>-3.1E-2</v>
      </c>
      <c r="AJ603" s="471">
        <v>-4.1000000000000002E-2</v>
      </c>
      <c r="AK603" s="79">
        <f t="shared" ref="AK603" si="1308">AJ603</f>
        <v>-4.1000000000000002E-2</v>
      </c>
      <c r="AL603" s="79">
        <f t="shared" ref="AL603" si="1309">AK603</f>
        <v>-4.1000000000000002E-2</v>
      </c>
      <c r="AM603" s="79">
        <f t="shared" ref="AM603" si="1310">AL603</f>
        <v>-4.1000000000000002E-2</v>
      </c>
      <c r="AN603" s="79">
        <f t="shared" ref="AN603" si="1311">AM603</f>
        <v>-4.1000000000000002E-2</v>
      </c>
      <c r="AO603" s="79">
        <f t="shared" ref="AO603" si="1312">AN603</f>
        <v>-4.1000000000000002E-2</v>
      </c>
    </row>
    <row r="604" spans="1:41">
      <c r="H604" s="21"/>
      <c r="I604" s="21"/>
      <c r="J604" s="21"/>
      <c r="K604" s="21"/>
      <c r="L604" s="394"/>
    </row>
    <row r="605" spans="1:41">
      <c r="D605" s="1" t="s">
        <v>70</v>
      </c>
      <c r="H605" s="394">
        <v>-62706</v>
      </c>
      <c r="I605" s="394">
        <v>-19153.400000000001</v>
      </c>
      <c r="J605" s="394">
        <v>-37203</v>
      </c>
      <c r="K605" s="394">
        <v>-36727</v>
      </c>
      <c r="L605" s="21" t="e">
        <f>'债务&amp;权益'!#REF!*1000*集团!L9</f>
        <v>#REF!</v>
      </c>
      <c r="M605" s="21" t="e">
        <f>'债务&amp;权益'!#REF!*1000*集团!N9</f>
        <v>#REF!</v>
      </c>
      <c r="N605" s="21" t="e">
        <f>'债务&amp;权益'!#REF!*1000*集团!O9</f>
        <v>#REF!</v>
      </c>
      <c r="O605" s="21" t="e">
        <f>'债务&amp;权益'!#REF!*1000*集团!P9</f>
        <v>#REF!</v>
      </c>
      <c r="P605" s="21" t="e">
        <f>'债务&amp;权益'!#REF!*1000*集团!Q9</f>
        <v>#REF!</v>
      </c>
      <c r="Q605" s="21" t="e">
        <f>'债务&amp;权益'!#REF!*1000*集团!R9</f>
        <v>#REF!</v>
      </c>
      <c r="R605" s="21" t="e">
        <f>'债务&amp;权益'!#REF!*1000*集团!S9</f>
        <v>#REF!</v>
      </c>
    </row>
    <row r="606" spans="1:41">
      <c r="H606" s="21"/>
      <c r="I606" s="21"/>
      <c r="J606" s="21"/>
      <c r="K606" s="21"/>
    </row>
    <row r="607" spans="1:41">
      <c r="C607" s="18" t="s">
        <v>478</v>
      </c>
      <c r="H607" s="23">
        <f>SUM(H609:H612)</f>
        <v>24878</v>
      </c>
      <c r="I607" s="23">
        <f>SUM(I609:I612)</f>
        <v>10164.6</v>
      </c>
      <c r="J607" s="23">
        <f>SUM(J609:J612)</f>
        <v>-6478</v>
      </c>
      <c r="K607" s="23">
        <f>SUM(K609:K612)</f>
        <v>10218</v>
      </c>
      <c r="L607" s="23">
        <f>L608*L$12</f>
        <v>12261.599999999999</v>
      </c>
      <c r="M607" s="23">
        <f t="shared" ref="M607" si="1313">M608*M$12</f>
        <v>13636.6391348179</v>
      </c>
      <c r="N607" s="23">
        <f t="shared" ref="N607" si="1314">N608*N$12</f>
        <v>15100.392822843194</v>
      </c>
      <c r="O607" s="23">
        <f t="shared" ref="O607" si="1315">O608*O$12</f>
        <v>16886.695434117082</v>
      </c>
      <c r="P607" s="23">
        <f t="shared" ref="P607" si="1316">P608*P$12</f>
        <v>19075.106781355604</v>
      </c>
      <c r="Q607" s="23">
        <f t="shared" ref="Q607" si="1317">Q608*Q$12</f>
        <v>21766.679812959919</v>
      </c>
      <c r="R607" s="23">
        <f t="shared" ref="R607" si="1318">R608*R$12</f>
        <v>25090.059637074748</v>
      </c>
    </row>
    <row r="608" spans="1:41">
      <c r="C608" s="18"/>
      <c r="D608" s="22" t="s">
        <v>130</v>
      </c>
      <c r="H608" s="56">
        <f>H607/H$12</f>
        <v>1.719092373401955E-2</v>
      </c>
      <c r="I608" s="56">
        <f t="shared" ref="I608" si="1319">I607/I$12</f>
        <v>6.1190581396608837E-3</v>
      </c>
      <c r="J608" s="56">
        <f t="shared" ref="J608" si="1320">J607/J$12</f>
        <v>-3.5939529937800423E-3</v>
      </c>
      <c r="K608" s="56">
        <f t="shared" ref="K608" si="1321">K607/K$12</f>
        <v>5.121364253649373E-3</v>
      </c>
      <c r="L608" s="148">
        <f>K608</f>
        <v>5.121364253649373E-3</v>
      </c>
      <c r="M608" s="148">
        <f t="shared" ref="M608:R608" si="1322">L608</f>
        <v>5.121364253649373E-3</v>
      </c>
      <c r="N608" s="148">
        <f t="shared" si="1322"/>
        <v>5.121364253649373E-3</v>
      </c>
      <c r="O608" s="148">
        <f t="shared" si="1322"/>
        <v>5.121364253649373E-3</v>
      </c>
      <c r="P608" s="148">
        <f t="shared" si="1322"/>
        <v>5.121364253649373E-3</v>
      </c>
      <c r="Q608" s="148">
        <f t="shared" si="1322"/>
        <v>5.121364253649373E-3</v>
      </c>
      <c r="R608" s="148">
        <f t="shared" si="1322"/>
        <v>5.121364253649373E-3</v>
      </c>
    </row>
    <row r="609" spans="1:18">
      <c r="D609" s="1" t="s">
        <v>69</v>
      </c>
      <c r="H609" s="394">
        <v>-9919</v>
      </c>
      <c r="I609" s="394">
        <v>-10669.4</v>
      </c>
      <c r="J609" s="394">
        <v>-12295</v>
      </c>
      <c r="K609" s="394">
        <v>-11529</v>
      </c>
    </row>
    <row r="610" spans="1:18">
      <c r="D610" s="1" t="s">
        <v>71</v>
      </c>
      <c r="H610" s="394">
        <v>-2668</v>
      </c>
      <c r="I610" s="394">
        <v>-2799</v>
      </c>
      <c r="J610" s="394">
        <v>-6499</v>
      </c>
      <c r="K610" s="394">
        <v>-1511</v>
      </c>
    </row>
    <row r="611" spans="1:18">
      <c r="D611" s="1" t="s">
        <v>72</v>
      </c>
      <c r="H611" s="394">
        <v>23307</v>
      </c>
      <c r="I611" s="394">
        <v>2321</v>
      </c>
      <c r="J611" s="394">
        <v>3192</v>
      </c>
      <c r="K611" s="394">
        <v>13371</v>
      </c>
    </row>
    <row r="612" spans="1:18">
      <c r="D612" s="1" t="s">
        <v>73</v>
      </c>
      <c r="H612" s="394">
        <v>14158</v>
      </c>
      <c r="I612" s="394">
        <v>21312</v>
      </c>
      <c r="J612" s="394">
        <v>9124</v>
      </c>
      <c r="K612" s="394">
        <v>9887</v>
      </c>
    </row>
    <row r="613" spans="1:18">
      <c r="H613" s="21"/>
      <c r="I613" s="21"/>
      <c r="J613" s="21"/>
      <c r="K613" s="21"/>
    </row>
    <row r="614" spans="1:18">
      <c r="C614" s="18" t="s">
        <v>74</v>
      </c>
      <c r="H614" s="23">
        <f t="shared" ref="H614:R614" si="1323">H21+H597+H607+H605</f>
        <v>-60420</v>
      </c>
      <c r="I614" s="23">
        <f t="shared" si="1323"/>
        <v>121142.8000000001</v>
      </c>
      <c r="J614" s="23">
        <f t="shared" si="1323"/>
        <v>241541.10000000009</v>
      </c>
      <c r="K614" s="23">
        <f t="shared" si="1323"/>
        <v>343496.5</v>
      </c>
      <c r="L614" s="23" t="e">
        <f t="shared" si="1323"/>
        <v>#REF!</v>
      </c>
      <c r="M614" s="23" t="e">
        <f t="shared" si="1323"/>
        <v>#REF!</v>
      </c>
      <c r="N614" s="23" t="e">
        <f t="shared" si="1323"/>
        <v>#REF!</v>
      </c>
      <c r="O614" s="23" t="e">
        <f t="shared" si="1323"/>
        <v>#REF!</v>
      </c>
      <c r="P614" s="23" t="e">
        <f t="shared" si="1323"/>
        <v>#REF!</v>
      </c>
      <c r="Q614" s="23" t="e">
        <f t="shared" si="1323"/>
        <v>#REF!</v>
      </c>
      <c r="R614" s="23" t="e">
        <f t="shared" si="1323"/>
        <v>#REF!</v>
      </c>
    </row>
    <row r="615" spans="1:18">
      <c r="D615" s="1" t="s">
        <v>75</v>
      </c>
      <c r="H615" s="394">
        <v>0</v>
      </c>
      <c r="I615" s="394">
        <v>0</v>
      </c>
      <c r="J615" s="394">
        <v>0</v>
      </c>
      <c r="K615" s="394">
        <v>0</v>
      </c>
      <c r="L615" s="80">
        <f>K615</f>
        <v>0</v>
      </c>
      <c r="M615" s="80">
        <f t="shared" ref="M615:R615" si="1324">L615</f>
        <v>0</v>
      </c>
      <c r="N615" s="80">
        <f t="shared" si="1324"/>
        <v>0</v>
      </c>
      <c r="O615" s="80">
        <f t="shared" si="1324"/>
        <v>0</v>
      </c>
      <c r="P615" s="80">
        <f t="shared" si="1324"/>
        <v>0</v>
      </c>
      <c r="Q615" s="80">
        <f t="shared" si="1324"/>
        <v>0</v>
      </c>
      <c r="R615" s="80">
        <f t="shared" si="1324"/>
        <v>0</v>
      </c>
    </row>
    <row r="616" spans="1:18">
      <c r="H616" s="21"/>
      <c r="I616" s="21"/>
      <c r="J616" s="21"/>
      <c r="K616" s="21"/>
    </row>
    <row r="617" spans="1:18">
      <c r="C617" s="18" t="s">
        <v>76</v>
      </c>
      <c r="H617" s="23">
        <f>SUM(H614:H615)</f>
        <v>-60420</v>
      </c>
      <c r="I617" s="23">
        <f t="shared" ref="I617:R617" si="1325">SUM(I614:I615)</f>
        <v>121142.8000000001</v>
      </c>
      <c r="J617" s="23">
        <f t="shared" si="1325"/>
        <v>241541.10000000009</v>
      </c>
      <c r="K617" s="23">
        <f t="shared" si="1325"/>
        <v>343496.5</v>
      </c>
      <c r="L617" s="23" t="e">
        <f t="shared" si="1325"/>
        <v>#REF!</v>
      </c>
      <c r="M617" s="23" t="e">
        <f t="shared" si="1325"/>
        <v>#REF!</v>
      </c>
      <c r="N617" s="23" t="e">
        <f t="shared" si="1325"/>
        <v>#REF!</v>
      </c>
      <c r="O617" s="23" t="e">
        <f t="shared" si="1325"/>
        <v>#REF!</v>
      </c>
      <c r="P617" s="23" t="e">
        <f t="shared" si="1325"/>
        <v>#REF!</v>
      </c>
      <c r="Q617" s="23" t="e">
        <f t="shared" si="1325"/>
        <v>#REF!</v>
      </c>
      <c r="R617" s="23" t="e">
        <f t="shared" si="1325"/>
        <v>#REF!</v>
      </c>
    </row>
    <row r="618" spans="1:18">
      <c r="D618" s="1" t="s">
        <v>77</v>
      </c>
      <c r="H618" s="394">
        <v>14648</v>
      </c>
      <c r="I618" s="394">
        <v>-18759.400000000001</v>
      </c>
      <c r="J618" s="394">
        <v>-25481</v>
      </c>
      <c r="K618" s="394">
        <v>-48139</v>
      </c>
      <c r="L618" s="20" t="e">
        <f>-L619*L617</f>
        <v>#REF!</v>
      </c>
      <c r="M618" s="20" t="e">
        <f t="shared" ref="M618:R618" si="1326">-M619*M617</f>
        <v>#REF!</v>
      </c>
      <c r="N618" s="20" t="e">
        <f t="shared" si="1326"/>
        <v>#REF!</v>
      </c>
      <c r="O618" s="20" t="e">
        <f t="shared" si="1326"/>
        <v>#REF!</v>
      </c>
      <c r="P618" s="20" t="e">
        <f t="shared" si="1326"/>
        <v>#REF!</v>
      </c>
      <c r="Q618" s="20" t="e">
        <f t="shared" si="1326"/>
        <v>#REF!</v>
      </c>
      <c r="R618" s="20" t="e">
        <f t="shared" si="1326"/>
        <v>#REF!</v>
      </c>
    </row>
    <row r="619" spans="1:18">
      <c r="D619" s="22" t="s">
        <v>349</v>
      </c>
      <c r="H619" s="94">
        <f>-H618/H617</f>
        <v>0.2424362793776895</v>
      </c>
      <c r="I619" s="94">
        <f t="shared" ref="I619:K619" si="1327">-I618/I617</f>
        <v>0.15485361078000495</v>
      </c>
      <c r="J619" s="94">
        <f t="shared" si="1327"/>
        <v>0.10549343362268364</v>
      </c>
      <c r="K619" s="94">
        <f t="shared" si="1327"/>
        <v>0.14014407715944704</v>
      </c>
      <c r="L619" s="148">
        <f>K619</f>
        <v>0.14014407715944704</v>
      </c>
      <c r="M619" s="148">
        <f t="shared" ref="M619:R619" si="1328">L619</f>
        <v>0.14014407715944704</v>
      </c>
      <c r="N619" s="148">
        <f t="shared" si="1328"/>
        <v>0.14014407715944704</v>
      </c>
      <c r="O619" s="148">
        <f t="shared" si="1328"/>
        <v>0.14014407715944704</v>
      </c>
      <c r="P619" s="148">
        <f t="shared" si="1328"/>
        <v>0.14014407715944704</v>
      </c>
      <c r="Q619" s="148">
        <f t="shared" si="1328"/>
        <v>0.14014407715944704</v>
      </c>
      <c r="R619" s="148">
        <f t="shared" si="1328"/>
        <v>0.14014407715944704</v>
      </c>
    </row>
    <row r="620" spans="1:18" ht="15" thickBot="1"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</row>
    <row r="621" spans="1:18" ht="15" thickBot="1">
      <c r="C621" s="63" t="s">
        <v>78</v>
      </c>
      <c r="D621" s="37"/>
      <c r="E621" s="37"/>
      <c r="F621" s="37"/>
      <c r="G621" s="37"/>
      <c r="H621" s="64">
        <f>SUM(H617:H618)</f>
        <v>-45772</v>
      </c>
      <c r="I621" s="64">
        <f t="shared" ref="I621:R621" si="1329">SUM(I617:I618)</f>
        <v>102383.40000000011</v>
      </c>
      <c r="J621" s="64">
        <f t="shared" si="1329"/>
        <v>216060.10000000009</v>
      </c>
      <c r="K621" s="64">
        <f t="shared" si="1329"/>
        <v>295357.5</v>
      </c>
      <c r="L621" s="64" t="e">
        <f t="shared" si="1329"/>
        <v>#REF!</v>
      </c>
      <c r="M621" s="64" t="e">
        <f t="shared" si="1329"/>
        <v>#REF!</v>
      </c>
      <c r="N621" s="64" t="e">
        <f t="shared" si="1329"/>
        <v>#REF!</v>
      </c>
      <c r="O621" s="64" t="e">
        <f t="shared" si="1329"/>
        <v>#REF!</v>
      </c>
      <c r="P621" s="64" t="e">
        <f t="shared" si="1329"/>
        <v>#REF!</v>
      </c>
      <c r="Q621" s="64" t="e">
        <f t="shared" si="1329"/>
        <v>#REF!</v>
      </c>
      <c r="R621" s="64" t="e">
        <f t="shared" si="1329"/>
        <v>#REF!</v>
      </c>
    </row>
    <row r="622" spans="1:18">
      <c r="H622" s="21"/>
      <c r="I622" s="21"/>
      <c r="J622" s="21"/>
      <c r="K622" s="21"/>
    </row>
    <row r="623" spans="1:18" s="62" customFormat="1">
      <c r="A623" s="10" t="s">
        <v>8</v>
      </c>
      <c r="B623" s="10"/>
      <c r="C623" s="10" t="s">
        <v>79</v>
      </c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5" spans="3:18">
      <c r="C625" s="1" t="s">
        <v>608</v>
      </c>
      <c r="H625" s="20">
        <f>H626+H627</f>
        <v>36390</v>
      </c>
      <c r="I625" s="20">
        <f t="shared" ref="I625:K625" si="1330">I626+I627</f>
        <v>48612</v>
      </c>
      <c r="J625" s="20">
        <f t="shared" si="1330"/>
        <v>31481</v>
      </c>
      <c r="K625" s="20">
        <f t="shared" si="1330"/>
        <v>32347</v>
      </c>
      <c r="L625" s="1" t="e">
        <f>-L605</f>
        <v>#REF!</v>
      </c>
      <c r="M625" s="1" t="e">
        <f t="shared" ref="M625:R625" si="1331">-M605</f>
        <v>#REF!</v>
      </c>
      <c r="N625" s="1" t="e">
        <f t="shared" si="1331"/>
        <v>#REF!</v>
      </c>
      <c r="O625" s="1" t="e">
        <f t="shared" si="1331"/>
        <v>#REF!</v>
      </c>
      <c r="P625" s="1" t="e">
        <f t="shared" si="1331"/>
        <v>#REF!</v>
      </c>
      <c r="Q625" s="1" t="e">
        <f t="shared" si="1331"/>
        <v>#REF!</v>
      </c>
      <c r="R625" s="1" t="e">
        <f t="shared" si="1331"/>
        <v>#REF!</v>
      </c>
    </row>
    <row r="626" spans="3:18">
      <c r="D626" s="1" t="s">
        <v>80</v>
      </c>
      <c r="H626" s="394">
        <v>49936</v>
      </c>
      <c r="I626" s="394">
        <v>57612</v>
      </c>
      <c r="J626" s="394">
        <v>47531</v>
      </c>
      <c r="K626" s="394">
        <v>46792</v>
      </c>
      <c r="L626" s="119"/>
      <c r="M626" s="119"/>
      <c r="N626" s="119"/>
      <c r="O626" s="119"/>
      <c r="P626" s="119"/>
      <c r="Q626" s="119"/>
      <c r="R626" s="119"/>
    </row>
    <row r="627" spans="3:18">
      <c r="D627" s="1" t="s">
        <v>81</v>
      </c>
      <c r="H627" s="394">
        <v>-13546</v>
      </c>
      <c r="I627" s="394">
        <v>-9000</v>
      </c>
      <c r="J627" s="394">
        <v>-16050</v>
      </c>
      <c r="K627" s="394">
        <v>-14445</v>
      </c>
      <c r="L627" s="119"/>
      <c r="M627" s="119"/>
      <c r="N627" s="119"/>
      <c r="O627" s="119"/>
      <c r="P627" s="119"/>
      <c r="Q627" s="119"/>
      <c r="R627" s="119"/>
    </row>
    <row r="628" spans="3:18">
      <c r="C628" s="1" t="s">
        <v>82</v>
      </c>
      <c r="H628" s="394">
        <v>66544</v>
      </c>
      <c r="I628" s="394">
        <v>67192</v>
      </c>
      <c r="J628" s="394">
        <v>74704</v>
      </c>
      <c r="K628" s="394">
        <v>63355</v>
      </c>
      <c r="L628" s="20">
        <f t="shared" ref="L628:R628" si="1332">L629*L12</f>
        <v>95547.576407437227</v>
      </c>
      <c r="M628" s="20">
        <f t="shared" si="1332"/>
        <v>106262.46327352565</v>
      </c>
      <c r="N628" s="20">
        <f t="shared" si="1332"/>
        <v>117668.65148291634</v>
      </c>
      <c r="O628" s="20">
        <f t="shared" si="1332"/>
        <v>131588.27740755069</v>
      </c>
      <c r="P628" s="20">
        <f t="shared" si="1332"/>
        <v>148641.30477846271</v>
      </c>
      <c r="Q628" s="20">
        <f t="shared" si="1332"/>
        <v>169615.18093601239</v>
      </c>
      <c r="R628" s="20">
        <f t="shared" si="1332"/>
        <v>195512.36300650454</v>
      </c>
    </row>
    <row r="629" spans="3:18" s="22" customFormat="1">
      <c r="D629" s="22" t="s">
        <v>83</v>
      </c>
      <c r="H629" s="65">
        <f>H628/H12</f>
        <v>4.5982507796309871E-2</v>
      </c>
      <c r="I629" s="65">
        <f>I628/I12</f>
        <v>4.0449378678953825E-2</v>
      </c>
      <c r="J629" s="65">
        <f>J628/J12</f>
        <v>4.1445301705363424E-2</v>
      </c>
      <c r="K629" s="65">
        <f>K628/K12</f>
        <v>3.175416248678372E-2</v>
      </c>
      <c r="L629" s="79">
        <f>AVERAGE(H629:K629)</f>
        <v>3.9907837666852713E-2</v>
      </c>
      <c r="M629" s="79">
        <f t="shared" ref="M629:R629" si="1333">L629</f>
        <v>3.9907837666852713E-2</v>
      </c>
      <c r="N629" s="79">
        <f t="shared" si="1333"/>
        <v>3.9907837666852713E-2</v>
      </c>
      <c r="O629" s="79">
        <f t="shared" si="1333"/>
        <v>3.9907837666852713E-2</v>
      </c>
      <c r="P629" s="79">
        <f t="shared" si="1333"/>
        <v>3.9907837666852713E-2</v>
      </c>
      <c r="Q629" s="79">
        <f t="shared" si="1333"/>
        <v>3.9907837666852713E-2</v>
      </c>
      <c r="R629" s="79">
        <f t="shared" si="1333"/>
        <v>3.9907837666852713E-2</v>
      </c>
    </row>
    <row r="630" spans="3:18" ht="15" hidden="1" thickBot="1"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</row>
    <row r="631" spans="3:18" ht="15" hidden="1" thickBot="1">
      <c r="C631" s="63" t="s">
        <v>84</v>
      </c>
      <c r="D631" s="37"/>
      <c r="E631" s="37"/>
      <c r="F631" s="37"/>
      <c r="G631" s="37"/>
      <c r="H631" s="66">
        <v>37441</v>
      </c>
      <c r="I631" s="66">
        <v>299805</v>
      </c>
      <c r="J631" s="66">
        <v>349927</v>
      </c>
      <c r="K631" s="66">
        <v>403632</v>
      </c>
      <c r="L631" s="66"/>
      <c r="M631" s="66"/>
      <c r="N631" s="66"/>
      <c r="O631" s="66"/>
      <c r="P631" s="66"/>
      <c r="Q631" s="66"/>
      <c r="R631" s="66"/>
    </row>
    <row r="632" spans="3:18" hidden="1">
      <c r="H632" s="20"/>
      <c r="I632" s="20"/>
      <c r="J632" s="20"/>
      <c r="K632" s="20"/>
    </row>
    <row r="633" spans="3:18" hidden="1">
      <c r="D633" s="67" t="s">
        <v>85</v>
      </c>
    </row>
    <row r="634" spans="3:18" hidden="1">
      <c r="D634" s="1" t="s">
        <v>86</v>
      </c>
      <c r="H634" s="21">
        <v>0</v>
      </c>
      <c r="I634" s="21">
        <v>37852</v>
      </c>
      <c r="J634" s="21">
        <v>37307</v>
      </c>
      <c r="K634" s="21">
        <v>41378</v>
      </c>
    </row>
    <row r="635" spans="3:18" s="18" customFormat="1" hidden="1">
      <c r="D635" s="18" t="s">
        <v>87</v>
      </c>
      <c r="H635" s="23">
        <f>SUM(H634)</f>
        <v>0</v>
      </c>
      <c r="I635" s="23">
        <f t="shared" ref="I635:K635" si="1334">SUM(I634)</f>
        <v>37852</v>
      </c>
      <c r="J635" s="23">
        <f t="shared" si="1334"/>
        <v>37307</v>
      </c>
      <c r="K635" s="23">
        <f t="shared" si="1334"/>
        <v>41378</v>
      </c>
    </row>
    <row r="636" spans="3:18" hidden="1"/>
    <row r="637" spans="3:18" hidden="1">
      <c r="D637" s="67" t="s">
        <v>88</v>
      </c>
    </row>
    <row r="638" spans="3:18" hidden="1">
      <c r="D638" s="1" t="s">
        <v>89</v>
      </c>
      <c r="H638" s="21">
        <v>-1223</v>
      </c>
      <c r="I638" s="21">
        <v>700</v>
      </c>
      <c r="J638" s="21">
        <v>0</v>
      </c>
      <c r="K638" s="21">
        <v>0</v>
      </c>
    </row>
    <row r="639" spans="3:18" hidden="1">
      <c r="D639" s="18" t="s">
        <v>90</v>
      </c>
      <c r="H639" s="18">
        <f>SUM(H640:H642)</f>
        <v>0</v>
      </c>
      <c r="I639" s="18">
        <f t="shared" ref="I639:K639" si="1335">SUM(I640:I642)</f>
        <v>0</v>
      </c>
      <c r="J639" s="18">
        <f t="shared" si="1335"/>
        <v>-8443</v>
      </c>
      <c r="K639" s="18">
        <f t="shared" si="1335"/>
        <v>0</v>
      </c>
    </row>
    <row r="640" spans="3:18" hidden="1">
      <c r="E640" s="1" t="s">
        <v>92</v>
      </c>
      <c r="H640" s="21"/>
      <c r="I640" s="21"/>
      <c r="J640" s="21">
        <v>-8443</v>
      </c>
      <c r="K640" s="21"/>
    </row>
    <row r="641" spans="3:18" hidden="1">
      <c r="E641" s="1" t="s">
        <v>93</v>
      </c>
      <c r="H641" s="21"/>
      <c r="I641" s="21"/>
      <c r="J641" s="21"/>
      <c r="K641" s="21"/>
    </row>
    <row r="642" spans="3:18" hidden="1">
      <c r="E642" s="1" t="s">
        <v>94</v>
      </c>
      <c r="H642" s="21"/>
      <c r="I642" s="21"/>
      <c r="J642" s="21"/>
      <c r="K642" s="21"/>
    </row>
    <row r="643" spans="3:18" hidden="1">
      <c r="D643" s="18" t="s">
        <v>91</v>
      </c>
      <c r="H643" s="23">
        <f>H644+H645</f>
        <v>-7041</v>
      </c>
      <c r="I643" s="23">
        <f>I644+I645</f>
        <v>-11564</v>
      </c>
      <c r="J643" s="23">
        <f t="shared" ref="J643:K643" si="1336">J644+J645</f>
        <v>-15805</v>
      </c>
      <c r="K643" s="23">
        <f t="shared" si="1336"/>
        <v>-15902</v>
      </c>
    </row>
    <row r="644" spans="3:18" hidden="1">
      <c r="E644" s="1" t="s">
        <v>95</v>
      </c>
      <c r="H644" s="21">
        <v>10645</v>
      </c>
      <c r="I644" s="21">
        <v>2289</v>
      </c>
      <c r="J644" s="21">
        <v>492</v>
      </c>
      <c r="K644" s="21">
        <v>-1296</v>
      </c>
    </row>
    <row r="645" spans="3:18" hidden="1">
      <c r="E645" s="1" t="s">
        <v>96</v>
      </c>
      <c r="H645" s="21">
        <v>-17686</v>
      </c>
      <c r="I645" s="21">
        <v>-13853</v>
      </c>
      <c r="J645" s="21">
        <v>-16297</v>
      </c>
      <c r="K645" s="21">
        <v>-14606</v>
      </c>
    </row>
    <row r="646" spans="3:18" hidden="1">
      <c r="D646" s="1" t="s">
        <v>86</v>
      </c>
      <c r="H646" s="21">
        <v>9870</v>
      </c>
      <c r="I646" s="21">
        <v>-19306</v>
      </c>
      <c r="J646" s="21">
        <v>-16246</v>
      </c>
      <c r="K646" s="21">
        <v>-21192</v>
      </c>
    </row>
    <row r="647" spans="3:18" hidden="1">
      <c r="D647" s="1" t="s">
        <v>97</v>
      </c>
      <c r="H647" s="21">
        <v>0</v>
      </c>
      <c r="I647" s="21">
        <v>0</v>
      </c>
      <c r="J647" s="21">
        <v>2683</v>
      </c>
      <c r="K647" s="21">
        <v>29834</v>
      </c>
    </row>
    <row r="648" spans="3:18" hidden="1">
      <c r="D648" s="1" t="s">
        <v>98</v>
      </c>
      <c r="H648" s="21">
        <v>3468</v>
      </c>
      <c r="I648" s="21">
        <v>-543</v>
      </c>
      <c r="J648" s="21">
        <v>-1697</v>
      </c>
      <c r="K648" s="21">
        <v>1447</v>
      </c>
    </row>
    <row r="649" spans="3:18" hidden="1">
      <c r="D649" s="18" t="s">
        <v>87</v>
      </c>
      <c r="H649" s="23">
        <f>SUM(H646:H648,H643,H638:H639)</f>
        <v>5074</v>
      </c>
      <c r="I649" s="23">
        <f t="shared" ref="I649:K649" si="1337">SUM(I646:I648,I643,I638:I639)</f>
        <v>-30713</v>
      </c>
      <c r="J649" s="23">
        <f t="shared" si="1337"/>
        <v>-39508</v>
      </c>
      <c r="K649" s="23">
        <f t="shared" si="1337"/>
        <v>-5813</v>
      </c>
    </row>
    <row r="650" spans="3:18" ht="15" thickBot="1">
      <c r="C650" s="37"/>
      <c r="D650" s="37"/>
      <c r="E650" s="37"/>
      <c r="F650" s="37"/>
      <c r="G650" s="37"/>
      <c r="H650" s="37"/>
      <c r="I650" s="37"/>
      <c r="J650" s="37"/>
      <c r="K650" s="37"/>
    </row>
    <row r="651" spans="3:18" ht="15" thickBot="1">
      <c r="C651" s="63" t="s">
        <v>99</v>
      </c>
      <c r="D651" s="37"/>
      <c r="E651" s="37"/>
      <c r="F651" s="37"/>
      <c r="G651" s="37"/>
      <c r="H651" s="406">
        <f>H631+H649+H635</f>
        <v>42515</v>
      </c>
      <c r="I651" s="407">
        <v>236945</v>
      </c>
      <c r="J651" s="406">
        <f t="shared" ref="J651" si="1338">J631+J649+J635</f>
        <v>347726</v>
      </c>
      <c r="K651" s="406">
        <f>K631+K649+K635</f>
        <v>439197</v>
      </c>
      <c r="L651" s="23" t="e">
        <f>L617+SUM(L626,L627,L628)</f>
        <v>#REF!</v>
      </c>
      <c r="M651" s="23" t="e">
        <f t="shared" ref="M651:R651" si="1339">M617+SUM(M626,M627,M628)</f>
        <v>#REF!</v>
      </c>
      <c r="N651" s="23" t="e">
        <f t="shared" si="1339"/>
        <v>#REF!</v>
      </c>
      <c r="O651" s="23" t="e">
        <f t="shared" si="1339"/>
        <v>#REF!</v>
      </c>
      <c r="P651" s="23" t="e">
        <f t="shared" si="1339"/>
        <v>#REF!</v>
      </c>
      <c r="Q651" s="23" t="e">
        <f t="shared" si="1339"/>
        <v>#REF!</v>
      </c>
      <c r="R651" s="23" t="e">
        <f t="shared" si="1339"/>
        <v>#REF!</v>
      </c>
    </row>
    <row r="652" spans="3:18" s="22" customFormat="1">
      <c r="D652" s="22" t="s">
        <v>100</v>
      </c>
      <c r="H652" s="25">
        <f>H651/H$12</f>
        <v>2.9378250765810805E-2</v>
      </c>
      <c r="I652" s="25">
        <f t="shared" ref="I652:K652" si="1340">I651/I$12</f>
        <v>0.14264016595851758</v>
      </c>
      <c r="J652" s="25">
        <f t="shared" si="1340"/>
        <v>0.19291616219746202</v>
      </c>
      <c r="K652" s="25">
        <f t="shared" si="1340"/>
        <v>0.2201299487287183</v>
      </c>
      <c r="L652" s="25" t="e">
        <f t="shared" ref="L652:R652" si="1341">L651/L12</f>
        <v>#REF!</v>
      </c>
      <c r="M652" s="25" t="e">
        <f t="shared" si="1341"/>
        <v>#REF!</v>
      </c>
      <c r="N652" s="25" t="e">
        <f t="shared" si="1341"/>
        <v>#REF!</v>
      </c>
      <c r="O652" s="25" t="e">
        <f t="shared" si="1341"/>
        <v>#REF!</v>
      </c>
      <c r="P652" s="25" t="e">
        <f t="shared" si="1341"/>
        <v>#REF!</v>
      </c>
      <c r="Q652" s="25" t="e">
        <f t="shared" si="1341"/>
        <v>#REF!</v>
      </c>
      <c r="R652" s="25" t="e">
        <f t="shared" si="1341"/>
        <v>#REF!</v>
      </c>
    </row>
    <row r="653" spans="3:18" hidden="1">
      <c r="I653" s="20"/>
      <c r="J653" s="20"/>
      <c r="K653" s="20"/>
    </row>
    <row r="654" spans="3:18" hidden="1">
      <c r="D654" s="67" t="s">
        <v>101</v>
      </c>
    </row>
    <row r="655" spans="3:18" hidden="1">
      <c r="D655" s="1" t="s">
        <v>13</v>
      </c>
      <c r="H655" s="21">
        <v>0</v>
      </c>
      <c r="I655" s="21">
        <v>-15478</v>
      </c>
      <c r="J655" s="21">
        <v>-20781</v>
      </c>
      <c r="K655" s="21">
        <v>-60289</v>
      </c>
    </row>
    <row r="656" spans="3:18" hidden="1">
      <c r="D656" s="18" t="s">
        <v>87</v>
      </c>
      <c r="H656" s="23">
        <f>SUM(H655)</f>
        <v>0</v>
      </c>
      <c r="I656" s="23">
        <f t="shared" ref="I656:K656" si="1342">SUM(I655)</f>
        <v>-15478</v>
      </c>
      <c r="J656" s="23">
        <f t="shared" si="1342"/>
        <v>-20781</v>
      </c>
      <c r="K656" s="23">
        <f t="shared" si="1342"/>
        <v>-60289</v>
      </c>
    </row>
    <row r="657" spans="1:18" hidden="1"/>
    <row r="658" spans="1:18" hidden="1">
      <c r="D658" s="67" t="s">
        <v>106</v>
      </c>
    </row>
    <row r="659" spans="1:18" hidden="1">
      <c r="D659" s="1" t="s">
        <v>107</v>
      </c>
      <c r="H659" s="23">
        <f>SUM(H660:H661)</f>
        <v>38572</v>
      </c>
      <c r="I659" s="23">
        <f>SUM(I660:I661)</f>
        <v>12307</v>
      </c>
      <c r="J659" s="23">
        <f t="shared" ref="J659:K659" si="1343">SUM(J660:J661)</f>
        <v>1154</v>
      </c>
      <c r="K659" s="23">
        <f t="shared" si="1343"/>
        <v>3848</v>
      </c>
    </row>
    <row r="660" spans="1:18" hidden="1">
      <c r="E660" s="1" t="s">
        <v>102</v>
      </c>
      <c r="H660" s="21">
        <v>42626</v>
      </c>
      <c r="I660" s="21">
        <v>14619</v>
      </c>
      <c r="J660" s="21">
        <v>1585</v>
      </c>
      <c r="K660" s="21">
        <v>3848</v>
      </c>
    </row>
    <row r="661" spans="1:18" hidden="1">
      <c r="E661" s="1" t="s">
        <v>103</v>
      </c>
      <c r="H661" s="21">
        <v>-4054</v>
      </c>
      <c r="I661" s="21">
        <v>-2312</v>
      </c>
      <c r="J661" s="21">
        <v>-431</v>
      </c>
      <c r="K661" s="21">
        <v>0</v>
      </c>
    </row>
    <row r="662" spans="1:18" hidden="1">
      <c r="D662" s="1" t="s">
        <v>104</v>
      </c>
      <c r="H662" s="23">
        <f>SUM(H663:H664)</f>
        <v>2588</v>
      </c>
      <c r="I662" s="23">
        <f t="shared" ref="I662" si="1344">SUM(I663:I664)</f>
        <v>0</v>
      </c>
      <c r="J662" s="23">
        <f t="shared" ref="J662" si="1345">SUM(J663:J664)</f>
        <v>0</v>
      </c>
      <c r="K662" s="23">
        <f t="shared" ref="K662" si="1346">SUM(K663:K664)</f>
        <v>0</v>
      </c>
    </row>
    <row r="663" spans="1:18" hidden="1">
      <c r="E663" s="1" t="s">
        <v>105</v>
      </c>
      <c r="H663" s="21">
        <v>3183</v>
      </c>
      <c r="I663" s="21">
        <v>0</v>
      </c>
      <c r="J663" s="21">
        <v>0</v>
      </c>
      <c r="K663" s="21">
        <v>0</v>
      </c>
    </row>
    <row r="664" spans="1:18" hidden="1">
      <c r="E664" s="1" t="s">
        <v>103</v>
      </c>
      <c r="H664" s="21">
        <v>-595</v>
      </c>
      <c r="I664" s="21">
        <v>0</v>
      </c>
      <c r="J664" s="21">
        <v>0</v>
      </c>
      <c r="K664" s="21">
        <v>0</v>
      </c>
    </row>
    <row r="665" spans="1:18" hidden="1">
      <c r="D665" s="18" t="s">
        <v>87</v>
      </c>
      <c r="H665" s="23">
        <f>H659+H662</f>
        <v>41160</v>
      </c>
      <c r="I665" s="23">
        <f t="shared" ref="I665:K665" si="1347">I659+I662</f>
        <v>12307</v>
      </c>
      <c r="J665" s="23">
        <f t="shared" si="1347"/>
        <v>1154</v>
      </c>
      <c r="K665" s="23">
        <f t="shared" si="1347"/>
        <v>3848</v>
      </c>
    </row>
    <row r="666" spans="1:18" ht="15" hidden="1" thickBot="1">
      <c r="C666" s="37"/>
      <c r="D666" s="37"/>
      <c r="E666" s="37"/>
      <c r="F666" s="37"/>
      <c r="G666" s="37"/>
      <c r="H666" s="37"/>
      <c r="I666" s="37"/>
      <c r="J666" s="37"/>
      <c r="K666" s="37"/>
    </row>
    <row r="667" spans="1:18" ht="15" hidden="1" thickBot="1">
      <c r="C667" s="63" t="s">
        <v>108</v>
      </c>
      <c r="D667" s="37"/>
      <c r="E667" s="37"/>
      <c r="F667" s="37"/>
      <c r="G667" s="37"/>
      <c r="H667" s="66">
        <f>H651+H656+H665</f>
        <v>83675</v>
      </c>
      <c r="I667" s="68">
        <f t="shared" ref="I667:K667" si="1348">I651+I656+I665</f>
        <v>233774</v>
      </c>
      <c r="J667" s="66">
        <f t="shared" si="1348"/>
        <v>328099</v>
      </c>
      <c r="K667" s="66">
        <f t="shared" si="1348"/>
        <v>382756</v>
      </c>
    </row>
    <row r="668" spans="1:18" s="22" customFormat="1" hidden="1">
      <c r="D668" s="22" t="s">
        <v>100</v>
      </c>
      <c r="H668" s="25">
        <f>H667/H$12</f>
        <v>5.7820184236839212E-2</v>
      </c>
      <c r="I668" s="25">
        <f t="shared" ref="I668" si="1349">I667/I$12</f>
        <v>0.14073123364825801</v>
      </c>
      <c r="J668" s="25">
        <f t="shared" ref="J668" si="1350">J667/J$12</f>
        <v>0.18202722804974344</v>
      </c>
      <c r="K668" s="25">
        <f t="shared" ref="K668" si="1351">K667/K$12</f>
        <v>0.191841152502429</v>
      </c>
    </row>
    <row r="669" spans="1:18">
      <c r="H669" s="20"/>
      <c r="I669" s="20"/>
      <c r="J669" s="20"/>
      <c r="K669" s="20"/>
    </row>
    <row r="670" spans="1:18" s="59" customFormat="1">
      <c r="A670" s="58" t="s">
        <v>8</v>
      </c>
      <c r="B670" s="58" t="s">
        <v>109</v>
      </c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</row>
    <row r="672" spans="1:18" s="62" customFormat="1">
      <c r="A672" s="10" t="s">
        <v>8</v>
      </c>
      <c r="B672" s="10"/>
      <c r="C672" s="10" t="s">
        <v>110</v>
      </c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2:18" s="18" customFormat="1">
      <c r="D673" s="18" t="s">
        <v>111</v>
      </c>
      <c r="H673" s="73">
        <f>H12</f>
        <v>1447159</v>
      </c>
      <c r="I673" s="73">
        <f>I12</f>
        <v>1661138</v>
      </c>
      <c r="J673" s="73">
        <f>J12</f>
        <v>1802472.1</v>
      </c>
      <c r="K673" s="408">
        <f>K12/10*12</f>
        <v>2394205.7999999998</v>
      </c>
      <c r="L673" s="73">
        <f t="shared" ref="L673:R673" si="1352">L12</f>
        <v>2394205.7999999998</v>
      </c>
      <c r="M673" s="73">
        <f t="shared" si="1352"/>
        <v>2662696.5900932993</v>
      </c>
      <c r="N673" s="73">
        <f t="shared" si="1352"/>
        <v>2948509.8256939999</v>
      </c>
      <c r="O673" s="73">
        <f t="shared" si="1352"/>
        <v>3297304.1161998953</v>
      </c>
      <c r="P673" s="73">
        <f t="shared" si="1352"/>
        <v>3724614.348171602</v>
      </c>
      <c r="Q673" s="73">
        <f t="shared" si="1352"/>
        <v>4250172.1679822821</v>
      </c>
      <c r="R673" s="73">
        <f t="shared" si="1352"/>
        <v>4899096.8801323036</v>
      </c>
    </row>
    <row r="674" spans="2:18">
      <c r="E674" s="1" t="s">
        <v>112</v>
      </c>
      <c r="H674" s="20">
        <f>H67</f>
        <v>654997</v>
      </c>
      <c r="I674" s="20">
        <f>I67</f>
        <v>705783</v>
      </c>
      <c r="J674" s="20">
        <f>J67</f>
        <v>712521.2</v>
      </c>
      <c r="K674" s="20">
        <f>K67/10*12</f>
        <v>1016422.2000000001</v>
      </c>
      <c r="L674" s="20">
        <f t="shared" ref="L674:R674" si="1353">L67</f>
        <v>1016422.2</v>
      </c>
      <c r="M674" s="20">
        <f t="shared" si="1353"/>
        <v>1013216.13189</v>
      </c>
      <c r="N674" s="20">
        <f t="shared" si="1353"/>
        <v>1004247.188199522</v>
      </c>
      <c r="O674" s="20">
        <f t="shared" si="1353"/>
        <v>995369.59114860138</v>
      </c>
      <c r="P674" s="20">
        <f t="shared" si="1353"/>
        <v>986582.40901517344</v>
      </c>
      <c r="Q674" s="20">
        <f t="shared" si="1353"/>
        <v>977884.71958073659</v>
      </c>
      <c r="R674" s="20">
        <f t="shared" si="1353"/>
        <v>969275.61003341747</v>
      </c>
    </row>
    <row r="675" spans="2:18">
      <c r="E675" s="1" t="s">
        <v>350</v>
      </c>
      <c r="H675" s="20">
        <f>H92</f>
        <v>557770</v>
      </c>
      <c r="I675" s="20">
        <f>I92</f>
        <v>639313</v>
      </c>
      <c r="J675" s="20">
        <f>J92</f>
        <v>603647.4</v>
      </c>
      <c r="K675" s="20">
        <f>K92/10*12</f>
        <v>869104.20000000007</v>
      </c>
      <c r="L675" s="20">
        <f t="shared" ref="L675:R675" si="1354">L92</f>
        <v>869104.19999999984</v>
      </c>
      <c r="M675" s="20">
        <f t="shared" si="1354"/>
        <v>864628.31336999999</v>
      </c>
      <c r="N675" s="20">
        <f t="shared" si="1354"/>
        <v>855809.10457362595</v>
      </c>
      <c r="O675" s="20">
        <f t="shared" si="1354"/>
        <v>847079.85170697502</v>
      </c>
      <c r="P675" s="20">
        <f t="shared" si="1354"/>
        <v>838439.63721956394</v>
      </c>
      <c r="Q675" s="20">
        <f t="shared" si="1354"/>
        <v>829887.55291992438</v>
      </c>
      <c r="R675" s="20">
        <f t="shared" si="1354"/>
        <v>821422.69988014118</v>
      </c>
    </row>
    <row r="676" spans="2:18">
      <c r="B676" s="20"/>
      <c r="E676" s="1" t="s">
        <v>113</v>
      </c>
      <c r="H676" s="394">
        <v>771814</v>
      </c>
      <c r="I676" s="394">
        <v>937282</v>
      </c>
      <c r="J676" s="394">
        <v>1083890</v>
      </c>
      <c r="K676" s="394">
        <v>1375559</v>
      </c>
      <c r="L676" s="675">
        <f>L673-L674</f>
        <v>1377783.5999999999</v>
      </c>
      <c r="M676" s="675">
        <f t="shared" ref="M676:R676" si="1355">M673-M674</f>
        <v>1649480.4582032994</v>
      </c>
      <c r="N676" s="675">
        <f t="shared" si="1355"/>
        <v>1944262.6374944779</v>
      </c>
      <c r="O676" s="675">
        <f t="shared" si="1355"/>
        <v>2301934.5250512939</v>
      </c>
      <c r="P676" s="675">
        <f t="shared" si="1355"/>
        <v>2738031.9391564284</v>
      </c>
      <c r="Q676" s="675">
        <f t="shared" si="1355"/>
        <v>3272287.4484015456</v>
      </c>
      <c r="R676" s="675">
        <f t="shared" si="1355"/>
        <v>3929821.270098886</v>
      </c>
    </row>
    <row r="677" spans="2:18">
      <c r="E677" s="1" t="s">
        <v>114</v>
      </c>
      <c r="H677" s="394">
        <v>20348</v>
      </c>
      <c r="I677" s="394">
        <v>18072</v>
      </c>
      <c r="J677" s="394">
        <v>6062</v>
      </c>
      <c r="K677" s="394">
        <v>2225</v>
      </c>
      <c r="L677" s="676"/>
      <c r="M677" s="676"/>
      <c r="N677" s="676"/>
      <c r="O677" s="676"/>
      <c r="P677" s="676"/>
      <c r="Q677" s="676"/>
      <c r="R677" s="676"/>
    </row>
    <row r="678" spans="2:18">
      <c r="D678" s="1" t="s">
        <v>115</v>
      </c>
      <c r="H678" s="20">
        <f>H19</f>
        <v>-1066205</v>
      </c>
      <c r="I678" s="20">
        <f>I19</f>
        <v>-1170043.3999999999</v>
      </c>
      <c r="J678" s="20">
        <f>J19</f>
        <v>-1139493</v>
      </c>
      <c r="K678" s="20">
        <f>K19/10*12</f>
        <v>-1554253.2000000002</v>
      </c>
      <c r="L678" s="20">
        <f t="shared" ref="L678:R678" si="1356">L19</f>
        <v>-1554253.2000000002</v>
      </c>
      <c r="M678" s="20">
        <f t="shared" si="1356"/>
        <v>-1711442.9462406959</v>
      </c>
      <c r="N678" s="20">
        <f t="shared" si="1356"/>
        <v>-1895859.6538540656</v>
      </c>
      <c r="O678" s="20">
        <f t="shared" si="1356"/>
        <v>-2119910.3036546521</v>
      </c>
      <c r="P678" s="20">
        <f t="shared" si="1356"/>
        <v>-2393294.7499645213</v>
      </c>
      <c r="Q678" s="20">
        <f t="shared" si="1356"/>
        <v>-2728341.0494717816</v>
      </c>
      <c r="R678" s="20">
        <f t="shared" si="1356"/>
        <v>-3140757.2276263237</v>
      </c>
    </row>
    <row r="679" spans="2:18">
      <c r="D679" s="1" t="s">
        <v>64</v>
      </c>
      <c r="H679" s="20">
        <f>H597</f>
        <v>-403546</v>
      </c>
      <c r="I679" s="20">
        <f>I597</f>
        <v>-360963</v>
      </c>
      <c r="J679" s="20">
        <f>J597</f>
        <v>-377757</v>
      </c>
      <c r="K679" s="20">
        <f>J679/10*12</f>
        <v>-453308.39999999997</v>
      </c>
      <c r="L679" s="20">
        <f t="shared" ref="L679:R679" si="1357">L597</f>
        <v>-395946</v>
      </c>
      <c r="M679" s="20">
        <f t="shared" si="1357"/>
        <v>-442007.63395548769</v>
      </c>
      <c r="N679" s="20">
        <f t="shared" si="1357"/>
        <v>-474120.37997159513</v>
      </c>
      <c r="O679" s="20">
        <f t="shared" si="1357"/>
        <v>-509763.21636450384</v>
      </c>
      <c r="P679" s="20">
        <f t="shared" si="1357"/>
        <v>-552732.76926866581</v>
      </c>
      <c r="Q679" s="20">
        <f t="shared" si="1357"/>
        <v>-612874.82662304514</v>
      </c>
      <c r="R679" s="20">
        <f t="shared" si="1357"/>
        <v>-690772.66009865492</v>
      </c>
    </row>
    <row r="680" spans="2:18">
      <c r="H680" s="20"/>
      <c r="I680" s="20"/>
      <c r="J680" s="20"/>
      <c r="K680" s="21"/>
      <c r="L680" s="69"/>
    </row>
    <row r="681" spans="2:18">
      <c r="D681" s="18" t="s">
        <v>260</v>
      </c>
      <c r="H681" s="23">
        <f>SUM(H682:H684)</f>
        <v>587156</v>
      </c>
      <c r="I681" s="23">
        <f t="shared" ref="I681" si="1358">SUM(I682:I684)</f>
        <v>932844</v>
      </c>
      <c r="J681" s="23">
        <f t="shared" ref="J681" si="1359">SUM(J682:J684)</f>
        <v>1004551</v>
      </c>
      <c r="K681" s="23">
        <f t="shared" ref="K681" si="1360">SUM(K682:K684)</f>
        <v>1091304</v>
      </c>
      <c r="L681" s="23">
        <f>L717</f>
        <v>1133439.4933333332</v>
      </c>
      <c r="M681" s="23">
        <f t="shared" ref="M681:R681" si="1361">M717</f>
        <v>1057167.8009033599</v>
      </c>
      <c r="N681" s="23">
        <f t="shared" si="1361"/>
        <v>1177539.699828642</v>
      </c>
      <c r="O681" s="23">
        <f t="shared" si="1361"/>
        <v>1113233.9396177807</v>
      </c>
      <c r="P681" s="23">
        <f t="shared" si="1361"/>
        <v>1247786.3958836198</v>
      </c>
      <c r="Q681" s="23">
        <f t="shared" si="1361"/>
        <v>1200304.5274590903</v>
      </c>
      <c r="R681" s="23">
        <f t="shared" si="1361"/>
        <v>1354824.1065085372</v>
      </c>
    </row>
    <row r="682" spans="2:18">
      <c r="E682" s="1" t="s">
        <v>117</v>
      </c>
      <c r="H682" s="394">
        <v>60013</v>
      </c>
      <c r="I682" s="394">
        <v>19779</v>
      </c>
      <c r="J682" s="394">
        <v>2651</v>
      </c>
      <c r="K682" s="394">
        <v>630</v>
      </c>
    </row>
    <row r="683" spans="2:18">
      <c r="E683" s="1" t="s">
        <v>118</v>
      </c>
      <c r="H683" s="394">
        <v>554928</v>
      </c>
      <c r="I683" s="394">
        <v>944423</v>
      </c>
      <c r="J683" s="394">
        <v>1027285</v>
      </c>
      <c r="K683" s="394">
        <v>1123226</v>
      </c>
    </row>
    <row r="684" spans="2:18">
      <c r="E684" s="1" t="s">
        <v>119</v>
      </c>
      <c r="H684" s="394">
        <v>-27785</v>
      </c>
      <c r="I684" s="394">
        <v>-31358</v>
      </c>
      <c r="J684" s="394">
        <v>-25385</v>
      </c>
      <c r="K684" s="394">
        <v>-32552</v>
      </c>
    </row>
    <row r="685" spans="2:18" s="18" customFormat="1">
      <c r="D685" s="18" t="s">
        <v>120</v>
      </c>
      <c r="H685" s="70">
        <f>360/(SUM(H673)/H681)</f>
        <v>146.06284451121127</v>
      </c>
      <c r="I685" s="70">
        <f>360/(SUM(I673)/AVERAGE(H681,I681))</f>
        <v>164.70636395049658</v>
      </c>
      <c r="J685" s="70">
        <f>360/(SUM(J673)/AVERAGE(I681,J681))</f>
        <v>193.47378525304219</v>
      </c>
      <c r="K685" s="70">
        <f>360/(SUM(K673)/AVERAGE(J681,K681))</f>
        <v>157.56953725531866</v>
      </c>
      <c r="L685" s="70">
        <f t="shared" ref="L685:R685" si="1362">360/(SUM(L673)/AVERAGE(K681,L681))</f>
        <v>167.25956841304117</v>
      </c>
      <c r="M685" s="70">
        <f t="shared" si="1362"/>
        <v>148.08646033109929</v>
      </c>
      <c r="N685" s="70">
        <f t="shared" si="1362"/>
        <v>136.42394765874053</v>
      </c>
      <c r="O685" s="70">
        <f t="shared" si="1362"/>
        <v>125.05344990002688</v>
      </c>
      <c r="P685" s="70">
        <f t="shared" si="1362"/>
        <v>114.10138625462658</v>
      </c>
      <c r="Q685" s="70">
        <f t="shared" si="1362"/>
        <v>103.67965079656624</v>
      </c>
      <c r="R685" s="70">
        <f t="shared" si="1362"/>
        <v>93.879171073210628</v>
      </c>
    </row>
    <row r="686" spans="2:18">
      <c r="H686" s="69"/>
      <c r="I686" s="69"/>
      <c r="J686" s="69"/>
      <c r="K686" s="69"/>
    </row>
    <row r="687" spans="2:18">
      <c r="D687" s="1" t="s">
        <v>121</v>
      </c>
      <c r="H687" s="394">
        <v>272127</v>
      </c>
      <c r="I687" s="394">
        <v>301147</v>
      </c>
      <c r="J687" s="394">
        <v>334592</v>
      </c>
      <c r="K687" s="394">
        <v>412308</v>
      </c>
      <c r="L687" s="42">
        <f>-L678/(360/L688)*2-J687</f>
        <v>425265.12000000011</v>
      </c>
      <c r="M687" s="42">
        <f>-M678/(360/M688)*2-L687</f>
        <v>392424.28764833231</v>
      </c>
      <c r="N687" s="42">
        <f t="shared" ref="N687:R687" si="1363">-N678/(360/N688)*2-M687</f>
        <v>492310.21748356498</v>
      </c>
      <c r="O687" s="42">
        <f t="shared" si="1363"/>
        <v>485203.97809052467</v>
      </c>
      <c r="P687" s="42">
        <f t="shared" si="1363"/>
        <v>605074.74133775709</v>
      </c>
      <c r="Q687" s="42">
        <f t="shared" si="1363"/>
        <v>622678.73092454462</v>
      </c>
      <c r="R687" s="42">
        <f t="shared" si="1363"/>
        <v>773213.37024271046</v>
      </c>
    </row>
    <row r="688" spans="2:18" s="18" customFormat="1">
      <c r="D688" s="18" t="s">
        <v>122</v>
      </c>
      <c r="H688" s="71">
        <f>360/(-H678/H687)</f>
        <v>91.882630450992082</v>
      </c>
      <c r="I688" s="71">
        <f>360/(-I678/AVERAGE(H687:I687))</f>
        <v>88.192728577418592</v>
      </c>
      <c r="J688" s="71">
        <f t="shared" ref="J688:K688" si="1364">360/(-J678/AVERAGE(I687:J687))</f>
        <v>100.42450458230108</v>
      </c>
      <c r="K688" s="71">
        <f t="shared" si="1364"/>
        <v>86.499419785656542</v>
      </c>
      <c r="L688" s="152">
        <v>88</v>
      </c>
      <c r="M688" s="154">
        <f>L688-2</f>
        <v>86</v>
      </c>
      <c r="N688" s="154">
        <f t="shared" ref="N688" si="1365">M688-2</f>
        <v>84</v>
      </c>
      <c r="O688" s="154">
        <f>N688-1</f>
        <v>83</v>
      </c>
      <c r="P688" s="154">
        <f t="shared" ref="P688:R688" si="1366">O688-1</f>
        <v>82</v>
      </c>
      <c r="Q688" s="154">
        <f t="shared" si="1366"/>
        <v>81</v>
      </c>
      <c r="R688" s="154">
        <f t="shared" si="1366"/>
        <v>80</v>
      </c>
    </row>
    <row r="689" spans="3:18">
      <c r="L689" s="71"/>
    </row>
    <row r="690" spans="3:18" s="18" customFormat="1">
      <c r="D690" s="18" t="s">
        <v>123</v>
      </c>
      <c r="H690" s="23">
        <f>SUM(H691:H693)</f>
        <v>-262172</v>
      </c>
      <c r="I690" s="23">
        <f t="shared" ref="I690:K690" si="1367">SUM(I691:I693)</f>
        <v>-295485</v>
      </c>
      <c r="J690" s="23">
        <f t="shared" si="1367"/>
        <v>-345953</v>
      </c>
      <c r="K690" s="23">
        <f t="shared" si="1367"/>
        <v>-415518</v>
      </c>
      <c r="L690" s="23">
        <f>-L678/(360/L694)*2-J690</f>
        <v>-500251.52000000014</v>
      </c>
      <c r="M690" s="23">
        <f t="shared" ref="M690:R690" si="1368">-M678/(360/M694)*2-K690</f>
        <v>-535283.63680038659</v>
      </c>
      <c r="N690" s="23">
        <f t="shared" si="1368"/>
        <v>-563536.39688478119</v>
      </c>
      <c r="O690" s="23">
        <f t="shared" si="1368"/>
        <v>-665998.86860391626</v>
      </c>
      <c r="P690" s="23">
        <f t="shared" si="1368"/>
        <v>-805960.04337269499</v>
      </c>
      <c r="Q690" s="23">
        <f t="shared" si="1368"/>
        <v>-910375.95997977967</v>
      </c>
      <c r="R690" s="23">
        <f t="shared" si="1368"/>
        <v>-1026148.3394093273</v>
      </c>
    </row>
    <row r="691" spans="3:18">
      <c r="E691" s="1" t="s">
        <v>124</v>
      </c>
      <c r="H691" s="394">
        <v>-71359</v>
      </c>
      <c r="I691" s="394">
        <v>-23150</v>
      </c>
      <c r="J691" s="394">
        <v>-38975</v>
      </c>
      <c r="K691" s="394">
        <v>-89632</v>
      </c>
    </row>
    <row r="692" spans="3:18">
      <c r="E692" s="1" t="s">
        <v>125</v>
      </c>
      <c r="H692" s="394">
        <v>-213070</v>
      </c>
      <c r="I692" s="394">
        <v>-284825</v>
      </c>
      <c r="J692" s="394">
        <v>-349443</v>
      </c>
      <c r="K692" s="394">
        <v>-367031</v>
      </c>
    </row>
    <row r="693" spans="3:18">
      <c r="E693" s="1" t="s">
        <v>126</v>
      </c>
      <c r="H693" s="394">
        <v>22257</v>
      </c>
      <c r="I693" s="394">
        <v>12490</v>
      </c>
      <c r="J693" s="394">
        <v>42465</v>
      </c>
      <c r="K693" s="394">
        <v>41145</v>
      </c>
    </row>
    <row r="694" spans="3:18" s="18" customFormat="1">
      <c r="D694" s="18" t="s">
        <v>127</v>
      </c>
      <c r="H694" s="71">
        <f>-360/(SUM(H678)/SUM(H690))</f>
        <v>-88.521363152489442</v>
      </c>
      <c r="I694" s="71">
        <f>-360/(SUM(I678)/AVERAGE(H690,I690))</f>
        <v>-85.790202312153554</v>
      </c>
      <c r="J694" s="71">
        <f t="shared" ref="J694" si="1369">-360/(SUM(J678)/AVERAGE(I690,J690))</f>
        <v>-101.32474705856025</v>
      </c>
      <c r="K694" s="71">
        <f>-360/(SUM(K678)/AVERAGE(J690,K690))</f>
        <v>-88.18690545401482</v>
      </c>
      <c r="L694" s="152">
        <v>-98</v>
      </c>
      <c r="M694" s="154">
        <v>-100</v>
      </c>
      <c r="N694" s="154">
        <f>M694-1</f>
        <v>-101</v>
      </c>
      <c r="O694" s="154">
        <f t="shared" ref="O694:R694" si="1370">N694-1</f>
        <v>-102</v>
      </c>
      <c r="P694" s="154">
        <f t="shared" si="1370"/>
        <v>-103</v>
      </c>
      <c r="Q694" s="154">
        <f t="shared" si="1370"/>
        <v>-104</v>
      </c>
      <c r="R694" s="154">
        <f t="shared" si="1370"/>
        <v>-105</v>
      </c>
    </row>
    <row r="695" spans="3:18" ht="15" thickBot="1">
      <c r="C695" s="37"/>
      <c r="D695" s="37"/>
      <c r="E695" s="37"/>
      <c r="F695" s="37"/>
      <c r="G695" s="37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</row>
    <row r="696" spans="3:18" ht="15" thickBot="1">
      <c r="C696" s="63" t="s">
        <v>128</v>
      </c>
      <c r="D696" s="37"/>
      <c r="E696" s="37"/>
      <c r="F696" s="37"/>
      <c r="G696" s="37"/>
      <c r="H696" s="64">
        <f>H681+H687+H690</f>
        <v>597111</v>
      </c>
      <c r="I696" s="64">
        <f t="shared" ref="I696:K696" si="1371">I681+I687+I690</f>
        <v>938506</v>
      </c>
      <c r="J696" s="64">
        <f t="shared" si="1371"/>
        <v>993190</v>
      </c>
      <c r="K696" s="64">
        <f t="shared" si="1371"/>
        <v>1088094</v>
      </c>
      <c r="L696" s="64">
        <f t="shared" ref="L696:R696" si="1372">L681+L687+L690</f>
        <v>1058453.0933333333</v>
      </c>
      <c r="M696" s="64">
        <f t="shared" si="1372"/>
        <v>914308.45175130561</v>
      </c>
      <c r="N696" s="64">
        <f t="shared" si="1372"/>
        <v>1106313.5204274259</v>
      </c>
      <c r="O696" s="64">
        <f t="shared" si="1372"/>
        <v>932439.04910438915</v>
      </c>
      <c r="P696" s="64">
        <f t="shared" si="1372"/>
        <v>1046901.0938486819</v>
      </c>
      <c r="Q696" s="64">
        <f t="shared" si="1372"/>
        <v>912607.2984038553</v>
      </c>
      <c r="R696" s="64">
        <f t="shared" si="1372"/>
        <v>1101889.1373419203</v>
      </c>
    </row>
    <row r="697" spans="3:18">
      <c r="D697" s="18" t="s">
        <v>129</v>
      </c>
      <c r="H697" s="70">
        <f>H685+H688+H694</f>
        <v>149.42411180971391</v>
      </c>
      <c r="I697" s="70">
        <f t="shared" ref="I697:K697" si="1373">I685+I688+I694</f>
        <v>167.10889021576162</v>
      </c>
      <c r="J697" s="70">
        <f t="shared" si="1373"/>
        <v>192.57354277678303</v>
      </c>
      <c r="K697" s="70">
        <f t="shared" si="1373"/>
        <v>155.88205158696036</v>
      </c>
      <c r="L697" s="70">
        <f t="shared" ref="L697:R697" si="1374">L685+L688+L694</f>
        <v>157.25956841304117</v>
      </c>
      <c r="M697" s="70">
        <f t="shared" si="1374"/>
        <v>134.08646033109929</v>
      </c>
      <c r="N697" s="70">
        <f t="shared" si="1374"/>
        <v>119.42394765874053</v>
      </c>
      <c r="O697" s="70">
        <f t="shared" si="1374"/>
        <v>106.05344990002686</v>
      </c>
      <c r="P697" s="70">
        <f t="shared" si="1374"/>
        <v>93.101386254626561</v>
      </c>
      <c r="Q697" s="70">
        <f t="shared" si="1374"/>
        <v>80.67965079656625</v>
      </c>
      <c r="R697" s="70">
        <f t="shared" si="1374"/>
        <v>68.879171073210614</v>
      </c>
    </row>
    <row r="698" spans="3:18">
      <c r="D698" s="22" t="s">
        <v>130</v>
      </c>
      <c r="H698" s="25">
        <f>H696/H$12</f>
        <v>0.41260911897034119</v>
      </c>
      <c r="I698" s="25">
        <f t="shared" ref="I698:K698" si="1375">I696/I$12</f>
        <v>0.56497774417297053</v>
      </c>
      <c r="J698" s="25">
        <f t="shared" si="1375"/>
        <v>0.55101546370676135</v>
      </c>
      <c r="K698" s="25">
        <f t="shared" si="1375"/>
        <v>0.54536364417795669</v>
      </c>
      <c r="L698" s="25">
        <f t="shared" ref="L698:R698" si="1376">L696/L$673</f>
        <v>0.44208943664464156</v>
      </c>
      <c r="M698" s="25">
        <f t="shared" si="1376"/>
        <v>0.34337688159929208</v>
      </c>
      <c r="N698" s="25">
        <f t="shared" si="1376"/>
        <v>0.37521106790513387</v>
      </c>
      <c r="O698" s="25">
        <f t="shared" si="1376"/>
        <v>0.28278830712740394</v>
      </c>
      <c r="P698" s="25">
        <f t="shared" si="1376"/>
        <v>0.28107637354793563</v>
      </c>
      <c r="Q698" s="25">
        <f t="shared" si="1376"/>
        <v>0.21472243060617108</v>
      </c>
      <c r="R698" s="25">
        <f t="shared" si="1376"/>
        <v>0.22491678860454847</v>
      </c>
    </row>
    <row r="699" spans="3:18">
      <c r="D699" s="22"/>
      <c r="H699" s="25"/>
      <c r="I699" s="25"/>
      <c r="J699" s="25"/>
      <c r="K699" s="25"/>
    </row>
    <row r="700" spans="3:18">
      <c r="D700" s="1" t="s">
        <v>131</v>
      </c>
      <c r="H700" s="394">
        <v>26214</v>
      </c>
      <c r="I700" s="394">
        <v>18090</v>
      </c>
      <c r="J700" s="394">
        <v>26024</v>
      </c>
      <c r="K700" s="394">
        <v>17650</v>
      </c>
      <c r="L700" s="155">
        <f t="shared" ref="L700:R700" si="1377">L701*L673</f>
        <v>31297.383084704212</v>
      </c>
      <c r="M700" s="155">
        <f t="shared" si="1377"/>
        <v>34807.131124018502</v>
      </c>
      <c r="N700" s="155">
        <f t="shared" si="1377"/>
        <v>38543.320521468777</v>
      </c>
      <c r="O700" s="155">
        <f t="shared" si="1377"/>
        <v>43102.806814468575</v>
      </c>
      <c r="P700" s="155">
        <f t="shared" si="1377"/>
        <v>48688.66414804964</v>
      </c>
      <c r="Q700" s="155">
        <f t="shared" si="1377"/>
        <v>55558.827280966958</v>
      </c>
      <c r="R700" s="155">
        <f t="shared" si="1377"/>
        <v>64041.659170059625</v>
      </c>
    </row>
    <row r="701" spans="3:18" s="22" customFormat="1">
      <c r="D701" s="22" t="s">
        <v>138</v>
      </c>
      <c r="H701" s="25">
        <f>H700/H$12</f>
        <v>1.8114111856402788E-2</v>
      </c>
      <c r="I701" s="25">
        <f t="shared" ref="I701:K701" si="1378">I700/I$12</f>
        <v>1.0890124721726912E-2</v>
      </c>
      <c r="J701" s="25">
        <f t="shared" si="1378"/>
        <v>1.4437948859236155E-2</v>
      </c>
      <c r="K701" s="25">
        <f t="shared" si="1378"/>
        <v>8.8463573181553571E-3</v>
      </c>
      <c r="L701" s="79">
        <f>AVERAGE(H701:K701)</f>
        <v>1.3072135688880302E-2</v>
      </c>
      <c r="M701" s="79">
        <f t="shared" ref="M701:R711" si="1379">L701</f>
        <v>1.3072135688880302E-2</v>
      </c>
      <c r="N701" s="79">
        <f t="shared" si="1379"/>
        <v>1.3072135688880302E-2</v>
      </c>
      <c r="O701" s="79">
        <f t="shared" si="1379"/>
        <v>1.3072135688880302E-2</v>
      </c>
      <c r="P701" s="79">
        <f t="shared" si="1379"/>
        <v>1.3072135688880302E-2</v>
      </c>
      <c r="Q701" s="79">
        <f t="shared" si="1379"/>
        <v>1.3072135688880302E-2</v>
      </c>
      <c r="R701" s="79">
        <f t="shared" si="1379"/>
        <v>1.3072135688880302E-2</v>
      </c>
    </row>
    <row r="702" spans="3:18">
      <c r="D702" s="1" t="s">
        <v>132</v>
      </c>
      <c r="H702" s="394">
        <v>6586</v>
      </c>
      <c r="I702" s="394">
        <v>3057</v>
      </c>
      <c r="J702" s="394">
        <v>2522</v>
      </c>
      <c r="K702" s="394">
        <v>4396</v>
      </c>
      <c r="L702" s="155">
        <f t="shared" ref="L702:R702" si="1380">L703*L673</f>
        <v>5981.8030388047446</v>
      </c>
      <c r="M702" s="155">
        <f t="shared" si="1380"/>
        <v>6652.6138037236105</v>
      </c>
      <c r="N702" s="155">
        <f t="shared" si="1380"/>
        <v>7366.7038294210206</v>
      </c>
      <c r="O702" s="155">
        <f t="shared" si="1380"/>
        <v>8238.1488601138335</v>
      </c>
      <c r="P702" s="155">
        <f t="shared" si="1380"/>
        <v>9305.7620302601572</v>
      </c>
      <c r="Q702" s="155">
        <f t="shared" si="1380"/>
        <v>10618.841868096622</v>
      </c>
      <c r="R702" s="155">
        <f t="shared" si="1380"/>
        <v>12240.147695312684</v>
      </c>
    </row>
    <row r="703" spans="3:18" s="22" customFormat="1">
      <c r="D703" s="22" t="s">
        <v>138</v>
      </c>
      <c r="H703" s="25">
        <f>H702/H$12</f>
        <v>4.5509857589940018E-3</v>
      </c>
      <c r="I703" s="25">
        <f t="shared" ref="I703" si="1381">I702/I$12</f>
        <v>1.8403046586135529E-3</v>
      </c>
      <c r="J703" s="25">
        <f t="shared" ref="J703" si="1382">J702/J$12</f>
        <v>1.3991894798260677E-3</v>
      </c>
      <c r="K703" s="25">
        <f t="shared" ref="K703" si="1383">K702/K$12</f>
        <v>2.2033193637739914E-3</v>
      </c>
      <c r="L703" s="79">
        <f>AVERAGE(H703:K703)</f>
        <v>2.4984498153019031E-3</v>
      </c>
      <c r="M703" s="79">
        <f t="shared" si="1379"/>
        <v>2.4984498153019031E-3</v>
      </c>
      <c r="N703" s="79">
        <f t="shared" si="1379"/>
        <v>2.4984498153019031E-3</v>
      </c>
      <c r="O703" s="79">
        <f t="shared" si="1379"/>
        <v>2.4984498153019031E-3</v>
      </c>
      <c r="P703" s="79">
        <f t="shared" si="1379"/>
        <v>2.4984498153019031E-3</v>
      </c>
      <c r="Q703" s="79">
        <f t="shared" si="1379"/>
        <v>2.4984498153019031E-3</v>
      </c>
      <c r="R703" s="79">
        <f t="shared" si="1379"/>
        <v>2.4984498153019031E-3</v>
      </c>
    </row>
    <row r="704" spans="3:18">
      <c r="D704" s="1" t="s">
        <v>133</v>
      </c>
      <c r="H704" s="394">
        <v>30834</v>
      </c>
      <c r="I704" s="394">
        <v>14854</v>
      </c>
      <c r="J704" s="394">
        <v>19038</v>
      </c>
      <c r="K704" s="394">
        <v>15914</v>
      </c>
      <c r="L704" s="155">
        <f t="shared" ref="L704:R704" si="1384">L705*L673</f>
        <v>29201.561779389081</v>
      </c>
      <c r="M704" s="155">
        <f t="shared" si="1384"/>
        <v>32476.280433109856</v>
      </c>
      <c r="N704" s="155">
        <f t="shared" si="1384"/>
        <v>35962.276856959863</v>
      </c>
      <c r="O704" s="155">
        <f t="shared" si="1384"/>
        <v>40216.438308956218</v>
      </c>
      <c r="P704" s="155">
        <f t="shared" si="1384"/>
        <v>45428.240125611606</v>
      </c>
      <c r="Q704" s="155">
        <f t="shared" si="1384"/>
        <v>51838.344530104572</v>
      </c>
      <c r="R704" s="155">
        <f t="shared" si="1384"/>
        <v>59753.125737309543</v>
      </c>
    </row>
    <row r="705" spans="3:18" s="22" customFormat="1">
      <c r="D705" s="22" t="s">
        <v>138</v>
      </c>
      <c r="H705" s="25">
        <f>H704/H$12</f>
        <v>2.130657377662026E-2</v>
      </c>
      <c r="I705" s="25">
        <f t="shared" ref="I705" si="1385">I704/I$12</f>
        <v>8.9420626100901908E-3</v>
      </c>
      <c r="J705" s="25">
        <f t="shared" ref="J705" si="1386">J704/J$12</f>
        <v>1.0562160712501458E-2</v>
      </c>
      <c r="K705" s="25">
        <f t="shared" ref="K705" si="1387">K704/K$12</f>
        <v>7.9762566776840991E-3</v>
      </c>
      <c r="L705" s="79">
        <f>AVERAGE(H705:K705)</f>
        <v>1.2196763444224002E-2</v>
      </c>
      <c r="M705" s="79">
        <f t="shared" si="1379"/>
        <v>1.2196763444224002E-2</v>
      </c>
      <c r="N705" s="79">
        <f t="shared" si="1379"/>
        <v>1.2196763444224002E-2</v>
      </c>
      <c r="O705" s="79">
        <f t="shared" si="1379"/>
        <v>1.2196763444224002E-2</v>
      </c>
      <c r="P705" s="79">
        <f t="shared" si="1379"/>
        <v>1.2196763444224002E-2</v>
      </c>
      <c r="Q705" s="79">
        <f t="shared" si="1379"/>
        <v>1.2196763444224002E-2</v>
      </c>
      <c r="R705" s="79">
        <f t="shared" si="1379"/>
        <v>1.2196763444224002E-2</v>
      </c>
    </row>
    <row r="706" spans="3:18">
      <c r="D706" s="1" t="s">
        <v>134</v>
      </c>
      <c r="H706" s="394">
        <v>-39170</v>
      </c>
      <c r="I706" s="394">
        <v>-51120</v>
      </c>
      <c r="J706" s="394">
        <v>-59274</v>
      </c>
      <c r="K706" s="394">
        <v>-51779</v>
      </c>
      <c r="L706" s="20">
        <f>L707*L678</f>
        <v>-66997.484496748089</v>
      </c>
      <c r="M706" s="20">
        <f t="shared" ref="M706:R706" si="1388">M707*M678</f>
        <v>-73773.290129195084</v>
      </c>
      <c r="N706" s="20">
        <f t="shared" si="1388"/>
        <v>-81722.738461852889</v>
      </c>
      <c r="O706" s="20">
        <f t="shared" si="1388"/>
        <v>-91380.643580852236</v>
      </c>
      <c r="P706" s="20">
        <f t="shared" si="1388"/>
        <v>-103165.12644586903</v>
      </c>
      <c r="Q706" s="20">
        <f t="shared" si="1388"/>
        <v>-117607.59904745704</v>
      </c>
      <c r="R706" s="20">
        <f t="shared" si="1388"/>
        <v>-135385.16997484327</v>
      </c>
    </row>
    <row r="707" spans="3:18" s="22" customFormat="1">
      <c r="D707" s="22" t="s">
        <v>139</v>
      </c>
      <c r="H707" s="25">
        <f>H706/H19</f>
        <v>3.6737775568488236E-2</v>
      </c>
      <c r="I707" s="25">
        <f>I706/I19</f>
        <v>4.3690687029216184E-2</v>
      </c>
      <c r="J707" s="25">
        <f>J706/J19</f>
        <v>5.2017871105833911E-2</v>
      </c>
      <c r="K707" s="25">
        <f>K706/K19</f>
        <v>3.9977270112746106E-2</v>
      </c>
      <c r="L707" s="79">
        <f>AVERAGE(H707:K707)</f>
        <v>4.3105900954071109E-2</v>
      </c>
      <c r="M707" s="79">
        <f t="shared" si="1379"/>
        <v>4.3105900954071109E-2</v>
      </c>
      <c r="N707" s="79">
        <f t="shared" si="1379"/>
        <v>4.3105900954071109E-2</v>
      </c>
      <c r="O707" s="79">
        <f t="shared" si="1379"/>
        <v>4.3105900954071109E-2</v>
      </c>
      <c r="P707" s="79">
        <f t="shared" si="1379"/>
        <v>4.3105900954071109E-2</v>
      </c>
      <c r="Q707" s="79">
        <f t="shared" si="1379"/>
        <v>4.3105900954071109E-2</v>
      </c>
      <c r="R707" s="79">
        <f t="shared" si="1379"/>
        <v>4.3105900954071109E-2</v>
      </c>
    </row>
    <row r="708" spans="3:18">
      <c r="D708" s="1" t="s">
        <v>135</v>
      </c>
      <c r="H708" s="394">
        <v>-20473</v>
      </c>
      <c r="I708" s="394">
        <v>-12543</v>
      </c>
      <c r="J708" s="394">
        <v>-29396</v>
      </c>
      <c r="K708" s="394">
        <v>-25352</v>
      </c>
      <c r="L708" s="20">
        <f>L709*L679</f>
        <v>-23769.96569011443</v>
      </c>
      <c r="M708" s="20">
        <f t="shared" ref="M708:R708" si="1389">M709*M679</f>
        <v>-26535.199986590593</v>
      </c>
      <c r="N708" s="20">
        <f t="shared" si="1389"/>
        <v>-28463.03577990138</v>
      </c>
      <c r="O708" s="20">
        <f t="shared" si="1389"/>
        <v>-30602.794732278224</v>
      </c>
      <c r="P708" s="20">
        <f t="shared" si="1389"/>
        <v>-33182.401037813543</v>
      </c>
      <c r="Q708" s="20">
        <f t="shared" si="1389"/>
        <v>-36792.930352029347</v>
      </c>
      <c r="R708" s="20">
        <f t="shared" si="1389"/>
        <v>-41469.398428609209</v>
      </c>
    </row>
    <row r="709" spans="3:18" s="22" customFormat="1">
      <c r="D709" s="22" t="s">
        <v>140</v>
      </c>
      <c r="H709" s="25">
        <f>H708/H597</f>
        <v>5.0732754134596797E-2</v>
      </c>
      <c r="I709" s="25">
        <f>I708/I597</f>
        <v>3.4748713857098927E-2</v>
      </c>
      <c r="J709" s="25">
        <f>J708/J597</f>
        <v>7.7817221123632388E-2</v>
      </c>
      <c r="K709" s="25">
        <f>K708/K597</f>
        <v>7.6834719886045066E-2</v>
      </c>
      <c r="L709" s="79">
        <f>AVERAGE(H709:K709)</f>
        <v>6.00333522503433E-2</v>
      </c>
      <c r="M709" s="79">
        <f t="shared" si="1379"/>
        <v>6.00333522503433E-2</v>
      </c>
      <c r="N709" s="79">
        <f t="shared" si="1379"/>
        <v>6.00333522503433E-2</v>
      </c>
      <c r="O709" s="79">
        <f t="shared" si="1379"/>
        <v>6.00333522503433E-2</v>
      </c>
      <c r="P709" s="79">
        <f t="shared" si="1379"/>
        <v>6.00333522503433E-2</v>
      </c>
      <c r="Q709" s="79">
        <f t="shared" si="1379"/>
        <v>6.00333522503433E-2</v>
      </c>
      <c r="R709" s="79">
        <f t="shared" si="1379"/>
        <v>6.00333522503433E-2</v>
      </c>
    </row>
    <row r="710" spans="3:18">
      <c r="D710" s="1" t="s">
        <v>137</v>
      </c>
      <c r="H710" s="394">
        <v>-15140</v>
      </c>
      <c r="I710" s="394">
        <v>-16804</v>
      </c>
      <c r="J710" s="394">
        <v>-9556</v>
      </c>
      <c r="K710" s="394">
        <v>-15021</v>
      </c>
      <c r="L710" s="20" t="e">
        <f t="shared" ref="L710:R710" si="1390">L711*L617</f>
        <v>#REF!</v>
      </c>
      <c r="M710" s="20" t="e">
        <f t="shared" si="1390"/>
        <v>#REF!</v>
      </c>
      <c r="N710" s="20" t="e">
        <f t="shared" si="1390"/>
        <v>#REF!</v>
      </c>
      <c r="O710" s="20" t="e">
        <f t="shared" si="1390"/>
        <v>#REF!</v>
      </c>
      <c r="P710" s="20" t="e">
        <f t="shared" si="1390"/>
        <v>#REF!</v>
      </c>
      <c r="Q710" s="20" t="e">
        <f t="shared" si="1390"/>
        <v>#REF!</v>
      </c>
      <c r="R710" s="20" t="e">
        <f t="shared" si="1390"/>
        <v>#REF!</v>
      </c>
    </row>
    <row r="711" spans="3:18" s="22" customFormat="1" ht="15" thickBot="1">
      <c r="C711" s="74"/>
      <c r="D711" s="74" t="s">
        <v>141</v>
      </c>
      <c r="E711" s="74"/>
      <c r="F711" s="74"/>
      <c r="G711" s="74"/>
      <c r="H711" s="75">
        <f>H710/H617</f>
        <v>0.25057927838464084</v>
      </c>
      <c r="I711" s="75">
        <f>I710/I617</f>
        <v>-0.13871232958128743</v>
      </c>
      <c r="J711" s="75">
        <f>J710/J617</f>
        <v>-3.9562625159858908E-2</v>
      </c>
      <c r="K711" s="75">
        <f>K710/K617</f>
        <v>-4.3729703213860986E-2</v>
      </c>
      <c r="L711" s="79">
        <f>K711</f>
        <v>-4.3729703213860986E-2</v>
      </c>
      <c r="M711" s="79">
        <f t="shared" si="1379"/>
        <v>-4.3729703213860986E-2</v>
      </c>
      <c r="N711" s="79">
        <f t="shared" si="1379"/>
        <v>-4.3729703213860986E-2</v>
      </c>
      <c r="O711" s="79">
        <f t="shared" si="1379"/>
        <v>-4.3729703213860986E-2</v>
      </c>
      <c r="P711" s="79">
        <f t="shared" si="1379"/>
        <v>-4.3729703213860986E-2</v>
      </c>
      <c r="Q711" s="79">
        <f t="shared" si="1379"/>
        <v>-4.3729703213860986E-2</v>
      </c>
      <c r="R711" s="79">
        <f t="shared" si="1379"/>
        <v>-4.3729703213860986E-2</v>
      </c>
    </row>
    <row r="712" spans="3:18" s="18" customFormat="1" ht="15" thickBot="1">
      <c r="C712" s="76" t="s">
        <v>142</v>
      </c>
      <c r="D712" s="76"/>
      <c r="E712" s="76"/>
      <c r="F712" s="76"/>
      <c r="G712" s="76"/>
      <c r="H712" s="77">
        <f>SUM(H700,H702,H704,H706,H708,H710)</f>
        <v>-11149</v>
      </c>
      <c r="I712" s="77">
        <f t="shared" ref="I712:R712" si="1391">SUM(I700,I702,I704,I706,I708,I710)</f>
        <v>-44466</v>
      </c>
      <c r="J712" s="77">
        <f t="shared" si="1391"/>
        <v>-50642</v>
      </c>
      <c r="K712" s="77">
        <f t="shared" si="1391"/>
        <v>-54192</v>
      </c>
      <c r="L712" s="77" t="e">
        <f t="shared" si="1391"/>
        <v>#REF!</v>
      </c>
      <c r="M712" s="77" t="e">
        <f t="shared" si="1391"/>
        <v>#REF!</v>
      </c>
      <c r="N712" s="77" t="e">
        <f t="shared" si="1391"/>
        <v>#REF!</v>
      </c>
      <c r="O712" s="77" t="e">
        <f t="shared" si="1391"/>
        <v>#REF!</v>
      </c>
      <c r="P712" s="77" t="e">
        <f t="shared" si="1391"/>
        <v>#REF!</v>
      </c>
      <c r="Q712" s="77" t="e">
        <f t="shared" si="1391"/>
        <v>#REF!</v>
      </c>
      <c r="R712" s="77" t="e">
        <f t="shared" si="1391"/>
        <v>#REF!</v>
      </c>
    </row>
    <row r="713" spans="3:18" ht="15" thickBot="1"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</row>
    <row r="714" spans="3:18" s="18" customFormat="1" ht="15" thickBot="1">
      <c r="C714" s="63" t="s">
        <v>143</v>
      </c>
      <c r="D714" s="63"/>
      <c r="E714" s="63"/>
      <c r="F714" s="63"/>
      <c r="G714" s="63"/>
      <c r="H714" s="64">
        <f>H712+H696</f>
        <v>585962</v>
      </c>
      <c r="I714" s="64">
        <f t="shared" ref="I714:K714" si="1392">I712+I696</f>
        <v>894040</v>
      </c>
      <c r="J714" s="64">
        <f t="shared" si="1392"/>
        <v>942548</v>
      </c>
      <c r="K714" s="64">
        <f t="shared" si="1392"/>
        <v>1033902</v>
      </c>
      <c r="L714" s="64" t="e">
        <f t="shared" ref="L714:R714" si="1393">L712+L696</f>
        <v>#REF!</v>
      </c>
      <c r="M714" s="64" t="e">
        <f t="shared" si="1393"/>
        <v>#REF!</v>
      </c>
      <c r="N714" s="64" t="e">
        <f t="shared" si="1393"/>
        <v>#REF!</v>
      </c>
      <c r="O714" s="64" t="e">
        <f t="shared" si="1393"/>
        <v>#REF!</v>
      </c>
      <c r="P714" s="64" t="e">
        <f t="shared" si="1393"/>
        <v>#REF!</v>
      </c>
      <c r="Q714" s="64" t="e">
        <f t="shared" si="1393"/>
        <v>#REF!</v>
      </c>
      <c r="R714" s="64" t="e">
        <f t="shared" si="1393"/>
        <v>#REF!</v>
      </c>
    </row>
    <row r="715" spans="3:18">
      <c r="D715" s="22" t="s">
        <v>138</v>
      </c>
      <c r="H715" s="25">
        <f>H714/H$12</f>
        <v>0.40490505880832722</v>
      </c>
      <c r="I715" s="25">
        <f t="shared" ref="I715:K715" si="1394">I714/I$12</f>
        <v>0.53820934804934928</v>
      </c>
      <c r="J715" s="25">
        <f t="shared" si="1394"/>
        <v>0.52291960580138797</v>
      </c>
      <c r="K715" s="25">
        <f t="shared" si="1394"/>
        <v>0.51820206934591839</v>
      </c>
      <c r="L715" s="25" t="e">
        <f t="shared" ref="L715" si="1395">L714/L$673</f>
        <v>#REF!</v>
      </c>
      <c r="M715" s="25" t="e">
        <f t="shared" ref="M715" si="1396">M714/M$673</f>
        <v>#REF!</v>
      </c>
      <c r="N715" s="25" t="e">
        <f t="shared" ref="N715" si="1397">N714/N$673</f>
        <v>#REF!</v>
      </c>
      <c r="O715" s="25" t="e">
        <f t="shared" ref="O715" si="1398">O714/O$673</f>
        <v>#REF!</v>
      </c>
      <c r="P715" s="25" t="e">
        <f t="shared" ref="P715" si="1399">P714/P$673</f>
        <v>#REF!</v>
      </c>
      <c r="Q715" s="25" t="e">
        <f t="shared" ref="Q715" si="1400">Q714/Q$673</f>
        <v>#REF!</v>
      </c>
      <c r="R715" s="25" t="e">
        <f t="shared" ref="R715" si="1401">R714/R$673</f>
        <v>#REF!</v>
      </c>
    </row>
    <row r="717" spans="3:18" s="18" customFormat="1">
      <c r="C717" s="18" t="s">
        <v>144</v>
      </c>
      <c r="H717" s="73">
        <f>H718+H719</f>
        <v>587156</v>
      </c>
      <c r="I717" s="73">
        <f t="shared" ref="I717:K717" si="1402">I718+I719</f>
        <v>932844</v>
      </c>
      <c r="J717" s="73">
        <f t="shared" si="1402"/>
        <v>1004550</v>
      </c>
      <c r="K717" s="73">
        <f t="shared" si="1402"/>
        <v>1091304</v>
      </c>
      <c r="L717" s="73">
        <f>L718+L719</f>
        <v>1133439.4933333332</v>
      </c>
      <c r="M717" s="73">
        <f t="shared" ref="M717:R717" si="1403">M718+M719</f>
        <v>1057167.8009033599</v>
      </c>
      <c r="N717" s="73">
        <f t="shared" si="1403"/>
        <v>1177539.699828642</v>
      </c>
      <c r="O717" s="73">
        <f t="shared" si="1403"/>
        <v>1113233.9396177807</v>
      </c>
      <c r="P717" s="73">
        <f t="shared" si="1403"/>
        <v>1247786.3958836198</v>
      </c>
      <c r="Q717" s="73">
        <f t="shared" si="1403"/>
        <v>1200304.5274590903</v>
      </c>
      <c r="R717" s="73">
        <f t="shared" si="1403"/>
        <v>1354824.1065085372</v>
      </c>
    </row>
    <row r="718" spans="3:18">
      <c r="D718" s="1" t="s">
        <v>145</v>
      </c>
      <c r="H718" s="394">
        <v>183023</v>
      </c>
      <c r="I718" s="394">
        <v>201677</v>
      </c>
      <c r="J718" s="394">
        <v>175678</v>
      </c>
      <c r="K718" s="394">
        <v>207376</v>
      </c>
      <c r="L718" s="234">
        <f>L676/(360/L723)*2-J718</f>
        <v>268274.49333333329</v>
      </c>
      <c r="M718" s="234">
        <f>M676/(360/M723)*2-L718</f>
        <v>244897.20477435982</v>
      </c>
      <c r="N718" s="234">
        <f t="shared" ref="N718:R718" si="1404">N676/(360/N723)*2-M718</f>
        <v>338381.58647398348</v>
      </c>
      <c r="O718" s="234">
        <f t="shared" si="1404"/>
        <v>326621.720763057</v>
      </c>
      <c r="P718" s="234">
        <f t="shared" si="1404"/>
        <v>433942.70678039535</v>
      </c>
      <c r="Q718" s="234">
        <f t="shared" si="1404"/>
        <v>438667.27946001687</v>
      </c>
      <c r="R718" s="234">
        <f t="shared" si="1404"/>
        <v>565620.37845414283</v>
      </c>
    </row>
    <row r="719" spans="3:18">
      <c r="D719" s="1" t="s">
        <v>146</v>
      </c>
      <c r="H719" s="394">
        <v>404133</v>
      </c>
      <c r="I719" s="394">
        <v>731167</v>
      </c>
      <c r="J719" s="394">
        <v>828872</v>
      </c>
      <c r="K719" s="394">
        <v>883928</v>
      </c>
      <c r="L719" s="153">
        <f>L674/(360/L722)*2-J719</f>
        <v>865165</v>
      </c>
      <c r="M719" s="153">
        <f>M674/(360/M722)*2-L719</f>
        <v>812270.59612899995</v>
      </c>
      <c r="N719" s="153">
        <f t="shared" ref="N719:R719" si="1405">N674/(360/N722)*2-M719</f>
        <v>839158.11335465848</v>
      </c>
      <c r="O719" s="153">
        <f t="shared" si="1405"/>
        <v>786612.21885472373</v>
      </c>
      <c r="P719" s="153">
        <f t="shared" si="1405"/>
        <v>813843.68910322431</v>
      </c>
      <c r="Q719" s="153">
        <f t="shared" si="1405"/>
        <v>761637.24799907347</v>
      </c>
      <c r="R719" s="153">
        <f t="shared" si="1405"/>
        <v>789203.72805439448</v>
      </c>
    </row>
    <row r="720" spans="3:18">
      <c r="E720" s="1" t="s">
        <v>147</v>
      </c>
      <c r="H720" s="394">
        <v>388263</v>
      </c>
      <c r="I720" s="394">
        <v>694497</v>
      </c>
      <c r="J720" s="394">
        <v>776596</v>
      </c>
      <c r="K720" s="394">
        <v>822015</v>
      </c>
      <c r="L720" s="153">
        <f>L675/(360/L724)*2-J720</f>
        <v>1058179.533333333</v>
      </c>
      <c r="M720" s="153">
        <f>M675/(360/M724)*2-L720</f>
        <v>478937.46821333375</v>
      </c>
      <c r="N720" s="153">
        <f t="shared" ref="N720:R720" si="1406">N675/(360/N724)*2-M720</f>
        <v>1042500.9399175569</v>
      </c>
      <c r="O720" s="153">
        <f t="shared" si="1406"/>
        <v>463418.79645039863</v>
      </c>
      <c r="P720" s="153">
        <f t="shared" si="1406"/>
        <v>1027140.5586066039</v>
      </c>
      <c r="Q720" s="153">
        <f t="shared" si="1406"/>
        <v>448215.09102881723</v>
      </c>
      <c r="R720" s="153">
        <f t="shared" si="1406"/>
        <v>1012091.9309803226</v>
      </c>
    </row>
    <row r="722" spans="3:18">
      <c r="C722" s="1" t="s">
        <v>148</v>
      </c>
      <c r="H722" s="42">
        <f>360/((H674+H677)/H719)</f>
        <v>215.42749261488575</v>
      </c>
      <c r="I722" s="42">
        <f>360/((I674+I677)/AVERAGE(I719,H719))</f>
        <v>282.31344675383883</v>
      </c>
      <c r="J722" s="42">
        <f>360/((J674+J677)/AVERAGE(J719,I719))</f>
        <v>390.77871567272939</v>
      </c>
      <c r="K722" s="42">
        <f>360/((K674+K677)/AVERAGE(K719,J719))</f>
        <v>302.66023408300737</v>
      </c>
      <c r="L722" s="156">
        <v>300</v>
      </c>
      <c r="M722" s="156">
        <v>298</v>
      </c>
      <c r="N722" s="156">
        <f>M722-2</f>
        <v>296</v>
      </c>
      <c r="O722" s="156">
        <f t="shared" ref="O722:R722" si="1407">N722-2</f>
        <v>294</v>
      </c>
      <c r="P722" s="156">
        <f t="shared" si="1407"/>
        <v>292</v>
      </c>
      <c r="Q722" s="156">
        <f t="shared" si="1407"/>
        <v>290</v>
      </c>
      <c r="R722" s="156">
        <f t="shared" si="1407"/>
        <v>288</v>
      </c>
    </row>
    <row r="723" spans="3:18">
      <c r="C723" s="1" t="s">
        <v>149</v>
      </c>
      <c r="H723" s="42">
        <f>360/(H676/H718)</f>
        <v>85.368080910685734</v>
      </c>
      <c r="I723" s="42">
        <f>360/(I676/AVERAGE(I718,H718))</f>
        <v>73.879579464878233</v>
      </c>
      <c r="J723" s="42">
        <f>360/(J676/AVERAGE(J718,I718))</f>
        <v>62.66678352969398</v>
      </c>
      <c r="K723" s="42">
        <f>360/(K676/AVERAGE(K718,J718))</f>
        <v>50.124872869865996</v>
      </c>
      <c r="L723" s="156">
        <v>58</v>
      </c>
      <c r="M723" s="156">
        <f>L723-2</f>
        <v>56</v>
      </c>
      <c r="N723" s="156">
        <f t="shared" ref="N723:R723" si="1408">M723-2</f>
        <v>54</v>
      </c>
      <c r="O723" s="156">
        <f t="shared" si="1408"/>
        <v>52</v>
      </c>
      <c r="P723" s="156">
        <f t="shared" si="1408"/>
        <v>50</v>
      </c>
      <c r="Q723" s="156">
        <f t="shared" si="1408"/>
        <v>48</v>
      </c>
      <c r="R723" s="156">
        <f t="shared" si="1408"/>
        <v>46</v>
      </c>
    </row>
    <row r="724" spans="3:18">
      <c r="C724" s="1" t="s">
        <v>150</v>
      </c>
      <c r="H724" s="42">
        <f>360/((H677+H675)/H720)</f>
        <v>241.77534690149764</v>
      </c>
      <c r="I724" s="42">
        <f>360/((I677+I675)/AVERAGE(I720,H720))</f>
        <v>296.47284315887947</v>
      </c>
      <c r="J724" s="42">
        <f>360/((J677+J675)/AVERAGE(J720,I720))</f>
        <v>434.29991402461565</v>
      </c>
      <c r="K724" s="42">
        <f>360/((K677+K675)/AVERAGE(K720,J720))</f>
        <v>330.24255356069779</v>
      </c>
      <c r="L724" s="156">
        <v>380</v>
      </c>
      <c r="M724" s="156">
        <v>320</v>
      </c>
      <c r="N724" s="156">
        <f t="shared" ref="N724:R724" si="1409">M724</f>
        <v>320</v>
      </c>
      <c r="O724" s="156">
        <f t="shared" si="1409"/>
        <v>320</v>
      </c>
      <c r="P724" s="156">
        <f t="shared" si="1409"/>
        <v>320</v>
      </c>
      <c r="Q724" s="156">
        <f t="shared" si="1409"/>
        <v>320</v>
      </c>
      <c r="R724" s="156">
        <f t="shared" si="1409"/>
        <v>320</v>
      </c>
    </row>
    <row r="726" spans="3:18"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</row>
    <row r="795" spans="14:19">
      <c r="N795" s="1">
        <f>SUM(N796:N798)</f>
        <v>0</v>
      </c>
      <c r="O795" s="1">
        <f t="shared" ref="O795:S795" si="1410">SUM(O796:O798)</f>
        <v>0</v>
      </c>
      <c r="P795" s="1">
        <f t="shared" si="1410"/>
        <v>0</v>
      </c>
      <c r="Q795" s="1">
        <f t="shared" si="1410"/>
        <v>0</v>
      </c>
      <c r="R795" s="1">
        <f t="shared" si="1410"/>
        <v>0</v>
      </c>
      <c r="S795" s="1">
        <f t="shared" si="1410"/>
        <v>0</v>
      </c>
    </row>
  </sheetData>
  <mergeCells count="5">
    <mergeCell ref="A1:R1"/>
    <mergeCell ref="A2:R2"/>
    <mergeCell ref="T4:Z4"/>
    <mergeCell ref="AB4:AH4"/>
    <mergeCell ref="AJ4:AP4"/>
  </mergeCells>
  <phoneticPr fontId="5" type="noConversion"/>
  <conditionalFormatting sqref="H4:H5 M5 O5:R5">
    <cfRule type="containsText" dxfId="38" priority="8" operator="containsText" text="Error">
      <formula>NOT(ISERROR(SEARCH("Error",H4)))</formula>
    </cfRule>
  </conditionalFormatting>
  <conditionalFormatting sqref="J5:K5">
    <cfRule type="containsText" dxfId="37" priority="7" operator="containsText" text="Error">
      <formula>NOT(ISERROR(SEARCH("Error",J5)))</formula>
    </cfRule>
  </conditionalFormatting>
  <conditionalFormatting sqref="T5">
    <cfRule type="containsText" dxfId="36" priority="6" operator="containsText" text="Error">
      <formula>NOT(ISERROR(SEARCH("Error",T5)))</formula>
    </cfRule>
  </conditionalFormatting>
  <conditionalFormatting sqref="V5:Z5">
    <cfRule type="containsText" dxfId="35" priority="5" operator="containsText" text="Error">
      <formula>NOT(ISERROR(SEARCH("Error",V5)))</formula>
    </cfRule>
  </conditionalFormatting>
  <conditionalFormatting sqref="AB5">
    <cfRule type="containsText" dxfId="34" priority="4" operator="containsText" text="Error">
      <formula>NOT(ISERROR(SEARCH("Error",AB5)))</formula>
    </cfRule>
  </conditionalFormatting>
  <conditionalFormatting sqref="AD5:AH5">
    <cfRule type="containsText" dxfId="33" priority="3" operator="containsText" text="Error">
      <formula>NOT(ISERROR(SEARCH("Error",AD5)))</formula>
    </cfRule>
  </conditionalFormatting>
  <conditionalFormatting sqref="AJ5">
    <cfRule type="containsText" dxfId="32" priority="2" operator="containsText" text="Error">
      <formula>NOT(ISERROR(SEARCH("Error",AJ5)))</formula>
    </cfRule>
  </conditionalFormatting>
  <conditionalFormatting sqref="AL5:AP5">
    <cfRule type="containsText" dxfId="31" priority="1" operator="containsText" text="Error">
      <formula>NOT(ISERROR(SEARCH("Error",AL5)))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/>
  </sheetPr>
  <dimension ref="A1:AR573"/>
  <sheetViews>
    <sheetView showGridLines="0" zoomScale="78" workbookViewId="0">
      <pane xSplit="7" ySplit="6" topLeftCell="M7" activePane="bottomRight" state="frozen"/>
      <selection activeCell="E29" sqref="E29"/>
      <selection pane="topRight" activeCell="E29" sqref="E29"/>
      <selection pane="bottomLeft" activeCell="E29" sqref="E29"/>
      <selection pane="bottomRight" activeCell="AH62" sqref="AH62"/>
    </sheetView>
  </sheetViews>
  <sheetFormatPr defaultColWidth="8.6640625" defaultRowHeight="14.5" outlineLevelRow="1"/>
  <cols>
    <col min="1" max="1" width="2.33203125" style="97" customWidth="1"/>
    <col min="2" max="3" width="3.08203125" style="97" customWidth="1"/>
    <col min="4" max="4" width="2.6640625" style="97" customWidth="1"/>
    <col min="5" max="7" width="11.6640625" style="97" customWidth="1"/>
    <col min="8" max="19" width="10.83203125" style="97" customWidth="1"/>
    <col min="20" max="20" width="8.6640625" style="97"/>
    <col min="21" max="26" width="9.9140625" style="1510" hidden="1" customWidth="1"/>
    <col min="27" max="27" width="8.6640625" style="1510" hidden="1" customWidth="1"/>
    <col min="28" max="28" width="8.6640625" style="529" customWidth="1"/>
    <col min="29" max="34" width="10.25" style="97" customWidth="1"/>
    <col min="35" max="35" width="8.6640625" style="424" customWidth="1"/>
    <col min="36" max="36" width="8.6640625" style="97"/>
    <col min="37" max="42" width="10.08203125" style="1510" hidden="1" customWidth="1"/>
    <col min="43" max="43" width="8.6640625" style="1510" hidden="1" customWidth="1"/>
    <col min="44" max="44" width="8.6640625" style="424"/>
    <col min="45" max="16384" width="8.6640625" style="97"/>
  </cols>
  <sheetData>
    <row r="1" spans="1:44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T1" s="1321"/>
      <c r="U1" s="1515"/>
      <c r="V1" s="1515"/>
      <c r="W1" s="1515"/>
      <c r="X1" s="1515"/>
      <c r="Y1" s="1515"/>
      <c r="Z1" s="1515"/>
      <c r="AA1" s="1515"/>
      <c r="AB1" s="14"/>
      <c r="AI1" s="415"/>
      <c r="AJ1" s="1321"/>
      <c r="AK1" s="1515"/>
      <c r="AL1" s="1515"/>
      <c r="AM1" s="1515"/>
      <c r="AN1" s="1515"/>
      <c r="AO1" s="1515"/>
      <c r="AP1" s="1515"/>
      <c r="AQ1" s="1515"/>
      <c r="AR1" s="1482"/>
    </row>
    <row r="2" spans="1:44" s="1" customFormat="1" ht="20.25" customHeight="1">
      <c r="A2" s="1579" t="s">
        <v>274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T2" s="1321"/>
      <c r="U2" s="1515"/>
      <c r="V2" s="1515"/>
      <c r="W2" s="1515"/>
      <c r="X2" s="1515"/>
      <c r="Y2" s="1515"/>
      <c r="Z2" s="1515"/>
      <c r="AA2" s="1515"/>
      <c r="AB2" s="14"/>
      <c r="AI2" s="415"/>
      <c r="AJ2" s="1321"/>
      <c r="AK2" s="1515"/>
      <c r="AL2" s="1515"/>
      <c r="AM2" s="1515"/>
      <c r="AN2" s="1515"/>
      <c r="AO2" s="1515"/>
      <c r="AP2" s="1515"/>
      <c r="AQ2" s="1515"/>
      <c r="AR2" s="1482"/>
    </row>
    <row r="3" spans="1:44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  <c r="T3" s="1321"/>
      <c r="U3" s="1515"/>
      <c r="V3" s="1515"/>
      <c r="W3" s="1515"/>
      <c r="X3" s="1515"/>
      <c r="Y3" s="1515"/>
      <c r="Z3" s="1515"/>
      <c r="AA3" s="1515"/>
      <c r="AB3" s="14"/>
      <c r="AI3" s="415"/>
      <c r="AJ3" s="1321"/>
      <c r="AK3" s="1515"/>
      <c r="AL3" s="1515"/>
      <c r="AM3" s="1515"/>
      <c r="AN3" s="1515"/>
      <c r="AO3" s="1515"/>
      <c r="AP3" s="1515"/>
      <c r="AQ3" s="1515"/>
      <c r="AR3" s="1482"/>
    </row>
    <row r="4" spans="1:44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T4" s="1321"/>
      <c r="U4" s="1583" t="s">
        <v>646</v>
      </c>
      <c r="V4" s="1583"/>
      <c r="W4" s="1583"/>
      <c r="X4" s="1583"/>
      <c r="Y4" s="1583"/>
      <c r="Z4" s="1583"/>
      <c r="AA4" s="1583"/>
      <c r="AB4" s="14"/>
      <c r="AC4" s="1584" t="s">
        <v>647</v>
      </c>
      <c r="AD4" s="1585"/>
      <c r="AE4" s="1585"/>
      <c r="AF4" s="1585"/>
      <c r="AG4" s="1585"/>
      <c r="AH4" s="1585"/>
      <c r="AI4" s="1585"/>
      <c r="AJ4" s="1321"/>
      <c r="AK4" s="1583" t="s">
        <v>648</v>
      </c>
      <c r="AL4" s="1583"/>
      <c r="AM4" s="1583"/>
      <c r="AN4" s="1583"/>
      <c r="AO4" s="1583"/>
      <c r="AP4" s="1583"/>
      <c r="AQ4" s="1583"/>
      <c r="AR4" s="1482"/>
    </row>
    <row r="5" spans="1:44" s="1" customFormat="1" ht="14.25" customHeight="1">
      <c r="A5" s="5" t="s">
        <v>275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9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  <c r="T5" s="1321"/>
      <c r="U5" s="1516">
        <v>46022</v>
      </c>
      <c r="V5" s="1516">
        <v>46387</v>
      </c>
      <c r="W5" s="1516">
        <v>46752</v>
      </c>
      <c r="X5" s="1516">
        <v>46753</v>
      </c>
      <c r="Y5" s="1516">
        <v>47483</v>
      </c>
      <c r="Z5" s="1516">
        <v>47848</v>
      </c>
      <c r="AA5" s="1516" t="s">
        <v>356</v>
      </c>
      <c r="AB5" s="14"/>
      <c r="AC5" s="435">
        <v>46022</v>
      </c>
      <c r="AD5" s="435">
        <v>46387</v>
      </c>
      <c r="AE5" s="435">
        <v>46752</v>
      </c>
      <c r="AF5" s="435">
        <v>46753</v>
      </c>
      <c r="AG5" s="435">
        <v>47483</v>
      </c>
      <c r="AH5" s="435">
        <v>47848</v>
      </c>
      <c r="AI5" s="435" t="s">
        <v>356</v>
      </c>
      <c r="AJ5" s="1321"/>
      <c r="AK5" s="1516">
        <v>46022</v>
      </c>
      <c r="AL5" s="1516">
        <v>46387</v>
      </c>
      <c r="AM5" s="1516">
        <v>46752</v>
      </c>
      <c r="AN5" s="1516">
        <v>46753</v>
      </c>
      <c r="AO5" s="1516">
        <v>47483</v>
      </c>
      <c r="AP5" s="1516">
        <v>47848</v>
      </c>
      <c r="AQ5" s="1516" t="s">
        <v>356</v>
      </c>
      <c r="AR5" s="1482"/>
    </row>
    <row r="6" spans="1:44" s="1" customFormat="1" ht="14.25" customHeight="1">
      <c r="A6" s="5" t="s">
        <v>276</v>
      </c>
      <c r="B6" s="5"/>
      <c r="C6" s="5"/>
      <c r="D6" s="6"/>
      <c r="E6" s="6"/>
      <c r="F6" s="7"/>
      <c r="G6" s="7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321"/>
      <c r="U6" s="1515"/>
      <c r="V6" s="1515"/>
      <c r="W6" s="1515"/>
      <c r="X6" s="1515"/>
      <c r="Y6" s="1515"/>
      <c r="Z6" s="1515"/>
      <c r="AA6" s="1515"/>
      <c r="AB6" s="14"/>
      <c r="AI6" s="415"/>
      <c r="AJ6" s="1321"/>
      <c r="AK6" s="1515"/>
      <c r="AL6" s="1515"/>
      <c r="AM6" s="1515"/>
      <c r="AN6" s="1515"/>
      <c r="AO6" s="1515"/>
      <c r="AP6" s="1515"/>
      <c r="AQ6" s="1515"/>
      <c r="AR6" s="1482"/>
    </row>
    <row r="7" spans="1:44" s="108" customFormat="1" ht="14.25" hidden="1" customHeight="1">
      <c r="A7" s="106"/>
      <c r="B7" s="106"/>
      <c r="C7" s="106"/>
      <c r="D7" s="107"/>
      <c r="E7" s="107"/>
      <c r="F7" s="107"/>
      <c r="G7" s="107" t="s">
        <v>277</v>
      </c>
      <c r="H7" s="107">
        <f>集团!H11</f>
        <v>5.0449000000000002</v>
      </c>
      <c r="I7" s="107">
        <f>集团!I11</f>
        <v>5.1692999999999998</v>
      </c>
      <c r="J7" s="107">
        <f>集团!J11</f>
        <v>5.2529000000000003</v>
      </c>
      <c r="K7" s="107">
        <f>集团!K11</f>
        <v>5.25</v>
      </c>
      <c r="L7" s="107">
        <f>集团!L11</f>
        <v>5.2085999999999997</v>
      </c>
      <c r="M7" s="107">
        <f>集团!M11</f>
        <v>5.1181000000000001</v>
      </c>
      <c r="N7" s="107">
        <f>集团!N11</f>
        <v>5.1181000000000001</v>
      </c>
      <c r="O7" s="107">
        <f>集团!O11</f>
        <v>5.1181000000000001</v>
      </c>
      <c r="P7" s="107">
        <f>集团!P11</f>
        <v>5.1181000000000001</v>
      </c>
      <c r="Q7" s="107">
        <f>集团!Q11</f>
        <v>5.1181000000000001</v>
      </c>
      <c r="R7" s="107">
        <f>集团!R11</f>
        <v>5.1181000000000001</v>
      </c>
      <c r="S7" s="107">
        <f>集团!S11</f>
        <v>5.1181000000000001</v>
      </c>
      <c r="T7" s="1488"/>
      <c r="U7" s="1517"/>
      <c r="V7" s="1517"/>
      <c r="W7" s="1517"/>
      <c r="X7" s="1517"/>
      <c r="Y7" s="1517"/>
      <c r="Z7" s="1517"/>
      <c r="AA7" s="1517"/>
      <c r="AJ7" s="1488"/>
      <c r="AK7" s="1517"/>
      <c r="AL7" s="1517"/>
      <c r="AM7" s="1517"/>
      <c r="AN7" s="1517"/>
      <c r="AO7" s="1517"/>
      <c r="AP7" s="1517"/>
      <c r="AQ7" s="1517"/>
      <c r="AR7" s="1488"/>
    </row>
    <row r="8" spans="1:44" s="1125" customFormat="1">
      <c r="A8" s="58" t="s">
        <v>8</v>
      </c>
      <c r="B8" s="58" t="s">
        <v>278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U8" s="1515"/>
      <c r="V8" s="1515"/>
      <c r="W8" s="1515"/>
      <c r="X8" s="1515"/>
      <c r="Y8" s="1515"/>
      <c r="Z8" s="1515"/>
      <c r="AA8" s="1515"/>
      <c r="AB8" s="1179"/>
      <c r="AC8" s="59"/>
      <c r="AD8" s="59"/>
      <c r="AE8" s="59"/>
      <c r="AF8" s="59"/>
      <c r="AG8" s="59"/>
      <c r="AH8" s="59"/>
      <c r="AI8" s="476"/>
      <c r="AK8" s="1515"/>
      <c r="AL8" s="1515"/>
      <c r="AM8" s="1515"/>
      <c r="AN8" s="1515"/>
      <c r="AO8" s="1515"/>
      <c r="AP8" s="1515"/>
      <c r="AQ8" s="1515"/>
      <c r="AR8" s="1482"/>
    </row>
    <row r="10" spans="1:44">
      <c r="C10" s="18" t="s">
        <v>24</v>
      </c>
      <c r="D10" s="18"/>
      <c r="E10" s="18"/>
      <c r="F10" s="99"/>
      <c r="G10" s="99"/>
      <c r="H10" s="99">
        <f>H43+H67</f>
        <v>23996</v>
      </c>
      <c r="I10" s="99">
        <f t="shared" ref="I10:S10" si="0">I43+I67</f>
        <v>31710</v>
      </c>
      <c r="J10" s="99">
        <f t="shared" si="0"/>
        <v>32354.113000000001</v>
      </c>
      <c r="K10" s="99">
        <f t="shared" si="0"/>
        <v>24290.381000000001</v>
      </c>
      <c r="L10" s="99">
        <f t="shared" si="0"/>
        <v>28849.775055070233</v>
      </c>
      <c r="M10" s="99">
        <f t="shared" ref="M10" si="1">M43+M67</f>
        <v>16647.935448637982</v>
      </c>
      <c r="N10" s="99">
        <f t="shared" si="0"/>
        <v>31734.752560577261</v>
      </c>
      <c r="O10" s="99">
        <f t="shared" si="0"/>
        <v>34908.227816634993</v>
      </c>
      <c r="P10" s="99">
        <f t="shared" si="0"/>
        <v>38399.050598298491</v>
      </c>
      <c r="Q10" s="99">
        <f t="shared" si="0"/>
        <v>42238.955658128347</v>
      </c>
      <c r="R10" s="99">
        <f t="shared" si="0"/>
        <v>46462.851223941187</v>
      </c>
      <c r="S10" s="99">
        <f t="shared" si="0"/>
        <v>51109.136346335312</v>
      </c>
      <c r="T10" s="181"/>
    </row>
    <row r="11" spans="1:44">
      <c r="C11" s="1"/>
      <c r="D11" s="27" t="s">
        <v>25</v>
      </c>
      <c r="E11" s="28"/>
      <c r="F11" s="28"/>
      <c r="G11" s="28"/>
      <c r="H11" s="29">
        <f>H44+H68</f>
        <v>23996</v>
      </c>
      <c r="I11" s="29">
        <f t="shared" ref="I11:K11" si="2">I44+I68</f>
        <v>31710</v>
      </c>
      <c r="J11" s="29">
        <f t="shared" si="2"/>
        <v>32354.113000000001</v>
      </c>
      <c r="K11" s="29">
        <f t="shared" si="2"/>
        <v>24290.381000000001</v>
      </c>
      <c r="L11" s="29">
        <f t="shared" ref="L11:S11" si="3">L44+L68</f>
        <v>28849.775055070233</v>
      </c>
      <c r="M11" s="29">
        <f t="shared" ref="M11" si="4">M44+M68</f>
        <v>16647.935448637982</v>
      </c>
      <c r="N11" s="436">
        <f t="shared" si="3"/>
        <v>0</v>
      </c>
      <c r="O11" s="436">
        <f t="shared" si="3"/>
        <v>0</v>
      </c>
      <c r="P11" s="436">
        <f t="shared" si="3"/>
        <v>0</v>
      </c>
      <c r="Q11" s="436">
        <f t="shared" si="3"/>
        <v>0</v>
      </c>
      <c r="R11" s="436">
        <f t="shared" si="3"/>
        <v>0</v>
      </c>
      <c r="S11" s="437">
        <f t="shared" si="3"/>
        <v>0</v>
      </c>
    </row>
    <row r="12" spans="1:44">
      <c r="C12" s="1"/>
      <c r="D12" s="31" t="s">
        <v>26</v>
      </c>
      <c r="E12" s="1"/>
      <c r="F12" s="1"/>
      <c r="G12" s="1"/>
      <c r="H12" s="20">
        <f t="shared" ref="H12:K12" si="5">H45+H69</f>
        <v>0</v>
      </c>
      <c r="I12" s="20">
        <f t="shared" si="5"/>
        <v>0</v>
      </c>
      <c r="J12" s="20">
        <f t="shared" si="5"/>
        <v>0</v>
      </c>
      <c r="K12" s="20">
        <f t="shared" si="5"/>
        <v>0</v>
      </c>
      <c r="L12" s="20">
        <f t="shared" ref="L12:S12" si="6">L45+L69</f>
        <v>0</v>
      </c>
      <c r="M12" s="20">
        <f t="shared" ref="M12" si="7">M45+M69</f>
        <v>0</v>
      </c>
      <c r="N12" s="438">
        <f t="shared" si="6"/>
        <v>0</v>
      </c>
      <c r="O12" s="438">
        <f t="shared" si="6"/>
        <v>0</v>
      </c>
      <c r="P12" s="438">
        <f t="shared" si="6"/>
        <v>0</v>
      </c>
      <c r="Q12" s="438">
        <f t="shared" si="6"/>
        <v>0</v>
      </c>
      <c r="R12" s="438">
        <f t="shared" si="6"/>
        <v>0</v>
      </c>
      <c r="S12" s="439">
        <f t="shared" si="6"/>
        <v>0</v>
      </c>
    </row>
    <row r="13" spans="1:44">
      <c r="C13" s="1"/>
      <c r="D13" s="31" t="s">
        <v>27</v>
      </c>
      <c r="E13" s="1"/>
      <c r="F13" s="1"/>
      <c r="G13" s="1"/>
      <c r="H13" s="20">
        <f t="shared" ref="H13:K13" si="8">H46+H70</f>
        <v>0</v>
      </c>
      <c r="I13" s="20">
        <f t="shared" si="8"/>
        <v>0</v>
      </c>
      <c r="J13" s="20">
        <f t="shared" si="8"/>
        <v>0</v>
      </c>
      <c r="K13" s="20">
        <f t="shared" si="8"/>
        <v>0</v>
      </c>
      <c r="L13" s="20">
        <f t="shared" ref="L13:S13" si="9">L46+L70</f>
        <v>0</v>
      </c>
      <c r="M13" s="20">
        <f t="shared" ref="M13" si="10">M46+M70</f>
        <v>0</v>
      </c>
      <c r="N13" s="438">
        <f t="shared" si="9"/>
        <v>0</v>
      </c>
      <c r="O13" s="438">
        <f t="shared" si="9"/>
        <v>0</v>
      </c>
      <c r="P13" s="438">
        <f t="shared" si="9"/>
        <v>0</v>
      </c>
      <c r="Q13" s="438">
        <f t="shared" si="9"/>
        <v>0</v>
      </c>
      <c r="R13" s="438">
        <f t="shared" si="9"/>
        <v>0</v>
      </c>
      <c r="S13" s="439">
        <f t="shared" si="9"/>
        <v>0</v>
      </c>
    </row>
    <row r="14" spans="1:44">
      <c r="C14" s="1"/>
      <c r="D14" s="31" t="s">
        <v>28</v>
      </c>
      <c r="E14" s="1"/>
      <c r="F14" s="1"/>
      <c r="G14" s="1"/>
      <c r="H14" s="20">
        <f t="shared" ref="H14:K14" si="11">H47+H71</f>
        <v>0</v>
      </c>
      <c r="I14" s="20">
        <f t="shared" si="11"/>
        <v>0</v>
      </c>
      <c r="J14" s="20">
        <f t="shared" si="11"/>
        <v>0</v>
      </c>
      <c r="K14" s="20">
        <f t="shared" si="11"/>
        <v>0</v>
      </c>
      <c r="L14" s="20">
        <f t="shared" ref="L14:S14" si="12">L47+L71</f>
        <v>0</v>
      </c>
      <c r="M14" s="20">
        <f t="shared" ref="M14" si="13">M47+M71</f>
        <v>0</v>
      </c>
      <c r="N14" s="438">
        <f t="shared" si="12"/>
        <v>0</v>
      </c>
      <c r="O14" s="438">
        <f t="shared" si="12"/>
        <v>0</v>
      </c>
      <c r="P14" s="438">
        <f t="shared" si="12"/>
        <v>0</v>
      </c>
      <c r="Q14" s="438">
        <f t="shared" si="12"/>
        <v>0</v>
      </c>
      <c r="R14" s="438">
        <f t="shared" si="12"/>
        <v>0</v>
      </c>
      <c r="S14" s="439">
        <f t="shared" si="12"/>
        <v>0</v>
      </c>
    </row>
    <row r="15" spans="1:44">
      <c r="C15" s="1"/>
      <c r="D15" s="33" t="s">
        <v>29</v>
      </c>
      <c r="E15" s="34"/>
      <c r="F15" s="34"/>
      <c r="G15" s="34"/>
      <c r="H15" s="35">
        <f t="shared" ref="H15:K15" si="14">H48+H72</f>
        <v>0</v>
      </c>
      <c r="I15" s="35">
        <f t="shared" si="14"/>
        <v>0</v>
      </c>
      <c r="J15" s="35">
        <f t="shared" si="14"/>
        <v>0</v>
      </c>
      <c r="K15" s="35">
        <f t="shared" si="14"/>
        <v>0</v>
      </c>
      <c r="L15" s="35">
        <f t="shared" ref="L15:S15" si="15">L48+L72</f>
        <v>0</v>
      </c>
      <c r="M15" s="35">
        <f t="shared" ref="M15" si="16">M48+M72</f>
        <v>0</v>
      </c>
      <c r="N15" s="440">
        <f t="shared" si="15"/>
        <v>0</v>
      </c>
      <c r="O15" s="440">
        <f t="shared" si="15"/>
        <v>0</v>
      </c>
      <c r="P15" s="440">
        <f t="shared" si="15"/>
        <v>0</v>
      </c>
      <c r="Q15" s="440">
        <f t="shared" si="15"/>
        <v>0</v>
      </c>
      <c r="R15" s="440">
        <f t="shared" si="15"/>
        <v>0</v>
      </c>
      <c r="S15" s="441">
        <f t="shared" si="15"/>
        <v>0</v>
      </c>
    </row>
    <row r="16" spans="1:44">
      <c r="C16" s="1" t="s">
        <v>31</v>
      </c>
      <c r="D16" s="1"/>
      <c r="E16" s="1"/>
      <c r="H16" s="52">
        <f>IFERROR(H22/H10,"NA")</f>
        <v>6.1254792465410901</v>
      </c>
      <c r="I16" s="52">
        <f t="shared" ref="I16:K17" si="17">IFERROR(I22/I10,"NA")</f>
        <v>4.6450961841690317</v>
      </c>
      <c r="J16" s="52">
        <f t="shared" si="17"/>
        <v>4.8046750655782153</v>
      </c>
      <c r="K16" s="52">
        <f t="shared" si="17"/>
        <v>5.5873557520567498</v>
      </c>
      <c r="L16" s="52">
        <f t="shared" ref="L16:S16" si="18">IFERROR(L22/L10,"NA")</f>
        <v>5.6645855466134467</v>
      </c>
      <c r="M16" s="52">
        <f t="shared" ref="M16" si="19">IFERROR(M22/M10,"NA")</f>
        <v>5.6266771924361096</v>
      </c>
      <c r="N16" s="52">
        <f t="shared" si="18"/>
        <v>5.7212314020795816</v>
      </c>
      <c r="O16" s="52">
        <f t="shared" si="18"/>
        <v>5.7784437161003765</v>
      </c>
      <c r="P16" s="52">
        <f t="shared" si="18"/>
        <v>5.8362281532613816</v>
      </c>
      <c r="Q16" s="52">
        <f t="shared" si="18"/>
        <v>5.8945904347939955</v>
      </c>
      <c r="R16" s="52">
        <f t="shared" si="18"/>
        <v>5.9535363391419356</v>
      </c>
      <c r="S16" s="52">
        <f t="shared" si="18"/>
        <v>6.0130717025333542</v>
      </c>
      <c r="T16" s="181"/>
    </row>
    <row r="17" spans="3:44">
      <c r="C17" s="1"/>
      <c r="D17" s="27" t="s">
        <v>25</v>
      </c>
      <c r="E17" s="28"/>
      <c r="F17" s="28"/>
      <c r="G17" s="28"/>
      <c r="H17" s="50">
        <f>IFERROR(H23/H11,"NA")</f>
        <v>6.1254792465410901</v>
      </c>
      <c r="I17" s="50">
        <f t="shared" si="17"/>
        <v>4.6450961841690317</v>
      </c>
      <c r="J17" s="50">
        <f t="shared" si="17"/>
        <v>4.8046750655782153</v>
      </c>
      <c r="K17" s="50">
        <f t="shared" si="17"/>
        <v>5.5873557520567498</v>
      </c>
      <c r="L17" s="50">
        <f t="shared" ref="L17:S17" si="20">IFERROR(L23/L11,"NA")</f>
        <v>5.6645855466134467</v>
      </c>
      <c r="M17" s="50">
        <f t="shared" ref="M17" si="21">IFERROR(M23/M11,"NA")</f>
        <v>5.6266771924361096</v>
      </c>
      <c r="N17" s="50" t="str">
        <f t="shared" si="20"/>
        <v>NA</v>
      </c>
      <c r="O17" s="50" t="str">
        <f t="shared" si="20"/>
        <v>NA</v>
      </c>
      <c r="P17" s="50" t="str">
        <f t="shared" si="20"/>
        <v>NA</v>
      </c>
      <c r="Q17" s="50" t="str">
        <f t="shared" si="20"/>
        <v>NA</v>
      </c>
      <c r="R17" s="50" t="str">
        <f t="shared" si="20"/>
        <v>NA</v>
      </c>
      <c r="S17" s="51" t="str">
        <f t="shared" si="20"/>
        <v>NA</v>
      </c>
    </row>
    <row r="18" spans="3:44">
      <c r="C18" s="1"/>
      <c r="D18" s="31" t="s">
        <v>26</v>
      </c>
      <c r="E18" s="1"/>
      <c r="F18" s="1"/>
      <c r="G18" s="1"/>
      <c r="H18" s="52" t="str">
        <f t="shared" ref="H18:S18" si="22">IFERROR(H24/H12,"NA")</f>
        <v>NA</v>
      </c>
      <c r="I18" s="52" t="str">
        <f t="shared" si="22"/>
        <v>NA</v>
      </c>
      <c r="J18" s="52" t="str">
        <f t="shared" si="22"/>
        <v>NA</v>
      </c>
      <c r="K18" s="52" t="str">
        <f t="shared" si="22"/>
        <v>NA</v>
      </c>
      <c r="L18" s="52" t="str">
        <f t="shared" si="22"/>
        <v>NA</v>
      </c>
      <c r="M18" s="52" t="str">
        <f t="shared" ref="M18" si="23">IFERROR(M24/M12,"NA")</f>
        <v>NA</v>
      </c>
      <c r="N18" s="52" t="str">
        <f t="shared" si="22"/>
        <v>NA</v>
      </c>
      <c r="O18" s="52" t="str">
        <f t="shared" si="22"/>
        <v>NA</v>
      </c>
      <c r="P18" s="52" t="str">
        <f t="shared" si="22"/>
        <v>NA</v>
      </c>
      <c r="Q18" s="52" t="str">
        <f t="shared" si="22"/>
        <v>NA</v>
      </c>
      <c r="R18" s="52" t="str">
        <f t="shared" si="22"/>
        <v>NA</v>
      </c>
      <c r="S18" s="53" t="str">
        <f t="shared" si="22"/>
        <v>NA</v>
      </c>
    </row>
    <row r="19" spans="3:44">
      <c r="C19" s="1"/>
      <c r="D19" s="31" t="s">
        <v>27</v>
      </c>
      <c r="E19" s="1"/>
      <c r="F19" s="1"/>
      <c r="G19" s="1"/>
      <c r="H19" s="52" t="str">
        <f t="shared" ref="H19:S19" si="24">IFERROR(H25/H13,"NA")</f>
        <v>NA</v>
      </c>
      <c r="I19" s="52" t="str">
        <f t="shared" si="24"/>
        <v>NA</v>
      </c>
      <c r="J19" s="52" t="str">
        <f t="shared" si="24"/>
        <v>NA</v>
      </c>
      <c r="K19" s="52" t="str">
        <f t="shared" si="24"/>
        <v>NA</v>
      </c>
      <c r="L19" s="52" t="str">
        <f t="shared" si="24"/>
        <v>NA</v>
      </c>
      <c r="M19" s="52" t="str">
        <f t="shared" ref="M19" si="25">IFERROR(M25/M13,"NA")</f>
        <v>NA</v>
      </c>
      <c r="N19" s="52" t="str">
        <f t="shared" si="24"/>
        <v>NA</v>
      </c>
      <c r="O19" s="52" t="str">
        <f t="shared" si="24"/>
        <v>NA</v>
      </c>
      <c r="P19" s="52" t="str">
        <f t="shared" si="24"/>
        <v>NA</v>
      </c>
      <c r="Q19" s="52" t="str">
        <f t="shared" si="24"/>
        <v>NA</v>
      </c>
      <c r="R19" s="52" t="str">
        <f t="shared" si="24"/>
        <v>NA</v>
      </c>
      <c r="S19" s="53" t="str">
        <f t="shared" si="24"/>
        <v>NA</v>
      </c>
    </row>
    <row r="20" spans="3:44">
      <c r="C20" s="1"/>
      <c r="D20" s="31" t="s">
        <v>28</v>
      </c>
      <c r="E20" s="1"/>
      <c r="F20" s="1"/>
      <c r="G20" s="1"/>
      <c r="H20" s="52" t="str">
        <f t="shared" ref="H20:S20" si="26">IFERROR(H26/H14,"NA")</f>
        <v>NA</v>
      </c>
      <c r="I20" s="52" t="str">
        <f t="shared" si="26"/>
        <v>NA</v>
      </c>
      <c r="J20" s="52" t="str">
        <f t="shared" si="26"/>
        <v>NA</v>
      </c>
      <c r="K20" s="52" t="str">
        <f t="shared" si="26"/>
        <v>NA</v>
      </c>
      <c r="L20" s="52" t="str">
        <f t="shared" si="26"/>
        <v>NA</v>
      </c>
      <c r="M20" s="52" t="str">
        <f t="shared" ref="M20" si="27">IFERROR(M26/M14,"NA")</f>
        <v>NA</v>
      </c>
      <c r="N20" s="52" t="str">
        <f t="shared" si="26"/>
        <v>NA</v>
      </c>
      <c r="O20" s="52" t="str">
        <f t="shared" si="26"/>
        <v>NA</v>
      </c>
      <c r="P20" s="52" t="str">
        <f t="shared" si="26"/>
        <v>NA</v>
      </c>
      <c r="Q20" s="52" t="str">
        <f t="shared" si="26"/>
        <v>NA</v>
      </c>
      <c r="R20" s="52" t="str">
        <f t="shared" si="26"/>
        <v>NA</v>
      </c>
      <c r="S20" s="53" t="str">
        <f t="shared" si="26"/>
        <v>NA</v>
      </c>
    </row>
    <row r="21" spans="3:44" ht="15" thickBot="1">
      <c r="C21" s="37"/>
      <c r="D21" s="38" t="s">
        <v>29</v>
      </c>
      <c r="E21" s="37"/>
      <c r="F21" s="37"/>
      <c r="G21" s="37"/>
      <c r="H21" s="54" t="str">
        <f t="shared" ref="H21:S21" si="28">IFERROR(H27/H15,"NA")</f>
        <v>NA</v>
      </c>
      <c r="I21" s="54" t="str">
        <f t="shared" si="28"/>
        <v>NA</v>
      </c>
      <c r="J21" s="54" t="str">
        <f t="shared" si="28"/>
        <v>NA</v>
      </c>
      <c r="K21" s="54" t="str">
        <f t="shared" si="28"/>
        <v>NA</v>
      </c>
      <c r="L21" s="54" t="str">
        <f t="shared" si="28"/>
        <v>NA</v>
      </c>
      <c r="M21" s="54" t="str">
        <f t="shared" ref="M21" si="29">IFERROR(M27/M15,"NA")</f>
        <v>NA</v>
      </c>
      <c r="N21" s="54" t="str">
        <f t="shared" si="28"/>
        <v>NA</v>
      </c>
      <c r="O21" s="54" t="str">
        <f t="shared" si="28"/>
        <v>NA</v>
      </c>
      <c r="P21" s="54" t="str">
        <f t="shared" si="28"/>
        <v>NA</v>
      </c>
      <c r="Q21" s="54" t="str">
        <f t="shared" si="28"/>
        <v>NA</v>
      </c>
      <c r="R21" s="54" t="str">
        <f t="shared" si="28"/>
        <v>NA</v>
      </c>
      <c r="S21" s="55" t="str">
        <f t="shared" si="28"/>
        <v>NA</v>
      </c>
    </row>
    <row r="22" spans="3:44">
      <c r="C22" s="18" t="s">
        <v>279</v>
      </c>
      <c r="D22" s="1"/>
      <c r="E22" s="1"/>
      <c r="H22" s="99">
        <f>SUM(H23:H27)</f>
        <v>146987</v>
      </c>
      <c r="I22" s="99">
        <f t="shared" ref="I22:J22" si="30">SUM(I23:I27)</f>
        <v>147296</v>
      </c>
      <c r="J22" s="99">
        <f t="shared" si="30"/>
        <v>155451</v>
      </c>
      <c r="K22" s="99">
        <f>SUM(K23:K27)</f>
        <v>135719</v>
      </c>
      <c r="L22" s="99">
        <f>L55+L79</f>
        <v>163422.01879999999</v>
      </c>
      <c r="M22" s="99">
        <f>M55+M79</f>
        <v>93672.558689999947</v>
      </c>
      <c r="N22" s="99">
        <f t="shared" ref="N22:S22" si="31">N55+N79</f>
        <v>181561.86288680002</v>
      </c>
      <c r="O22" s="99">
        <f t="shared" si="31"/>
        <v>201715.22966723485</v>
      </c>
      <c r="P22" s="99">
        <f t="shared" si="31"/>
        <v>224105.62016029796</v>
      </c>
      <c r="Q22" s="99">
        <f t="shared" si="31"/>
        <v>248981.34399809106</v>
      </c>
      <c r="R22" s="99">
        <f t="shared" si="31"/>
        <v>276618.27318187919</v>
      </c>
      <c r="S22" s="99">
        <f t="shared" si="31"/>
        <v>307322.90150506783</v>
      </c>
      <c r="T22" s="181"/>
    </row>
    <row r="23" spans="3:44">
      <c r="C23" s="1"/>
      <c r="D23" s="27" t="s">
        <v>25</v>
      </c>
      <c r="E23" s="28"/>
      <c r="F23" s="28"/>
      <c r="G23" s="28"/>
      <c r="H23" s="29">
        <f t="shared" ref="H23:S23" si="32">H56+H80</f>
        <v>146987</v>
      </c>
      <c r="I23" s="29">
        <f t="shared" si="32"/>
        <v>147296</v>
      </c>
      <c r="J23" s="29">
        <f t="shared" si="32"/>
        <v>155451</v>
      </c>
      <c r="K23" s="29">
        <f>K56+K80</f>
        <v>135719</v>
      </c>
      <c r="L23" s="29">
        <f t="shared" si="32"/>
        <v>163422.01879999999</v>
      </c>
      <c r="M23" s="29">
        <f t="shared" ref="M23" si="33">M56+M80</f>
        <v>93672.558689999947</v>
      </c>
      <c r="N23" s="436">
        <f t="shared" si="32"/>
        <v>0</v>
      </c>
      <c r="O23" s="436">
        <f t="shared" si="32"/>
        <v>0</v>
      </c>
      <c r="P23" s="436">
        <f t="shared" si="32"/>
        <v>0</v>
      </c>
      <c r="Q23" s="436">
        <f t="shared" si="32"/>
        <v>0</v>
      </c>
      <c r="R23" s="436">
        <f t="shared" si="32"/>
        <v>0</v>
      </c>
      <c r="S23" s="437">
        <f t="shared" si="32"/>
        <v>0</v>
      </c>
    </row>
    <row r="24" spans="3:44">
      <c r="C24" s="1"/>
      <c r="D24" s="31" t="s">
        <v>26</v>
      </c>
      <c r="E24" s="1"/>
      <c r="F24" s="1"/>
      <c r="G24" s="1"/>
      <c r="H24" s="20">
        <v>0</v>
      </c>
      <c r="I24" s="20">
        <v>0</v>
      </c>
      <c r="J24" s="20">
        <v>0</v>
      </c>
      <c r="K24" s="20">
        <v>0</v>
      </c>
      <c r="L24" s="20">
        <f t="shared" ref="L24:S24" si="34">L57+L81</f>
        <v>0</v>
      </c>
      <c r="M24" s="20">
        <f t="shared" ref="M24" si="35">M57+M81</f>
        <v>0</v>
      </c>
      <c r="N24" s="438">
        <f t="shared" si="34"/>
        <v>0</v>
      </c>
      <c r="O24" s="438">
        <f t="shared" si="34"/>
        <v>0</v>
      </c>
      <c r="P24" s="438">
        <f t="shared" si="34"/>
        <v>0</v>
      </c>
      <c r="Q24" s="438">
        <f t="shared" si="34"/>
        <v>0</v>
      </c>
      <c r="R24" s="438">
        <f t="shared" si="34"/>
        <v>0</v>
      </c>
      <c r="S24" s="439">
        <f t="shared" si="34"/>
        <v>0</v>
      </c>
    </row>
    <row r="25" spans="3:44">
      <c r="C25" s="1"/>
      <c r="D25" s="31" t="s">
        <v>27</v>
      </c>
      <c r="E25" s="1"/>
      <c r="F25" s="1"/>
      <c r="G25" s="1"/>
      <c r="H25" s="20">
        <v>0</v>
      </c>
      <c r="I25" s="20">
        <v>0</v>
      </c>
      <c r="J25" s="20">
        <v>0</v>
      </c>
      <c r="K25" s="20">
        <v>0</v>
      </c>
      <c r="L25" s="20">
        <f t="shared" ref="L25:S25" si="36">L58+L82</f>
        <v>0</v>
      </c>
      <c r="M25" s="20">
        <f t="shared" ref="M25" si="37">M58+M82</f>
        <v>0</v>
      </c>
      <c r="N25" s="438">
        <f t="shared" si="36"/>
        <v>0</v>
      </c>
      <c r="O25" s="438">
        <f t="shared" si="36"/>
        <v>0</v>
      </c>
      <c r="P25" s="438">
        <f t="shared" si="36"/>
        <v>0</v>
      </c>
      <c r="Q25" s="438">
        <f t="shared" si="36"/>
        <v>0</v>
      </c>
      <c r="R25" s="438">
        <f t="shared" si="36"/>
        <v>0</v>
      </c>
      <c r="S25" s="439">
        <f t="shared" si="36"/>
        <v>0</v>
      </c>
    </row>
    <row r="26" spans="3:44">
      <c r="C26" s="1"/>
      <c r="D26" s="31" t="s">
        <v>28</v>
      </c>
      <c r="E26" s="1"/>
      <c r="F26" s="1"/>
      <c r="G26" s="1"/>
      <c r="H26" s="20">
        <v>0</v>
      </c>
      <c r="I26" s="20">
        <v>0</v>
      </c>
      <c r="J26" s="20">
        <v>0</v>
      </c>
      <c r="K26" s="20">
        <v>0</v>
      </c>
      <c r="L26" s="20">
        <f t="shared" ref="L26:S26" si="38">L59+L83</f>
        <v>0</v>
      </c>
      <c r="M26" s="20">
        <f t="shared" ref="M26" si="39">M59+M83</f>
        <v>0</v>
      </c>
      <c r="N26" s="438">
        <f t="shared" si="38"/>
        <v>0</v>
      </c>
      <c r="O26" s="438">
        <f t="shared" si="38"/>
        <v>0</v>
      </c>
      <c r="P26" s="438">
        <f t="shared" si="38"/>
        <v>0</v>
      </c>
      <c r="Q26" s="438">
        <f t="shared" si="38"/>
        <v>0</v>
      </c>
      <c r="R26" s="438">
        <f t="shared" si="38"/>
        <v>0</v>
      </c>
      <c r="S26" s="439">
        <f t="shared" si="38"/>
        <v>0</v>
      </c>
    </row>
    <row r="27" spans="3:44">
      <c r="C27" s="1"/>
      <c r="D27" s="33" t="s">
        <v>29</v>
      </c>
      <c r="E27" s="34"/>
      <c r="F27" s="34"/>
      <c r="G27" s="34"/>
      <c r="H27" s="35">
        <v>0</v>
      </c>
      <c r="I27" s="35">
        <v>0</v>
      </c>
      <c r="J27" s="35">
        <v>0</v>
      </c>
      <c r="K27" s="35">
        <v>0</v>
      </c>
      <c r="L27" s="35">
        <f t="shared" ref="L27:S27" si="40">L60+L84</f>
        <v>0</v>
      </c>
      <c r="M27" s="35">
        <f t="shared" ref="M27" si="41">M60+M84</f>
        <v>0</v>
      </c>
      <c r="N27" s="440">
        <f t="shared" si="40"/>
        <v>0</v>
      </c>
      <c r="O27" s="440">
        <f t="shared" si="40"/>
        <v>0</v>
      </c>
      <c r="P27" s="440">
        <f t="shared" si="40"/>
        <v>0</v>
      </c>
      <c r="Q27" s="440">
        <f t="shared" si="40"/>
        <v>0</v>
      </c>
      <c r="R27" s="440">
        <f t="shared" si="40"/>
        <v>0</v>
      </c>
      <c r="S27" s="441">
        <f t="shared" si="40"/>
        <v>0</v>
      </c>
    </row>
    <row r="28" spans="3:44" s="101" customFormat="1">
      <c r="C28" s="18"/>
      <c r="D28" s="18"/>
      <c r="E28" s="18"/>
      <c r="H28" s="100"/>
      <c r="I28" s="100"/>
      <c r="J28" s="100"/>
      <c r="K28" s="100"/>
      <c r="U28" s="1512"/>
      <c r="V28" s="1512"/>
      <c r="W28" s="1512"/>
      <c r="X28" s="1512"/>
      <c r="Y28" s="1512"/>
      <c r="Z28" s="1512"/>
      <c r="AA28" s="1512"/>
      <c r="AB28" s="1527"/>
      <c r="AI28" s="473"/>
      <c r="AK28" s="1512"/>
      <c r="AL28" s="1512"/>
      <c r="AM28" s="1512"/>
      <c r="AN28" s="1512"/>
      <c r="AO28" s="1512"/>
      <c r="AP28" s="1512"/>
      <c r="AQ28" s="1512"/>
      <c r="AR28" s="473"/>
    </row>
    <row r="29" spans="3:44" s="104" customFormat="1" hidden="1">
      <c r="C29" s="18" t="s">
        <v>10</v>
      </c>
      <c r="H29" s="405">
        <v>30022</v>
      </c>
      <c r="I29" s="405">
        <v>147297</v>
      </c>
      <c r="J29" s="405">
        <v>155452</v>
      </c>
      <c r="K29" s="405">
        <v>135719</v>
      </c>
      <c r="L29" s="180"/>
      <c r="M29" s="180"/>
      <c r="N29" s="180"/>
      <c r="O29" s="180"/>
      <c r="P29" s="180"/>
      <c r="Q29" s="180"/>
      <c r="R29" s="180"/>
      <c r="S29" s="180"/>
      <c r="U29" s="1514"/>
      <c r="V29" s="1514"/>
      <c r="W29" s="1514"/>
      <c r="X29" s="1514"/>
      <c r="Y29" s="1514"/>
      <c r="Z29" s="1514"/>
      <c r="AA29" s="1514"/>
      <c r="AB29" s="1528"/>
      <c r="AI29" s="477"/>
      <c r="AK29" s="1514"/>
      <c r="AL29" s="1514"/>
      <c r="AM29" s="1514"/>
      <c r="AN29" s="1514"/>
      <c r="AO29" s="1514"/>
      <c r="AP29" s="1514"/>
      <c r="AQ29" s="1514"/>
      <c r="AR29" s="477"/>
    </row>
    <row r="30" spans="3:44" s="104" customFormat="1" hidden="1">
      <c r="C30" s="18"/>
      <c r="D30" s="18"/>
      <c r="E30" s="18"/>
      <c r="H30" s="23"/>
      <c r="I30" s="23"/>
      <c r="J30" s="23"/>
      <c r="K30" s="23"/>
      <c r="U30" s="1514"/>
      <c r="V30" s="1514"/>
      <c r="W30" s="1514"/>
      <c r="X30" s="1514"/>
      <c r="Y30" s="1514"/>
      <c r="Z30" s="1514"/>
      <c r="AA30" s="1514"/>
      <c r="AB30" s="1528"/>
      <c r="AI30" s="477"/>
      <c r="AK30" s="1514"/>
      <c r="AL30" s="1514"/>
      <c r="AM30" s="1514"/>
      <c r="AN30" s="1514"/>
      <c r="AO30" s="1514"/>
      <c r="AP30" s="1514"/>
      <c r="AQ30" s="1514"/>
      <c r="AR30" s="477"/>
    </row>
    <row r="31" spans="3:44" s="104" customFormat="1">
      <c r="C31" s="18" t="s">
        <v>12</v>
      </c>
      <c r="D31" s="18"/>
      <c r="E31" s="18"/>
      <c r="H31" s="405">
        <v>30022</v>
      </c>
      <c r="I31" s="405">
        <v>147297</v>
      </c>
      <c r="J31" s="405">
        <v>155452</v>
      </c>
      <c r="K31" s="405">
        <v>135719</v>
      </c>
      <c r="L31" s="405">
        <v>163422.01879999999</v>
      </c>
      <c r="M31" s="405">
        <v>93672.558689999962</v>
      </c>
      <c r="N31" s="99">
        <f t="shared" ref="N31:S31" si="42">N22</f>
        <v>181561.86288680002</v>
      </c>
      <c r="O31" s="99">
        <f t="shared" si="42"/>
        <v>201715.22966723485</v>
      </c>
      <c r="P31" s="99">
        <f t="shared" si="42"/>
        <v>224105.62016029796</v>
      </c>
      <c r="Q31" s="99">
        <f t="shared" si="42"/>
        <v>248981.34399809106</v>
      </c>
      <c r="R31" s="99">
        <f t="shared" si="42"/>
        <v>276618.27318187919</v>
      </c>
      <c r="S31" s="99">
        <f t="shared" si="42"/>
        <v>307322.90150506783</v>
      </c>
      <c r="T31" s="528"/>
      <c r="U31" s="1514"/>
      <c r="V31" s="1514"/>
      <c r="W31" s="1514"/>
      <c r="X31" s="1514"/>
      <c r="Y31" s="1514"/>
      <c r="Z31" s="1514"/>
      <c r="AA31" s="1514"/>
      <c r="AB31" s="1528"/>
      <c r="AI31" s="477"/>
      <c r="AK31" s="1514"/>
      <c r="AL31" s="1514"/>
      <c r="AM31" s="1514"/>
      <c r="AN31" s="1514"/>
      <c r="AO31" s="1514"/>
      <c r="AP31" s="1514"/>
      <c r="AQ31" s="1514"/>
      <c r="AR31" s="477"/>
    </row>
    <row r="33" spans="1:44" s="18" customFormat="1">
      <c r="D33" s="22" t="s">
        <v>281</v>
      </c>
      <c r="H33" s="425">
        <v>116965</v>
      </c>
      <c r="I33" s="425">
        <v>0</v>
      </c>
      <c r="J33" s="425">
        <v>0</v>
      </c>
      <c r="K33" s="425">
        <v>0</v>
      </c>
      <c r="L33" s="425">
        <v>0</v>
      </c>
      <c r="M33" s="425">
        <v>0</v>
      </c>
      <c r="N33" s="151"/>
      <c r="O33" s="151"/>
      <c r="P33" s="151"/>
      <c r="Q33" s="151"/>
      <c r="R33" s="151"/>
      <c r="S33" s="151"/>
      <c r="T33" s="1126"/>
      <c r="U33" s="1518"/>
      <c r="V33" s="1518"/>
      <c r="W33" s="1518"/>
      <c r="X33" s="1518"/>
      <c r="Y33" s="1518"/>
      <c r="Z33" s="1518"/>
      <c r="AA33" s="1518"/>
      <c r="AB33" s="397"/>
      <c r="AI33" s="478"/>
      <c r="AJ33" s="1126"/>
      <c r="AK33" s="1518"/>
      <c r="AL33" s="1518"/>
      <c r="AM33" s="1518"/>
      <c r="AN33" s="1518"/>
      <c r="AO33" s="1518"/>
      <c r="AP33" s="1518"/>
      <c r="AQ33" s="1518"/>
      <c r="AR33" s="1494"/>
    </row>
    <row r="34" spans="1:44" hidden="1">
      <c r="A34" s="99"/>
      <c r="B34" s="99"/>
      <c r="C34" s="18" t="s">
        <v>16</v>
      </c>
      <c r="D34" s="99"/>
      <c r="E34" s="99"/>
      <c r="F34" s="99"/>
      <c r="G34" s="99"/>
      <c r="H34" s="99">
        <f>H31+H33</f>
        <v>146987</v>
      </c>
      <c r="I34" s="99">
        <f t="shared" ref="I34:J34" si="43">I31+I33</f>
        <v>147297</v>
      </c>
      <c r="J34" s="99">
        <f t="shared" si="43"/>
        <v>155452</v>
      </c>
      <c r="K34" s="99">
        <f>K31+K33</f>
        <v>135719</v>
      </c>
      <c r="L34" s="166"/>
      <c r="M34" s="166"/>
      <c r="N34" s="166"/>
      <c r="O34" s="166"/>
      <c r="P34" s="166"/>
      <c r="Q34" s="166"/>
      <c r="R34" s="166"/>
      <c r="S34" s="166"/>
    </row>
    <row r="35" spans="1:44" s="99" customFormat="1" hidden="1">
      <c r="C35" s="18"/>
      <c r="D35" s="18"/>
      <c r="E35" s="18"/>
      <c r="U35" s="1511"/>
      <c r="V35" s="1511"/>
      <c r="W35" s="1511"/>
      <c r="X35" s="1511"/>
      <c r="Y35" s="1511"/>
      <c r="Z35" s="1511"/>
      <c r="AA35" s="1511"/>
      <c r="AB35" s="1056"/>
      <c r="AI35" s="414"/>
      <c r="AK35" s="1511"/>
      <c r="AL35" s="1511"/>
      <c r="AM35" s="1511"/>
      <c r="AN35" s="1511"/>
      <c r="AO35" s="1511"/>
      <c r="AP35" s="1511"/>
      <c r="AQ35" s="1511"/>
      <c r="AR35" s="414"/>
    </row>
    <row r="36" spans="1:44" s="101" customFormat="1">
      <c r="C36" s="1" t="s">
        <v>235</v>
      </c>
      <c r="D36" s="1"/>
      <c r="E36" s="1"/>
      <c r="F36" s="1"/>
      <c r="G36" s="1"/>
      <c r="H36" s="394">
        <v>-25269</v>
      </c>
      <c r="I36" s="394">
        <v>-123298</v>
      </c>
      <c r="J36" s="394">
        <v>-124028</v>
      </c>
      <c r="K36" s="20">
        <f>K38-K31</f>
        <v>-103155</v>
      </c>
      <c r="L36" s="394">
        <v>-135023.10136</v>
      </c>
      <c r="M36" s="394">
        <v>-76571.13321</v>
      </c>
      <c r="N36" s="20">
        <f t="shared" ref="N36:S36" si="44">N38-N31</f>
        <v>-148606.13252331779</v>
      </c>
      <c r="O36" s="20">
        <f t="shared" si="44"/>
        <v>-165101.41323340609</v>
      </c>
      <c r="P36" s="20">
        <f t="shared" si="44"/>
        <v>-183427.67010231421</v>
      </c>
      <c r="Q36" s="20">
        <f t="shared" si="44"/>
        <v>-203788.14148367109</v>
      </c>
      <c r="R36" s="20">
        <f t="shared" si="44"/>
        <v>-226408.62518835859</v>
      </c>
      <c r="S36" s="20">
        <f t="shared" si="44"/>
        <v>-251539.98258426646</v>
      </c>
      <c r="U36" s="1512"/>
      <c r="V36" s="1512"/>
      <c r="W36" s="1512"/>
      <c r="X36" s="1512"/>
      <c r="Y36" s="1512"/>
      <c r="Z36" s="1512"/>
      <c r="AA36" s="1512"/>
      <c r="AB36" s="1527"/>
      <c r="AI36" s="473"/>
      <c r="AK36" s="1512"/>
      <c r="AL36" s="1512"/>
      <c r="AM36" s="1512"/>
      <c r="AN36" s="1512"/>
      <c r="AO36" s="1512"/>
      <c r="AP36" s="1512"/>
      <c r="AQ36" s="1512"/>
      <c r="AR36" s="473"/>
    </row>
    <row r="37" spans="1:44">
      <c r="C37" s="1"/>
      <c r="D37" s="1"/>
      <c r="E37" s="1"/>
      <c r="F37" s="1"/>
      <c r="G37" s="1"/>
      <c r="H37" s="21"/>
      <c r="I37" s="21"/>
      <c r="J37" s="21"/>
      <c r="K37" s="21"/>
      <c r="L37" s="1"/>
      <c r="M37" s="1"/>
      <c r="N37" s="99"/>
      <c r="O37" s="99"/>
      <c r="P37" s="99"/>
      <c r="Q37" s="99"/>
      <c r="R37" s="99"/>
      <c r="S37" s="99"/>
    </row>
    <row r="38" spans="1:44">
      <c r="C38" s="18" t="s">
        <v>236</v>
      </c>
      <c r="D38" s="1"/>
      <c r="E38" s="1"/>
      <c r="F38" s="1"/>
      <c r="G38" s="1"/>
      <c r="H38" s="23">
        <f>H31+H36</f>
        <v>4753</v>
      </c>
      <c r="I38" s="23">
        <f t="shared" ref="I38:J38" si="45">I31+I36</f>
        <v>23999</v>
      </c>
      <c r="J38" s="23">
        <f t="shared" si="45"/>
        <v>31424</v>
      </c>
      <c r="K38" s="23">
        <f>K62+K86</f>
        <v>32564</v>
      </c>
      <c r="L38" s="70">
        <f>L31+L36</f>
        <v>28398.91743999999</v>
      </c>
      <c r="M38" s="70">
        <f>M31+M36</f>
        <v>17101.425479999962</v>
      </c>
      <c r="N38" s="70">
        <f t="shared" ref="N38:S38" si="46">N62+N86</f>
        <v>32955.730363482231</v>
      </c>
      <c r="O38" s="70">
        <f t="shared" si="46"/>
        <v>36613.816433828761</v>
      </c>
      <c r="P38" s="70">
        <f t="shared" si="46"/>
        <v>40677.950057983755</v>
      </c>
      <c r="Q38" s="70">
        <f t="shared" si="46"/>
        <v>45193.202514419958</v>
      </c>
      <c r="R38" s="70">
        <f t="shared" si="46"/>
        <v>50209.647993520593</v>
      </c>
      <c r="S38" s="70">
        <f t="shared" si="46"/>
        <v>55782.918920801378</v>
      </c>
    </row>
    <row r="39" spans="1:44">
      <c r="C39" s="22" t="s">
        <v>168</v>
      </c>
      <c r="D39" s="1"/>
      <c r="E39" s="1"/>
      <c r="F39" s="1"/>
      <c r="G39" s="1"/>
      <c r="H39" s="426">
        <f>H38/H31</f>
        <v>0.15831723402837919</v>
      </c>
      <c r="I39" s="426">
        <f t="shared" ref="I39:J39" si="47">I38/I31</f>
        <v>0.16292931967385621</v>
      </c>
      <c r="J39" s="426">
        <f t="shared" si="47"/>
        <v>0.20214600005146283</v>
      </c>
      <c r="K39" s="426">
        <f>K38/K31</f>
        <v>0.23993692850669399</v>
      </c>
      <c r="L39" s="94">
        <f>L38/L31</f>
        <v>0.17377656724921081</v>
      </c>
      <c r="M39" s="94">
        <f>M38/M31</f>
        <v>0.18256601206544845</v>
      </c>
      <c r="N39" s="94">
        <f t="shared" ref="N39:S39" si="48">N38/N31</f>
        <v>0.18151240486020698</v>
      </c>
      <c r="O39" s="94">
        <f t="shared" si="48"/>
        <v>0.18151240486020695</v>
      </c>
      <c r="P39" s="94">
        <f t="shared" si="48"/>
        <v>0.18151240486020692</v>
      </c>
      <c r="Q39" s="94">
        <f t="shared" si="48"/>
        <v>0.18151240486020692</v>
      </c>
      <c r="R39" s="94">
        <f t="shared" si="48"/>
        <v>0.18151240486020698</v>
      </c>
      <c r="S39" s="94">
        <f t="shared" si="48"/>
        <v>0.18151240486020695</v>
      </c>
    </row>
    <row r="40" spans="1:44">
      <c r="C40" s="1"/>
      <c r="D40" s="1"/>
      <c r="E40" s="1"/>
      <c r="F40" s="1"/>
      <c r="G40" s="1"/>
      <c r="H40" s="21"/>
      <c r="I40" s="21"/>
      <c r="J40" s="21"/>
      <c r="K40" s="21"/>
      <c r="L40" s="1"/>
      <c r="M40" s="1"/>
    </row>
    <row r="41" spans="1:44" s="1125" customFormat="1" outlineLevel="1">
      <c r="A41" s="10" t="s">
        <v>8</v>
      </c>
      <c r="B41" s="10" t="s">
        <v>282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U41" s="1515"/>
      <c r="V41" s="1515"/>
      <c r="W41" s="1515"/>
      <c r="X41" s="1515"/>
      <c r="Y41" s="1515"/>
      <c r="Z41" s="1515"/>
      <c r="AA41" s="1515"/>
      <c r="AB41" s="1179"/>
      <c r="AC41" s="62"/>
      <c r="AD41" s="62"/>
      <c r="AE41" s="62"/>
      <c r="AF41" s="62"/>
      <c r="AG41" s="62"/>
      <c r="AH41" s="62"/>
      <c r="AI41" s="475"/>
      <c r="AK41" s="1515"/>
      <c r="AL41" s="1515"/>
      <c r="AM41" s="1515"/>
      <c r="AN41" s="1515"/>
      <c r="AO41" s="1515"/>
      <c r="AP41" s="1515"/>
      <c r="AQ41" s="1515"/>
      <c r="AR41" s="1482"/>
    </row>
    <row r="42" spans="1:44" outlineLevel="1">
      <c r="C42" s="1"/>
      <c r="D42" s="1"/>
      <c r="E42" s="1"/>
      <c r="F42" s="1"/>
      <c r="G42" s="1"/>
      <c r="H42" s="52"/>
      <c r="I42" s="52"/>
      <c r="J42" s="52"/>
      <c r="K42" s="52"/>
      <c r="L42" s="1"/>
      <c r="M42" s="1"/>
    </row>
    <row r="43" spans="1:44" outlineLevel="1">
      <c r="C43" s="18" t="s">
        <v>24</v>
      </c>
      <c r="D43" s="18"/>
      <c r="E43" s="18"/>
      <c r="F43" s="99"/>
      <c r="G43" s="99"/>
      <c r="H43" s="99">
        <f>SUM(H44:H48)</f>
        <v>21763</v>
      </c>
      <c r="I43" s="99">
        <f t="shared" ref="I43:K43" si="49">SUM(I44:I48)</f>
        <v>28979</v>
      </c>
      <c r="J43" s="99">
        <f t="shared" si="49"/>
        <v>31013</v>
      </c>
      <c r="K43" s="99">
        <f t="shared" si="49"/>
        <v>22427</v>
      </c>
      <c r="L43" s="23">
        <f>SUM(L44:L48)</f>
        <v>26308.964919835922</v>
      </c>
      <c r="M43" s="23">
        <f>SUM(M44:M48)</f>
        <v>15274.556632194814</v>
      </c>
      <c r="N43" s="23">
        <f t="shared" ref="N43:S43" si="50">CHOOSE(case,U43,AC43,AK43)</f>
        <v>28939.861411819518</v>
      </c>
      <c r="O43" s="23">
        <f t="shared" si="50"/>
        <v>31833.847553001473</v>
      </c>
      <c r="P43" s="23">
        <f t="shared" si="50"/>
        <v>35017.232308301624</v>
      </c>
      <c r="Q43" s="23">
        <f t="shared" si="50"/>
        <v>38518.955539131792</v>
      </c>
      <c r="R43" s="23">
        <f t="shared" si="50"/>
        <v>42370.851093044977</v>
      </c>
      <c r="S43" s="23">
        <f t="shared" si="50"/>
        <v>46607.936202349476</v>
      </c>
      <c r="T43" s="1126"/>
      <c r="U43" s="1519">
        <f>$L43*(1+$AA43)</f>
        <v>30255.309657811307</v>
      </c>
      <c r="V43" s="1519">
        <f>U43*(1+$AA43)</f>
        <v>34793.606106482999</v>
      </c>
      <c r="W43" s="1519">
        <f t="shared" ref="W43:Z43" si="51">V43*(1+$AA43)</f>
        <v>40012.647022455443</v>
      </c>
      <c r="X43" s="1519">
        <f t="shared" si="51"/>
        <v>46014.544075823753</v>
      </c>
      <c r="Y43" s="1519">
        <f t="shared" si="51"/>
        <v>52916.725687197315</v>
      </c>
      <c r="Z43" s="1519">
        <f t="shared" si="51"/>
        <v>60854.234540276906</v>
      </c>
      <c r="AA43" s="1520">
        <v>0.15</v>
      </c>
      <c r="AB43" s="14"/>
      <c r="AC43" s="20">
        <f>$L43*(1+$AI43)</f>
        <v>28939.861411819518</v>
      </c>
      <c r="AD43" s="20">
        <f>AC43*(1+$AI43)</f>
        <v>31833.847553001473</v>
      </c>
      <c r="AE43" s="20">
        <f t="shared" ref="AE43" si="52">AD43*(1+$AI43)</f>
        <v>35017.232308301624</v>
      </c>
      <c r="AF43" s="20">
        <f>AE43*(1+$AI43)</f>
        <v>38518.955539131792</v>
      </c>
      <c r="AG43" s="20">
        <f t="shared" ref="AG43" si="53">AF43*(1+$AI43)</f>
        <v>42370.851093044977</v>
      </c>
      <c r="AH43" s="20">
        <f>AG43*(1+$AI43)</f>
        <v>46607.936202349476</v>
      </c>
      <c r="AI43" s="472">
        <v>0.1</v>
      </c>
      <c r="AJ43" s="1321"/>
      <c r="AK43" s="1519">
        <f>$L43*(1+$AQ43)</f>
        <v>28676.771762621156</v>
      </c>
      <c r="AL43" s="1519">
        <f>AK43*(1+$AQ43)</f>
        <v>31257.681221257062</v>
      </c>
      <c r="AM43" s="1519">
        <f t="shared" ref="AM43:AN43" si="54">AL43*(1+$AQ43)</f>
        <v>34070.8725311702</v>
      </c>
      <c r="AN43" s="1519">
        <f t="shared" si="54"/>
        <v>37137.251058975518</v>
      </c>
      <c r="AO43" s="1519">
        <f>AN43*(1+$AQ43)</f>
        <v>40479.603654283317</v>
      </c>
      <c r="AP43" s="1519">
        <f t="shared" ref="AP43" si="55">AO43*(1+$AQ43)</f>
        <v>44122.767983168822</v>
      </c>
      <c r="AQ43" s="1520">
        <v>0.09</v>
      </c>
    </row>
    <row r="44" spans="1:44" outlineLevel="1">
      <c r="C44" s="1"/>
      <c r="D44" s="27" t="s">
        <v>25</v>
      </c>
      <c r="E44" s="28"/>
      <c r="F44" s="28"/>
      <c r="G44" s="28"/>
      <c r="H44" s="419">
        <v>21763</v>
      </c>
      <c r="I44" s="419">
        <v>28979</v>
      </c>
      <c r="J44" s="419">
        <v>31013</v>
      </c>
      <c r="K44" s="419">
        <v>22427</v>
      </c>
      <c r="L44" s="29">
        <f>L56/L50</f>
        <v>26308.964919835922</v>
      </c>
      <c r="M44" s="29">
        <f>M56/M50</f>
        <v>15274.556632194814</v>
      </c>
      <c r="N44" s="436"/>
      <c r="O44" s="436"/>
      <c r="P44" s="436"/>
      <c r="Q44" s="436"/>
      <c r="R44" s="436"/>
      <c r="S44" s="437"/>
      <c r="T44" s="1321"/>
      <c r="U44" s="1515"/>
      <c r="V44" s="1515"/>
      <c r="W44" s="1515"/>
      <c r="X44" s="1515"/>
      <c r="Y44" s="1515"/>
      <c r="Z44" s="1515"/>
      <c r="AA44" s="1515"/>
      <c r="AB44" s="14"/>
      <c r="AC44" s="1"/>
      <c r="AD44" s="1"/>
      <c r="AE44" s="1"/>
      <c r="AF44" s="1"/>
      <c r="AG44" s="1"/>
      <c r="AH44" s="1"/>
      <c r="AI44" s="415"/>
      <c r="AJ44" s="1321"/>
      <c r="AK44" s="1515"/>
      <c r="AL44" s="1515"/>
      <c r="AM44" s="1515"/>
      <c r="AN44" s="1515"/>
      <c r="AO44" s="1515"/>
      <c r="AP44" s="1515"/>
      <c r="AQ44" s="1515"/>
    </row>
    <row r="45" spans="1:44" outlineLevel="1">
      <c r="C45" s="1"/>
      <c r="D45" s="31" t="s">
        <v>26</v>
      </c>
      <c r="E45" s="1"/>
      <c r="F45" s="1"/>
      <c r="G45" s="1"/>
      <c r="H45" s="394">
        <v>0</v>
      </c>
      <c r="I45" s="394">
        <v>0</v>
      </c>
      <c r="J45" s="394">
        <v>0</v>
      </c>
      <c r="K45" s="394">
        <v>0</v>
      </c>
      <c r="L45" s="20"/>
      <c r="M45" s="20"/>
      <c r="N45" s="438"/>
      <c r="O45" s="438"/>
      <c r="P45" s="438"/>
      <c r="Q45" s="438"/>
      <c r="R45" s="438"/>
      <c r="S45" s="439"/>
      <c r="T45" s="1321"/>
      <c r="U45" s="1515"/>
      <c r="V45" s="1515"/>
      <c r="W45" s="1515"/>
      <c r="X45" s="1515"/>
      <c r="Y45" s="1515"/>
      <c r="Z45" s="1515"/>
      <c r="AA45" s="1515"/>
      <c r="AB45" s="14"/>
      <c r="AC45" s="1"/>
      <c r="AD45" s="1"/>
      <c r="AE45" s="1"/>
      <c r="AF45" s="1"/>
      <c r="AG45" s="1"/>
      <c r="AH45" s="1"/>
      <c r="AI45" s="415"/>
      <c r="AJ45" s="1321"/>
      <c r="AK45" s="1515"/>
      <c r="AL45" s="1515"/>
      <c r="AM45" s="1515"/>
      <c r="AN45" s="1515"/>
      <c r="AO45" s="1515"/>
      <c r="AP45" s="1515"/>
      <c r="AQ45" s="1515"/>
    </row>
    <row r="46" spans="1:44" outlineLevel="1">
      <c r="C46" s="1"/>
      <c r="D46" s="31" t="s">
        <v>27</v>
      </c>
      <c r="E46" s="1"/>
      <c r="F46" s="1"/>
      <c r="G46" s="1"/>
      <c r="H46" s="394">
        <v>0</v>
      </c>
      <c r="I46" s="394">
        <v>0</v>
      </c>
      <c r="J46" s="394">
        <v>0</v>
      </c>
      <c r="K46" s="394">
        <v>0</v>
      </c>
      <c r="L46" s="20"/>
      <c r="M46" s="20"/>
      <c r="N46" s="438"/>
      <c r="O46" s="438"/>
      <c r="P46" s="438"/>
      <c r="Q46" s="438"/>
      <c r="R46" s="438"/>
      <c r="S46" s="439"/>
      <c r="T46" s="1321"/>
      <c r="U46" s="1515"/>
      <c r="V46" s="1515"/>
      <c r="W46" s="1515"/>
      <c r="X46" s="1515"/>
      <c r="Y46" s="1515"/>
      <c r="Z46" s="1515"/>
      <c r="AA46" s="1515"/>
      <c r="AB46" s="14"/>
      <c r="AC46" s="1"/>
      <c r="AD46" s="1"/>
      <c r="AE46" s="1"/>
      <c r="AF46" s="1"/>
      <c r="AG46" s="1"/>
      <c r="AH46" s="1"/>
      <c r="AI46" s="415"/>
      <c r="AJ46" s="1321"/>
      <c r="AK46" s="1515"/>
      <c r="AL46" s="1515"/>
      <c r="AM46" s="1515"/>
      <c r="AN46" s="1515"/>
      <c r="AO46" s="1515"/>
      <c r="AP46" s="1515"/>
      <c r="AQ46" s="1515"/>
    </row>
    <row r="47" spans="1:44" outlineLevel="1">
      <c r="C47" s="1"/>
      <c r="D47" s="31" t="s">
        <v>28</v>
      </c>
      <c r="E47" s="1"/>
      <c r="F47" s="1"/>
      <c r="G47" s="1"/>
      <c r="H47" s="394">
        <v>0</v>
      </c>
      <c r="I47" s="394">
        <v>0</v>
      </c>
      <c r="J47" s="394">
        <v>0</v>
      </c>
      <c r="K47" s="394">
        <v>0</v>
      </c>
      <c r="L47" s="20"/>
      <c r="M47" s="20"/>
      <c r="N47" s="438"/>
      <c r="O47" s="438"/>
      <c r="P47" s="438"/>
      <c r="Q47" s="438"/>
      <c r="R47" s="438"/>
      <c r="S47" s="439"/>
      <c r="T47" s="1321"/>
      <c r="U47" s="1515"/>
      <c r="V47" s="1515"/>
      <c r="W47" s="1515"/>
      <c r="X47" s="1515"/>
      <c r="Y47" s="1515"/>
      <c r="Z47" s="1515"/>
      <c r="AA47" s="1515"/>
      <c r="AB47" s="14"/>
      <c r="AC47" s="1"/>
      <c r="AD47" s="1"/>
      <c r="AE47" s="1"/>
      <c r="AF47" s="1"/>
      <c r="AG47" s="1"/>
      <c r="AH47" s="1"/>
      <c r="AI47" s="415"/>
      <c r="AJ47" s="1321"/>
      <c r="AK47" s="1515"/>
      <c r="AL47" s="1515"/>
      <c r="AM47" s="1515"/>
      <c r="AN47" s="1515"/>
      <c r="AO47" s="1515"/>
      <c r="AP47" s="1515"/>
      <c r="AQ47" s="1515"/>
    </row>
    <row r="48" spans="1:44" outlineLevel="1">
      <c r="C48" s="1"/>
      <c r="D48" s="33" t="s">
        <v>29</v>
      </c>
      <c r="E48" s="34"/>
      <c r="F48" s="34"/>
      <c r="G48" s="34"/>
      <c r="H48" s="394">
        <v>0</v>
      </c>
      <c r="I48" s="394">
        <v>0</v>
      </c>
      <c r="J48" s="394">
        <v>0</v>
      </c>
      <c r="K48" s="394">
        <v>0</v>
      </c>
      <c r="L48" s="35"/>
      <c r="M48" s="35"/>
      <c r="N48" s="440"/>
      <c r="O48" s="440"/>
      <c r="P48" s="440"/>
      <c r="Q48" s="440"/>
      <c r="R48" s="440"/>
      <c r="S48" s="441"/>
      <c r="T48" s="1321"/>
      <c r="U48" s="1515"/>
      <c r="V48" s="1515"/>
      <c r="W48" s="1515"/>
      <c r="X48" s="1515"/>
      <c r="Y48" s="1515"/>
      <c r="Z48" s="1515"/>
      <c r="AA48" s="1515"/>
      <c r="AB48" s="14"/>
      <c r="AC48" s="448"/>
      <c r="AD48" s="448"/>
      <c r="AE48" s="448"/>
      <c r="AF48" s="448"/>
      <c r="AG48" s="448"/>
      <c r="AH48" s="448"/>
      <c r="AI48" s="415"/>
      <c r="AJ48" s="1321"/>
      <c r="AK48" s="1515"/>
      <c r="AL48" s="1515"/>
      <c r="AM48" s="1515"/>
      <c r="AN48" s="1515"/>
      <c r="AO48" s="1515"/>
      <c r="AP48" s="1515"/>
      <c r="AQ48" s="1515"/>
    </row>
    <row r="49" spans="1:44" outlineLevel="1">
      <c r="C49" s="1" t="s">
        <v>31</v>
      </c>
      <c r="D49" s="1"/>
      <c r="E49" s="1"/>
      <c r="H49" s="50">
        <f>IFERROR(H55/H43,"NA")</f>
        <v>3.5721178146395256</v>
      </c>
      <c r="I49" s="50">
        <f t="shared" ref="I49:K49" si="56">IFERROR(I55/I43,"NA")</f>
        <v>3.8922323061527311</v>
      </c>
      <c r="J49" s="50">
        <f t="shared" si="56"/>
        <v>4.2051720246348303</v>
      </c>
      <c r="K49" s="50">
        <f t="shared" si="56"/>
        <v>5.0657243501137019</v>
      </c>
      <c r="L49" s="57">
        <f>IFERROR(L55/L43,"NA")</f>
        <v>5.0657243501137019</v>
      </c>
      <c r="M49" s="57">
        <f>IFERROR(M55/M43,"NA")</f>
        <v>5.0657243501137019</v>
      </c>
      <c r="N49" s="57">
        <f t="shared" ref="N49:S49" si="57">CHOOSE(case,U49,AC49,AK49)</f>
        <v>5.1163815936148387</v>
      </c>
      <c r="O49" s="57">
        <f t="shared" si="57"/>
        <v>5.1675454095509874</v>
      </c>
      <c r="P49" s="57">
        <f t="shared" si="57"/>
        <v>5.2192208636464974</v>
      </c>
      <c r="Q49" s="57">
        <f t="shared" si="57"/>
        <v>5.2714130722829626</v>
      </c>
      <c r="R49" s="57">
        <f t="shared" si="57"/>
        <v>5.3241272030057925</v>
      </c>
      <c r="S49" s="57">
        <f t="shared" si="57"/>
        <v>5.3773684750358504</v>
      </c>
      <c r="T49" s="1321"/>
      <c r="U49" s="1529">
        <f>$L49*(1+$AA49)</f>
        <v>5.1670388371159763</v>
      </c>
      <c r="V49" s="1529">
        <f>U49*(1+$AA49)</f>
        <v>5.2703796138582959</v>
      </c>
      <c r="W49" s="1529">
        <f t="shared" ref="W49:Z49" si="58">V49*(1+$AA49)</f>
        <v>5.3757872061354623</v>
      </c>
      <c r="X49" s="1529">
        <f t="shared" si="58"/>
        <v>5.4833029502581718</v>
      </c>
      <c r="Y49" s="1529">
        <f t="shared" si="58"/>
        <v>5.5929690092633351</v>
      </c>
      <c r="Z49" s="1529">
        <f t="shared" si="58"/>
        <v>5.7048283894486023</v>
      </c>
      <c r="AA49" s="1520">
        <v>0.02</v>
      </c>
      <c r="AB49" s="14"/>
      <c r="AC49" s="448">
        <f>$L49*(1+$AI49)</f>
        <v>5.1163815936148387</v>
      </c>
      <c r="AD49" s="448">
        <f>AC49*(1+$AI49)</f>
        <v>5.1675454095509874</v>
      </c>
      <c r="AE49" s="448">
        <f t="shared" ref="AE49:AG49" si="59">AD49*(1+$AI49)</f>
        <v>5.2192208636464974</v>
      </c>
      <c r="AF49" s="448">
        <f t="shared" si="59"/>
        <v>5.2714130722829626</v>
      </c>
      <c r="AG49" s="448">
        <f t="shared" si="59"/>
        <v>5.3241272030057925</v>
      </c>
      <c r="AH49" s="448">
        <f>AG49*(1+$AI49)</f>
        <v>5.3773684750358504</v>
      </c>
      <c r="AI49" s="472">
        <v>0.01</v>
      </c>
      <c r="AJ49" s="1321"/>
      <c r="AK49" s="1529">
        <f>$L49*(1+$AQ49)</f>
        <v>5.0657243501137019</v>
      </c>
      <c r="AL49" s="1529">
        <f>AK49*(1+$AQ49)</f>
        <v>5.0657243501137019</v>
      </c>
      <c r="AM49" s="1529">
        <f t="shared" ref="AM49:AN49" si="60">AL49*(1+$AQ49)</f>
        <v>5.0657243501137019</v>
      </c>
      <c r="AN49" s="1529">
        <f t="shared" si="60"/>
        <v>5.0657243501137019</v>
      </c>
      <c r="AO49" s="1529">
        <f>AN49*(1+$AQ49)</f>
        <v>5.0657243501137019</v>
      </c>
      <c r="AP49" s="1529">
        <f t="shared" ref="AP49" si="61">AO49*(1+$AQ49)</f>
        <v>5.0657243501137019</v>
      </c>
      <c r="AQ49" s="1520">
        <v>0</v>
      </c>
    </row>
    <row r="50" spans="1:44" outlineLevel="1">
      <c r="C50" s="1"/>
      <c r="D50" s="27" t="s">
        <v>25</v>
      </c>
      <c r="E50" s="28"/>
      <c r="F50" s="28"/>
      <c r="G50" s="28"/>
      <c r="H50" s="50">
        <f>IFERROR(H56/H44,"NA")</f>
        <v>3.5721178146395256</v>
      </c>
      <c r="I50" s="50">
        <f t="shared" ref="I50:K50" si="62">IFERROR(I56/I44,"NA")</f>
        <v>3.8922323061527311</v>
      </c>
      <c r="J50" s="50">
        <f t="shared" si="62"/>
        <v>4.2051720246348303</v>
      </c>
      <c r="K50" s="50">
        <f t="shared" si="62"/>
        <v>5.0657243501137019</v>
      </c>
      <c r="L50" s="81">
        <f>K50</f>
        <v>5.0657243501137019</v>
      </c>
      <c r="M50" s="81">
        <f>L50</f>
        <v>5.0657243501137019</v>
      </c>
      <c r="N50" s="442"/>
      <c r="O50" s="442"/>
      <c r="P50" s="442"/>
      <c r="Q50" s="442"/>
      <c r="R50" s="442"/>
      <c r="S50" s="443"/>
      <c r="T50" s="1321"/>
      <c r="U50" s="1515"/>
      <c r="V50" s="1515"/>
      <c r="W50" s="1515"/>
      <c r="X50" s="1515"/>
      <c r="Y50" s="1515"/>
      <c r="Z50" s="1515"/>
      <c r="AA50" s="1515"/>
      <c r="AB50" s="14"/>
      <c r="AC50" s="1"/>
      <c r="AD50" s="1"/>
      <c r="AE50" s="1"/>
      <c r="AF50" s="1"/>
      <c r="AG50" s="1"/>
      <c r="AH50" s="1"/>
      <c r="AI50" s="415"/>
      <c r="AJ50" s="1321"/>
      <c r="AK50" s="1515"/>
      <c r="AL50" s="1515"/>
      <c r="AM50" s="1515"/>
      <c r="AN50" s="1515"/>
      <c r="AO50" s="1515"/>
      <c r="AP50" s="1515"/>
      <c r="AQ50" s="1515"/>
    </row>
    <row r="51" spans="1:44" outlineLevel="1">
      <c r="C51" s="1"/>
      <c r="D51" s="31" t="s">
        <v>26</v>
      </c>
      <c r="E51" s="1"/>
      <c r="F51" s="1"/>
      <c r="G51" s="1"/>
      <c r="H51" s="52" t="str">
        <f t="shared" ref="H51:K51" si="63">IFERROR(H57/H45,"NA")</f>
        <v>NA</v>
      </c>
      <c r="I51" s="52" t="str">
        <f t="shared" si="63"/>
        <v>NA</v>
      </c>
      <c r="J51" s="52" t="str">
        <f t="shared" si="63"/>
        <v>NA</v>
      </c>
      <c r="K51" s="52" t="str">
        <f t="shared" si="63"/>
        <v>NA</v>
      </c>
      <c r="L51" s="82"/>
      <c r="M51" s="82"/>
      <c r="N51" s="444"/>
      <c r="O51" s="444"/>
      <c r="P51" s="444"/>
      <c r="Q51" s="444"/>
      <c r="R51" s="444"/>
      <c r="S51" s="445"/>
      <c r="T51" s="1321"/>
      <c r="U51" s="1515"/>
      <c r="V51" s="1515"/>
      <c r="W51" s="1515"/>
      <c r="X51" s="1515"/>
      <c r="Y51" s="1515"/>
      <c r="Z51" s="1515"/>
      <c r="AA51" s="1515"/>
      <c r="AB51" s="14"/>
      <c r="AC51" s="1"/>
      <c r="AD51" s="1"/>
      <c r="AE51" s="1"/>
      <c r="AF51" s="1"/>
      <c r="AG51" s="1"/>
      <c r="AH51" s="1"/>
      <c r="AI51" s="415"/>
      <c r="AJ51" s="1321"/>
      <c r="AK51" s="1515"/>
      <c r="AL51" s="1515"/>
      <c r="AM51" s="1515"/>
      <c r="AN51" s="1515"/>
      <c r="AO51" s="1515"/>
      <c r="AP51" s="1515"/>
      <c r="AQ51" s="1515"/>
    </row>
    <row r="52" spans="1:44" outlineLevel="1">
      <c r="C52" s="1"/>
      <c r="D52" s="31" t="s">
        <v>27</v>
      </c>
      <c r="E52" s="1"/>
      <c r="F52" s="1"/>
      <c r="G52" s="1"/>
      <c r="H52" s="52" t="str">
        <f t="shared" ref="H52:K52" si="64">IFERROR(H58/H46,"NA")</f>
        <v>NA</v>
      </c>
      <c r="I52" s="52" t="str">
        <f t="shared" si="64"/>
        <v>NA</v>
      </c>
      <c r="J52" s="52" t="str">
        <f t="shared" si="64"/>
        <v>NA</v>
      </c>
      <c r="K52" s="52" t="str">
        <f t="shared" si="64"/>
        <v>NA</v>
      </c>
      <c r="L52" s="82"/>
      <c r="M52" s="82"/>
      <c r="N52" s="444"/>
      <c r="O52" s="444"/>
      <c r="P52" s="444"/>
      <c r="Q52" s="444"/>
      <c r="R52" s="444"/>
      <c r="S52" s="445"/>
      <c r="T52" s="1321"/>
      <c r="U52" s="1515"/>
      <c r="V52" s="1515"/>
      <c r="W52" s="1515"/>
      <c r="X52" s="1515"/>
      <c r="Y52" s="1515"/>
      <c r="Z52" s="1515"/>
      <c r="AA52" s="1515"/>
      <c r="AB52" s="14"/>
      <c r="AC52" s="1"/>
      <c r="AD52" s="1"/>
      <c r="AE52" s="1"/>
      <c r="AF52" s="1"/>
      <c r="AG52" s="1"/>
      <c r="AH52" s="1"/>
      <c r="AI52" s="415"/>
      <c r="AJ52" s="1321"/>
      <c r="AK52" s="1515"/>
      <c r="AL52" s="1515"/>
      <c r="AM52" s="1515"/>
      <c r="AN52" s="1515"/>
      <c r="AO52" s="1515"/>
      <c r="AP52" s="1515"/>
      <c r="AQ52" s="1515"/>
    </row>
    <row r="53" spans="1:44" outlineLevel="1">
      <c r="C53" s="1"/>
      <c r="D53" s="31" t="s">
        <v>28</v>
      </c>
      <c r="E53" s="1"/>
      <c r="F53" s="1"/>
      <c r="G53" s="1"/>
      <c r="H53" s="52" t="str">
        <f t="shared" ref="H53:K53" si="65">IFERROR(H59/H47,"NA")</f>
        <v>NA</v>
      </c>
      <c r="I53" s="52" t="str">
        <f t="shared" si="65"/>
        <v>NA</v>
      </c>
      <c r="J53" s="52" t="str">
        <f t="shared" si="65"/>
        <v>NA</v>
      </c>
      <c r="K53" s="52" t="str">
        <f t="shared" si="65"/>
        <v>NA</v>
      </c>
      <c r="L53" s="82"/>
      <c r="M53" s="82"/>
      <c r="N53" s="444"/>
      <c r="O53" s="444"/>
      <c r="P53" s="444"/>
      <c r="Q53" s="444"/>
      <c r="R53" s="444"/>
      <c r="S53" s="445"/>
      <c r="T53" s="1321"/>
      <c r="U53" s="1515"/>
      <c r="V53" s="1515"/>
      <c r="W53" s="1515"/>
      <c r="X53" s="1515"/>
      <c r="Y53" s="1515"/>
      <c r="Z53" s="1515"/>
      <c r="AA53" s="1515"/>
      <c r="AB53" s="14"/>
      <c r="AC53" s="1"/>
      <c r="AD53" s="1"/>
      <c r="AE53" s="1"/>
      <c r="AF53" s="1"/>
      <c r="AG53" s="1"/>
      <c r="AH53" s="1"/>
      <c r="AI53" s="415"/>
      <c r="AJ53" s="1321"/>
      <c r="AK53" s="1515"/>
      <c r="AL53" s="1515"/>
      <c r="AM53" s="1515"/>
      <c r="AN53" s="1515"/>
      <c r="AO53" s="1515"/>
      <c r="AP53" s="1515"/>
      <c r="AQ53" s="1515"/>
    </row>
    <row r="54" spans="1:44" ht="15" outlineLevel="1" thickBot="1">
      <c r="C54" s="37"/>
      <c r="D54" s="38" t="s">
        <v>29</v>
      </c>
      <c r="E54" s="37"/>
      <c r="F54" s="37"/>
      <c r="G54" s="37"/>
      <c r="H54" s="54" t="str">
        <f t="shared" ref="H54:K54" si="66">IFERROR(H60/H48,"NA")</f>
        <v>NA</v>
      </c>
      <c r="I54" s="54" t="str">
        <f t="shared" si="66"/>
        <v>NA</v>
      </c>
      <c r="J54" s="54" t="str">
        <f t="shared" si="66"/>
        <v>NA</v>
      </c>
      <c r="K54" s="54" t="str">
        <f t="shared" si="66"/>
        <v>NA</v>
      </c>
      <c r="L54" s="86"/>
      <c r="M54" s="86"/>
      <c r="N54" s="446"/>
      <c r="O54" s="446"/>
      <c r="P54" s="446"/>
      <c r="Q54" s="446"/>
      <c r="R54" s="446"/>
      <c r="S54" s="447"/>
      <c r="T54" s="1321"/>
      <c r="U54" s="1515"/>
      <c r="V54" s="1515"/>
      <c r="W54" s="1515"/>
      <c r="X54" s="1515"/>
      <c r="Y54" s="1515"/>
      <c r="Z54" s="1515"/>
      <c r="AA54" s="1515"/>
      <c r="AB54" s="14"/>
      <c r="AC54" s="1"/>
      <c r="AD54" s="1"/>
      <c r="AE54" s="1"/>
      <c r="AF54" s="1"/>
      <c r="AG54" s="1"/>
      <c r="AH54" s="1"/>
      <c r="AI54" s="415"/>
      <c r="AJ54" s="1321"/>
      <c r="AK54" s="1515"/>
      <c r="AL54" s="1515"/>
      <c r="AM54" s="1515"/>
      <c r="AN54" s="1515"/>
      <c r="AO54" s="1515"/>
      <c r="AP54" s="1515"/>
      <c r="AQ54" s="1515"/>
    </row>
    <row r="55" spans="1:44" outlineLevel="1">
      <c r="C55" s="18" t="s">
        <v>33</v>
      </c>
      <c r="D55" s="1"/>
      <c r="E55" s="1"/>
      <c r="H55" s="126">
        <f>SUM(H56:H60)</f>
        <v>77740</v>
      </c>
      <c r="I55" s="126">
        <f t="shared" ref="I55:K55" si="67">SUM(I56:I60)</f>
        <v>112793</v>
      </c>
      <c r="J55" s="126">
        <f t="shared" si="67"/>
        <v>130415</v>
      </c>
      <c r="K55" s="126">
        <f t="shared" si="67"/>
        <v>113609</v>
      </c>
      <c r="L55" s="405">
        <v>133273.9642207</v>
      </c>
      <c r="M55" s="405">
        <v>77376.693468900005</v>
      </c>
      <c r="N55" s="23">
        <f>N43*N49</f>
        <v>148067.37424919772</v>
      </c>
      <c r="O55" s="23">
        <f t="shared" ref="O55:S55" si="68">O43*O49</f>
        <v>164502.85279085868</v>
      </c>
      <c r="P55" s="23">
        <f t="shared" si="68"/>
        <v>182762.66945064403</v>
      </c>
      <c r="Q55" s="23">
        <f t="shared" si="68"/>
        <v>203049.32575966555</v>
      </c>
      <c r="R55" s="23">
        <f t="shared" si="68"/>
        <v>225587.80091898848</v>
      </c>
      <c r="S55" s="23">
        <f t="shared" si="68"/>
        <v>250628.04682099621</v>
      </c>
      <c r="T55" s="1321"/>
      <c r="U55" s="1515"/>
      <c r="V55" s="1515"/>
      <c r="W55" s="1515"/>
      <c r="X55" s="1515"/>
      <c r="Y55" s="1515"/>
      <c r="Z55" s="1515"/>
      <c r="AA55" s="1515"/>
      <c r="AB55" s="14"/>
      <c r="AC55" s="1"/>
      <c r="AD55" s="1"/>
      <c r="AE55" s="1"/>
      <c r="AF55" s="1"/>
      <c r="AG55" s="1"/>
      <c r="AH55" s="1"/>
      <c r="AI55" s="415"/>
      <c r="AJ55" s="1321"/>
      <c r="AK55" s="1515"/>
      <c r="AL55" s="1515"/>
      <c r="AM55" s="1515"/>
      <c r="AN55" s="1515"/>
      <c r="AO55" s="1515"/>
      <c r="AP55" s="1515"/>
      <c r="AQ55" s="1515"/>
    </row>
    <row r="56" spans="1:44" outlineLevel="1">
      <c r="C56" s="1"/>
      <c r="D56" s="27" t="s">
        <v>25</v>
      </c>
      <c r="E56" s="28"/>
      <c r="F56" s="28"/>
      <c r="G56" s="28"/>
      <c r="H56" s="419">
        <v>77740</v>
      </c>
      <c r="I56" s="419">
        <v>112793</v>
      </c>
      <c r="J56" s="419">
        <v>130415</v>
      </c>
      <c r="K56" s="419">
        <v>113609</v>
      </c>
      <c r="L56" s="83">
        <f>L55</f>
        <v>133273.9642207</v>
      </c>
      <c r="M56" s="83">
        <f>M55</f>
        <v>77376.693468900005</v>
      </c>
      <c r="N56" s="436"/>
      <c r="O56" s="436"/>
      <c r="P56" s="436"/>
      <c r="Q56" s="436"/>
      <c r="R56" s="436"/>
      <c r="S56" s="437"/>
      <c r="T56" s="1321"/>
      <c r="U56" s="1515"/>
      <c r="V56" s="1515"/>
      <c r="W56" s="1515"/>
      <c r="X56" s="1515"/>
      <c r="Y56" s="1515"/>
      <c r="Z56" s="1515"/>
      <c r="AA56" s="1515"/>
      <c r="AB56" s="14"/>
      <c r="AC56" s="1"/>
      <c r="AD56" s="1"/>
      <c r="AE56" s="1"/>
      <c r="AF56" s="1"/>
      <c r="AG56" s="1"/>
      <c r="AH56" s="1"/>
      <c r="AI56" s="415"/>
      <c r="AJ56" s="1321"/>
      <c r="AK56" s="1515"/>
      <c r="AL56" s="1515"/>
      <c r="AM56" s="1515"/>
      <c r="AN56" s="1515"/>
      <c r="AO56" s="1515"/>
      <c r="AP56" s="1515"/>
      <c r="AQ56" s="1515"/>
    </row>
    <row r="57" spans="1:44" outlineLevel="1">
      <c r="C57" s="1"/>
      <c r="D57" s="31" t="s">
        <v>26</v>
      </c>
      <c r="E57" s="1"/>
      <c r="F57" s="1"/>
      <c r="G57" s="1"/>
      <c r="H57" s="394">
        <v>0</v>
      </c>
      <c r="I57" s="394">
        <v>0</v>
      </c>
      <c r="J57" s="394">
        <v>0</v>
      </c>
      <c r="K57" s="394">
        <v>0</v>
      </c>
      <c r="L57" s="84"/>
      <c r="M57" s="84"/>
      <c r="N57" s="438"/>
      <c r="O57" s="438"/>
      <c r="P57" s="438"/>
      <c r="Q57" s="438"/>
      <c r="R57" s="438"/>
      <c r="S57" s="439"/>
      <c r="T57" s="1321"/>
      <c r="U57" s="1515"/>
      <c r="V57" s="1515"/>
      <c r="W57" s="1515"/>
      <c r="X57" s="1515"/>
      <c r="Y57" s="1515"/>
      <c r="Z57" s="1515"/>
      <c r="AA57" s="1515"/>
      <c r="AB57" s="14"/>
      <c r="AC57" s="1"/>
      <c r="AD57" s="1"/>
      <c r="AE57" s="1"/>
      <c r="AF57" s="1"/>
      <c r="AG57" s="1"/>
      <c r="AH57" s="1"/>
      <c r="AI57" s="415"/>
      <c r="AJ57" s="1321"/>
      <c r="AK57" s="1515"/>
      <c r="AL57" s="1515"/>
      <c r="AM57" s="1515"/>
      <c r="AN57" s="1515"/>
      <c r="AO57" s="1515"/>
      <c r="AP57" s="1515"/>
      <c r="AQ57" s="1515"/>
    </row>
    <row r="58" spans="1:44" outlineLevel="1">
      <c r="C58" s="1"/>
      <c r="D58" s="31" t="s">
        <v>27</v>
      </c>
      <c r="E58" s="1"/>
      <c r="F58" s="1"/>
      <c r="G58" s="1"/>
      <c r="H58" s="394">
        <v>0</v>
      </c>
      <c r="I58" s="394">
        <v>0</v>
      </c>
      <c r="J58" s="394">
        <v>0</v>
      </c>
      <c r="K58" s="394">
        <v>0</v>
      </c>
      <c r="L58" s="84"/>
      <c r="M58" s="84"/>
      <c r="N58" s="438"/>
      <c r="O58" s="438"/>
      <c r="P58" s="438"/>
      <c r="Q58" s="438"/>
      <c r="R58" s="438"/>
      <c r="S58" s="439"/>
      <c r="T58" s="1321"/>
      <c r="U58" s="1515"/>
      <c r="V58" s="1515"/>
      <c r="W58" s="1515"/>
      <c r="X58" s="1515"/>
      <c r="Y58" s="1515"/>
      <c r="Z58" s="1515"/>
      <c r="AA58" s="1515"/>
      <c r="AB58" s="14"/>
      <c r="AC58" s="1"/>
      <c r="AD58" s="1"/>
      <c r="AE58" s="1"/>
      <c r="AF58" s="1"/>
      <c r="AG58" s="1"/>
      <c r="AH58" s="1"/>
      <c r="AI58" s="415"/>
      <c r="AJ58" s="1321"/>
      <c r="AK58" s="1515"/>
      <c r="AL58" s="1515"/>
      <c r="AM58" s="1515"/>
      <c r="AN58" s="1515"/>
      <c r="AO58" s="1515"/>
      <c r="AP58" s="1515"/>
      <c r="AQ58" s="1515"/>
    </row>
    <row r="59" spans="1:44" outlineLevel="1">
      <c r="C59" s="1"/>
      <c r="D59" s="31" t="s">
        <v>28</v>
      </c>
      <c r="E59" s="1"/>
      <c r="F59" s="1"/>
      <c r="G59" s="1"/>
      <c r="H59" s="394">
        <v>0</v>
      </c>
      <c r="I59" s="394">
        <v>0</v>
      </c>
      <c r="J59" s="394">
        <v>0</v>
      </c>
      <c r="K59" s="394">
        <v>0</v>
      </c>
      <c r="L59" s="84"/>
      <c r="M59" s="84"/>
      <c r="N59" s="438"/>
      <c r="O59" s="438"/>
      <c r="P59" s="438"/>
      <c r="Q59" s="438"/>
      <c r="R59" s="438"/>
      <c r="S59" s="439"/>
      <c r="T59" s="1321"/>
      <c r="U59" s="1515"/>
      <c r="V59" s="1515"/>
      <c r="W59" s="1515"/>
      <c r="X59" s="1515"/>
      <c r="Y59" s="1515"/>
      <c r="Z59" s="1515"/>
      <c r="AA59" s="1515"/>
      <c r="AB59" s="14"/>
      <c r="AC59" s="1"/>
      <c r="AD59" s="1"/>
      <c r="AE59" s="1"/>
      <c r="AF59" s="1"/>
      <c r="AG59" s="1"/>
      <c r="AH59" s="1"/>
      <c r="AI59" s="415"/>
      <c r="AJ59" s="1321"/>
      <c r="AK59" s="1515"/>
      <c r="AL59" s="1515"/>
      <c r="AM59" s="1515"/>
      <c r="AN59" s="1515"/>
      <c r="AO59" s="1515"/>
      <c r="AP59" s="1515"/>
      <c r="AQ59" s="1515"/>
    </row>
    <row r="60" spans="1:44" outlineLevel="1">
      <c r="C60" s="1"/>
      <c r="D60" s="33" t="s">
        <v>29</v>
      </c>
      <c r="E60" s="34"/>
      <c r="F60" s="34"/>
      <c r="G60" s="34"/>
      <c r="H60" s="420">
        <f>H114+H306+H497</f>
        <v>0</v>
      </c>
      <c r="I60" s="420">
        <v>0</v>
      </c>
      <c r="J60" s="420">
        <v>0</v>
      </c>
      <c r="K60" s="420">
        <v>0</v>
      </c>
      <c r="L60" s="85"/>
      <c r="M60" s="85"/>
      <c r="N60" s="440"/>
      <c r="O60" s="440"/>
      <c r="P60" s="440"/>
      <c r="Q60" s="440"/>
      <c r="R60" s="440"/>
      <c r="S60" s="441"/>
      <c r="T60" s="1321"/>
      <c r="U60" s="1515"/>
      <c r="V60" s="1515"/>
      <c r="W60" s="1515"/>
      <c r="X60" s="1515"/>
      <c r="Y60" s="1515"/>
      <c r="Z60" s="1515"/>
      <c r="AA60" s="1515"/>
      <c r="AB60" s="14"/>
      <c r="AC60" s="1"/>
      <c r="AD60" s="1"/>
      <c r="AE60" s="1"/>
      <c r="AF60" s="1"/>
      <c r="AG60" s="1"/>
      <c r="AH60" s="1"/>
      <c r="AI60" s="415"/>
      <c r="AJ60" s="1321"/>
      <c r="AK60" s="1515"/>
      <c r="AL60" s="1515"/>
      <c r="AM60" s="1515"/>
      <c r="AN60" s="1515"/>
      <c r="AO60" s="1515"/>
      <c r="AP60" s="1515"/>
      <c r="AQ60" s="1515"/>
    </row>
    <row r="61" spans="1:44" outlineLevel="1">
      <c r="C61" s="1" t="s">
        <v>35</v>
      </c>
      <c r="H61" s="394">
        <v>-62085</v>
      </c>
      <c r="I61" s="394">
        <v>-94278</v>
      </c>
      <c r="J61" s="394">
        <v>-104167</v>
      </c>
      <c r="K61" s="394">
        <v>-85420</v>
      </c>
      <c r="L61" s="20">
        <f>L62-L55</f>
        <v>-106619.17137656</v>
      </c>
      <c r="M61" s="20">
        <f>M62-M55</f>
        <v>-61901.354775120002</v>
      </c>
      <c r="N61" s="20">
        <f t="shared" ref="N61:S61" si="69">N62-N55</f>
        <v>-118453.89939935817</v>
      </c>
      <c r="O61" s="20">
        <f t="shared" si="69"/>
        <v>-131602.28223268694</v>
      </c>
      <c r="P61" s="20">
        <f t="shared" si="69"/>
        <v>-146210.13556051522</v>
      </c>
      <c r="Q61" s="20">
        <f t="shared" si="69"/>
        <v>-162439.46060773244</v>
      </c>
      <c r="R61" s="20">
        <f t="shared" si="69"/>
        <v>-180470.24073519078</v>
      </c>
      <c r="S61" s="20">
        <f t="shared" si="69"/>
        <v>-200502.43745679696</v>
      </c>
    </row>
    <row r="62" spans="1:44" s="18" customFormat="1" outlineLevel="1">
      <c r="C62" s="18" t="s">
        <v>239</v>
      </c>
      <c r="H62" s="23">
        <f>H55+H61</f>
        <v>15655</v>
      </c>
      <c r="I62" s="23">
        <f t="shared" ref="I62:J62" si="70">I55+I61</f>
        <v>18515</v>
      </c>
      <c r="J62" s="23">
        <f t="shared" si="70"/>
        <v>26248</v>
      </c>
      <c r="K62" s="23">
        <f>K55+K61</f>
        <v>28189</v>
      </c>
      <c r="L62" s="70">
        <f>L63*L55</f>
        <v>26654.79284414</v>
      </c>
      <c r="M62" s="70">
        <f>M63*M55</f>
        <v>15475.338693780002</v>
      </c>
      <c r="N62" s="70">
        <f t="shared" ref="N62:S62" si="71">N63*N55</f>
        <v>29613.474849839546</v>
      </c>
      <c r="O62" s="70">
        <f t="shared" si="71"/>
        <v>32900.570558171741</v>
      </c>
      <c r="P62" s="70">
        <f t="shared" si="71"/>
        <v>36552.533890128805</v>
      </c>
      <c r="Q62" s="70">
        <f t="shared" si="71"/>
        <v>40609.865151933111</v>
      </c>
      <c r="R62" s="70">
        <f t="shared" si="71"/>
        <v>45117.560183797701</v>
      </c>
      <c r="S62" s="70">
        <f t="shared" si="71"/>
        <v>50125.609364199248</v>
      </c>
      <c r="T62" s="1126"/>
      <c r="U62" s="1518"/>
      <c r="V62" s="1518"/>
      <c r="W62" s="1518"/>
      <c r="X62" s="1518"/>
      <c r="Y62" s="1518"/>
      <c r="Z62" s="1518"/>
      <c r="AA62" s="1518"/>
      <c r="AB62" s="397"/>
      <c r="AI62" s="478"/>
      <c r="AJ62" s="1126"/>
      <c r="AK62" s="1518"/>
      <c r="AL62" s="1518"/>
      <c r="AM62" s="1518"/>
      <c r="AN62" s="1518"/>
      <c r="AO62" s="1518"/>
      <c r="AP62" s="1518"/>
      <c r="AQ62" s="1518"/>
      <c r="AR62" s="1494"/>
    </row>
    <row r="63" spans="1:44" outlineLevel="1">
      <c r="A63" s="99"/>
      <c r="B63" s="99"/>
      <c r="C63" s="22" t="s">
        <v>20</v>
      </c>
      <c r="D63" s="99"/>
      <c r="E63" s="99"/>
      <c r="F63" s="99"/>
      <c r="G63" s="99"/>
      <c r="H63" s="94">
        <f>H62/H55</f>
        <v>0.2013763828145099</v>
      </c>
      <c r="I63" s="94">
        <f t="shared" ref="I63:K63" si="72">I62/I55</f>
        <v>0.1641502575514438</v>
      </c>
      <c r="J63" s="94">
        <f t="shared" si="72"/>
        <v>0.20126519188743627</v>
      </c>
      <c r="K63" s="94">
        <f t="shared" si="72"/>
        <v>0.24812294800587981</v>
      </c>
      <c r="L63" s="79">
        <v>0.2</v>
      </c>
      <c r="M63" s="79">
        <f>L63</f>
        <v>0.2</v>
      </c>
      <c r="N63" s="65">
        <f t="shared" ref="N63:S63" si="73">CHOOSE(case,U63,AC63,AK63)</f>
        <v>0.2</v>
      </c>
      <c r="O63" s="65">
        <f t="shared" si="73"/>
        <v>0.2</v>
      </c>
      <c r="P63" s="65">
        <f t="shared" si="73"/>
        <v>0.2</v>
      </c>
      <c r="Q63" s="65">
        <f t="shared" si="73"/>
        <v>0.2</v>
      </c>
      <c r="R63" s="65">
        <f t="shared" si="73"/>
        <v>0.2</v>
      </c>
      <c r="S63" s="65">
        <f t="shared" si="73"/>
        <v>0.2</v>
      </c>
      <c r="T63" s="1321"/>
      <c r="U63" s="1526">
        <f>AC63+1%</f>
        <v>0.21000000000000002</v>
      </c>
      <c r="V63" s="1526">
        <f t="shared" ref="V63:Z63" si="74">AD63+1%</f>
        <v>0.21000000000000002</v>
      </c>
      <c r="W63" s="1526">
        <f t="shared" si="74"/>
        <v>0.21000000000000002</v>
      </c>
      <c r="X63" s="1526">
        <f t="shared" si="74"/>
        <v>0.21000000000000002</v>
      </c>
      <c r="Y63" s="1526">
        <f t="shared" si="74"/>
        <v>0.21000000000000002</v>
      </c>
      <c r="Z63" s="1526">
        <f t="shared" si="74"/>
        <v>0.21000000000000002</v>
      </c>
      <c r="AA63" s="1515"/>
      <c r="AB63" s="14"/>
      <c r="AC63" s="79">
        <f>M63</f>
        <v>0.2</v>
      </c>
      <c r="AD63" s="79">
        <f t="shared" ref="AD63:AH63" si="75">AC63</f>
        <v>0.2</v>
      </c>
      <c r="AE63" s="79">
        <f t="shared" si="75"/>
        <v>0.2</v>
      </c>
      <c r="AF63" s="79">
        <f t="shared" si="75"/>
        <v>0.2</v>
      </c>
      <c r="AG63" s="79">
        <f t="shared" si="75"/>
        <v>0.2</v>
      </c>
      <c r="AH63" s="79">
        <f t="shared" si="75"/>
        <v>0.2</v>
      </c>
      <c r="AI63" s="415"/>
      <c r="AJ63" s="1321"/>
      <c r="AK63" s="1526">
        <f>AC63-1%</f>
        <v>0.19</v>
      </c>
      <c r="AL63" s="1526">
        <f t="shared" ref="AL63:AP63" si="76">AK63</f>
        <v>0.19</v>
      </c>
      <c r="AM63" s="1526">
        <f t="shared" si="76"/>
        <v>0.19</v>
      </c>
      <c r="AN63" s="1526">
        <f t="shared" si="76"/>
        <v>0.19</v>
      </c>
      <c r="AO63" s="1526">
        <f t="shared" si="76"/>
        <v>0.19</v>
      </c>
      <c r="AP63" s="1526">
        <f t="shared" si="76"/>
        <v>0.19</v>
      </c>
    </row>
    <row r="64" spans="1:44" s="99" customFormat="1" outlineLevel="1">
      <c r="C64" s="18"/>
      <c r="D64" s="18"/>
      <c r="E64" s="18"/>
      <c r="U64" s="1511"/>
      <c r="V64" s="1511"/>
      <c r="W64" s="1511"/>
      <c r="X64" s="1511"/>
      <c r="Y64" s="1511"/>
      <c r="Z64" s="1511"/>
      <c r="AA64" s="1511"/>
      <c r="AB64" s="1056"/>
      <c r="AI64" s="414"/>
      <c r="AK64" s="1511"/>
      <c r="AL64" s="1511"/>
      <c r="AM64" s="1511"/>
      <c r="AN64" s="1511"/>
      <c r="AO64" s="1511"/>
      <c r="AP64" s="1511"/>
      <c r="AQ64" s="1511"/>
      <c r="AR64" s="414"/>
    </row>
    <row r="65" spans="1:44" s="1125" customFormat="1" outlineLevel="1">
      <c r="A65" s="10" t="s">
        <v>8</v>
      </c>
      <c r="B65" s="10" t="s">
        <v>283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U65" s="1515"/>
      <c r="V65" s="1515"/>
      <c r="W65" s="1515"/>
      <c r="X65" s="1515"/>
      <c r="Y65" s="1515"/>
      <c r="Z65" s="1515"/>
      <c r="AA65" s="1515"/>
      <c r="AB65" s="1179"/>
      <c r="AC65" s="62"/>
      <c r="AD65" s="62"/>
      <c r="AE65" s="62"/>
      <c r="AF65" s="62"/>
      <c r="AG65" s="62"/>
      <c r="AH65" s="62"/>
      <c r="AI65" s="475"/>
      <c r="AK65" s="1515"/>
      <c r="AL65" s="1515"/>
      <c r="AM65" s="1515"/>
      <c r="AN65" s="1515"/>
      <c r="AO65" s="1515"/>
      <c r="AP65" s="1515"/>
      <c r="AQ65" s="1515"/>
      <c r="AR65" s="1482"/>
    </row>
    <row r="66" spans="1:44" outlineLevel="1">
      <c r="C66" s="1"/>
      <c r="D66" s="1"/>
      <c r="E66" s="1"/>
      <c r="F66" s="1"/>
      <c r="G66" s="1"/>
      <c r="H66" s="52"/>
      <c r="I66" s="52"/>
      <c r="J66" s="52"/>
      <c r="K66" s="52"/>
      <c r="L66" s="1"/>
      <c r="M66" s="1"/>
    </row>
    <row r="67" spans="1:44" outlineLevel="1">
      <c r="C67" s="18" t="s">
        <v>24</v>
      </c>
      <c r="D67" s="18"/>
      <c r="E67" s="18"/>
      <c r="F67" s="99"/>
      <c r="G67" s="99"/>
      <c r="H67" s="99">
        <f>SUM(H68:H72)</f>
        <v>2233</v>
      </c>
      <c r="I67" s="99">
        <f t="shared" ref="I67:K67" si="77">SUM(I68:I72)</f>
        <v>2731</v>
      </c>
      <c r="J67" s="99">
        <f t="shared" si="77"/>
        <v>1341.1130000000001</v>
      </c>
      <c r="K67" s="99">
        <f t="shared" si="77"/>
        <v>1863.3810000000001</v>
      </c>
      <c r="L67" s="23">
        <f>SUM(L68:L72)</f>
        <v>2540.810135234311</v>
      </c>
      <c r="M67" s="23">
        <f>SUM(M68:M72)</f>
        <v>1373.3788164431678</v>
      </c>
      <c r="N67" s="23">
        <f t="shared" ref="N67:S67" si="78">CHOOSE(case,U67,AC67,AK67)</f>
        <v>2794.8911487577425</v>
      </c>
      <c r="O67" s="23">
        <f t="shared" si="78"/>
        <v>3074.3802636335172</v>
      </c>
      <c r="P67" s="23">
        <f t="shared" si="78"/>
        <v>3381.8182899968692</v>
      </c>
      <c r="Q67" s="23">
        <f t="shared" si="78"/>
        <v>3720.0001189965565</v>
      </c>
      <c r="R67" s="23">
        <f t="shared" si="78"/>
        <v>4092.0001308962123</v>
      </c>
      <c r="S67" s="23">
        <f t="shared" si="78"/>
        <v>4501.2001439858341</v>
      </c>
      <c r="T67" s="1126"/>
      <c r="U67" s="1519">
        <f>$L67*(1+$AA67)</f>
        <v>2921.9316555194573</v>
      </c>
      <c r="V67" s="1519">
        <f>U67*(1+$AA67)</f>
        <v>3360.2214038473758</v>
      </c>
      <c r="W67" s="1519">
        <f t="shared" ref="W67:Z67" si="79">V67*(1+$AA67)</f>
        <v>3864.254614424482</v>
      </c>
      <c r="X67" s="1519">
        <f t="shared" si="79"/>
        <v>4443.8928065881537</v>
      </c>
      <c r="Y67" s="1519">
        <f t="shared" si="79"/>
        <v>5110.4767275763761</v>
      </c>
      <c r="Z67" s="1519">
        <f t="shared" si="79"/>
        <v>5877.0482367128325</v>
      </c>
      <c r="AA67" s="1520">
        <v>0.15</v>
      </c>
      <c r="AB67" s="14"/>
      <c r="AC67" s="20">
        <f>$L67*(1+$AI67)</f>
        <v>2794.8911487577425</v>
      </c>
      <c r="AD67" s="20">
        <f>AC67*(1+$AI67)</f>
        <v>3074.3802636335172</v>
      </c>
      <c r="AE67" s="20">
        <f t="shared" ref="AE67" si="80">AD67*(1+$AI67)</f>
        <v>3381.8182899968692</v>
      </c>
      <c r="AF67" s="20">
        <f>AE67*(1+$AI67)</f>
        <v>3720.0001189965565</v>
      </c>
      <c r="AG67" s="20">
        <f t="shared" ref="AG67" si="81">AF67*(1+$AI67)</f>
        <v>4092.0001308962123</v>
      </c>
      <c r="AH67" s="20">
        <f>AG67*(1+$AI67)</f>
        <v>4501.2001439858341</v>
      </c>
      <c r="AI67" s="472">
        <v>0.1</v>
      </c>
      <c r="AJ67" s="1321"/>
      <c r="AK67" s="1519">
        <f>$L67*(1+$AQ67)</f>
        <v>2667.8506419960268</v>
      </c>
      <c r="AL67" s="1519">
        <f>AK67*(1+$AQ67)</f>
        <v>2801.2431740958282</v>
      </c>
      <c r="AM67" s="1519">
        <f t="shared" ref="AM67:AN67" si="82">AL67*(1+$AQ67)</f>
        <v>2941.3053328006199</v>
      </c>
      <c r="AN67" s="1519">
        <f t="shared" si="82"/>
        <v>3088.3705994406509</v>
      </c>
      <c r="AO67" s="1519">
        <f>AN67*(1+$AQ67)</f>
        <v>3242.7891294126835</v>
      </c>
      <c r="AP67" s="1519">
        <f t="shared" ref="AP67" si="83">AO67*(1+$AQ67)</f>
        <v>3404.9285858833177</v>
      </c>
      <c r="AQ67" s="1520">
        <v>0.05</v>
      </c>
    </row>
    <row r="68" spans="1:44" outlineLevel="1">
      <c r="C68" s="1"/>
      <c r="D68" s="27" t="s">
        <v>25</v>
      </c>
      <c r="E68" s="28"/>
      <c r="F68" s="28"/>
      <c r="G68" s="28"/>
      <c r="H68" s="419">
        <v>2233</v>
      </c>
      <c r="I68" s="419">
        <v>2731</v>
      </c>
      <c r="J68" s="419">
        <v>1341.1130000000001</v>
      </c>
      <c r="K68" s="419">
        <v>1863.3810000000001</v>
      </c>
      <c r="L68" s="159">
        <f>L80/L74</f>
        <v>2540.810135234311</v>
      </c>
      <c r="M68" s="159">
        <f>M80/M74</f>
        <v>1373.3788164431678</v>
      </c>
      <c r="N68" s="436"/>
      <c r="O68" s="436"/>
      <c r="P68" s="436"/>
      <c r="Q68" s="436"/>
      <c r="R68" s="436"/>
      <c r="S68" s="437"/>
      <c r="T68" s="1321"/>
      <c r="U68" s="1515"/>
      <c r="V68" s="1515"/>
      <c r="W68" s="1515"/>
      <c r="X68" s="1515"/>
      <c r="Y68" s="1515"/>
      <c r="Z68" s="1515"/>
      <c r="AA68" s="1515"/>
      <c r="AB68" s="14"/>
      <c r="AC68" s="1"/>
      <c r="AD68" s="1"/>
      <c r="AE68" s="1"/>
      <c r="AF68" s="1"/>
      <c r="AG68" s="1"/>
      <c r="AH68" s="1"/>
      <c r="AI68" s="415"/>
      <c r="AJ68" s="1321"/>
      <c r="AK68" s="1515"/>
      <c r="AL68" s="1515"/>
      <c r="AM68" s="1515"/>
      <c r="AN68" s="1515"/>
      <c r="AO68" s="1515"/>
      <c r="AP68" s="1515"/>
      <c r="AQ68" s="1515"/>
    </row>
    <row r="69" spans="1:44" outlineLevel="1">
      <c r="C69" s="1"/>
      <c r="D69" s="31" t="s">
        <v>26</v>
      </c>
      <c r="E69" s="1"/>
      <c r="F69" s="1"/>
      <c r="G69" s="1"/>
      <c r="H69" s="394">
        <v>0</v>
      </c>
      <c r="I69" s="394">
        <v>0</v>
      </c>
      <c r="J69" s="394">
        <v>0</v>
      </c>
      <c r="K69" s="394">
        <v>0</v>
      </c>
      <c r="L69" s="162"/>
      <c r="M69" s="80"/>
      <c r="N69" s="438"/>
      <c r="O69" s="438"/>
      <c r="P69" s="438"/>
      <c r="Q69" s="438"/>
      <c r="R69" s="438"/>
      <c r="S69" s="439"/>
      <c r="T69" s="1321"/>
      <c r="U69" s="1515"/>
      <c r="V69" s="1515"/>
      <c r="W69" s="1515"/>
      <c r="X69" s="1515"/>
      <c r="Y69" s="1515"/>
      <c r="Z69" s="1515"/>
      <c r="AA69" s="1515"/>
      <c r="AB69" s="14"/>
      <c r="AC69" s="1"/>
      <c r="AD69" s="1"/>
      <c r="AE69" s="1"/>
      <c r="AF69" s="1"/>
      <c r="AG69" s="1"/>
      <c r="AH69" s="1"/>
      <c r="AI69" s="415"/>
      <c r="AJ69" s="1321"/>
      <c r="AK69" s="1515"/>
      <c r="AL69" s="1515"/>
      <c r="AM69" s="1515"/>
      <c r="AN69" s="1515"/>
      <c r="AO69" s="1515"/>
      <c r="AP69" s="1515"/>
      <c r="AQ69" s="1515"/>
    </row>
    <row r="70" spans="1:44" outlineLevel="1">
      <c r="C70" s="1"/>
      <c r="D70" s="31" t="s">
        <v>27</v>
      </c>
      <c r="E70" s="1"/>
      <c r="F70" s="1"/>
      <c r="G70" s="1"/>
      <c r="H70" s="394">
        <v>0</v>
      </c>
      <c r="I70" s="394">
        <v>0</v>
      </c>
      <c r="J70" s="394">
        <v>0</v>
      </c>
      <c r="K70" s="394">
        <v>0</v>
      </c>
      <c r="L70" s="162"/>
      <c r="M70" s="80"/>
      <c r="N70" s="438"/>
      <c r="O70" s="438"/>
      <c r="P70" s="438"/>
      <c r="Q70" s="438"/>
      <c r="R70" s="438"/>
      <c r="S70" s="439"/>
      <c r="T70" s="1321"/>
      <c r="U70" s="1515"/>
      <c r="V70" s="1515"/>
      <c r="W70" s="1515"/>
      <c r="X70" s="1515"/>
      <c r="Y70" s="1515"/>
      <c r="Z70" s="1515"/>
      <c r="AA70" s="1515"/>
      <c r="AB70" s="14"/>
      <c r="AC70" s="1"/>
      <c r="AD70" s="1"/>
      <c r="AE70" s="1"/>
      <c r="AF70" s="1"/>
      <c r="AG70" s="1"/>
      <c r="AH70" s="1"/>
      <c r="AI70" s="415"/>
      <c r="AJ70" s="1321"/>
      <c r="AK70" s="1515"/>
      <c r="AL70" s="1515"/>
      <c r="AM70" s="1515"/>
      <c r="AN70" s="1515"/>
      <c r="AO70" s="1515"/>
      <c r="AP70" s="1515"/>
      <c r="AQ70" s="1515"/>
    </row>
    <row r="71" spans="1:44" outlineLevel="1">
      <c r="C71" s="1"/>
      <c r="D71" s="31" t="s">
        <v>28</v>
      </c>
      <c r="E71" s="1"/>
      <c r="F71" s="1"/>
      <c r="G71" s="1"/>
      <c r="H71" s="394">
        <v>0</v>
      </c>
      <c r="I71" s="394">
        <v>0</v>
      </c>
      <c r="J71" s="394">
        <v>0</v>
      </c>
      <c r="K71" s="394">
        <v>0</v>
      </c>
      <c r="L71" s="162"/>
      <c r="M71" s="80"/>
      <c r="N71" s="438"/>
      <c r="O71" s="438"/>
      <c r="P71" s="438"/>
      <c r="Q71" s="438"/>
      <c r="R71" s="438"/>
      <c r="S71" s="439"/>
      <c r="T71" s="1321"/>
      <c r="U71" s="1515"/>
      <c r="V71" s="1515"/>
      <c r="W71" s="1515"/>
      <c r="X71" s="1515"/>
      <c r="Y71" s="1515"/>
      <c r="Z71" s="1515"/>
      <c r="AA71" s="1515"/>
      <c r="AB71" s="14"/>
      <c r="AC71" s="1"/>
      <c r="AD71" s="1"/>
      <c r="AE71" s="1"/>
      <c r="AF71" s="1"/>
      <c r="AG71" s="1"/>
      <c r="AH71" s="1"/>
      <c r="AI71" s="415"/>
      <c r="AJ71" s="1321"/>
      <c r="AK71" s="1515"/>
      <c r="AL71" s="1515"/>
      <c r="AM71" s="1515"/>
      <c r="AN71" s="1515"/>
      <c r="AO71" s="1515"/>
      <c r="AP71" s="1515"/>
      <c r="AQ71" s="1515"/>
    </row>
    <row r="72" spans="1:44" outlineLevel="1">
      <c r="C72" s="1"/>
      <c r="D72" s="33" t="s">
        <v>29</v>
      </c>
      <c r="E72" s="34"/>
      <c r="F72" s="34"/>
      <c r="G72" s="34"/>
      <c r="H72" s="394">
        <v>0</v>
      </c>
      <c r="I72" s="394">
        <v>0</v>
      </c>
      <c r="J72" s="394">
        <v>0</v>
      </c>
      <c r="K72" s="394">
        <v>0</v>
      </c>
      <c r="L72" s="163"/>
      <c r="M72" s="838"/>
      <c r="N72" s="440"/>
      <c r="O72" s="440"/>
      <c r="P72" s="440"/>
      <c r="Q72" s="440"/>
      <c r="R72" s="440"/>
      <c r="S72" s="441"/>
      <c r="T72" s="1321"/>
      <c r="U72" s="1515"/>
      <c r="V72" s="1515"/>
      <c r="W72" s="1515"/>
      <c r="X72" s="1515"/>
      <c r="Y72" s="1515"/>
      <c r="Z72" s="1515"/>
      <c r="AA72" s="1515"/>
      <c r="AB72" s="14"/>
      <c r="AC72" s="448"/>
      <c r="AD72" s="448"/>
      <c r="AE72" s="448"/>
      <c r="AF72" s="448"/>
      <c r="AG72" s="448"/>
      <c r="AH72" s="448"/>
      <c r="AI72" s="415"/>
      <c r="AJ72" s="1321"/>
      <c r="AK72" s="1515"/>
      <c r="AL72" s="1515"/>
      <c r="AM72" s="1515"/>
      <c r="AN72" s="1515"/>
      <c r="AO72" s="1515"/>
      <c r="AP72" s="1515"/>
      <c r="AQ72" s="1515"/>
    </row>
    <row r="73" spans="1:44" outlineLevel="1">
      <c r="C73" s="1" t="s">
        <v>31</v>
      </c>
      <c r="D73" s="1"/>
      <c r="E73" s="1"/>
      <c r="H73" s="50">
        <f>IFERROR(H79/H67,"NA")</f>
        <v>31.01074787281684</v>
      </c>
      <c r="I73" s="50">
        <f t="shared" ref="I73:K73" si="84">IFERROR(I79/I67,"NA")</f>
        <v>12.633833760527279</v>
      </c>
      <c r="J73" s="50">
        <f>IFERROR(J79/J67,"NA")</f>
        <v>18.668076440985956</v>
      </c>
      <c r="K73" s="50">
        <f t="shared" si="84"/>
        <v>11.865528305805414</v>
      </c>
      <c r="L73" s="57">
        <f>IFERROR(L79/L67,"NA")</f>
        <v>11.865528305805414</v>
      </c>
      <c r="M73" s="57">
        <f>IFERROR(M79/M67,"NA")</f>
        <v>11.865528305805414</v>
      </c>
      <c r="N73" s="57">
        <f t="shared" ref="N73:S73" si="85">CHOOSE(case,U73,AC73,AK73)</f>
        <v>11.984183588863468</v>
      </c>
      <c r="O73" s="57">
        <f t="shared" si="85"/>
        <v>12.104025424752102</v>
      </c>
      <c r="P73" s="57">
        <f t="shared" si="85"/>
        <v>12.225065678999623</v>
      </c>
      <c r="Q73" s="57">
        <f t="shared" si="85"/>
        <v>12.347316335789619</v>
      </c>
      <c r="R73" s="57">
        <f t="shared" si="85"/>
        <v>12.470789499147516</v>
      </c>
      <c r="S73" s="57">
        <f t="shared" si="85"/>
        <v>12.595497394138992</v>
      </c>
      <c r="T73" s="1321"/>
      <c r="U73" s="1529">
        <f>$L73*(1+$AA73)</f>
        <v>12.102838871921522</v>
      </c>
      <c r="V73" s="1529">
        <f>U73*(1+$AA73)</f>
        <v>12.344895649359952</v>
      </c>
      <c r="W73" s="1529">
        <f t="shared" ref="W73:Z73" si="86">V73*(1+$AA73)</f>
        <v>12.591793562347151</v>
      </c>
      <c r="X73" s="1529">
        <f t="shared" si="86"/>
        <v>12.843629433594094</v>
      </c>
      <c r="Y73" s="1529">
        <f t="shared" si="86"/>
        <v>13.100502022265976</v>
      </c>
      <c r="Z73" s="1529">
        <f t="shared" si="86"/>
        <v>13.362512062711296</v>
      </c>
      <c r="AA73" s="1520">
        <v>0.02</v>
      </c>
      <c r="AB73" s="14"/>
      <c r="AC73" s="448">
        <f>$L73*(1+$AI73)</f>
        <v>11.984183588863468</v>
      </c>
      <c r="AD73" s="448">
        <f>AC73*(1+$AI73)</f>
        <v>12.104025424752102</v>
      </c>
      <c r="AE73" s="448">
        <f t="shared" ref="AE73:AG73" si="87">AD73*(1+$AI73)</f>
        <v>12.225065678999623</v>
      </c>
      <c r="AF73" s="448">
        <f t="shared" si="87"/>
        <v>12.347316335789619</v>
      </c>
      <c r="AG73" s="448">
        <f t="shared" si="87"/>
        <v>12.470789499147516</v>
      </c>
      <c r="AH73" s="448">
        <f>AG73*(1+$AI73)</f>
        <v>12.595497394138992</v>
      </c>
      <c r="AI73" s="472">
        <v>0.01</v>
      </c>
      <c r="AJ73" s="1321"/>
      <c r="AK73" s="1529">
        <f>$L73*(1+$AQ73)</f>
        <v>11.865528305805414</v>
      </c>
      <c r="AL73" s="1529">
        <f>AK73*(1+$AQ73)</f>
        <v>11.865528305805414</v>
      </c>
      <c r="AM73" s="1529">
        <f t="shared" ref="AM73:AN73" si="88">AL73*(1+$AQ73)</f>
        <v>11.865528305805414</v>
      </c>
      <c r="AN73" s="1529">
        <f t="shared" si="88"/>
        <v>11.865528305805414</v>
      </c>
      <c r="AO73" s="1529">
        <f>AN73*(1+$AQ73)</f>
        <v>11.865528305805414</v>
      </c>
      <c r="AP73" s="1529">
        <f t="shared" ref="AP73" si="89">AO73*(1+$AQ73)</f>
        <v>11.865528305805414</v>
      </c>
      <c r="AQ73" s="1520">
        <v>0</v>
      </c>
    </row>
    <row r="74" spans="1:44" outlineLevel="1">
      <c r="C74" s="1"/>
      <c r="D74" s="27" t="s">
        <v>25</v>
      </c>
      <c r="E74" s="28"/>
      <c r="F74" s="28"/>
      <c r="G74" s="28"/>
      <c r="H74" s="50">
        <f>IFERROR(H80/H68,"NA")</f>
        <v>31.01074787281684</v>
      </c>
      <c r="I74" s="50">
        <f t="shared" ref="I74:K74" si="90">IFERROR(I80/I68,"NA")</f>
        <v>12.633833760527279</v>
      </c>
      <c r="J74" s="50">
        <f t="shared" si="90"/>
        <v>18.668076440985956</v>
      </c>
      <c r="K74" s="50">
        <f t="shared" si="90"/>
        <v>11.865528305805414</v>
      </c>
      <c r="L74" s="81">
        <f>K74</f>
        <v>11.865528305805414</v>
      </c>
      <c r="M74" s="81">
        <f>L74</f>
        <v>11.865528305805414</v>
      </c>
      <c r="N74" s="442"/>
      <c r="O74" s="442"/>
      <c r="P74" s="442"/>
      <c r="Q74" s="442"/>
      <c r="R74" s="442"/>
      <c r="S74" s="443"/>
      <c r="T74" s="1321"/>
      <c r="U74" s="1515"/>
      <c r="V74" s="1515"/>
      <c r="W74" s="1515"/>
      <c r="X74" s="1515"/>
      <c r="Y74" s="1515"/>
      <c r="Z74" s="1515"/>
      <c r="AA74" s="1515"/>
      <c r="AB74" s="14"/>
      <c r="AC74" s="1"/>
      <c r="AD74" s="1"/>
      <c r="AE74" s="1"/>
      <c r="AF74" s="1"/>
      <c r="AG74" s="1"/>
      <c r="AH74" s="1"/>
      <c r="AI74" s="415"/>
      <c r="AJ74" s="1321"/>
      <c r="AK74" s="1515"/>
      <c r="AL74" s="1515"/>
      <c r="AM74" s="1515"/>
      <c r="AN74" s="1515"/>
      <c r="AO74" s="1515"/>
      <c r="AP74" s="1515"/>
      <c r="AQ74" s="1515"/>
    </row>
    <row r="75" spans="1:44" outlineLevel="1">
      <c r="C75" s="1"/>
      <c r="D75" s="31" t="s">
        <v>26</v>
      </c>
      <c r="E75" s="1"/>
      <c r="F75" s="1"/>
      <c r="G75" s="1"/>
      <c r="H75" s="52" t="str">
        <f t="shared" ref="H75:K75" si="91">IFERROR(H81/H69,"NA")</f>
        <v>NA</v>
      </c>
      <c r="I75" s="52" t="str">
        <f t="shared" si="91"/>
        <v>NA</v>
      </c>
      <c r="J75" s="52" t="str">
        <f t="shared" si="91"/>
        <v>NA</v>
      </c>
      <c r="K75" s="52" t="str">
        <f t="shared" si="91"/>
        <v>NA</v>
      </c>
      <c r="L75" s="82"/>
      <c r="M75" s="82"/>
      <c r="N75" s="444"/>
      <c r="O75" s="444"/>
      <c r="P75" s="444"/>
      <c r="Q75" s="444"/>
      <c r="R75" s="444"/>
      <c r="S75" s="445"/>
      <c r="T75" s="1321"/>
      <c r="U75" s="1515"/>
      <c r="V75" s="1515"/>
      <c r="W75" s="1515"/>
      <c r="X75" s="1515"/>
      <c r="Y75" s="1515"/>
      <c r="Z75" s="1515"/>
      <c r="AA75" s="1515"/>
      <c r="AB75" s="14"/>
      <c r="AC75" s="1"/>
      <c r="AD75" s="1"/>
      <c r="AE75" s="1"/>
      <c r="AF75" s="1"/>
      <c r="AG75" s="1"/>
      <c r="AH75" s="1"/>
      <c r="AI75" s="415"/>
      <c r="AJ75" s="1321"/>
      <c r="AK75" s="1515"/>
      <c r="AL75" s="1515"/>
      <c r="AM75" s="1515"/>
      <c r="AN75" s="1515"/>
      <c r="AO75" s="1515"/>
      <c r="AP75" s="1515"/>
      <c r="AQ75" s="1515"/>
    </row>
    <row r="76" spans="1:44" outlineLevel="1">
      <c r="C76" s="1"/>
      <c r="D76" s="31" t="s">
        <v>27</v>
      </c>
      <c r="E76" s="1"/>
      <c r="F76" s="1"/>
      <c r="G76" s="1"/>
      <c r="H76" s="52" t="str">
        <f t="shared" ref="H76:K76" si="92">IFERROR(H82/H70,"NA")</f>
        <v>NA</v>
      </c>
      <c r="I76" s="52" t="str">
        <f t="shared" si="92"/>
        <v>NA</v>
      </c>
      <c r="J76" s="52" t="str">
        <f t="shared" si="92"/>
        <v>NA</v>
      </c>
      <c r="K76" s="52" t="str">
        <f t="shared" si="92"/>
        <v>NA</v>
      </c>
      <c r="L76" s="82"/>
      <c r="M76" s="82"/>
      <c r="N76" s="444"/>
      <c r="O76" s="444"/>
      <c r="P76" s="444"/>
      <c r="Q76" s="444"/>
      <c r="R76" s="444"/>
      <c r="S76" s="445"/>
      <c r="T76" s="1321"/>
      <c r="U76" s="1515"/>
      <c r="V76" s="1515"/>
      <c r="W76" s="1515"/>
      <c r="X76" s="1515"/>
      <c r="Y76" s="1515"/>
      <c r="Z76" s="1515"/>
      <c r="AA76" s="1515"/>
      <c r="AB76" s="14"/>
      <c r="AC76" s="1"/>
      <c r="AD76" s="1"/>
      <c r="AE76" s="1"/>
      <c r="AF76" s="1"/>
      <c r="AG76" s="1"/>
      <c r="AH76" s="1"/>
      <c r="AI76" s="415"/>
      <c r="AJ76" s="1321"/>
      <c r="AK76" s="1515"/>
      <c r="AL76" s="1515"/>
      <c r="AM76" s="1515"/>
      <c r="AN76" s="1515"/>
      <c r="AO76" s="1515"/>
      <c r="AP76" s="1515"/>
      <c r="AQ76" s="1515"/>
    </row>
    <row r="77" spans="1:44" outlineLevel="1">
      <c r="C77" s="1"/>
      <c r="D77" s="31" t="s">
        <v>28</v>
      </c>
      <c r="E77" s="1"/>
      <c r="F77" s="1"/>
      <c r="G77" s="1"/>
      <c r="H77" s="52" t="str">
        <f t="shared" ref="H77:K77" si="93">IFERROR(H83/H71,"NA")</f>
        <v>NA</v>
      </c>
      <c r="I77" s="52" t="str">
        <f t="shared" si="93"/>
        <v>NA</v>
      </c>
      <c r="J77" s="52" t="str">
        <f t="shared" si="93"/>
        <v>NA</v>
      </c>
      <c r="K77" s="52" t="str">
        <f t="shared" si="93"/>
        <v>NA</v>
      </c>
      <c r="L77" s="82"/>
      <c r="M77" s="82"/>
      <c r="N77" s="444"/>
      <c r="O77" s="444"/>
      <c r="P77" s="444"/>
      <c r="Q77" s="444"/>
      <c r="R77" s="444"/>
      <c r="S77" s="445"/>
      <c r="T77" s="1321"/>
      <c r="U77" s="1515"/>
      <c r="V77" s="1515"/>
      <c r="W77" s="1515"/>
      <c r="X77" s="1515"/>
      <c r="Y77" s="1515"/>
      <c r="Z77" s="1515"/>
      <c r="AA77" s="1515"/>
      <c r="AB77" s="14"/>
      <c r="AC77" s="1"/>
      <c r="AD77" s="1"/>
      <c r="AE77" s="1"/>
      <c r="AF77" s="1"/>
      <c r="AG77" s="1"/>
      <c r="AH77" s="1"/>
      <c r="AI77" s="415"/>
      <c r="AJ77" s="1321"/>
      <c r="AK77" s="1515"/>
      <c r="AL77" s="1515"/>
      <c r="AM77" s="1515"/>
      <c r="AN77" s="1515"/>
      <c r="AO77" s="1515"/>
      <c r="AP77" s="1515"/>
      <c r="AQ77" s="1515"/>
    </row>
    <row r="78" spans="1:44" ht="15" outlineLevel="1" thickBot="1">
      <c r="C78" s="37"/>
      <c r="D78" s="38" t="s">
        <v>29</v>
      </c>
      <c r="E78" s="37"/>
      <c r="F78" s="37"/>
      <c r="G78" s="37"/>
      <c r="H78" s="54" t="str">
        <f t="shared" ref="H78:K78" si="94">IFERROR(H84/H72,"NA")</f>
        <v>NA</v>
      </c>
      <c r="I78" s="54" t="str">
        <f t="shared" si="94"/>
        <v>NA</v>
      </c>
      <c r="J78" s="54" t="str">
        <f t="shared" si="94"/>
        <v>NA</v>
      </c>
      <c r="K78" s="54" t="str">
        <f t="shared" si="94"/>
        <v>NA</v>
      </c>
      <c r="L78" s="86"/>
      <c r="M78" s="86"/>
      <c r="N78" s="446"/>
      <c r="O78" s="446"/>
      <c r="P78" s="446"/>
      <c r="Q78" s="446"/>
      <c r="R78" s="446"/>
      <c r="S78" s="447"/>
      <c r="T78" s="1321"/>
      <c r="U78" s="1515"/>
      <c r="V78" s="1515"/>
      <c r="W78" s="1515"/>
      <c r="X78" s="1515"/>
      <c r="Y78" s="1515"/>
      <c r="Z78" s="1515"/>
      <c r="AA78" s="1515"/>
      <c r="AB78" s="14"/>
      <c r="AC78" s="1"/>
      <c r="AD78" s="1"/>
      <c r="AE78" s="1"/>
      <c r="AF78" s="1"/>
      <c r="AG78" s="1"/>
      <c r="AH78" s="1"/>
      <c r="AI78" s="415"/>
      <c r="AJ78" s="1321"/>
      <c r="AK78" s="1515"/>
      <c r="AL78" s="1515"/>
      <c r="AM78" s="1515"/>
      <c r="AN78" s="1515"/>
      <c r="AO78" s="1515"/>
      <c r="AP78" s="1515"/>
      <c r="AQ78" s="1515"/>
    </row>
    <row r="79" spans="1:44" outlineLevel="1">
      <c r="C79" s="18" t="s">
        <v>33</v>
      </c>
      <c r="D79" s="1"/>
      <c r="E79" s="1"/>
      <c r="H79" s="126">
        <f>SUM(H80:H84)</f>
        <v>69247</v>
      </c>
      <c r="I79" s="126">
        <f t="shared" ref="I79" si="95">SUM(I80:I84)</f>
        <v>34503</v>
      </c>
      <c r="J79" s="126">
        <f t="shared" ref="J79" si="96">SUM(J80:J84)</f>
        <v>25036</v>
      </c>
      <c r="K79" s="126">
        <f t="shared" ref="K79" si="97">SUM(K80:K84)</f>
        <v>22110</v>
      </c>
      <c r="L79" s="405">
        <v>30148.054579299998</v>
      </c>
      <c r="M79" s="405">
        <v>16295.865221099946</v>
      </c>
      <c r="N79" s="23">
        <f>N67*N73</f>
        <v>33494.488637602306</v>
      </c>
      <c r="O79" s="23">
        <f t="shared" ref="O79:S79" si="98">O67*O73</f>
        <v>37212.376876376162</v>
      </c>
      <c r="P79" s="23">
        <f t="shared" si="98"/>
        <v>41342.950709653924</v>
      </c>
      <c r="Q79" s="23">
        <f t="shared" si="98"/>
        <v>45932.018238425509</v>
      </c>
      <c r="R79" s="23">
        <f t="shared" si="98"/>
        <v>51030.472262890748</v>
      </c>
      <c r="S79" s="23">
        <f t="shared" si="98"/>
        <v>56694.85468407163</v>
      </c>
      <c r="T79" s="1321"/>
      <c r="U79" s="1515"/>
      <c r="V79" s="1515"/>
      <c r="W79" s="1515"/>
      <c r="X79" s="1515"/>
      <c r="Y79" s="1515"/>
      <c r="Z79" s="1515"/>
      <c r="AA79" s="1515"/>
      <c r="AB79" s="14"/>
      <c r="AC79" s="1"/>
      <c r="AD79" s="1"/>
      <c r="AE79" s="1"/>
      <c r="AF79" s="1"/>
      <c r="AG79" s="1"/>
      <c r="AH79" s="1"/>
      <c r="AI79" s="415"/>
      <c r="AJ79" s="1321"/>
      <c r="AK79" s="1515"/>
      <c r="AL79" s="1515"/>
      <c r="AM79" s="1515"/>
      <c r="AN79" s="1515"/>
      <c r="AO79" s="1515"/>
      <c r="AP79" s="1515"/>
      <c r="AQ79" s="1515"/>
    </row>
    <row r="80" spans="1:44" outlineLevel="1">
      <c r="C80" s="1"/>
      <c r="D80" s="27" t="s">
        <v>25</v>
      </c>
      <c r="E80" s="28"/>
      <c r="F80" s="28"/>
      <c r="G80" s="28"/>
      <c r="H80" s="419">
        <v>69247</v>
      </c>
      <c r="I80" s="419">
        <v>34503</v>
      </c>
      <c r="J80" s="419">
        <v>25036</v>
      </c>
      <c r="K80" s="419">
        <v>22110</v>
      </c>
      <c r="L80" s="83">
        <f>L79</f>
        <v>30148.054579299998</v>
      </c>
      <c r="M80" s="83">
        <f>M79</f>
        <v>16295.865221099946</v>
      </c>
      <c r="N80" s="436"/>
      <c r="O80" s="436"/>
      <c r="P80" s="436"/>
      <c r="Q80" s="436"/>
      <c r="R80" s="436"/>
      <c r="S80" s="437"/>
      <c r="T80" s="1321"/>
      <c r="U80" s="1515"/>
      <c r="V80" s="1515"/>
      <c r="W80" s="1515"/>
      <c r="X80" s="1515"/>
      <c r="Y80" s="1515"/>
      <c r="Z80" s="1515"/>
      <c r="AA80" s="1515"/>
      <c r="AB80" s="14"/>
      <c r="AC80" s="1"/>
      <c r="AD80" s="1"/>
      <c r="AE80" s="1"/>
      <c r="AF80" s="1"/>
      <c r="AG80" s="1"/>
      <c r="AH80" s="1"/>
      <c r="AI80" s="415"/>
      <c r="AJ80" s="1321"/>
      <c r="AK80" s="1515"/>
      <c r="AL80" s="1515"/>
      <c r="AM80" s="1515"/>
      <c r="AN80" s="1515"/>
      <c r="AO80" s="1515"/>
      <c r="AP80" s="1515"/>
      <c r="AQ80" s="1515"/>
    </row>
    <row r="81" spans="1:44" outlineLevel="1">
      <c r="C81" s="1"/>
      <c r="D81" s="31" t="s">
        <v>26</v>
      </c>
      <c r="E81" s="1"/>
      <c r="F81" s="1"/>
      <c r="G81" s="1"/>
      <c r="H81" s="394">
        <v>0</v>
      </c>
      <c r="I81" s="394">
        <v>0</v>
      </c>
      <c r="J81" s="394">
        <v>0</v>
      </c>
      <c r="K81" s="394">
        <v>0</v>
      </c>
      <c r="L81" s="84"/>
      <c r="M81" s="84"/>
      <c r="N81" s="438"/>
      <c r="O81" s="438"/>
      <c r="P81" s="438"/>
      <c r="Q81" s="438"/>
      <c r="R81" s="438"/>
      <c r="S81" s="439"/>
      <c r="T81" s="1321"/>
      <c r="U81" s="1515"/>
      <c r="V81" s="1515"/>
      <c r="W81" s="1515"/>
      <c r="X81" s="1515"/>
      <c r="Y81" s="1515"/>
      <c r="Z81" s="1515"/>
      <c r="AA81" s="1515"/>
      <c r="AB81" s="14"/>
      <c r="AC81" s="1"/>
      <c r="AD81" s="1"/>
      <c r="AE81" s="1"/>
      <c r="AF81" s="1"/>
      <c r="AG81" s="1"/>
      <c r="AH81" s="1"/>
      <c r="AI81" s="415"/>
      <c r="AJ81" s="1321"/>
      <c r="AK81" s="1515"/>
      <c r="AL81" s="1515"/>
      <c r="AM81" s="1515"/>
      <c r="AN81" s="1515"/>
      <c r="AO81" s="1515"/>
      <c r="AP81" s="1515"/>
      <c r="AQ81" s="1515"/>
    </row>
    <row r="82" spans="1:44" outlineLevel="1">
      <c r="C82" s="1"/>
      <c r="D82" s="31" t="s">
        <v>27</v>
      </c>
      <c r="E82" s="1"/>
      <c r="F82" s="1"/>
      <c r="G82" s="1"/>
      <c r="H82" s="394">
        <v>0</v>
      </c>
      <c r="I82" s="394">
        <v>0</v>
      </c>
      <c r="J82" s="394">
        <v>0</v>
      </c>
      <c r="K82" s="394">
        <v>0</v>
      </c>
      <c r="L82" s="84"/>
      <c r="M82" s="84"/>
      <c r="N82" s="438"/>
      <c r="O82" s="438"/>
      <c r="P82" s="438"/>
      <c r="Q82" s="438"/>
      <c r="R82" s="438"/>
      <c r="S82" s="439"/>
      <c r="T82" s="1321"/>
      <c r="U82" s="1515"/>
      <c r="V82" s="1515"/>
      <c r="W82" s="1515"/>
      <c r="X82" s="1515"/>
      <c r="Y82" s="1515"/>
      <c r="Z82" s="1515"/>
      <c r="AA82" s="1515"/>
      <c r="AB82" s="14"/>
      <c r="AC82" s="1"/>
      <c r="AD82" s="1"/>
      <c r="AE82" s="1"/>
      <c r="AF82" s="1"/>
      <c r="AG82" s="1"/>
      <c r="AH82" s="1"/>
      <c r="AI82" s="415"/>
      <c r="AJ82" s="1321"/>
      <c r="AK82" s="1515"/>
      <c r="AL82" s="1515"/>
      <c r="AM82" s="1515"/>
      <c r="AN82" s="1515"/>
      <c r="AO82" s="1515"/>
      <c r="AP82" s="1515"/>
      <c r="AQ82" s="1515"/>
    </row>
    <row r="83" spans="1:44" outlineLevel="1">
      <c r="C83" s="1"/>
      <c r="D83" s="31" t="s">
        <v>28</v>
      </c>
      <c r="E83" s="1"/>
      <c r="F83" s="1"/>
      <c r="G83" s="1"/>
      <c r="H83" s="394">
        <v>0</v>
      </c>
      <c r="I83" s="394">
        <v>0</v>
      </c>
      <c r="J83" s="394">
        <v>0</v>
      </c>
      <c r="K83" s="394">
        <v>0</v>
      </c>
      <c r="L83" s="84"/>
      <c r="M83" s="84"/>
      <c r="N83" s="438"/>
      <c r="O83" s="438"/>
      <c r="P83" s="438"/>
      <c r="Q83" s="438"/>
      <c r="R83" s="438"/>
      <c r="S83" s="439"/>
      <c r="T83" s="1321"/>
      <c r="U83" s="1515"/>
      <c r="V83" s="1515"/>
      <c r="W83" s="1515"/>
      <c r="X83" s="1515"/>
      <c r="Y83" s="1515"/>
      <c r="Z83" s="1515"/>
      <c r="AA83" s="1515"/>
      <c r="AB83" s="14"/>
      <c r="AC83" s="1"/>
      <c r="AD83" s="1"/>
      <c r="AE83" s="1"/>
      <c r="AF83" s="1"/>
      <c r="AG83" s="1"/>
      <c r="AH83" s="1"/>
      <c r="AI83" s="415"/>
      <c r="AJ83" s="1321"/>
      <c r="AK83" s="1515"/>
      <c r="AL83" s="1515"/>
      <c r="AM83" s="1515"/>
      <c r="AN83" s="1515"/>
      <c r="AO83" s="1515"/>
      <c r="AP83" s="1515"/>
      <c r="AQ83" s="1515"/>
    </row>
    <row r="84" spans="1:44" outlineLevel="1">
      <c r="C84" s="1"/>
      <c r="D84" s="33" t="s">
        <v>29</v>
      </c>
      <c r="E84" s="34"/>
      <c r="F84" s="34"/>
      <c r="G84" s="34"/>
      <c r="H84" s="420">
        <v>0</v>
      </c>
      <c r="I84" s="420">
        <v>0</v>
      </c>
      <c r="J84" s="420">
        <v>0</v>
      </c>
      <c r="K84" s="420">
        <v>0</v>
      </c>
      <c r="L84" s="85"/>
      <c r="M84" s="85"/>
      <c r="N84" s="440"/>
      <c r="O84" s="440"/>
      <c r="P84" s="440"/>
      <c r="Q84" s="440"/>
      <c r="R84" s="440"/>
      <c r="S84" s="441"/>
      <c r="T84" s="1321"/>
      <c r="U84" s="1515"/>
      <c r="V84" s="1515"/>
      <c r="W84" s="1515"/>
      <c r="X84" s="1515"/>
      <c r="Y84" s="1515"/>
      <c r="Z84" s="1515"/>
      <c r="AA84" s="1515"/>
      <c r="AB84" s="14"/>
      <c r="AC84" s="1"/>
      <c r="AD84" s="1"/>
      <c r="AE84" s="1"/>
      <c r="AF84" s="1"/>
      <c r="AG84" s="1"/>
      <c r="AH84" s="1"/>
      <c r="AI84" s="415"/>
      <c r="AJ84" s="1321"/>
      <c r="AK84" s="1515"/>
      <c r="AL84" s="1515"/>
      <c r="AM84" s="1515"/>
      <c r="AN84" s="1515"/>
      <c r="AO84" s="1515"/>
      <c r="AP84" s="1515"/>
      <c r="AQ84" s="1515"/>
    </row>
    <row r="85" spans="1:44" outlineLevel="1">
      <c r="C85" s="1" t="s">
        <v>35</v>
      </c>
      <c r="H85" s="394">
        <v>-6786</v>
      </c>
      <c r="I85" s="394">
        <v>-13323</v>
      </c>
      <c r="J85" s="394">
        <v>-19067</v>
      </c>
      <c r="K85" s="394">
        <v>-17735</v>
      </c>
      <c r="L85" s="20">
        <f>L36-L61</f>
        <v>-28403.929983440001</v>
      </c>
      <c r="M85" s="20">
        <f>M36-M61</f>
        <v>-14669.778434879998</v>
      </c>
      <c r="N85" s="20">
        <f t="shared" ref="N85:S85" si="99">N86-N79</f>
        <v>-30152.233123959624</v>
      </c>
      <c r="O85" s="20">
        <f t="shared" si="99"/>
        <v>-33499.131000719142</v>
      </c>
      <c r="P85" s="20">
        <f t="shared" si="99"/>
        <v>-37217.534541798974</v>
      </c>
      <c r="Q85" s="20">
        <f t="shared" si="99"/>
        <v>-41348.680875938662</v>
      </c>
      <c r="R85" s="20">
        <f t="shared" si="99"/>
        <v>-45938.384453167855</v>
      </c>
      <c r="S85" s="20">
        <f t="shared" si="99"/>
        <v>-51037.545127469501</v>
      </c>
    </row>
    <row r="86" spans="1:44" s="18" customFormat="1" outlineLevel="1">
      <c r="C86" s="18" t="s">
        <v>239</v>
      </c>
      <c r="H86" s="23">
        <f>H79+H85</f>
        <v>62461</v>
      </c>
      <c r="I86" s="23">
        <f t="shared" ref="I86" si="100">I79+I85</f>
        <v>21180</v>
      </c>
      <c r="J86" s="23">
        <f t="shared" ref="J86" si="101">J79+J85</f>
        <v>5969</v>
      </c>
      <c r="K86" s="23">
        <f t="shared" ref="K86" si="102">K79+K85</f>
        <v>4375</v>
      </c>
      <c r="L86" s="70">
        <f>L85+L79</f>
        <v>1744.1245958599975</v>
      </c>
      <c r="M86" s="70">
        <f>M85+M79</f>
        <v>1626.0867862199484</v>
      </c>
      <c r="N86" s="70">
        <f t="shared" ref="N86:S86" si="103">N87*N79</f>
        <v>3342.2555136426818</v>
      </c>
      <c r="O86" s="70">
        <f t="shared" si="103"/>
        <v>3713.2458756570195</v>
      </c>
      <c r="P86" s="70">
        <f t="shared" si="103"/>
        <v>4125.416167854949</v>
      </c>
      <c r="Q86" s="70">
        <f t="shared" si="103"/>
        <v>4583.3373624868491</v>
      </c>
      <c r="R86" s="70">
        <f t="shared" si="103"/>
        <v>5092.0878097228897</v>
      </c>
      <c r="S86" s="70">
        <f t="shared" si="103"/>
        <v>5657.3095566021311</v>
      </c>
      <c r="T86" s="1126"/>
      <c r="U86" s="1518"/>
      <c r="V86" s="1518"/>
      <c r="W86" s="1518"/>
      <c r="X86" s="1518"/>
      <c r="Y86" s="1518"/>
      <c r="Z86" s="1518"/>
      <c r="AA86" s="1518"/>
      <c r="AB86" s="397"/>
      <c r="AI86" s="478"/>
      <c r="AJ86" s="1126"/>
      <c r="AK86" s="1518"/>
      <c r="AL86" s="1518"/>
      <c r="AM86" s="1518"/>
      <c r="AN86" s="1518"/>
      <c r="AO86" s="1518"/>
      <c r="AP86" s="1518"/>
      <c r="AQ86" s="1518"/>
      <c r="AR86" s="1494"/>
    </row>
    <row r="87" spans="1:44" outlineLevel="1">
      <c r="A87" s="99"/>
      <c r="B87" s="99"/>
      <c r="C87" s="22" t="s">
        <v>20</v>
      </c>
      <c r="D87" s="99"/>
      <c r="E87" s="99"/>
      <c r="F87" s="99"/>
      <c r="G87" s="99"/>
      <c r="H87" s="94">
        <f>H86/H79</f>
        <v>0.90200297485811665</v>
      </c>
      <c r="I87" s="94">
        <f t="shared" ref="I87" si="104">I86/I79</f>
        <v>0.61385966437701067</v>
      </c>
      <c r="J87" s="94">
        <f t="shared" ref="J87" si="105">J86/J79</f>
        <v>0.23841667998082761</v>
      </c>
      <c r="K87" s="94">
        <f t="shared" ref="K87:M87" si="106">K86/K79</f>
        <v>0.19787426503844413</v>
      </c>
      <c r="L87" s="94">
        <f t="shared" si="106"/>
        <v>5.7851978185601852E-2</v>
      </c>
      <c r="M87" s="94">
        <f t="shared" si="106"/>
        <v>9.9785237798511325E-2</v>
      </c>
      <c r="N87" s="65">
        <f t="shared" ref="N87:S87" si="107">CHOOSE(case,U87,AC87,AK87)</f>
        <v>9.9785237798511325E-2</v>
      </c>
      <c r="O87" s="65">
        <f t="shared" si="107"/>
        <v>9.9785237798511325E-2</v>
      </c>
      <c r="P87" s="65">
        <f t="shared" si="107"/>
        <v>9.9785237798511325E-2</v>
      </c>
      <c r="Q87" s="65">
        <f t="shared" si="107"/>
        <v>9.9785237798511325E-2</v>
      </c>
      <c r="R87" s="65">
        <f t="shared" si="107"/>
        <v>9.9785237798511325E-2</v>
      </c>
      <c r="S87" s="65">
        <f t="shared" si="107"/>
        <v>9.9785237798511325E-2</v>
      </c>
      <c r="T87" s="1321"/>
      <c r="U87" s="1526">
        <f>AC87+1%</f>
        <v>0.10978523779851132</v>
      </c>
      <c r="V87" s="1526">
        <f t="shared" ref="V87" si="108">U87</f>
        <v>0.10978523779851132</v>
      </c>
      <c r="W87" s="1526">
        <f t="shared" ref="W87" si="109">V87</f>
        <v>0.10978523779851132</v>
      </c>
      <c r="X87" s="1526">
        <f t="shared" ref="X87" si="110">W87</f>
        <v>0.10978523779851132</v>
      </c>
      <c r="Y87" s="1526">
        <f t="shared" ref="Y87" si="111">X87</f>
        <v>0.10978523779851132</v>
      </c>
      <c r="Z87" s="1526">
        <f t="shared" ref="Z87" si="112">Y87</f>
        <v>0.10978523779851132</v>
      </c>
      <c r="AA87" s="1515"/>
      <c r="AB87" s="14"/>
      <c r="AC87" s="79">
        <f>M87</f>
        <v>9.9785237798511325E-2</v>
      </c>
      <c r="AD87" s="79">
        <f t="shared" ref="AD87" si="113">AC87</f>
        <v>9.9785237798511325E-2</v>
      </c>
      <c r="AE87" s="79">
        <f t="shared" ref="AE87" si="114">AD87</f>
        <v>9.9785237798511325E-2</v>
      </c>
      <c r="AF87" s="79">
        <f t="shared" ref="AF87" si="115">AE87</f>
        <v>9.9785237798511325E-2</v>
      </c>
      <c r="AG87" s="79">
        <f t="shared" ref="AG87" si="116">AF87</f>
        <v>9.9785237798511325E-2</v>
      </c>
      <c r="AH87" s="79">
        <f t="shared" ref="AH87" si="117">AG87</f>
        <v>9.9785237798511325E-2</v>
      </c>
      <c r="AI87" s="415"/>
      <c r="AJ87" s="1321"/>
      <c r="AK87" s="1526">
        <f>AC87-1%</f>
        <v>8.978523779851133E-2</v>
      </c>
      <c r="AL87" s="1526">
        <f t="shared" ref="AL87" si="118">AK87</f>
        <v>8.978523779851133E-2</v>
      </c>
      <c r="AM87" s="1526">
        <f t="shared" ref="AM87" si="119">AL87</f>
        <v>8.978523779851133E-2</v>
      </c>
      <c r="AN87" s="1526">
        <f t="shared" ref="AN87" si="120">AM87</f>
        <v>8.978523779851133E-2</v>
      </c>
      <c r="AO87" s="1526">
        <f t="shared" ref="AO87" si="121">AN87</f>
        <v>8.978523779851133E-2</v>
      </c>
      <c r="AP87" s="1526">
        <f t="shared" ref="AP87" si="122">AO87</f>
        <v>8.978523779851133E-2</v>
      </c>
    </row>
    <row r="88" spans="1:44" s="101" customFormat="1">
      <c r="U88" s="1512"/>
      <c r="V88" s="1512"/>
      <c r="W88" s="1512"/>
      <c r="X88" s="1512"/>
      <c r="Y88" s="1512"/>
      <c r="Z88" s="1512"/>
      <c r="AA88" s="1512"/>
      <c r="AB88" s="1527"/>
      <c r="AI88" s="473"/>
      <c r="AK88" s="1512"/>
      <c r="AL88" s="1512"/>
      <c r="AM88" s="1512"/>
      <c r="AN88" s="1512"/>
      <c r="AO88" s="1512"/>
      <c r="AP88" s="1512"/>
      <c r="AQ88" s="1512"/>
      <c r="AR88" s="473"/>
    </row>
    <row r="89" spans="1:44" s="59" customFormat="1">
      <c r="A89" s="58" t="s">
        <v>8</v>
      </c>
      <c r="B89" s="58" t="s">
        <v>187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1125"/>
      <c r="U89" s="1515"/>
      <c r="V89" s="1515"/>
      <c r="W89" s="1515"/>
      <c r="X89" s="1515"/>
      <c r="Y89" s="1515"/>
      <c r="Z89" s="1515"/>
      <c r="AA89" s="1515"/>
      <c r="AB89" s="1179"/>
      <c r="AI89" s="476"/>
      <c r="AJ89" s="1125"/>
      <c r="AK89" s="1515"/>
      <c r="AL89" s="1515"/>
      <c r="AM89" s="1515"/>
      <c r="AN89" s="1515"/>
      <c r="AO89" s="1515"/>
      <c r="AP89" s="1515"/>
      <c r="AQ89" s="1515"/>
      <c r="AR89" s="1482"/>
    </row>
    <row r="91" spans="1:44" s="99" customFormat="1">
      <c r="B91" s="1"/>
      <c r="C91" s="18" t="s">
        <v>64</v>
      </c>
      <c r="D91" s="1"/>
      <c r="H91" s="23">
        <f>SUM(H92,H94,H96)</f>
        <v>-3519</v>
      </c>
      <c r="I91" s="23">
        <f t="shared" ref="I91:S91" si="123">SUM(I92,I94,I96)</f>
        <v>-16670</v>
      </c>
      <c r="J91" s="23">
        <f t="shared" si="123"/>
        <v>-18291</v>
      </c>
      <c r="K91" s="23">
        <f t="shared" si="123"/>
        <v>-15260</v>
      </c>
      <c r="L91" s="23">
        <f t="shared" si="123"/>
        <v>-18670.057659999999</v>
      </c>
      <c r="M91" s="23">
        <f t="shared" si="123"/>
        <v>-10870.230310000001</v>
      </c>
      <c r="N91" s="23">
        <f t="shared" si="123"/>
        <v>-19471.501020052405</v>
      </c>
      <c r="O91" s="23">
        <f t="shared" si="123"/>
        <v>-21027.691944276517</v>
      </c>
      <c r="P91" s="23">
        <f t="shared" si="123"/>
        <v>-22689.448889610321</v>
      </c>
      <c r="Q91" s="23">
        <f t="shared" si="123"/>
        <v>-24461.033684362796</v>
      </c>
      <c r="R91" s="23">
        <f t="shared" si="123"/>
        <v>-26346.35360378143</v>
      </c>
      <c r="S91" s="23">
        <f t="shared" si="123"/>
        <v>-28348.830149285968</v>
      </c>
      <c r="U91" s="1511"/>
      <c r="V91" s="1511"/>
      <c r="W91" s="1511"/>
      <c r="X91" s="1511"/>
      <c r="Y91" s="1511"/>
      <c r="Z91" s="1511"/>
      <c r="AA91" s="1511"/>
      <c r="AB91" s="1056"/>
      <c r="AI91" s="414"/>
      <c r="AK91" s="1511"/>
      <c r="AL91" s="1511"/>
      <c r="AM91" s="1511"/>
      <c r="AN91" s="1511"/>
      <c r="AO91" s="1511"/>
      <c r="AP91" s="1511"/>
      <c r="AQ91" s="1511"/>
      <c r="AR91" s="414"/>
    </row>
    <row r="92" spans="1:44">
      <c r="B92" s="1"/>
      <c r="C92" s="1"/>
      <c r="D92" s="1" t="s">
        <v>65</v>
      </c>
      <c r="H92" s="394">
        <v>-1245</v>
      </c>
      <c r="I92" s="394">
        <v>-5682</v>
      </c>
      <c r="J92" s="394">
        <v>-6132</v>
      </c>
      <c r="K92" s="394">
        <v>-5137</v>
      </c>
      <c r="L92" s="394">
        <v>-6086.9398000000001</v>
      </c>
      <c r="M92" s="394">
        <v>-3613.4694899999995</v>
      </c>
      <c r="N92" s="20">
        <f t="shared" ref="N92" si="124">N93*N$31</f>
        <v>-5854.7808033660021</v>
      </c>
      <c r="O92" s="20">
        <f t="shared" ref="O92" si="125">O93*O$31</f>
        <v>-6504.6614725396294</v>
      </c>
      <c r="P92" s="20">
        <f t="shared" ref="P92" si="126">P93*P$31</f>
        <v>-7226.6788959915293</v>
      </c>
      <c r="Q92" s="20">
        <f t="shared" ref="Q92" si="127">Q93*Q$31</f>
        <v>-8028.8402534465904</v>
      </c>
      <c r="R92" s="20">
        <f t="shared" ref="R92" si="128">R93*R$31</f>
        <v>-8920.0415215791618</v>
      </c>
      <c r="S92" s="20">
        <f t="shared" ref="S92" si="129">S93*S$31</f>
        <v>-9910.1661304744503</v>
      </c>
    </row>
    <row r="93" spans="1:44" s="1" customFormat="1">
      <c r="E93" s="22" t="s">
        <v>130</v>
      </c>
      <c r="H93" s="56">
        <f>H92/H$31</f>
        <v>-4.1469588968090068E-2</v>
      </c>
      <c r="I93" s="56">
        <f t="shared" ref="I93:M93" si="130">I92/I$31</f>
        <v>-3.857512372960753E-2</v>
      </c>
      <c r="J93" s="56">
        <f t="shared" si="130"/>
        <v>-3.9446259938759234E-2</v>
      </c>
      <c r="K93" s="56">
        <f t="shared" si="130"/>
        <v>-3.7850264148719046E-2</v>
      </c>
      <c r="L93" s="56">
        <f t="shared" si="130"/>
        <v>-3.724675441348789E-2</v>
      </c>
      <c r="M93" s="56">
        <f t="shared" si="130"/>
        <v>-3.8575539523356232E-2</v>
      </c>
      <c r="N93" s="65">
        <f t="shared" ref="N93:S93" si="131">CHOOSE(case,U93,AC93,AK93)</f>
        <v>-3.2246754413487892E-2</v>
      </c>
      <c r="O93" s="65">
        <f t="shared" si="131"/>
        <v>-3.2246754413487892E-2</v>
      </c>
      <c r="P93" s="65">
        <f t="shared" si="131"/>
        <v>-3.2246754413487892E-2</v>
      </c>
      <c r="Q93" s="65">
        <f t="shared" si="131"/>
        <v>-3.2246754413487892E-2</v>
      </c>
      <c r="R93" s="65">
        <f t="shared" si="131"/>
        <v>-3.2246754413487892E-2</v>
      </c>
      <c r="S93" s="65">
        <f t="shared" si="131"/>
        <v>-3.2246754413487892E-2</v>
      </c>
      <c r="T93" s="1365"/>
      <c r="U93" s="1526">
        <f>AC93+0.5%</f>
        <v>-2.7246754413487891E-2</v>
      </c>
      <c r="V93" s="1526">
        <f t="shared" ref="V93:Z93" si="132">U93</f>
        <v>-2.7246754413487891E-2</v>
      </c>
      <c r="W93" s="1526">
        <f t="shared" si="132"/>
        <v>-2.7246754413487891E-2</v>
      </c>
      <c r="X93" s="1526">
        <f t="shared" si="132"/>
        <v>-2.7246754413487891E-2</v>
      </c>
      <c r="Y93" s="1526">
        <f t="shared" si="132"/>
        <v>-2.7246754413487891E-2</v>
      </c>
      <c r="Z93" s="1526">
        <f t="shared" si="132"/>
        <v>-2.7246754413487891E-2</v>
      </c>
      <c r="AA93" s="1515"/>
      <c r="AB93" s="14"/>
      <c r="AC93" s="79">
        <f>AK93+0.5%</f>
        <v>-3.2246754413487892E-2</v>
      </c>
      <c r="AD93" s="79">
        <f t="shared" ref="AD93:AH93" si="133">AC93</f>
        <v>-3.2246754413487892E-2</v>
      </c>
      <c r="AE93" s="79">
        <f t="shared" si="133"/>
        <v>-3.2246754413487892E-2</v>
      </c>
      <c r="AF93" s="79">
        <f t="shared" si="133"/>
        <v>-3.2246754413487892E-2</v>
      </c>
      <c r="AG93" s="79">
        <f t="shared" si="133"/>
        <v>-3.2246754413487892E-2</v>
      </c>
      <c r="AH93" s="79">
        <f t="shared" si="133"/>
        <v>-3.2246754413487892E-2</v>
      </c>
      <c r="AI93" s="415"/>
      <c r="AJ93" s="1321"/>
      <c r="AK93" s="1526">
        <f>L93</f>
        <v>-3.724675441348789E-2</v>
      </c>
      <c r="AL93" s="1526">
        <f t="shared" ref="AL93:AP93" si="134">AK93</f>
        <v>-3.724675441348789E-2</v>
      </c>
      <c r="AM93" s="1526">
        <f t="shared" si="134"/>
        <v>-3.724675441348789E-2</v>
      </c>
      <c r="AN93" s="1526">
        <f t="shared" si="134"/>
        <v>-3.724675441348789E-2</v>
      </c>
      <c r="AO93" s="1526">
        <f t="shared" si="134"/>
        <v>-3.724675441348789E-2</v>
      </c>
      <c r="AP93" s="1526">
        <f t="shared" si="134"/>
        <v>-3.724675441348789E-2</v>
      </c>
      <c r="AQ93" s="1515"/>
      <c r="AR93" s="1482"/>
    </row>
    <row r="94" spans="1:44">
      <c r="B94" s="1"/>
      <c r="C94" s="1"/>
      <c r="D94" s="1" t="s">
        <v>66</v>
      </c>
      <c r="H94" s="394">
        <v>-2274</v>
      </c>
      <c r="I94" s="394">
        <v>-10926</v>
      </c>
      <c r="J94" s="394">
        <v>-12134</v>
      </c>
      <c r="K94" s="394">
        <v>-10123</v>
      </c>
      <c r="L94" s="394">
        <v>-12583.11786</v>
      </c>
      <c r="M94" s="394">
        <v>-7263.7608200000013</v>
      </c>
      <c r="N94" s="20">
        <f t="shared" ref="N94" si="135">N95*N$31</f>
        <v>-13616.720216686403</v>
      </c>
      <c r="O94" s="20">
        <f t="shared" ref="O94" si="136">O95*O$31</f>
        <v>-14523.030471736889</v>
      </c>
      <c r="P94" s="20">
        <f t="shared" ref="P94" si="137">P95*P$31</f>
        <v>-15462.769993618793</v>
      </c>
      <c r="Q94" s="20">
        <f t="shared" ref="Q94" si="138">Q95*Q$31</f>
        <v>-16432.193430916206</v>
      </c>
      <c r="R94" s="20">
        <f t="shared" ref="R94" si="139">R95*R$31</f>
        <v>-17426.312082202268</v>
      </c>
      <c r="S94" s="20">
        <f t="shared" ref="S94" si="140">S95*S$31</f>
        <v>-18438.66401881152</v>
      </c>
    </row>
    <row r="95" spans="1:44" s="1" customFormat="1">
      <c r="E95" s="22" t="s">
        <v>130</v>
      </c>
      <c r="H95" s="56">
        <f>H94/H$31</f>
        <v>-7.5744454067017519E-2</v>
      </c>
      <c r="I95" s="56">
        <f t="shared" ref="I95" si="141">I94/I$31</f>
        <v>-7.4176663475834542E-2</v>
      </c>
      <c r="J95" s="56">
        <f t="shared" ref="J95" si="142">J94/J$31</f>
        <v>-7.8056248874250569E-2</v>
      </c>
      <c r="K95" s="56">
        <f t="shared" ref="K95:M95" si="143">K94/K$31</f>
        <v>-7.4587935366455693E-2</v>
      </c>
      <c r="L95" s="56">
        <f t="shared" si="143"/>
        <v>-7.6997689493724458E-2</v>
      </c>
      <c r="M95" s="56">
        <f t="shared" si="143"/>
        <v>-7.7544170049189079E-2</v>
      </c>
      <c r="N95" s="65">
        <f t="shared" ref="N95:S95" si="144">CHOOSE(case,U95,AC95,AK95)</f>
        <v>-7.4997689493724456E-2</v>
      </c>
      <c r="O95" s="65">
        <f t="shared" si="144"/>
        <v>-7.1997689493724454E-2</v>
      </c>
      <c r="P95" s="65">
        <f t="shared" si="144"/>
        <v>-6.8997689493724451E-2</v>
      </c>
      <c r="Q95" s="65">
        <f t="shared" si="144"/>
        <v>-6.5997689493724448E-2</v>
      </c>
      <c r="R95" s="65">
        <f t="shared" si="144"/>
        <v>-6.2997689493724446E-2</v>
      </c>
      <c r="S95" s="65">
        <f t="shared" si="144"/>
        <v>-5.9997689493724443E-2</v>
      </c>
      <c r="T95" s="1365"/>
      <c r="U95" s="1526">
        <f>AC95+0.1%</f>
        <v>-7.3997689493724456E-2</v>
      </c>
      <c r="V95" s="1526">
        <f t="shared" ref="V95:Z95" si="145">AD95+0.1%</f>
        <v>-7.0997689493724453E-2</v>
      </c>
      <c r="W95" s="1526">
        <f t="shared" si="145"/>
        <v>-6.799768949372445E-2</v>
      </c>
      <c r="X95" s="1526">
        <f t="shared" si="145"/>
        <v>-6.4997689493724448E-2</v>
      </c>
      <c r="Y95" s="1526">
        <f t="shared" si="145"/>
        <v>-6.1997689493724445E-2</v>
      </c>
      <c r="Z95" s="1526">
        <f t="shared" si="145"/>
        <v>-5.8997689493724442E-2</v>
      </c>
      <c r="AA95" s="1515"/>
      <c r="AB95" s="14"/>
      <c r="AC95" s="79">
        <f>AK95+0.2%</f>
        <v>-7.4997689493724456E-2</v>
      </c>
      <c r="AD95" s="1305">
        <f>AC95+0.3%</f>
        <v>-7.1997689493724454E-2</v>
      </c>
      <c r="AE95" s="79">
        <f t="shared" ref="AE95:AH95" si="146">AD95+0.3%</f>
        <v>-6.8997689493724451E-2</v>
      </c>
      <c r="AF95" s="79">
        <f t="shared" si="146"/>
        <v>-6.5997689493724448E-2</v>
      </c>
      <c r="AG95" s="79">
        <f t="shared" si="146"/>
        <v>-6.2997689493724446E-2</v>
      </c>
      <c r="AH95" s="79">
        <f t="shared" si="146"/>
        <v>-5.9997689493724443E-2</v>
      </c>
      <c r="AI95" s="415"/>
      <c r="AJ95" s="1321"/>
      <c r="AK95" s="1526">
        <f>L95</f>
        <v>-7.6997689493724458E-2</v>
      </c>
      <c r="AL95" s="1526">
        <f t="shared" ref="AL95" si="147">AK95</f>
        <v>-7.6997689493724458E-2</v>
      </c>
      <c r="AM95" s="1526">
        <f t="shared" ref="AM95" si="148">AL95</f>
        <v>-7.6997689493724458E-2</v>
      </c>
      <c r="AN95" s="1526">
        <f t="shared" ref="AN95" si="149">AM95</f>
        <v>-7.6997689493724458E-2</v>
      </c>
      <c r="AO95" s="1526">
        <f t="shared" ref="AO95" si="150">AN95</f>
        <v>-7.6997689493724458E-2</v>
      </c>
      <c r="AP95" s="1526">
        <f t="shared" ref="AP95" si="151">AO95</f>
        <v>-7.6997689493724458E-2</v>
      </c>
      <c r="AQ95" s="1515"/>
      <c r="AR95" s="1482"/>
    </row>
    <row r="96" spans="1:44">
      <c r="B96" s="1"/>
      <c r="C96" s="1"/>
      <c r="D96" s="1" t="s">
        <v>67</v>
      </c>
      <c r="H96" s="394">
        <v>0</v>
      </c>
      <c r="I96" s="394">
        <v>-62</v>
      </c>
      <c r="J96" s="394">
        <v>-25</v>
      </c>
      <c r="K96" s="394">
        <v>0</v>
      </c>
      <c r="L96" s="394">
        <v>0</v>
      </c>
      <c r="M96" s="394">
        <v>7</v>
      </c>
      <c r="N96" s="20">
        <f t="shared" ref="N96" si="152">N97*N$31</f>
        <v>0</v>
      </c>
      <c r="O96" s="20">
        <f t="shared" ref="O96" si="153">O97*O$31</f>
        <v>0</v>
      </c>
      <c r="P96" s="20">
        <f t="shared" ref="P96" si="154">P97*P$31</f>
        <v>0</v>
      </c>
      <c r="Q96" s="20">
        <f t="shared" ref="Q96" si="155">Q97*Q$31</f>
        <v>0</v>
      </c>
      <c r="R96" s="20">
        <f t="shared" ref="R96" si="156">R97*R$31</f>
        <v>0</v>
      </c>
      <c r="S96" s="20">
        <f t="shared" ref="S96" si="157">S97*S$31</f>
        <v>0</v>
      </c>
    </row>
    <row r="97" spans="3:44" s="1" customFormat="1">
      <c r="E97" s="22" t="s">
        <v>130</v>
      </c>
      <c r="H97" s="56">
        <f>H96/H$31</f>
        <v>0</v>
      </c>
      <c r="I97" s="56">
        <f t="shared" ref="I97" si="158">I96/I$31</f>
        <v>-4.2091828075249325E-4</v>
      </c>
      <c r="J97" s="56">
        <f t="shared" ref="J97" si="159">J96/J$31</f>
        <v>-1.6082134678228649E-4</v>
      </c>
      <c r="K97" s="56">
        <f t="shared" ref="K97:M97" si="160">K96/K$31</f>
        <v>0</v>
      </c>
      <c r="L97" s="56">
        <f t="shared" si="160"/>
        <v>0</v>
      </c>
      <c r="M97" s="56">
        <f t="shared" si="160"/>
        <v>7.4728395358194554E-5</v>
      </c>
      <c r="N97" s="65">
        <f t="shared" ref="N97:S97" si="161">CHOOSE(case,U97,AC97,AK97)</f>
        <v>0</v>
      </c>
      <c r="O97" s="65">
        <f t="shared" si="161"/>
        <v>0</v>
      </c>
      <c r="P97" s="65">
        <f t="shared" si="161"/>
        <v>0</v>
      </c>
      <c r="Q97" s="65">
        <f t="shared" si="161"/>
        <v>0</v>
      </c>
      <c r="R97" s="65">
        <f t="shared" si="161"/>
        <v>0</v>
      </c>
      <c r="S97" s="65">
        <f t="shared" si="161"/>
        <v>0</v>
      </c>
      <c r="T97" s="1365"/>
      <c r="U97" s="1526">
        <f>AC97</f>
        <v>0</v>
      </c>
      <c r="V97" s="1526">
        <f t="shared" ref="V97" si="162">U97</f>
        <v>0</v>
      </c>
      <c r="W97" s="1526">
        <f t="shared" ref="W97" si="163">V97</f>
        <v>0</v>
      </c>
      <c r="X97" s="1526">
        <f t="shared" ref="X97" si="164">W97</f>
        <v>0</v>
      </c>
      <c r="Y97" s="1526">
        <f t="shared" ref="Y97" si="165">X97</f>
        <v>0</v>
      </c>
      <c r="Z97" s="1526">
        <f t="shared" ref="Z97" si="166">Y97</f>
        <v>0</v>
      </c>
      <c r="AA97" s="1515"/>
      <c r="AB97" s="14"/>
      <c r="AC97" s="79">
        <f>AK97</f>
        <v>0</v>
      </c>
      <c r="AD97" s="79">
        <f t="shared" ref="AD97" si="167">AC97</f>
        <v>0</v>
      </c>
      <c r="AE97" s="79">
        <f t="shared" ref="AE97" si="168">AD97</f>
        <v>0</v>
      </c>
      <c r="AF97" s="79">
        <f t="shared" ref="AF97" si="169">AE97</f>
        <v>0</v>
      </c>
      <c r="AG97" s="79">
        <f t="shared" ref="AG97" si="170">AF97</f>
        <v>0</v>
      </c>
      <c r="AH97" s="79">
        <f t="shared" ref="AH97" si="171">AG97</f>
        <v>0</v>
      </c>
      <c r="AI97" s="415"/>
      <c r="AJ97" s="1321"/>
      <c r="AK97" s="1526">
        <f>L97</f>
        <v>0</v>
      </c>
      <c r="AL97" s="1526">
        <f t="shared" ref="AL97" si="172">AK97</f>
        <v>0</v>
      </c>
      <c r="AM97" s="1526">
        <f t="shared" ref="AM97" si="173">AL97</f>
        <v>0</v>
      </c>
      <c r="AN97" s="1526">
        <f t="shared" ref="AN97" si="174">AM97</f>
        <v>0</v>
      </c>
      <c r="AO97" s="1526">
        <f t="shared" ref="AO97" si="175">AN97</f>
        <v>0</v>
      </c>
      <c r="AP97" s="1526">
        <f t="shared" ref="AP97" si="176">AO97</f>
        <v>0</v>
      </c>
      <c r="AQ97" s="1515"/>
      <c r="AR97" s="1482"/>
    </row>
    <row r="98" spans="3:44">
      <c r="C98" s="1"/>
      <c r="D98" s="1"/>
      <c r="E98" s="1"/>
      <c r="F98" s="1"/>
      <c r="G98" s="1"/>
      <c r="H98" s="21"/>
      <c r="I98" s="21"/>
      <c r="J98" s="21"/>
      <c r="K98" s="21"/>
      <c r="L98" s="18"/>
      <c r="M98" s="18"/>
      <c r="N98" s="99"/>
      <c r="O98" s="99"/>
      <c r="P98" s="99"/>
      <c r="Q98" s="99"/>
      <c r="R98" s="99"/>
      <c r="S98" s="99"/>
    </row>
    <row r="99" spans="3:44">
      <c r="C99" s="1"/>
      <c r="D99" s="1" t="s">
        <v>286</v>
      </c>
      <c r="E99" s="1"/>
      <c r="F99" s="1"/>
      <c r="G99" s="1"/>
      <c r="H99" s="394">
        <v>44</v>
      </c>
      <c r="I99" s="394">
        <v>-160</v>
      </c>
      <c r="J99" s="394">
        <v>-478</v>
      </c>
      <c r="K99" s="394">
        <v>-474</v>
      </c>
      <c r="L99" s="394">
        <v>-877.78192000000001</v>
      </c>
      <c r="M99" s="394">
        <v>377.35213000000022</v>
      </c>
      <c r="N99" s="1237">
        <f>M99*2</f>
        <v>754.70426000000043</v>
      </c>
      <c r="O99" s="424">
        <v>0</v>
      </c>
      <c r="P99" s="424">
        <v>0</v>
      </c>
      <c r="Q99" s="424">
        <v>0</v>
      </c>
      <c r="R99" s="424">
        <v>0</v>
      </c>
      <c r="S99" s="424">
        <v>0</v>
      </c>
    </row>
    <row r="100" spans="3:44">
      <c r="C100" s="1"/>
      <c r="D100" s="1"/>
      <c r="E100" s="1"/>
      <c r="F100" s="1"/>
      <c r="G100" s="1"/>
      <c r="H100" s="21"/>
      <c r="I100" s="21"/>
      <c r="J100" s="21"/>
      <c r="K100" s="21"/>
      <c r="L100" s="1"/>
      <c r="M100" s="1"/>
    </row>
    <row r="101" spans="3:44" s="99" customFormat="1">
      <c r="C101" s="18" t="s">
        <v>284</v>
      </c>
      <c r="D101" s="18"/>
      <c r="E101" s="18"/>
      <c r="F101" s="18"/>
      <c r="G101" s="18"/>
      <c r="H101" s="23">
        <f>SUM(H103,H105,H107)</f>
        <v>-10</v>
      </c>
      <c r="I101" s="23">
        <f t="shared" ref="I101:S101" si="177">SUM(I103,I105,I107)</f>
        <v>88</v>
      </c>
      <c r="J101" s="23">
        <f t="shared" si="177"/>
        <v>-643</v>
      </c>
      <c r="K101" s="23">
        <f t="shared" si="177"/>
        <v>0</v>
      </c>
      <c r="L101" s="23">
        <f t="shared" si="177"/>
        <v>920.16043000000002</v>
      </c>
      <c r="M101" s="23">
        <f t="shared" si="177"/>
        <v>39.928920000000005</v>
      </c>
      <c r="N101" s="23">
        <f t="shared" si="177"/>
        <v>259.36906165805533</v>
      </c>
      <c r="O101" s="23">
        <f t="shared" si="177"/>
        <v>288.15902750209949</v>
      </c>
      <c r="P101" s="23">
        <f t="shared" si="177"/>
        <v>320.14467955483263</v>
      </c>
      <c r="Q101" s="23">
        <f t="shared" si="177"/>
        <v>355.68073898541911</v>
      </c>
      <c r="R101" s="23">
        <f t="shared" si="177"/>
        <v>395.16130101280066</v>
      </c>
      <c r="S101" s="23">
        <f t="shared" si="177"/>
        <v>439.02420542522157</v>
      </c>
      <c r="U101" s="1511"/>
      <c r="V101" s="1511"/>
      <c r="W101" s="1511"/>
      <c r="X101" s="1511"/>
      <c r="Y101" s="1511"/>
      <c r="Z101" s="1511"/>
      <c r="AA101" s="1511"/>
      <c r="AB101" s="1056"/>
      <c r="AI101" s="414"/>
      <c r="AK101" s="1511"/>
      <c r="AL101" s="1511"/>
      <c r="AM101" s="1511"/>
      <c r="AN101" s="1511"/>
      <c r="AO101" s="1511"/>
      <c r="AP101" s="1511"/>
      <c r="AQ101" s="1511"/>
      <c r="AR101" s="414"/>
    </row>
    <row r="102" spans="3:44" s="1" customFormat="1">
      <c r="D102" s="22" t="s">
        <v>130</v>
      </c>
      <c r="H102" s="56">
        <f>H101/H$31</f>
        <v>-3.3308906801678769E-4</v>
      </c>
      <c r="I102" s="56">
        <f t="shared" ref="I102:I108" si="178">I101/I$31</f>
        <v>5.974323984874098E-4</v>
      </c>
      <c r="J102" s="56">
        <f t="shared" ref="J102:J108" si="179">J101/J$31</f>
        <v>-4.1363250392404084E-3</v>
      </c>
      <c r="K102" s="56">
        <f t="shared" ref="K102:S108" si="180">K101/K$31</f>
        <v>0</v>
      </c>
      <c r="L102" s="56">
        <f t="shared" si="180"/>
        <v>5.6305780381168567E-3</v>
      </c>
      <c r="M102" s="56">
        <f t="shared" si="180"/>
        <v>4.2626058856938884E-4</v>
      </c>
      <c r="N102" s="56">
        <f t="shared" si="180"/>
        <v>1.4285437345383841E-3</v>
      </c>
      <c r="O102" s="56">
        <f t="shared" si="180"/>
        <v>1.4285437345383839E-3</v>
      </c>
      <c r="P102" s="56">
        <f t="shared" si="180"/>
        <v>1.4285437345383841E-3</v>
      </c>
      <c r="Q102" s="56">
        <f t="shared" si="180"/>
        <v>1.4285437345383841E-3</v>
      </c>
      <c r="R102" s="56">
        <f t="shared" si="180"/>
        <v>1.4285437345383841E-3</v>
      </c>
      <c r="S102" s="56">
        <f t="shared" si="180"/>
        <v>1.4285437345383841E-3</v>
      </c>
      <c r="T102" s="1321"/>
      <c r="U102" s="1515"/>
      <c r="V102" s="1515"/>
      <c r="W102" s="1515"/>
      <c r="X102" s="1515"/>
      <c r="Y102" s="1515"/>
      <c r="Z102" s="1515"/>
      <c r="AA102" s="1515"/>
      <c r="AB102" s="14"/>
      <c r="AI102" s="415"/>
      <c r="AJ102" s="1321"/>
      <c r="AK102" s="1515"/>
      <c r="AL102" s="1515"/>
      <c r="AM102" s="1515"/>
      <c r="AN102" s="1515"/>
      <c r="AO102" s="1515"/>
      <c r="AP102" s="1515"/>
      <c r="AQ102" s="1515"/>
      <c r="AR102" s="1482"/>
    </row>
    <row r="103" spans="3:44">
      <c r="C103" s="1"/>
      <c r="D103" s="1" t="s">
        <v>285</v>
      </c>
      <c r="E103" s="1"/>
      <c r="H103" s="394">
        <v>-10</v>
      </c>
      <c r="I103" s="394">
        <v>-40</v>
      </c>
      <c r="J103" s="394">
        <v>-40</v>
      </c>
      <c r="K103" s="394">
        <v>0</v>
      </c>
      <c r="L103" s="394">
        <v>-40</v>
      </c>
      <c r="M103" s="394">
        <v>-29.00874</v>
      </c>
      <c r="N103" s="20">
        <f>N104*N$31</f>
        <v>-56.226508040941326</v>
      </c>
      <c r="O103" s="20">
        <f t="shared" ref="O103:S103" si="181">O104*O$31</f>
        <v>-62.467650433485815</v>
      </c>
      <c r="P103" s="20">
        <f t="shared" si="181"/>
        <v>-69.401559631602751</v>
      </c>
      <c r="Q103" s="20">
        <f t="shared" si="181"/>
        <v>-77.105132750710666</v>
      </c>
      <c r="R103" s="20">
        <f t="shared" si="181"/>
        <v>-85.663802486039557</v>
      </c>
      <c r="S103" s="20">
        <f t="shared" si="181"/>
        <v>-95.172484561989961</v>
      </c>
    </row>
    <row r="104" spans="3:44">
      <c r="C104" s="1"/>
      <c r="D104" s="1"/>
      <c r="E104" s="22" t="s">
        <v>130</v>
      </c>
      <c r="H104" s="394"/>
      <c r="I104" s="56">
        <f t="shared" si="178"/>
        <v>-2.7156018113064082E-4</v>
      </c>
      <c r="J104" s="56">
        <f t="shared" si="179"/>
        <v>-2.5731415485165838E-4</v>
      </c>
      <c r="K104" s="56">
        <f t="shared" si="180"/>
        <v>0</v>
      </c>
      <c r="L104" s="56">
        <f t="shared" si="180"/>
        <v>-2.447650585503598E-4</v>
      </c>
      <c r="M104" s="56">
        <f t="shared" si="180"/>
        <v>-3.0968237022329607E-4</v>
      </c>
      <c r="N104" s="148">
        <f>M104</f>
        <v>-3.0968237022329607E-4</v>
      </c>
      <c r="O104" s="148">
        <f>N104</f>
        <v>-3.0968237022329607E-4</v>
      </c>
      <c r="P104" s="148">
        <f t="shared" ref="P104:S104" si="182">O104</f>
        <v>-3.0968237022329607E-4</v>
      </c>
      <c r="Q104" s="148">
        <f t="shared" si="182"/>
        <v>-3.0968237022329607E-4</v>
      </c>
      <c r="R104" s="148">
        <f t="shared" si="182"/>
        <v>-3.0968237022329607E-4</v>
      </c>
      <c r="S104" s="148">
        <f t="shared" si="182"/>
        <v>-3.0968237022329607E-4</v>
      </c>
    </row>
    <row r="105" spans="3:44">
      <c r="C105" s="1"/>
      <c r="D105" s="1" t="s">
        <v>287</v>
      </c>
      <c r="E105" s="1"/>
      <c r="F105" s="1"/>
      <c r="G105" s="1"/>
      <c r="H105" s="394">
        <v>0</v>
      </c>
      <c r="I105" s="394">
        <v>91</v>
      </c>
      <c r="J105" s="394">
        <v>-541</v>
      </c>
      <c r="K105" s="394">
        <v>0</v>
      </c>
      <c r="L105" s="394">
        <v>959.16043000000002</v>
      </c>
      <c r="M105" s="394">
        <v>0</v>
      </c>
      <c r="N105" s="20">
        <f>N106*N$31</f>
        <v>181.97639512217327</v>
      </c>
      <c r="O105" s="20">
        <f t="shared" ref="O105" si="183">O106*O$31</f>
        <v>202.17577498073453</v>
      </c>
      <c r="P105" s="20">
        <f t="shared" ref="P105" si="184">P106*P$31</f>
        <v>224.61728600359612</v>
      </c>
      <c r="Q105" s="20">
        <f t="shared" ref="Q105" si="185">Q106*Q$31</f>
        <v>249.5498047499953</v>
      </c>
      <c r="R105" s="20">
        <f t="shared" ref="R105" si="186">R106*R$31</f>
        <v>277.24983307724483</v>
      </c>
      <c r="S105" s="20">
        <f t="shared" ref="S105" si="187">S106*S$31</f>
        <v>308.02456454881906</v>
      </c>
    </row>
    <row r="106" spans="3:44">
      <c r="C106" s="1"/>
      <c r="D106" s="1"/>
      <c r="E106" s="22" t="s">
        <v>130</v>
      </c>
      <c r="F106" s="1"/>
      <c r="G106" s="1"/>
      <c r="H106" s="394"/>
      <c r="I106" s="56">
        <f t="shared" si="178"/>
        <v>6.1779941207220788E-4</v>
      </c>
      <c r="J106" s="56">
        <f t="shared" si="179"/>
        <v>-3.4801739443686796E-3</v>
      </c>
      <c r="K106" s="56">
        <f t="shared" si="180"/>
        <v>0</v>
      </c>
      <c r="L106" s="56">
        <f t="shared" si="180"/>
        <v>5.8692239702034573E-3</v>
      </c>
      <c r="M106" s="56">
        <f t="shared" si="180"/>
        <v>0</v>
      </c>
      <c r="N106" s="148">
        <f>AVERAGE(I106,J106,L106)</f>
        <v>1.0022831459689952E-3</v>
      </c>
      <c r="O106" s="148">
        <f>N106</f>
        <v>1.0022831459689952E-3</v>
      </c>
      <c r="P106" s="148">
        <f t="shared" ref="P106:S106" si="188">O106</f>
        <v>1.0022831459689952E-3</v>
      </c>
      <c r="Q106" s="148">
        <f t="shared" si="188"/>
        <v>1.0022831459689952E-3</v>
      </c>
      <c r="R106" s="148">
        <f t="shared" si="188"/>
        <v>1.0022831459689952E-3</v>
      </c>
      <c r="S106" s="148">
        <f t="shared" si="188"/>
        <v>1.0022831459689952E-3</v>
      </c>
    </row>
    <row r="107" spans="3:44">
      <c r="C107" s="1"/>
      <c r="D107" s="1" t="s">
        <v>288</v>
      </c>
      <c r="E107" s="1"/>
      <c r="F107" s="1"/>
      <c r="G107" s="1"/>
      <c r="H107" s="394">
        <v>0</v>
      </c>
      <c r="I107" s="394">
        <v>37</v>
      </c>
      <c r="J107" s="394">
        <v>-62</v>
      </c>
      <c r="K107" s="394">
        <v>0</v>
      </c>
      <c r="L107" s="394">
        <v>1</v>
      </c>
      <c r="M107" s="394">
        <v>68.937660000000008</v>
      </c>
      <c r="N107" s="20">
        <f>N108*N$31</f>
        <v>133.61917457682338</v>
      </c>
      <c r="O107" s="20">
        <f t="shared" ref="O107" si="189">O108*O$31</f>
        <v>148.45090295485079</v>
      </c>
      <c r="P107" s="20">
        <f t="shared" ref="P107" si="190">P108*P$31</f>
        <v>164.92895318283928</v>
      </c>
      <c r="Q107" s="20">
        <f t="shared" ref="Q107" si="191">Q108*Q$31</f>
        <v>183.23606698613446</v>
      </c>
      <c r="R107" s="20">
        <f t="shared" ref="R107" si="192">R108*R$31</f>
        <v>203.57527042159538</v>
      </c>
      <c r="S107" s="20">
        <f t="shared" ref="S107" si="193">S108*S$31</f>
        <v>226.1721254383925</v>
      </c>
    </row>
    <row r="108" spans="3:44">
      <c r="C108" s="1"/>
      <c r="D108" s="1"/>
      <c r="E108" s="22" t="s">
        <v>130</v>
      </c>
      <c r="F108" s="1"/>
      <c r="G108" s="1"/>
      <c r="H108" s="394"/>
      <c r="I108" s="56">
        <f t="shared" si="178"/>
        <v>2.5119316754584274E-4</v>
      </c>
      <c r="J108" s="56">
        <f t="shared" si="179"/>
        <v>-3.9883694002007048E-4</v>
      </c>
      <c r="K108" s="56">
        <f t="shared" si="180"/>
        <v>0</v>
      </c>
      <c r="L108" s="56">
        <f t="shared" si="180"/>
        <v>6.1191264637589953E-6</v>
      </c>
      <c r="M108" s="56">
        <f t="shared" si="180"/>
        <v>7.3594295879268496E-4</v>
      </c>
      <c r="N108" s="148">
        <f>M108</f>
        <v>7.3594295879268496E-4</v>
      </c>
      <c r="O108" s="148">
        <f>N108</f>
        <v>7.3594295879268496E-4</v>
      </c>
      <c r="P108" s="148">
        <f t="shared" ref="P108:S108" si="194">O108</f>
        <v>7.3594295879268496E-4</v>
      </c>
      <c r="Q108" s="148">
        <f t="shared" si="194"/>
        <v>7.3594295879268496E-4</v>
      </c>
      <c r="R108" s="148">
        <f t="shared" si="194"/>
        <v>7.3594295879268496E-4</v>
      </c>
      <c r="S108" s="148">
        <f t="shared" si="194"/>
        <v>7.3594295879268496E-4</v>
      </c>
    </row>
    <row r="109" spans="3:44">
      <c r="C109" s="1"/>
      <c r="D109" s="1"/>
      <c r="E109" s="1"/>
      <c r="F109" s="1"/>
      <c r="G109" s="1"/>
      <c r="H109" s="52"/>
      <c r="I109" s="52"/>
      <c r="J109" s="52"/>
      <c r="K109" s="52"/>
      <c r="L109" s="1"/>
      <c r="M109" s="1"/>
    </row>
    <row r="110" spans="3:44">
      <c r="C110" s="18" t="s">
        <v>289</v>
      </c>
      <c r="D110" s="1"/>
      <c r="E110" s="1"/>
      <c r="F110" s="1"/>
      <c r="G110" s="1"/>
      <c r="H110" s="138">
        <f>H38+H91+H101+H99</f>
        <v>1268</v>
      </c>
      <c r="I110" s="138">
        <f t="shared" ref="I110:S110" si="195">I38+I91+I101+I99</f>
        <v>7257</v>
      </c>
      <c r="J110" s="138">
        <f t="shared" si="195"/>
        <v>12012</v>
      </c>
      <c r="K110" s="138">
        <f t="shared" si="195"/>
        <v>16830</v>
      </c>
      <c r="L110" s="138">
        <f t="shared" ref="L110:M110" si="196">L38+L91+L101+L99</f>
        <v>9771.238289999992</v>
      </c>
      <c r="M110" s="138">
        <f t="shared" si="196"/>
        <v>6648.4762199999614</v>
      </c>
      <c r="N110" s="138">
        <f t="shared" si="195"/>
        <v>14498.302665087882</v>
      </c>
      <c r="O110" s="138">
        <f t="shared" si="195"/>
        <v>15874.283517054342</v>
      </c>
      <c r="P110" s="138">
        <f t="shared" si="195"/>
        <v>18308.645847928266</v>
      </c>
      <c r="Q110" s="138">
        <f t="shared" si="195"/>
        <v>21087.849569042581</v>
      </c>
      <c r="R110" s="138">
        <f t="shared" si="195"/>
        <v>24258.455690751965</v>
      </c>
      <c r="S110" s="138">
        <f t="shared" si="195"/>
        <v>27873.112976940633</v>
      </c>
    </row>
    <row r="111" spans="3:44">
      <c r="C111" s="18"/>
      <c r="D111" s="1" t="s">
        <v>290</v>
      </c>
      <c r="E111" s="1"/>
      <c r="H111" s="100">
        <v>0</v>
      </c>
      <c r="I111" s="100">
        <v>0</v>
      </c>
      <c r="J111" s="99">
        <v>0</v>
      </c>
      <c r="K111" s="99">
        <v>0</v>
      </c>
      <c r="L111" s="99">
        <v>0</v>
      </c>
      <c r="M111" s="99">
        <v>0</v>
      </c>
      <c r="N111" s="164">
        <f>L111</f>
        <v>0</v>
      </c>
      <c r="O111" s="164">
        <f t="shared" ref="O111:S111" si="197">N111</f>
        <v>0</v>
      </c>
      <c r="P111" s="164">
        <f t="shared" si="197"/>
        <v>0</v>
      </c>
      <c r="Q111" s="164">
        <f t="shared" si="197"/>
        <v>0</v>
      </c>
      <c r="R111" s="164">
        <f t="shared" si="197"/>
        <v>0</v>
      </c>
      <c r="S111" s="164">
        <f t="shared" si="197"/>
        <v>0</v>
      </c>
    </row>
    <row r="112" spans="3:44">
      <c r="C112" s="1"/>
      <c r="D112" s="1"/>
      <c r="E112" s="1"/>
      <c r="F112" s="1"/>
      <c r="G112" s="1"/>
      <c r="H112" s="21"/>
      <c r="I112" s="21"/>
      <c r="J112" s="21"/>
      <c r="K112" s="21"/>
      <c r="L112" s="1"/>
      <c r="M112" s="1"/>
    </row>
    <row r="113" spans="1:44">
      <c r="C113" s="18" t="s">
        <v>291</v>
      </c>
      <c r="D113" s="1"/>
      <c r="E113" s="1"/>
      <c r="F113" s="1"/>
      <c r="G113" s="1"/>
      <c r="H113" s="23">
        <f>H110+H111</f>
        <v>1268</v>
      </c>
      <c r="I113" s="23">
        <f t="shared" ref="I113:S113" si="198">I110+I111</f>
        <v>7257</v>
      </c>
      <c r="J113" s="23">
        <f t="shared" si="198"/>
        <v>12012</v>
      </c>
      <c r="K113" s="23">
        <f t="shared" si="198"/>
        <v>16830</v>
      </c>
      <c r="L113" s="23">
        <f t="shared" si="198"/>
        <v>9771.238289999992</v>
      </c>
      <c r="M113" s="23">
        <f t="shared" si="198"/>
        <v>6648.4762199999614</v>
      </c>
      <c r="N113" s="23">
        <f t="shared" si="198"/>
        <v>14498.302665087882</v>
      </c>
      <c r="O113" s="23">
        <f t="shared" si="198"/>
        <v>15874.283517054342</v>
      </c>
      <c r="P113" s="23">
        <f t="shared" si="198"/>
        <v>18308.645847928266</v>
      </c>
      <c r="Q113" s="23">
        <f t="shared" si="198"/>
        <v>21087.849569042581</v>
      </c>
      <c r="R113" s="23">
        <f t="shared" si="198"/>
        <v>24258.455690751965</v>
      </c>
      <c r="S113" s="23">
        <f t="shared" si="198"/>
        <v>27873.112976940633</v>
      </c>
    </row>
    <row r="114" spans="1:44">
      <c r="C114" s="1" t="s">
        <v>292</v>
      </c>
      <c r="D114" s="1" t="s">
        <v>293</v>
      </c>
      <c r="E114" s="1"/>
      <c r="F114" s="1"/>
      <c r="G114" s="1"/>
      <c r="H114" s="394">
        <v>0</v>
      </c>
      <c r="I114" s="394">
        <v>-600</v>
      </c>
      <c r="J114" s="394">
        <v>-4400</v>
      </c>
      <c r="K114" s="394">
        <v>-2070</v>
      </c>
      <c r="L114" s="394">
        <v>-2519.5628000000002</v>
      </c>
      <c r="M114" s="394">
        <v>-1158.7838200000001</v>
      </c>
      <c r="N114" s="20">
        <f t="shared" ref="N114:S114" si="199">-N115*N113</f>
        <v>-4059.5247462246075</v>
      </c>
      <c r="O114" s="20">
        <f t="shared" si="199"/>
        <v>-4444.7993847752159</v>
      </c>
      <c r="P114" s="20">
        <f t="shared" si="199"/>
        <v>-5126.4208374199152</v>
      </c>
      <c r="Q114" s="20">
        <f t="shared" si="199"/>
        <v>-5904.5978793319227</v>
      </c>
      <c r="R114" s="20">
        <f t="shared" si="199"/>
        <v>-6792.3675934105513</v>
      </c>
      <c r="S114" s="20">
        <f t="shared" si="199"/>
        <v>-7804.4716335433777</v>
      </c>
    </row>
    <row r="115" spans="1:44">
      <c r="D115" s="22" t="s">
        <v>247</v>
      </c>
      <c r="E115" s="1"/>
      <c r="F115" s="1"/>
      <c r="G115" s="1"/>
      <c r="H115" s="94">
        <f>-H114/H113</f>
        <v>0</v>
      </c>
      <c r="I115" s="94">
        <f t="shared" ref="I115:M115" si="200">-I114/I113</f>
        <v>8.2678792889623806E-2</v>
      </c>
      <c r="J115" s="94">
        <f t="shared" si="200"/>
        <v>0.36630036630036628</v>
      </c>
      <c r="K115" s="94">
        <f t="shared" si="200"/>
        <v>0.12299465240641712</v>
      </c>
      <c r="L115" s="94">
        <f t="shared" si="200"/>
        <v>0.25785501542609524</v>
      </c>
      <c r="M115" s="94">
        <f t="shared" si="200"/>
        <v>0.17429314351973524</v>
      </c>
      <c r="N115" s="161">
        <v>0.28000000000000003</v>
      </c>
      <c r="O115" s="161">
        <v>0.28000000000000003</v>
      </c>
      <c r="P115" s="161">
        <v>0.28000000000000003</v>
      </c>
      <c r="Q115" s="161">
        <v>0.28000000000000003</v>
      </c>
      <c r="R115" s="161">
        <v>0.28000000000000003</v>
      </c>
      <c r="S115" s="161">
        <v>0.28000000000000003</v>
      </c>
    </row>
    <row r="116" spans="1:44">
      <c r="C116" s="1"/>
      <c r="D116" s="1"/>
      <c r="E116" s="1"/>
      <c r="F116" s="1"/>
      <c r="G116" s="1"/>
      <c r="H116" s="21"/>
      <c r="I116" s="21"/>
      <c r="J116" s="21"/>
      <c r="K116" s="21"/>
      <c r="L116" s="1"/>
      <c r="M116" s="1"/>
    </row>
    <row r="117" spans="1:44">
      <c r="C117" s="18" t="s">
        <v>294</v>
      </c>
      <c r="D117" s="1"/>
      <c r="E117" s="1"/>
      <c r="F117" s="1"/>
      <c r="G117" s="1"/>
      <c r="H117" s="23">
        <f>H113+H114</f>
        <v>1268</v>
      </c>
      <c r="I117" s="23">
        <f t="shared" ref="I117:S117" si="201">I113+I114</f>
        <v>6657</v>
      </c>
      <c r="J117" s="23">
        <f t="shared" si="201"/>
        <v>7612</v>
      </c>
      <c r="K117" s="23">
        <f t="shared" si="201"/>
        <v>14760</v>
      </c>
      <c r="L117" s="23">
        <f t="shared" si="201"/>
        <v>7251.6754899999924</v>
      </c>
      <c r="M117" s="23">
        <f t="shared" si="201"/>
        <v>5489.6923999999617</v>
      </c>
      <c r="N117" s="23">
        <f t="shared" si="201"/>
        <v>10438.777918863274</v>
      </c>
      <c r="O117" s="23">
        <f t="shared" si="201"/>
        <v>11429.484132279125</v>
      </c>
      <c r="P117" s="23">
        <f t="shared" si="201"/>
        <v>13182.225010508351</v>
      </c>
      <c r="Q117" s="23">
        <f t="shared" si="201"/>
        <v>15183.251689710658</v>
      </c>
      <c r="R117" s="23">
        <f t="shared" si="201"/>
        <v>17466.088097341413</v>
      </c>
      <c r="S117" s="23">
        <f t="shared" si="201"/>
        <v>20068.641343397256</v>
      </c>
    </row>
    <row r="118" spans="1:44">
      <c r="C118" s="1"/>
      <c r="D118" s="1"/>
      <c r="E118" s="1"/>
    </row>
    <row r="119" spans="1:44" s="62" customFormat="1">
      <c r="A119" s="10" t="s">
        <v>8</v>
      </c>
      <c r="B119" s="10"/>
      <c r="C119" s="10" t="s">
        <v>79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125"/>
      <c r="U119" s="1515"/>
      <c r="V119" s="1515"/>
      <c r="W119" s="1515"/>
      <c r="X119" s="1515"/>
      <c r="Y119" s="1515"/>
      <c r="Z119" s="1515"/>
      <c r="AA119" s="1515"/>
      <c r="AB119" s="1179"/>
      <c r="AI119" s="475"/>
      <c r="AJ119" s="1125"/>
      <c r="AK119" s="1515"/>
      <c r="AL119" s="1515"/>
      <c r="AM119" s="1515"/>
      <c r="AN119" s="1515"/>
      <c r="AO119" s="1515"/>
      <c r="AP119" s="1515"/>
      <c r="AQ119" s="1515"/>
      <c r="AR119" s="1482"/>
    </row>
    <row r="120" spans="1:44">
      <c r="C120" s="1"/>
      <c r="D120" s="1"/>
      <c r="E120" s="1"/>
      <c r="H120" s="127"/>
      <c r="I120" s="127"/>
      <c r="J120" s="127"/>
      <c r="K120" s="127"/>
    </row>
    <row r="121" spans="1:44" s="101" customFormat="1" ht="14.5" customHeight="1">
      <c r="C121" s="1" t="s">
        <v>249</v>
      </c>
      <c r="D121" s="18"/>
      <c r="E121" s="18"/>
      <c r="H121" s="394">
        <v>-11</v>
      </c>
      <c r="I121" s="394">
        <v>72</v>
      </c>
      <c r="J121" s="394">
        <v>762</v>
      </c>
      <c r="K121" s="394">
        <v>474</v>
      </c>
      <c r="L121" s="394">
        <v>707.65186000000006</v>
      </c>
      <c r="M121" s="394">
        <v>-459.11860999999999</v>
      </c>
      <c r="N121" s="101">
        <f t="shared" ref="N121:S121" si="202">-N99</f>
        <v>-754.70426000000043</v>
      </c>
      <c r="O121" s="101">
        <f t="shared" si="202"/>
        <v>0</v>
      </c>
      <c r="P121" s="101">
        <f t="shared" si="202"/>
        <v>0</v>
      </c>
      <c r="Q121" s="101">
        <f t="shared" si="202"/>
        <v>0</v>
      </c>
      <c r="R121" s="101">
        <f t="shared" si="202"/>
        <v>0</v>
      </c>
      <c r="S121" s="101">
        <f t="shared" si="202"/>
        <v>0</v>
      </c>
      <c r="U121" s="1512"/>
      <c r="V121" s="1512"/>
      <c r="W121" s="1512"/>
      <c r="X121" s="1512"/>
      <c r="Y121" s="1512"/>
      <c r="Z121" s="1512"/>
      <c r="AA121" s="1512"/>
      <c r="AB121" s="1527"/>
      <c r="AI121" s="473"/>
      <c r="AK121" s="1512"/>
      <c r="AL121" s="1512"/>
      <c r="AM121" s="1512"/>
      <c r="AN121" s="1512"/>
      <c r="AO121" s="1512"/>
      <c r="AP121" s="1512"/>
      <c r="AQ121" s="1512"/>
      <c r="AR121" s="473"/>
    </row>
    <row r="122" spans="1:44" s="101" customFormat="1" ht="14.5" customHeight="1">
      <c r="C122" s="1" t="s">
        <v>250</v>
      </c>
      <c r="H122" s="394">
        <v>412</v>
      </c>
      <c r="I122" s="394">
        <v>3847</v>
      </c>
      <c r="J122" s="394">
        <v>2669</v>
      </c>
      <c r="K122" s="394">
        <v>3122</v>
      </c>
      <c r="L122" s="394">
        <v>2989.65371</v>
      </c>
      <c r="M122" s="394">
        <v>1764.4190199999994</v>
      </c>
      <c r="N122" s="21">
        <f>'固定资产&amp;无形资产'!N11*1000*集团!N9/集团!N11</f>
        <v>4780.6071698339483</v>
      </c>
      <c r="O122" s="21">
        <f>'固定资产&amp;无形资产'!O11*1000*集团!O9/集团!O11</f>
        <v>5229.3059889269707</v>
      </c>
      <c r="P122" s="21">
        <f>'固定资产&amp;无形资产'!P11*1000*集团!P9/集团!P11</f>
        <v>5678.0048080199931</v>
      </c>
      <c r="Q122" s="21">
        <f>'固定资产&amp;无形资产'!Q11*1000*集团!Q9/集团!Q11</f>
        <v>6525.9018647402609</v>
      </c>
      <c r="R122" s="21">
        <f>'固定资产&amp;无形资产'!R11*1000*集团!R9/集团!R11</f>
        <v>7373.7989214605277</v>
      </c>
      <c r="S122" s="21">
        <f>'固定资产&amp;无形资产'!S11*1000*集团!S9/集团!S11</f>
        <v>7822.4977405535501</v>
      </c>
      <c r="U122" s="1512"/>
      <c r="V122" s="1512"/>
      <c r="W122" s="1512"/>
      <c r="X122" s="1512"/>
      <c r="Y122" s="1512"/>
      <c r="Z122" s="1512"/>
      <c r="AA122" s="1512"/>
      <c r="AB122" s="1527"/>
      <c r="AI122" s="473"/>
      <c r="AK122" s="1512"/>
      <c r="AL122" s="1512"/>
      <c r="AM122" s="1512"/>
      <c r="AN122" s="1512"/>
      <c r="AO122" s="1512"/>
      <c r="AP122" s="1512"/>
      <c r="AQ122" s="1512"/>
      <c r="AR122" s="473"/>
    </row>
    <row r="123" spans="1:44" s="101" customFormat="1" ht="14.5" customHeight="1">
      <c r="D123" s="22" t="s">
        <v>83</v>
      </c>
      <c r="E123" s="18"/>
      <c r="H123" s="94">
        <f>H122/H31</f>
        <v>1.3723269602291652E-2</v>
      </c>
      <c r="I123" s="94">
        <f>I122/I31</f>
        <v>2.6117300420239381E-2</v>
      </c>
      <c r="J123" s="94">
        <f>J122/J31</f>
        <v>1.7169286982476908E-2</v>
      </c>
      <c r="K123" s="94">
        <f>K122/K31</f>
        <v>2.3003411460444007E-2</v>
      </c>
      <c r="L123" s="94">
        <f t="shared" ref="L123:M123" si="203">L122/L31</f>
        <v>1.829406913433626E-2</v>
      </c>
      <c r="M123" s="94">
        <f t="shared" si="203"/>
        <v>1.8836028872011162E-2</v>
      </c>
      <c r="N123" s="94">
        <f t="shared" ref="N123:S123" si="204">N122/N31</f>
        <v>2.6330458907080918E-2</v>
      </c>
      <c r="O123" s="94">
        <f t="shared" si="204"/>
        <v>2.5924200158578214E-2</v>
      </c>
      <c r="P123" s="94">
        <f t="shared" si="204"/>
        <v>2.5336289219157634E-2</v>
      </c>
      <c r="Q123" s="94">
        <f t="shared" si="204"/>
        <v>2.6210405004441998E-2</v>
      </c>
      <c r="R123" s="94">
        <f t="shared" si="204"/>
        <v>2.6656947990605754E-2</v>
      </c>
      <c r="S123" s="94">
        <f t="shared" si="204"/>
        <v>2.5453676580053229E-2</v>
      </c>
      <c r="U123" s="1512"/>
      <c r="V123" s="1512"/>
      <c r="W123" s="1512"/>
      <c r="X123" s="1512"/>
      <c r="Y123" s="1512"/>
      <c r="Z123" s="1512"/>
      <c r="AA123" s="1512"/>
      <c r="AB123" s="1527"/>
      <c r="AI123" s="473"/>
      <c r="AK123" s="1512"/>
      <c r="AL123" s="1512"/>
      <c r="AM123" s="1512"/>
      <c r="AN123" s="1512"/>
      <c r="AO123" s="1512"/>
      <c r="AP123" s="1512"/>
      <c r="AQ123" s="1512"/>
      <c r="AR123" s="473"/>
    </row>
    <row r="124" spans="1:44"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</row>
    <row r="125" spans="1:44" s="18" customFormat="1" hidden="1">
      <c r="C125" s="18" t="s">
        <v>84</v>
      </c>
      <c r="H125" s="100">
        <v>34164</v>
      </c>
      <c r="I125" s="100">
        <v>12528</v>
      </c>
      <c r="J125" s="100">
        <v>16510</v>
      </c>
      <c r="K125" s="100">
        <v>11264</v>
      </c>
      <c r="T125" s="1126"/>
      <c r="U125" s="1518"/>
      <c r="V125" s="1518"/>
      <c r="W125" s="1518"/>
      <c r="X125" s="1518"/>
      <c r="Y125" s="1518"/>
      <c r="Z125" s="1518"/>
      <c r="AA125" s="1518"/>
      <c r="AB125" s="397"/>
      <c r="AI125" s="478"/>
      <c r="AJ125" s="1126"/>
      <c r="AK125" s="1518"/>
      <c r="AL125" s="1518"/>
      <c r="AM125" s="1518"/>
      <c r="AN125" s="1518"/>
      <c r="AO125" s="1518"/>
      <c r="AP125" s="1518"/>
      <c r="AQ125" s="1518"/>
      <c r="AR125" s="1494"/>
    </row>
    <row r="126" spans="1:44" hidden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</row>
    <row r="127" spans="1:44" s="99" customFormat="1" hidden="1">
      <c r="C127" s="18"/>
      <c r="D127" s="67" t="s">
        <v>85</v>
      </c>
      <c r="E127" s="18"/>
      <c r="U127" s="1511"/>
      <c r="V127" s="1511"/>
      <c r="W127" s="1511"/>
      <c r="X127" s="1511"/>
      <c r="Y127" s="1511"/>
      <c r="Z127" s="1511"/>
      <c r="AA127" s="1511"/>
      <c r="AB127" s="1056"/>
      <c r="AI127" s="414"/>
      <c r="AK127" s="1511"/>
      <c r="AL127" s="1511"/>
      <c r="AM127" s="1511"/>
      <c r="AN127" s="1511"/>
      <c r="AO127" s="1511"/>
      <c r="AP127" s="1511"/>
      <c r="AQ127" s="1511"/>
      <c r="AR127" s="414"/>
    </row>
    <row r="128" spans="1:44" s="101" customFormat="1" hidden="1">
      <c r="C128" s="1"/>
      <c r="D128" s="1" t="s">
        <v>295</v>
      </c>
      <c r="E128" s="1"/>
      <c r="F128" s="1"/>
      <c r="G128" s="1"/>
      <c r="H128" s="21">
        <v>2887</v>
      </c>
      <c r="I128" s="21">
        <v>4167</v>
      </c>
      <c r="J128" s="21">
        <v>784</v>
      </c>
      <c r="K128" s="21">
        <v>560</v>
      </c>
      <c r="L128" s="1"/>
      <c r="M128" s="1"/>
      <c r="U128" s="1512"/>
      <c r="V128" s="1512"/>
      <c r="W128" s="1512"/>
      <c r="X128" s="1512"/>
      <c r="Y128" s="1512"/>
      <c r="Z128" s="1512"/>
      <c r="AA128" s="1512"/>
      <c r="AB128" s="1527"/>
      <c r="AI128" s="473"/>
      <c r="AK128" s="1512"/>
      <c r="AL128" s="1512"/>
      <c r="AM128" s="1512"/>
      <c r="AN128" s="1512"/>
      <c r="AO128" s="1512"/>
      <c r="AP128" s="1512"/>
      <c r="AQ128" s="1512"/>
      <c r="AR128" s="473"/>
    </row>
    <row r="129" spans="3:19" hidden="1">
      <c r="C129" s="1"/>
      <c r="D129" s="1" t="s">
        <v>87</v>
      </c>
      <c r="E129" s="1"/>
      <c r="F129" s="1"/>
      <c r="G129" s="1"/>
      <c r="H129" s="23">
        <f>SUM(H128)</f>
        <v>2887</v>
      </c>
      <c r="I129" s="23">
        <f t="shared" ref="I129:K129" si="205">SUM(I128)</f>
        <v>4167</v>
      </c>
      <c r="J129" s="23">
        <f t="shared" si="205"/>
        <v>784</v>
      </c>
      <c r="K129" s="23">
        <f t="shared" si="205"/>
        <v>560</v>
      </c>
      <c r="L129" s="1"/>
      <c r="M129" s="1"/>
      <c r="N129" s="99"/>
      <c r="O129" s="99"/>
      <c r="P129" s="99"/>
      <c r="Q129" s="99"/>
      <c r="R129" s="99"/>
      <c r="S129" s="99"/>
    </row>
    <row r="130" spans="3:19" hidden="1">
      <c r="C130" s="1"/>
      <c r="D130" s="1"/>
      <c r="E130" s="1"/>
      <c r="F130" s="1"/>
      <c r="G130" s="1"/>
      <c r="H130" s="21"/>
      <c r="I130" s="21"/>
      <c r="J130" s="21"/>
      <c r="K130" s="21"/>
      <c r="L130" s="1"/>
      <c r="M130" s="1"/>
    </row>
    <row r="131" spans="3:19" hidden="1">
      <c r="C131" s="1"/>
      <c r="D131" s="67" t="s">
        <v>88</v>
      </c>
      <c r="E131" s="1"/>
      <c r="F131" s="1"/>
      <c r="G131" s="1"/>
      <c r="H131" s="21"/>
      <c r="I131" s="21"/>
      <c r="J131" s="21"/>
      <c r="K131" s="21"/>
      <c r="L131" s="1"/>
      <c r="M131" s="1"/>
    </row>
    <row r="132" spans="3:19" hidden="1">
      <c r="C132" s="1"/>
      <c r="D132" s="1" t="s">
        <v>296</v>
      </c>
      <c r="E132" s="1"/>
      <c r="F132" s="1"/>
      <c r="G132" s="1"/>
      <c r="H132" s="21">
        <v>-1096</v>
      </c>
      <c r="I132" s="21">
        <v>-3712</v>
      </c>
      <c r="J132" s="21">
        <v>-700</v>
      </c>
      <c r="K132" s="21">
        <v>0</v>
      </c>
      <c r="L132" s="1"/>
      <c r="M132" s="1"/>
    </row>
    <row r="133" spans="3:19" hidden="1">
      <c r="C133" s="1"/>
      <c r="D133" s="1" t="s">
        <v>297</v>
      </c>
      <c r="E133" s="1"/>
      <c r="H133" s="21">
        <v>-33129</v>
      </c>
      <c r="I133" s="21">
        <v>0</v>
      </c>
      <c r="J133" s="21">
        <v>0</v>
      </c>
      <c r="K133" s="21">
        <v>0</v>
      </c>
    </row>
    <row r="134" spans="3:19" hidden="1">
      <c r="C134" s="1"/>
      <c r="D134" s="1" t="s">
        <v>298</v>
      </c>
      <c r="E134" s="1"/>
      <c r="F134" s="1"/>
      <c r="G134" s="1"/>
      <c r="H134" s="21">
        <v>0</v>
      </c>
      <c r="I134" s="21">
        <v>0</v>
      </c>
      <c r="J134" s="21">
        <v>0</v>
      </c>
      <c r="K134" s="21">
        <v>0</v>
      </c>
      <c r="L134" s="1"/>
      <c r="M134" s="1"/>
    </row>
    <row r="135" spans="3:19" hidden="1">
      <c r="C135" s="1"/>
      <c r="D135" s="1" t="s">
        <v>299</v>
      </c>
      <c r="E135" s="1"/>
      <c r="F135" s="1"/>
      <c r="G135" s="1"/>
      <c r="H135" s="21">
        <v>-1158</v>
      </c>
      <c r="I135" s="21">
        <v>-1807</v>
      </c>
      <c r="J135" s="21">
        <v>-1152</v>
      </c>
      <c r="K135" s="21">
        <v>-146</v>
      </c>
      <c r="L135" s="1"/>
      <c r="M135" s="1"/>
    </row>
    <row r="136" spans="3:19" hidden="1">
      <c r="C136" s="1"/>
      <c r="D136" s="18" t="s">
        <v>87</v>
      </c>
      <c r="E136" s="18"/>
      <c r="F136" s="18"/>
      <c r="G136" s="18"/>
      <c r="H136" s="138">
        <f>SUM(H132:H135)</f>
        <v>-35383</v>
      </c>
      <c r="I136" s="138">
        <f t="shared" ref="I136:K136" si="206">SUM(I132:I135)</f>
        <v>-5519</v>
      </c>
      <c r="J136" s="138">
        <f t="shared" si="206"/>
        <v>-1852</v>
      </c>
      <c r="K136" s="138">
        <f t="shared" si="206"/>
        <v>-146</v>
      </c>
      <c r="L136" s="1"/>
      <c r="M136" s="1"/>
    </row>
    <row r="137" spans="3:19" hidden="1">
      <c r="C137" s="1"/>
      <c r="D137" s="1"/>
      <c r="E137" s="1"/>
      <c r="F137" s="1"/>
      <c r="G137" s="1"/>
      <c r="H137" s="52"/>
      <c r="I137" s="52"/>
      <c r="J137" s="52"/>
      <c r="K137" s="52"/>
    </row>
    <row r="138" spans="3:19">
      <c r="C138" s="18" t="s">
        <v>300</v>
      </c>
      <c r="D138" s="1"/>
      <c r="E138" s="1"/>
      <c r="F138" s="1"/>
      <c r="G138" s="1"/>
      <c r="H138" s="138">
        <f>H125+H129+H136</f>
        <v>1668</v>
      </c>
      <c r="I138" s="138">
        <f>I125+I129+I136</f>
        <v>11176</v>
      </c>
      <c r="J138" s="138">
        <f t="shared" ref="J138:K138" si="207">J125+J129+J136</f>
        <v>15442</v>
      </c>
      <c r="K138" s="138">
        <f t="shared" si="207"/>
        <v>11678</v>
      </c>
      <c r="L138" s="138">
        <f>L113+L121+L122</f>
        <v>13468.543859999992</v>
      </c>
      <c r="M138" s="138">
        <f>M113+M121+M122</f>
        <v>7953.7766299999603</v>
      </c>
      <c r="N138" s="138">
        <f t="shared" ref="N138:S138" si="208">N113+N121+N122</f>
        <v>18524.205574921831</v>
      </c>
      <c r="O138" s="138">
        <f t="shared" si="208"/>
        <v>21103.589505981312</v>
      </c>
      <c r="P138" s="138">
        <f t="shared" si="208"/>
        <v>23986.650655948259</v>
      </c>
      <c r="Q138" s="138">
        <f t="shared" si="208"/>
        <v>27613.75143378284</v>
      </c>
      <c r="R138" s="138">
        <f t="shared" si="208"/>
        <v>31632.254612212491</v>
      </c>
      <c r="S138" s="138">
        <f t="shared" si="208"/>
        <v>35695.610717494186</v>
      </c>
    </row>
    <row r="139" spans="3:19">
      <c r="C139" s="18"/>
      <c r="D139" s="22" t="s">
        <v>257</v>
      </c>
      <c r="E139" s="1"/>
      <c r="H139" s="94">
        <f t="shared" ref="H139:S139" si="209">H138/H31</f>
        <v>5.5559256545200185E-2</v>
      </c>
      <c r="I139" s="94">
        <f t="shared" si="209"/>
        <v>7.587391460790105E-2</v>
      </c>
      <c r="J139" s="94">
        <f t="shared" si="209"/>
        <v>9.9336129480482718E-2</v>
      </c>
      <c r="K139" s="94">
        <f t="shared" si="209"/>
        <v>8.6045432106042638E-2</v>
      </c>
      <c r="L139" s="94">
        <f t="shared" si="209"/>
        <v>8.2415723162024682E-2</v>
      </c>
      <c r="M139" s="94">
        <f t="shared" ref="M139" si="210">M138/M31</f>
        <v>8.4910423513915048E-2</v>
      </c>
      <c r="N139" s="94">
        <f t="shared" si="209"/>
        <v>0.10202696359461393</v>
      </c>
      <c r="O139" s="94">
        <f t="shared" si="209"/>
        <v>0.1046207048461112</v>
      </c>
      <c r="P139" s="94">
        <f t="shared" si="209"/>
        <v>0.10703279390669061</v>
      </c>
      <c r="Q139" s="94">
        <f t="shared" si="209"/>
        <v>0.11090690969197498</v>
      </c>
      <c r="R139" s="94">
        <f t="shared" si="209"/>
        <v>0.11435345267813879</v>
      </c>
      <c r="S139" s="94">
        <f t="shared" si="209"/>
        <v>0.11615018126758626</v>
      </c>
    </row>
    <row r="140" spans="3:19" hidden="1">
      <c r="C140" s="1"/>
      <c r="D140" s="1"/>
      <c r="E140" s="1"/>
      <c r="F140" s="1"/>
      <c r="G140" s="1"/>
      <c r="H140" s="21"/>
      <c r="I140" s="21"/>
      <c r="J140" s="21"/>
      <c r="K140" s="21"/>
      <c r="L140" s="1"/>
      <c r="M140" s="1"/>
    </row>
    <row r="141" spans="3:19" hidden="1">
      <c r="C141" s="1"/>
      <c r="D141" s="67" t="s">
        <v>88</v>
      </c>
      <c r="E141" s="1"/>
      <c r="F141" s="1"/>
      <c r="G141" s="1"/>
      <c r="H141" s="21"/>
      <c r="I141" s="21"/>
      <c r="J141" s="21"/>
      <c r="K141" s="21"/>
      <c r="L141" s="1"/>
      <c r="M141" s="1"/>
    </row>
    <row r="142" spans="3:19" hidden="1">
      <c r="C142" s="1"/>
      <c r="D142" s="1" t="s">
        <v>280</v>
      </c>
      <c r="E142" s="1"/>
      <c r="F142" s="1"/>
      <c r="G142" s="1"/>
      <c r="H142" s="21">
        <v>11266</v>
      </c>
      <c r="I142" s="21">
        <v>0</v>
      </c>
      <c r="J142" s="21">
        <v>0</v>
      </c>
      <c r="K142" s="21">
        <v>0</v>
      </c>
      <c r="L142" s="1"/>
      <c r="M142" s="1"/>
    </row>
    <row r="143" spans="3:19" hidden="1">
      <c r="C143" s="1"/>
      <c r="D143" s="18" t="s">
        <v>87</v>
      </c>
      <c r="E143" s="1"/>
      <c r="F143" s="1"/>
      <c r="G143" s="1"/>
      <c r="H143" s="23">
        <f>SUM(H142)</f>
        <v>11266</v>
      </c>
      <c r="I143" s="23">
        <f t="shared" ref="I143:K143" si="211">SUM(I142)</f>
        <v>0</v>
      </c>
      <c r="J143" s="23">
        <f t="shared" si="211"/>
        <v>0</v>
      </c>
      <c r="K143" s="23">
        <f t="shared" si="211"/>
        <v>0</v>
      </c>
      <c r="L143" s="1"/>
      <c r="M143" s="1"/>
    </row>
    <row r="144" spans="3:19" hidden="1">
      <c r="C144" s="1"/>
      <c r="D144" s="1"/>
      <c r="E144" s="1"/>
      <c r="F144" s="1"/>
      <c r="G144" s="1"/>
      <c r="H144" s="21"/>
      <c r="I144" s="21"/>
      <c r="J144" s="21"/>
      <c r="K144" s="21"/>
      <c r="L144" s="1"/>
      <c r="M144" s="1"/>
    </row>
    <row r="145" spans="1:44" hidden="1">
      <c r="C145" s="18" t="s">
        <v>259</v>
      </c>
      <c r="D145" s="1"/>
      <c r="E145" s="1"/>
      <c r="H145" s="99">
        <f>H138+H143</f>
        <v>12934</v>
      </c>
      <c r="I145" s="99">
        <f t="shared" ref="I145:K145" si="212">I138+I143</f>
        <v>11176</v>
      </c>
      <c r="J145" s="99">
        <f t="shared" si="212"/>
        <v>15442</v>
      </c>
      <c r="K145" s="99">
        <f t="shared" si="212"/>
        <v>11678</v>
      </c>
    </row>
    <row r="146" spans="1:44" hidden="1">
      <c r="C146" s="1"/>
      <c r="D146" s="22" t="s">
        <v>257</v>
      </c>
      <c r="E146" s="1"/>
      <c r="H146" s="94">
        <f>H145/H34</f>
        <v>8.7994176355732145E-2</v>
      </c>
      <c r="I146" s="94">
        <f>I145/I34</f>
        <v>7.587391460790105E-2</v>
      </c>
      <c r="J146" s="94">
        <f>J145/J34</f>
        <v>9.9336129480482718E-2</v>
      </c>
      <c r="K146" s="94">
        <f>K145/K34</f>
        <v>8.6045432106042638E-2</v>
      </c>
    </row>
    <row r="147" spans="1:44" s="101" customFormat="1">
      <c r="C147" s="18"/>
      <c r="D147" s="18"/>
      <c r="E147" s="18"/>
      <c r="H147" s="100"/>
      <c r="I147" s="100"/>
      <c r="J147" s="100"/>
      <c r="K147" s="100"/>
      <c r="U147" s="1512"/>
      <c r="V147" s="1512"/>
      <c r="W147" s="1512"/>
      <c r="X147" s="1512"/>
      <c r="Y147" s="1512"/>
      <c r="Z147" s="1512"/>
      <c r="AA147" s="1512"/>
      <c r="AB147" s="1527"/>
      <c r="AI147" s="473"/>
      <c r="AK147" s="1512"/>
      <c r="AL147" s="1512"/>
      <c r="AM147" s="1512"/>
      <c r="AN147" s="1512"/>
      <c r="AO147" s="1512"/>
      <c r="AP147" s="1512"/>
      <c r="AQ147" s="1512"/>
      <c r="AR147" s="473"/>
    </row>
    <row r="148" spans="1:44" s="59" customFormat="1">
      <c r="A148" s="58" t="s">
        <v>8</v>
      </c>
      <c r="B148" s="58" t="s">
        <v>109</v>
      </c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1125"/>
      <c r="U148" s="1515"/>
      <c r="V148" s="1515"/>
      <c r="W148" s="1515"/>
      <c r="X148" s="1515"/>
      <c r="Y148" s="1515"/>
      <c r="Z148" s="1515"/>
      <c r="AA148" s="1515"/>
      <c r="AB148" s="1179"/>
      <c r="AI148" s="476"/>
      <c r="AJ148" s="1125"/>
      <c r="AK148" s="1515"/>
      <c r="AL148" s="1515"/>
      <c r="AM148" s="1515"/>
      <c r="AN148" s="1515"/>
      <c r="AO148" s="1515"/>
      <c r="AP148" s="1515"/>
      <c r="AQ148" s="1515"/>
      <c r="AR148" s="1482"/>
    </row>
    <row r="149" spans="1:44" s="1" customFormat="1">
      <c r="T149" s="1321"/>
      <c r="U149" s="1515"/>
      <c r="V149" s="1515"/>
      <c r="W149" s="1515"/>
      <c r="X149" s="1515"/>
      <c r="Y149" s="1515"/>
      <c r="Z149" s="1515"/>
      <c r="AA149" s="1515"/>
      <c r="AB149" s="14"/>
      <c r="AI149" s="415"/>
      <c r="AJ149" s="1321"/>
      <c r="AK149" s="1515"/>
      <c r="AL149" s="1515"/>
      <c r="AM149" s="1515"/>
      <c r="AN149" s="1515"/>
      <c r="AO149" s="1515"/>
      <c r="AP149" s="1515"/>
      <c r="AQ149" s="1515"/>
      <c r="AR149" s="1482"/>
    </row>
    <row r="150" spans="1:44" s="62" customFormat="1">
      <c r="A150" s="10" t="s">
        <v>8</v>
      </c>
      <c r="B150" s="10"/>
      <c r="C150" s="10" t="s">
        <v>110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125"/>
      <c r="U150" s="1515"/>
      <c r="V150" s="1515"/>
      <c r="W150" s="1515"/>
      <c r="X150" s="1515"/>
      <c r="Y150" s="1515"/>
      <c r="Z150" s="1515"/>
      <c r="AA150" s="1515"/>
      <c r="AB150" s="1179"/>
      <c r="AI150" s="475"/>
      <c r="AJ150" s="1125"/>
      <c r="AK150" s="1515"/>
      <c r="AL150" s="1515"/>
      <c r="AM150" s="1515"/>
      <c r="AN150" s="1515"/>
      <c r="AO150" s="1515"/>
      <c r="AP150" s="1515"/>
      <c r="AQ150" s="1515"/>
      <c r="AR150" s="1482"/>
    </row>
    <row r="151" spans="1:44">
      <c r="D151" s="97" t="s">
        <v>217</v>
      </c>
      <c r="H151" s="20"/>
      <c r="I151" s="20">
        <f>I31</f>
        <v>147297</v>
      </c>
      <c r="J151" s="20">
        <f>J31</f>
        <v>155452</v>
      </c>
      <c r="K151" s="394">
        <v>162423</v>
      </c>
      <c r="L151" s="20">
        <f>L31</f>
        <v>163422.01879999999</v>
      </c>
      <c r="M151" s="20">
        <f>M31/7*12</f>
        <v>160581.52918285708</v>
      </c>
      <c r="N151" s="20">
        <f t="shared" ref="N151:S151" si="213">N31</f>
        <v>181561.86288680002</v>
      </c>
      <c r="O151" s="20">
        <f t="shared" si="213"/>
        <v>201715.22966723485</v>
      </c>
      <c r="P151" s="20">
        <f t="shared" si="213"/>
        <v>224105.62016029796</v>
      </c>
      <c r="Q151" s="20">
        <f t="shared" si="213"/>
        <v>248981.34399809106</v>
      </c>
      <c r="R151" s="20">
        <f t="shared" si="213"/>
        <v>276618.27318187919</v>
      </c>
      <c r="S151" s="20">
        <f t="shared" si="213"/>
        <v>307322.90150506783</v>
      </c>
    </row>
    <row r="152" spans="1:44">
      <c r="D152" s="97" t="s">
        <v>218</v>
      </c>
      <c r="H152" s="20"/>
      <c r="I152" s="20">
        <f>I36</f>
        <v>-123298</v>
      </c>
      <c r="J152" s="20">
        <f>J36</f>
        <v>-124028</v>
      </c>
      <c r="K152" s="394">
        <v>-134161</v>
      </c>
      <c r="L152" s="20">
        <f>L36</f>
        <v>-135023.10136</v>
      </c>
      <c r="M152" s="20">
        <f>M36/7*12</f>
        <v>-131264.79978857143</v>
      </c>
      <c r="N152" s="20">
        <f t="shared" ref="N152:S152" si="214">N36</f>
        <v>-148606.13252331779</v>
      </c>
      <c r="O152" s="20">
        <f t="shared" si="214"/>
        <v>-165101.41323340609</v>
      </c>
      <c r="P152" s="20">
        <f t="shared" si="214"/>
        <v>-183427.67010231421</v>
      </c>
      <c r="Q152" s="20">
        <f t="shared" si="214"/>
        <v>-203788.14148367109</v>
      </c>
      <c r="R152" s="20">
        <f t="shared" si="214"/>
        <v>-226408.62518835859</v>
      </c>
      <c r="S152" s="20">
        <f t="shared" si="214"/>
        <v>-251539.98258426646</v>
      </c>
    </row>
    <row r="153" spans="1:44">
      <c r="C153" s="99"/>
      <c r="D153" s="97" t="s">
        <v>219</v>
      </c>
      <c r="E153" s="99"/>
      <c r="F153" s="99"/>
      <c r="G153" s="99"/>
      <c r="H153" s="20"/>
      <c r="I153" s="20">
        <f>I91</f>
        <v>-16670</v>
      </c>
      <c r="J153" s="20">
        <f>J91</f>
        <v>-18291</v>
      </c>
      <c r="K153" s="20">
        <f>K91/10*12</f>
        <v>-18312</v>
      </c>
      <c r="L153" s="20">
        <f>L91</f>
        <v>-18670.057659999999</v>
      </c>
      <c r="M153" s="20">
        <f>M91/7*12</f>
        <v>-18634.680531428574</v>
      </c>
      <c r="N153" s="20">
        <f t="shared" ref="N153:S153" si="215">N91</f>
        <v>-19471.501020052405</v>
      </c>
      <c r="O153" s="20">
        <f t="shared" si="215"/>
        <v>-21027.691944276517</v>
      </c>
      <c r="P153" s="20">
        <f t="shared" si="215"/>
        <v>-22689.448889610321</v>
      </c>
      <c r="Q153" s="20">
        <f t="shared" si="215"/>
        <v>-24461.033684362796</v>
      </c>
      <c r="R153" s="20">
        <f t="shared" si="215"/>
        <v>-26346.35360378143</v>
      </c>
      <c r="S153" s="20">
        <f t="shared" si="215"/>
        <v>-28348.830149285968</v>
      </c>
    </row>
    <row r="154" spans="1:44" s="99" customFormat="1">
      <c r="C154" s="18"/>
      <c r="D154" s="18"/>
      <c r="E154" s="18"/>
      <c r="U154" s="1511"/>
      <c r="V154" s="1511"/>
      <c r="W154" s="1511"/>
      <c r="X154" s="1511"/>
      <c r="Y154" s="1511"/>
      <c r="Z154" s="1511"/>
      <c r="AA154" s="1511"/>
      <c r="AB154" s="1056"/>
      <c r="AI154" s="414"/>
      <c r="AK154" s="1511"/>
      <c r="AL154" s="1511"/>
      <c r="AM154" s="1511"/>
      <c r="AN154" s="1511"/>
      <c r="AO154" s="1511"/>
      <c r="AP154" s="1511"/>
      <c r="AQ154" s="1511"/>
      <c r="AR154" s="414"/>
    </row>
    <row r="155" spans="1:44" s="101" customFormat="1">
      <c r="C155" s="1"/>
      <c r="D155" s="1" t="s">
        <v>260</v>
      </c>
      <c r="E155" s="1"/>
      <c r="F155" s="1"/>
      <c r="G155" s="1"/>
      <c r="H155" s="394">
        <v>10748</v>
      </c>
      <c r="I155" s="394">
        <v>17794</v>
      </c>
      <c r="J155" s="394">
        <v>22731</v>
      </c>
      <c r="K155" s="394">
        <v>27825</v>
      </c>
      <c r="L155" s="394">
        <v>28542.426454452157</v>
      </c>
      <c r="M155" s="394">
        <v>24519.30975</v>
      </c>
      <c r="N155" s="20">
        <f>N151/(360/N156)</f>
        <v>29755.971973114451</v>
      </c>
      <c r="O155" s="20">
        <f t="shared" ref="O155:S155" si="216">O151/(360/O156)</f>
        <v>32498.564779721171</v>
      </c>
      <c r="P155" s="20">
        <f t="shared" si="216"/>
        <v>35483.389858713839</v>
      </c>
      <c r="Q155" s="20">
        <f t="shared" si="216"/>
        <v>39422.046133031086</v>
      </c>
      <c r="R155" s="20">
        <f t="shared" si="216"/>
        <v>43797.893253797542</v>
      </c>
      <c r="S155" s="20">
        <f t="shared" si="216"/>
        <v>48659.459404969071</v>
      </c>
      <c r="U155" s="1512"/>
      <c r="V155" s="1512"/>
      <c r="W155" s="1512"/>
      <c r="X155" s="1512"/>
      <c r="Y155" s="1512"/>
      <c r="Z155" s="1512"/>
      <c r="AA155" s="1512"/>
      <c r="AB155" s="1527"/>
      <c r="AI155" s="473"/>
      <c r="AK155" s="1512"/>
      <c r="AL155" s="1512"/>
      <c r="AM155" s="1512"/>
      <c r="AN155" s="1512"/>
      <c r="AO155" s="1512"/>
      <c r="AP155" s="1512"/>
      <c r="AQ155" s="1512"/>
      <c r="AR155" s="473"/>
    </row>
    <row r="156" spans="1:44">
      <c r="C156" s="1"/>
      <c r="D156" s="1" t="s">
        <v>264</v>
      </c>
      <c r="E156" s="1"/>
      <c r="F156" s="1"/>
      <c r="G156" s="1"/>
      <c r="H156" s="20"/>
      <c r="I156" s="20">
        <f>360/(I151/AVERAGE(H155:I155))</f>
        <v>34.87891810423838</v>
      </c>
      <c r="J156" s="20">
        <f t="shared" ref="J156:K156" si="217">360/(J151/AVERAGE(I155:J155))</f>
        <v>46.924452564135557</v>
      </c>
      <c r="K156" s="20">
        <f t="shared" si="217"/>
        <v>56.027040505347152</v>
      </c>
      <c r="L156" s="20">
        <f>360/(L151/AVERAGE(J155,L155))</f>
        <v>56.474744526906974</v>
      </c>
      <c r="M156" s="20">
        <f>360/(M151/AVERAGE(L155,M155))</f>
        <v>59.478276022177901</v>
      </c>
      <c r="N156" s="429">
        <v>59</v>
      </c>
      <c r="O156" s="429">
        <f>N156-1</f>
        <v>58</v>
      </c>
      <c r="P156" s="429">
        <v>57</v>
      </c>
      <c r="Q156" s="429">
        <v>57</v>
      </c>
      <c r="R156" s="429">
        <v>57</v>
      </c>
      <c r="S156" s="429">
        <v>57</v>
      </c>
    </row>
    <row r="157" spans="1:44">
      <c r="C157" s="1"/>
      <c r="D157" s="1"/>
      <c r="E157" s="1"/>
      <c r="F157" s="1"/>
      <c r="G157" s="1"/>
      <c r="H157" s="21"/>
      <c r="I157" s="21"/>
      <c r="J157" s="21"/>
      <c r="K157" s="21"/>
      <c r="L157" s="1"/>
      <c r="M157" s="1"/>
    </row>
    <row r="158" spans="1:44">
      <c r="C158" s="1"/>
      <c r="D158" s="1" t="s">
        <v>265</v>
      </c>
      <c r="E158" s="1"/>
      <c r="F158" s="1"/>
      <c r="G158" s="1"/>
      <c r="H158" s="394">
        <v>41976</v>
      </c>
      <c r="I158" s="394">
        <v>46897</v>
      </c>
      <c r="J158" s="394">
        <v>52725</v>
      </c>
      <c r="K158" s="394">
        <v>51863</v>
      </c>
      <c r="L158" s="394">
        <v>48402.281004113596</v>
      </c>
      <c r="M158" s="394">
        <v>57545.847507100007</v>
      </c>
      <c r="N158" s="20">
        <f>-N152/(360/N159)</f>
        <v>57791.273759068026</v>
      </c>
      <c r="O158" s="20">
        <f t="shared" ref="O158:S158" si="218">-O152/(360/O159)</f>
        <v>64206.105146324582</v>
      </c>
      <c r="P158" s="20">
        <f t="shared" si="218"/>
        <v>71332.982817566633</v>
      </c>
      <c r="Q158" s="20">
        <f t="shared" si="218"/>
        <v>79250.943910316535</v>
      </c>
      <c r="R158" s="20">
        <f t="shared" si="218"/>
        <v>88047.798684361667</v>
      </c>
      <c r="S158" s="20">
        <f t="shared" si="218"/>
        <v>97821.104338325837</v>
      </c>
    </row>
    <row r="159" spans="1:44">
      <c r="C159" s="1"/>
      <c r="D159" s="1" t="s">
        <v>266</v>
      </c>
      <c r="E159" s="1"/>
      <c r="F159" s="1"/>
      <c r="G159" s="1"/>
      <c r="H159" s="20"/>
      <c r="I159" s="20">
        <f>-360/(I152/AVERAGE(H158:I158))</f>
        <v>129.74371036026537</v>
      </c>
      <c r="J159" s="20">
        <f t="shared" ref="J159" si="219">-360/(J152/AVERAGE(I158:J158))</f>
        <v>144.57993356338892</v>
      </c>
      <c r="K159" s="20">
        <f>-360/(K152/AVERAGE(J158,K158))</f>
        <v>140.32274655078601</v>
      </c>
      <c r="L159" s="20">
        <f>-360/(L152/AVERAGE(J158,L158))</f>
        <v>134.81330525957671</v>
      </c>
      <c r="M159" s="20">
        <f>-360/(M152/AVERAGE(L158,M158))</f>
        <v>145.28390827347178</v>
      </c>
      <c r="N159" s="429">
        <v>140</v>
      </c>
      <c r="O159" s="429">
        <f>N159</f>
        <v>140</v>
      </c>
      <c r="P159" s="429">
        <f t="shared" ref="P159:S159" si="220">O159</f>
        <v>140</v>
      </c>
      <c r="Q159" s="429">
        <f t="shared" si="220"/>
        <v>140</v>
      </c>
      <c r="R159" s="429">
        <f t="shared" si="220"/>
        <v>140</v>
      </c>
      <c r="S159" s="429">
        <f t="shared" si="220"/>
        <v>140</v>
      </c>
    </row>
    <row r="160" spans="1:44">
      <c r="C160" s="1"/>
      <c r="D160" s="1"/>
      <c r="E160" s="1"/>
      <c r="H160" s="52"/>
      <c r="I160" s="52"/>
      <c r="J160" s="52"/>
      <c r="K160" s="52"/>
    </row>
    <row r="161" spans="3:44">
      <c r="C161" s="1"/>
      <c r="D161" s="1" t="s">
        <v>267</v>
      </c>
      <c r="E161" s="1"/>
      <c r="F161" s="1"/>
      <c r="G161" s="1"/>
      <c r="H161" s="48">
        <f>SUM(H162:H163)</f>
        <v>-12076</v>
      </c>
      <c r="I161" s="48">
        <f t="shared" ref="I161:M161" si="221">SUM(I162:I163)</f>
        <v>-12080</v>
      </c>
      <c r="J161" s="48">
        <f t="shared" si="221"/>
        <v>-6463</v>
      </c>
      <c r="K161" s="48">
        <f t="shared" si="221"/>
        <v>-8600</v>
      </c>
      <c r="L161" s="48">
        <f t="shared" si="221"/>
        <v>-7335.9925733000027</v>
      </c>
      <c r="M161" s="48">
        <f t="shared" si="221"/>
        <v>-8369.2624236000011</v>
      </c>
      <c r="N161" s="48">
        <f>-N152/(360/N164)</f>
        <v>-8255.8962512954331</v>
      </c>
      <c r="O161" s="48">
        <f t="shared" ref="O161:S161" si="222">-O152/(360/O164)</f>
        <v>-9630.9157719486884</v>
      </c>
      <c r="P161" s="48">
        <f t="shared" si="222"/>
        <v>-10699.947422634996</v>
      </c>
      <c r="Q161" s="48">
        <f t="shared" si="222"/>
        <v>-11887.641586547481</v>
      </c>
      <c r="R161" s="48">
        <f t="shared" si="222"/>
        <v>-13207.169802654251</v>
      </c>
      <c r="S161" s="48">
        <f t="shared" si="222"/>
        <v>-14673.165650748877</v>
      </c>
    </row>
    <row r="162" spans="3:44">
      <c r="C162" s="1"/>
      <c r="D162" s="1"/>
      <c r="E162" s="1" t="s">
        <v>301</v>
      </c>
      <c r="F162" s="1"/>
      <c r="G162" s="1"/>
      <c r="H162" s="394">
        <v>-13454</v>
      </c>
      <c r="I162" s="394">
        <v>-13218</v>
      </c>
      <c r="J162" s="394">
        <v>-8152</v>
      </c>
      <c r="K162" s="394">
        <v>-10076</v>
      </c>
      <c r="L162" s="394">
        <v>-8973.587573300003</v>
      </c>
      <c r="M162" s="394">
        <v>-10418.213193600001</v>
      </c>
      <c r="N162" s="80">
        <f>N161/M161*M162</f>
        <v>-10277.092878304242</v>
      </c>
      <c r="O162" s="80">
        <f t="shared" ref="O162:S162" si="223">O161/N161*N162</f>
        <v>-11988.742697185815</v>
      </c>
      <c r="P162" s="80">
        <f t="shared" si="223"/>
        <v>-13319.493136573443</v>
      </c>
      <c r="Q162" s="80">
        <f t="shared" si="223"/>
        <v>-14797.956874733094</v>
      </c>
      <c r="R162" s="80">
        <f t="shared" si="223"/>
        <v>-16440.530087828469</v>
      </c>
      <c r="S162" s="80">
        <f t="shared" si="223"/>
        <v>-18265.428927577435</v>
      </c>
    </row>
    <row r="163" spans="3:44">
      <c r="C163" s="1"/>
      <c r="D163" s="1"/>
      <c r="E163" s="1" t="s">
        <v>302</v>
      </c>
      <c r="F163" s="1"/>
      <c r="G163" s="1"/>
      <c r="H163" s="394">
        <v>1378</v>
      </c>
      <c r="I163" s="394">
        <v>1138</v>
      </c>
      <c r="J163" s="394">
        <v>1689</v>
      </c>
      <c r="K163" s="394">
        <v>1476</v>
      </c>
      <c r="L163" s="394">
        <v>1637.595</v>
      </c>
      <c r="M163" s="394">
        <v>2048.9507700000004</v>
      </c>
      <c r="N163" s="80">
        <f>N161/M161*M163</f>
        <v>2021.1966270088092</v>
      </c>
      <c r="O163" s="80">
        <f t="shared" ref="O163:S163" si="224">O161/N161*N163</f>
        <v>2357.8269252371269</v>
      </c>
      <c r="P163" s="80">
        <f t="shared" si="224"/>
        <v>2619.5457139384484</v>
      </c>
      <c r="Q163" s="80">
        <f t="shared" si="224"/>
        <v>2910.3152881856163</v>
      </c>
      <c r="R163" s="80">
        <f t="shared" si="224"/>
        <v>3233.3602851742198</v>
      </c>
      <c r="S163" s="80">
        <f t="shared" si="224"/>
        <v>3592.2632768285598</v>
      </c>
    </row>
    <row r="164" spans="3:44">
      <c r="C164" s="1"/>
      <c r="D164" s="1" t="s">
        <v>220</v>
      </c>
      <c r="E164" s="1"/>
      <c r="F164" s="1"/>
      <c r="G164" s="1"/>
      <c r="H164" s="48"/>
      <c r="I164" s="48">
        <f>-360/(I152/AVERAGE(H161:I161))</f>
        <v>-35.264805592953657</v>
      </c>
      <c r="J164" s="48">
        <f t="shared" ref="J164:K164" si="225">-360/(J152/AVERAGE(I161:J161))</f>
        <v>-26.911181346147643</v>
      </c>
      <c r="K164" s="48">
        <f t="shared" si="225"/>
        <v>-20.209598914736773</v>
      </c>
      <c r="L164" s="48">
        <f>-360/(L152/AVERAGE(J161,L161))</f>
        <v>-18.395508903114418</v>
      </c>
      <c r="M164" s="48">
        <f>-360/(M152/AVERAGE(L161,M161))</f>
        <v>-21.536206995290208</v>
      </c>
      <c r="N164" s="80">
        <v>-20</v>
      </c>
      <c r="O164" s="80">
        <v>-21</v>
      </c>
      <c r="P164" s="80">
        <f t="shared" ref="P164:S164" si="226">O164</f>
        <v>-21</v>
      </c>
      <c r="Q164" s="80">
        <f t="shared" si="226"/>
        <v>-21</v>
      </c>
      <c r="R164" s="80">
        <f t="shared" si="226"/>
        <v>-21</v>
      </c>
      <c r="S164" s="80">
        <f t="shared" si="226"/>
        <v>-21</v>
      </c>
    </row>
    <row r="165" spans="3:44">
      <c r="C165" s="1"/>
      <c r="D165" s="1"/>
      <c r="E165" s="1"/>
      <c r="F165" s="1"/>
      <c r="G165" s="1"/>
      <c r="H165" s="52"/>
      <c r="I165" s="52"/>
      <c r="J165" s="52"/>
      <c r="K165" s="52"/>
      <c r="L165" s="1"/>
      <c r="M165" s="1"/>
    </row>
    <row r="166" spans="3:44" s="99" customFormat="1">
      <c r="C166" s="18"/>
      <c r="D166" s="18" t="s">
        <v>303</v>
      </c>
      <c r="E166" s="18"/>
      <c r="H166" s="99">
        <f>H155+H158+H161</f>
        <v>40648</v>
      </c>
      <c r="I166" s="99">
        <f t="shared" ref="I166:K166" si="227">I155+I158+I161</f>
        <v>52611</v>
      </c>
      <c r="J166" s="99">
        <f t="shared" si="227"/>
        <v>68993</v>
      </c>
      <c r="K166" s="99">
        <f t="shared" si="227"/>
        <v>71088</v>
      </c>
      <c r="L166" s="99">
        <f t="shared" ref="L166:S166" si="228">L155+L158+L161</f>
        <v>69608.714885265756</v>
      </c>
      <c r="M166" s="99">
        <f t="shared" ref="M166" si="229">M155+M158+M161</f>
        <v>73695.894833500017</v>
      </c>
      <c r="N166" s="99">
        <f t="shared" si="228"/>
        <v>79291.349480887046</v>
      </c>
      <c r="O166" s="99">
        <f t="shared" si="228"/>
        <v>87073.754154097071</v>
      </c>
      <c r="P166" s="99">
        <f t="shared" si="228"/>
        <v>96116.425253645473</v>
      </c>
      <c r="Q166" s="99">
        <f t="shared" si="228"/>
        <v>106785.34845680013</v>
      </c>
      <c r="R166" s="99">
        <f t="shared" si="228"/>
        <v>118638.52213550496</v>
      </c>
      <c r="S166" s="99">
        <f t="shared" si="228"/>
        <v>131807.39809254603</v>
      </c>
      <c r="U166" s="1511"/>
      <c r="V166" s="1511"/>
      <c r="W166" s="1511"/>
      <c r="X166" s="1511"/>
      <c r="Y166" s="1511"/>
      <c r="Z166" s="1511"/>
      <c r="AA166" s="1511"/>
      <c r="AB166" s="1056"/>
      <c r="AI166" s="414"/>
      <c r="AK166" s="1511"/>
      <c r="AL166" s="1511"/>
      <c r="AM166" s="1511"/>
      <c r="AN166" s="1511"/>
      <c r="AO166" s="1511"/>
      <c r="AP166" s="1511"/>
      <c r="AQ166" s="1511"/>
      <c r="AR166" s="414"/>
    </row>
    <row r="167" spans="3:44">
      <c r="C167" s="1"/>
      <c r="D167" s="1"/>
      <c r="E167" s="1" t="s">
        <v>129</v>
      </c>
      <c r="F167" s="1"/>
      <c r="G167" s="1"/>
      <c r="H167" s="20"/>
      <c r="I167" s="20">
        <f>I156+I159+I164</f>
        <v>129.3578228715501</v>
      </c>
      <c r="J167" s="20">
        <f>J156+J159+J164</f>
        <v>164.59320478137681</v>
      </c>
      <c r="K167" s="20">
        <f>K156+K159+K164</f>
        <v>176.14018814139638</v>
      </c>
      <c r="L167" s="20">
        <f t="shared" ref="L167:S167" si="230">L156+L159+L164</f>
        <v>172.89254088336924</v>
      </c>
      <c r="M167" s="20">
        <f t="shared" ref="M167" si="231">M156+M159+M164</f>
        <v>183.22597730035949</v>
      </c>
      <c r="N167" s="20">
        <f t="shared" si="230"/>
        <v>179</v>
      </c>
      <c r="O167" s="20">
        <f t="shared" si="230"/>
        <v>177</v>
      </c>
      <c r="P167" s="20">
        <f t="shared" si="230"/>
        <v>176</v>
      </c>
      <c r="Q167" s="20">
        <f t="shared" si="230"/>
        <v>176</v>
      </c>
      <c r="R167" s="20">
        <f t="shared" si="230"/>
        <v>176</v>
      </c>
      <c r="S167" s="20">
        <f t="shared" si="230"/>
        <v>176</v>
      </c>
    </row>
    <row r="168" spans="3:44">
      <c r="C168" s="1"/>
      <c r="D168" s="1"/>
      <c r="E168" s="22" t="s">
        <v>130</v>
      </c>
      <c r="F168" s="1"/>
      <c r="G168" s="1"/>
      <c r="H168" s="94">
        <f>H166/H34</f>
        <v>0.27654146285045617</v>
      </c>
      <c r="I168" s="94">
        <f t="shared" ref="I168:K168" si="232">I166/I151</f>
        <v>0.35717631723660359</v>
      </c>
      <c r="J168" s="94">
        <f t="shared" si="232"/>
        <v>0.44382188714201171</v>
      </c>
      <c r="K168" s="94">
        <f t="shared" si="232"/>
        <v>0.43767200458063205</v>
      </c>
      <c r="L168" s="94">
        <f>L166/L151</f>
        <v>0.4259445293626844</v>
      </c>
      <c r="M168" s="94">
        <f>M166/M151</f>
        <v>0.45893133044947637</v>
      </c>
      <c r="N168" s="94">
        <f t="shared" ref="N168:S168" si="233">N166/N151</f>
        <v>0.43671808726881989</v>
      </c>
      <c r="O168" s="94">
        <f t="shared" si="233"/>
        <v>0.43166673283787604</v>
      </c>
      <c r="P168" s="94">
        <f t="shared" si="233"/>
        <v>0.42888895506009822</v>
      </c>
      <c r="Q168" s="94">
        <f t="shared" si="233"/>
        <v>0.42888895506009822</v>
      </c>
      <c r="R168" s="94">
        <f t="shared" si="233"/>
        <v>0.42888895506009822</v>
      </c>
      <c r="S168" s="94">
        <f t="shared" si="233"/>
        <v>0.42888895506009822</v>
      </c>
    </row>
    <row r="169" spans="3:44">
      <c r="C169" s="1"/>
      <c r="D169" s="1"/>
      <c r="E169" s="1"/>
      <c r="F169" s="1"/>
      <c r="G169" s="1"/>
      <c r="H169" s="21"/>
      <c r="I169" s="21"/>
      <c r="J169" s="21"/>
      <c r="K169" s="21"/>
      <c r="L169" s="1"/>
      <c r="M169" s="1"/>
    </row>
    <row r="170" spans="3:44">
      <c r="C170" s="1"/>
      <c r="D170" s="1" t="s">
        <v>304</v>
      </c>
      <c r="E170" s="1"/>
      <c r="F170" s="1"/>
      <c r="G170" s="1"/>
      <c r="H170" s="394">
        <v>-1558</v>
      </c>
      <c r="I170" s="394">
        <v>-1698</v>
      </c>
      <c r="J170" s="394">
        <v>-754</v>
      </c>
      <c r="K170" s="394">
        <v>-1218</v>
      </c>
      <c r="L170" s="394">
        <v>-793.24008000000003</v>
      </c>
      <c r="M170" s="394">
        <v>-670.82891999999993</v>
      </c>
      <c r="N170" s="20">
        <f t="shared" ref="N170:S170" si="234">N171*N113</f>
        <v>-853.34296633986912</v>
      </c>
      <c r="O170" s="20">
        <f t="shared" si="234"/>
        <v>-934.33062461737018</v>
      </c>
      <c r="P170" s="20">
        <f t="shared" si="234"/>
        <v>-1077.6126363508038</v>
      </c>
      <c r="Q170" s="20">
        <f t="shared" si="234"/>
        <v>-1241.1913670631493</v>
      </c>
      <c r="R170" s="20">
        <f t="shared" si="234"/>
        <v>-1427.807310701158</v>
      </c>
      <c r="S170" s="20">
        <f t="shared" si="234"/>
        <v>-1640.5592749932184</v>
      </c>
    </row>
    <row r="171" spans="3:44" s="101" customFormat="1">
      <c r="C171" s="22"/>
      <c r="D171" s="22" t="s">
        <v>141</v>
      </c>
      <c r="E171" s="22"/>
      <c r="F171" s="22"/>
      <c r="G171" s="22"/>
      <c r="H171" s="94"/>
      <c r="I171" s="94">
        <f>I170/I113</f>
        <v>-0.23398098387763538</v>
      </c>
      <c r="J171" s="94">
        <f t="shared" ref="J171:L171" si="235">J170/J113</f>
        <v>-6.2770562770562768E-2</v>
      </c>
      <c r="K171" s="94">
        <f>K170/(K113/10*12)</f>
        <v>-6.0308972073677955E-2</v>
      </c>
      <c r="L171" s="94">
        <f t="shared" si="235"/>
        <v>-8.1181121210789825E-2</v>
      </c>
      <c r="M171" s="94">
        <f>M170/(M113/7*12)</f>
        <v>-5.8858128848056891E-2</v>
      </c>
      <c r="N171" s="161">
        <f>M171</f>
        <v>-5.8858128848056891E-2</v>
      </c>
      <c r="O171" s="161">
        <f t="shared" ref="O171:S177" si="236">N171</f>
        <v>-5.8858128848056891E-2</v>
      </c>
      <c r="P171" s="161">
        <f t="shared" si="236"/>
        <v>-5.8858128848056891E-2</v>
      </c>
      <c r="Q171" s="161">
        <f t="shared" si="236"/>
        <v>-5.8858128848056891E-2</v>
      </c>
      <c r="R171" s="161">
        <f t="shared" si="236"/>
        <v>-5.8858128848056891E-2</v>
      </c>
      <c r="S171" s="161">
        <f t="shared" si="236"/>
        <v>-5.8858128848056891E-2</v>
      </c>
      <c r="U171" s="1512"/>
      <c r="V171" s="1512"/>
      <c r="W171" s="1512"/>
      <c r="X171" s="1512"/>
      <c r="Y171" s="1512"/>
      <c r="Z171" s="1512"/>
      <c r="AA171" s="1512"/>
      <c r="AB171" s="1527"/>
      <c r="AI171" s="473"/>
      <c r="AK171" s="1512"/>
      <c r="AL171" s="1512"/>
      <c r="AM171" s="1512"/>
      <c r="AN171" s="1512"/>
      <c r="AO171" s="1512"/>
      <c r="AP171" s="1512"/>
      <c r="AQ171" s="1512"/>
      <c r="AR171" s="473"/>
    </row>
    <row r="172" spans="3:44">
      <c r="C172" s="1"/>
      <c r="D172" s="1" t="s">
        <v>271</v>
      </c>
      <c r="E172" s="1"/>
      <c r="H172" s="394">
        <v>-257</v>
      </c>
      <c r="I172" s="394">
        <v>-4610</v>
      </c>
      <c r="J172" s="394">
        <v>-2144</v>
      </c>
      <c r="K172" s="394">
        <v>-1025</v>
      </c>
      <c r="L172" s="394">
        <v>-1097.4009899999999</v>
      </c>
      <c r="M172" s="394">
        <v>-631.50202999999999</v>
      </c>
      <c r="N172" s="20">
        <f t="shared" ref="N172:S172" si="237">N173*N152</f>
        <v>-714.92947469603973</v>
      </c>
      <c r="O172" s="20">
        <f t="shared" si="237"/>
        <v>-794.28664638730027</v>
      </c>
      <c r="P172" s="20">
        <f t="shared" si="237"/>
        <v>-882.45246413629081</v>
      </c>
      <c r="Q172" s="20">
        <f t="shared" si="237"/>
        <v>-980.40468765541914</v>
      </c>
      <c r="R172" s="20">
        <f t="shared" si="237"/>
        <v>-1089.2296079851708</v>
      </c>
      <c r="S172" s="20">
        <f t="shared" si="237"/>
        <v>-1210.1340944715248</v>
      </c>
    </row>
    <row r="173" spans="3:44" s="101" customFormat="1">
      <c r="C173" s="22"/>
      <c r="D173" s="22" t="s">
        <v>139</v>
      </c>
      <c r="E173" s="22"/>
      <c r="H173" s="94"/>
      <c r="I173" s="94">
        <f t="shared" ref="I173:J173" si="238">I172/I152</f>
        <v>3.7389089847361674E-2</v>
      </c>
      <c r="J173" s="94">
        <f t="shared" si="238"/>
        <v>1.7286419195665495E-2</v>
      </c>
      <c r="K173" s="94">
        <f>K172/K152</f>
        <v>7.6400742391604121E-3</v>
      </c>
      <c r="L173" s="94">
        <f t="shared" ref="L173" si="239">L172/L152</f>
        <v>8.1275054338597798E-3</v>
      </c>
      <c r="M173" s="94">
        <f t="shared" ref="M173" si="240">M172/M152</f>
        <v>4.8109015594215813E-3</v>
      </c>
      <c r="N173" s="161">
        <f>M173</f>
        <v>4.8109015594215813E-3</v>
      </c>
      <c r="O173" s="161">
        <f t="shared" si="236"/>
        <v>4.8109015594215813E-3</v>
      </c>
      <c r="P173" s="161">
        <f t="shared" si="236"/>
        <v>4.8109015594215813E-3</v>
      </c>
      <c r="Q173" s="161">
        <f t="shared" si="236"/>
        <v>4.8109015594215813E-3</v>
      </c>
      <c r="R173" s="161">
        <f t="shared" si="236"/>
        <v>4.8109015594215813E-3</v>
      </c>
      <c r="S173" s="161">
        <f t="shared" si="236"/>
        <v>4.8109015594215813E-3</v>
      </c>
      <c r="U173" s="1512"/>
      <c r="V173" s="1512"/>
      <c r="W173" s="1512"/>
      <c r="X173" s="1512"/>
      <c r="Y173" s="1512"/>
      <c r="Z173" s="1512"/>
      <c r="AA173" s="1512"/>
      <c r="AB173" s="1527"/>
      <c r="AI173" s="473"/>
      <c r="AK173" s="1512"/>
      <c r="AL173" s="1512"/>
      <c r="AM173" s="1512"/>
      <c r="AN173" s="1512"/>
      <c r="AO173" s="1512"/>
      <c r="AP173" s="1512"/>
      <c r="AQ173" s="1512"/>
      <c r="AR173" s="473"/>
    </row>
    <row r="174" spans="3:44" s="101" customFormat="1">
      <c r="C174" s="18"/>
      <c r="D174" s="1" t="s">
        <v>262</v>
      </c>
      <c r="E174" s="18"/>
      <c r="H174" s="394">
        <v>4575</v>
      </c>
      <c r="I174" s="394">
        <v>3377</v>
      </c>
      <c r="J174" s="394">
        <v>0</v>
      </c>
      <c r="K174" s="394">
        <v>582</v>
      </c>
      <c r="L174" s="97">
        <v>0</v>
      </c>
      <c r="M174" s="97">
        <v>0</v>
      </c>
      <c r="N174" s="97">
        <f t="shared" ref="N174:S174" si="241">N175*N151</f>
        <v>0</v>
      </c>
      <c r="O174" s="97">
        <f t="shared" si="241"/>
        <v>0</v>
      </c>
      <c r="P174" s="97">
        <f t="shared" si="241"/>
        <v>0</v>
      </c>
      <c r="Q174" s="97">
        <f t="shared" si="241"/>
        <v>0</v>
      </c>
      <c r="R174" s="97">
        <f t="shared" si="241"/>
        <v>0</v>
      </c>
      <c r="S174" s="97">
        <f t="shared" si="241"/>
        <v>0</v>
      </c>
      <c r="U174" s="1512"/>
      <c r="V174" s="1512"/>
      <c r="W174" s="1512"/>
      <c r="X174" s="1512"/>
      <c r="Y174" s="1512"/>
      <c r="Z174" s="1512"/>
      <c r="AA174" s="1512"/>
      <c r="AB174" s="1527"/>
      <c r="AI174" s="473"/>
      <c r="AK174" s="1512"/>
      <c r="AL174" s="1512"/>
      <c r="AM174" s="1512"/>
      <c r="AN174" s="1512"/>
      <c r="AO174" s="1512"/>
      <c r="AP174" s="1512"/>
      <c r="AQ174" s="1512"/>
      <c r="AR174" s="473"/>
    </row>
    <row r="175" spans="3:44" s="101" customFormat="1">
      <c r="D175" s="101" t="s">
        <v>130</v>
      </c>
      <c r="H175" s="94"/>
      <c r="I175" s="94">
        <f>I174/I151</f>
        <v>2.2926468291954352E-2</v>
      </c>
      <c r="J175" s="94">
        <f t="shared" ref="J175:M175" si="242">J174/J151</f>
        <v>0</v>
      </c>
      <c r="K175" s="94">
        <f t="shared" si="242"/>
        <v>3.5832363643080105E-3</v>
      </c>
      <c r="L175" s="94">
        <f t="shared" si="242"/>
        <v>0</v>
      </c>
      <c r="M175" s="94">
        <f t="shared" si="242"/>
        <v>0</v>
      </c>
      <c r="N175" s="161">
        <f>M175</f>
        <v>0</v>
      </c>
      <c r="O175" s="161">
        <f t="shared" ref="O175:S175" si="243">N175</f>
        <v>0</v>
      </c>
      <c r="P175" s="161">
        <f t="shared" si="243"/>
        <v>0</v>
      </c>
      <c r="Q175" s="161">
        <f t="shared" si="243"/>
        <v>0</v>
      </c>
      <c r="R175" s="161">
        <f t="shared" si="243"/>
        <v>0</v>
      </c>
      <c r="S175" s="161">
        <f t="shared" si="243"/>
        <v>0</v>
      </c>
      <c r="U175" s="1512"/>
      <c r="V175" s="1512"/>
      <c r="W175" s="1512"/>
      <c r="X175" s="1512"/>
      <c r="Y175" s="1512"/>
      <c r="Z175" s="1512"/>
      <c r="AA175" s="1512"/>
      <c r="AB175" s="1527"/>
      <c r="AI175" s="473"/>
      <c r="AK175" s="1512"/>
      <c r="AL175" s="1512"/>
      <c r="AM175" s="1512"/>
      <c r="AN175" s="1512"/>
      <c r="AO175" s="1512"/>
      <c r="AP175" s="1512"/>
      <c r="AQ175" s="1512"/>
      <c r="AR175" s="473"/>
    </row>
    <row r="176" spans="3:44" s="101" customFormat="1">
      <c r="C176" s="18"/>
      <c r="D176" s="1" t="s">
        <v>273</v>
      </c>
      <c r="E176" s="18"/>
      <c r="H176" s="394">
        <v>-4411</v>
      </c>
      <c r="I176" s="394">
        <v>-6652</v>
      </c>
      <c r="J176" s="394">
        <v>-5928</v>
      </c>
      <c r="K176" s="394">
        <v>-4832</v>
      </c>
      <c r="L176" s="394">
        <v>-5918.3434000000016</v>
      </c>
      <c r="M176" s="394">
        <v>-5737.1544000000004</v>
      </c>
      <c r="N176" s="20">
        <f t="shared" ref="N176:S176" si="244">N177*N91</f>
        <v>-5994.7906036484192</v>
      </c>
      <c r="O176" s="20">
        <f t="shared" si="244"/>
        <v>-6473.9030624369998</v>
      </c>
      <c r="P176" s="20">
        <f t="shared" si="244"/>
        <v>-6985.5166720490943</v>
      </c>
      <c r="Q176" s="20">
        <f t="shared" si="244"/>
        <v>-7530.9435433627859</v>
      </c>
      <c r="R176" s="20">
        <f t="shared" si="244"/>
        <v>-8111.3866291918011</v>
      </c>
      <c r="S176" s="20">
        <f t="shared" si="244"/>
        <v>-8727.8993246770842</v>
      </c>
      <c r="U176" s="1512"/>
      <c r="V176" s="1512"/>
      <c r="W176" s="1512"/>
      <c r="X176" s="1512"/>
      <c r="Y176" s="1512"/>
      <c r="Z176" s="1512"/>
      <c r="AA176" s="1512"/>
      <c r="AB176" s="1527"/>
      <c r="AI176" s="473"/>
      <c r="AK176" s="1512"/>
      <c r="AL176" s="1512"/>
      <c r="AM176" s="1512"/>
      <c r="AN176" s="1512"/>
      <c r="AO176" s="1512"/>
      <c r="AP176" s="1512"/>
      <c r="AQ176" s="1512"/>
      <c r="AR176" s="473"/>
    </row>
    <row r="177" spans="1:44" s="101" customFormat="1">
      <c r="C177" s="22"/>
      <c r="D177" s="22" t="s">
        <v>140</v>
      </c>
      <c r="E177" s="89"/>
      <c r="H177" s="94"/>
      <c r="I177" s="94">
        <f t="shared" ref="I177:J177" si="245">I176/I153</f>
        <v>0.39904019196160767</v>
      </c>
      <c r="J177" s="94">
        <f t="shared" si="245"/>
        <v>0.32409381663113007</v>
      </c>
      <c r="K177" s="94">
        <f>K176/K153</f>
        <v>0.26387068588903451</v>
      </c>
      <c r="L177" s="94">
        <f t="shared" ref="L177:M177" si="246">L176/L153</f>
        <v>0.31699652501233905</v>
      </c>
      <c r="M177" s="94">
        <f t="shared" si="246"/>
        <v>0.30787511437740639</v>
      </c>
      <c r="N177" s="161">
        <f>M177</f>
        <v>0.30787511437740639</v>
      </c>
      <c r="O177" s="161">
        <f t="shared" si="236"/>
        <v>0.30787511437740639</v>
      </c>
      <c r="P177" s="161">
        <f t="shared" si="236"/>
        <v>0.30787511437740639</v>
      </c>
      <c r="Q177" s="161">
        <f t="shared" si="236"/>
        <v>0.30787511437740639</v>
      </c>
      <c r="R177" s="161">
        <f t="shared" si="236"/>
        <v>0.30787511437740639</v>
      </c>
      <c r="S177" s="161">
        <f t="shared" si="236"/>
        <v>0.30787511437740639</v>
      </c>
      <c r="U177" s="1512"/>
      <c r="V177" s="1512"/>
      <c r="W177" s="1512"/>
      <c r="X177" s="1512"/>
      <c r="Y177" s="1512"/>
      <c r="Z177" s="1512"/>
      <c r="AA177" s="1512"/>
      <c r="AB177" s="1527"/>
      <c r="AI177" s="473"/>
      <c r="AK177" s="1512"/>
      <c r="AL177" s="1512"/>
      <c r="AM177" s="1512"/>
      <c r="AN177" s="1512"/>
      <c r="AO177" s="1512"/>
      <c r="AP177" s="1512"/>
      <c r="AQ177" s="1512"/>
      <c r="AR177" s="473"/>
    </row>
    <row r="179" spans="1:44" s="18" customFormat="1">
      <c r="D179" s="18" t="s">
        <v>305</v>
      </c>
      <c r="H179" s="23">
        <f>H170+H172+H174+H176</f>
        <v>-1651</v>
      </c>
      <c r="I179" s="23">
        <f t="shared" ref="I179:K179" si="247">I170+I172+I174+I176</f>
        <v>-9583</v>
      </c>
      <c r="J179" s="23">
        <f t="shared" si="247"/>
        <v>-8826</v>
      </c>
      <c r="K179" s="23">
        <f t="shared" si="247"/>
        <v>-6493</v>
      </c>
      <c r="L179" s="23">
        <f t="shared" ref="L179:S179" si="248">L170+L172+L174+L176</f>
        <v>-7808.9844700000012</v>
      </c>
      <c r="M179" s="23">
        <f t="shared" ref="M179" si="249">M170+M172+M174+M176</f>
        <v>-7039.4853500000008</v>
      </c>
      <c r="N179" s="23">
        <f t="shared" si="248"/>
        <v>-7563.0630446843279</v>
      </c>
      <c r="O179" s="23">
        <f t="shared" si="248"/>
        <v>-8202.5203334416692</v>
      </c>
      <c r="P179" s="23">
        <f t="shared" si="248"/>
        <v>-8945.5817725361885</v>
      </c>
      <c r="Q179" s="23">
        <f t="shared" si="248"/>
        <v>-9752.5395980813555</v>
      </c>
      <c r="R179" s="23">
        <f t="shared" si="248"/>
        <v>-10628.42354787813</v>
      </c>
      <c r="S179" s="23">
        <f t="shared" si="248"/>
        <v>-11578.592694141827</v>
      </c>
      <c r="T179" s="1126"/>
      <c r="U179" s="1518"/>
      <c r="V179" s="1518"/>
      <c r="W179" s="1518"/>
      <c r="X179" s="1518"/>
      <c r="Y179" s="1518"/>
      <c r="Z179" s="1518"/>
      <c r="AA179" s="1518"/>
      <c r="AB179" s="397"/>
      <c r="AI179" s="478"/>
      <c r="AJ179" s="1126"/>
      <c r="AK179" s="1518"/>
      <c r="AL179" s="1518"/>
      <c r="AM179" s="1518"/>
      <c r="AN179" s="1518"/>
      <c r="AO179" s="1518"/>
      <c r="AP179" s="1518"/>
      <c r="AQ179" s="1518"/>
      <c r="AR179" s="1494"/>
    </row>
    <row r="180" spans="1:44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</row>
    <row r="181" spans="1:44" s="99" customFormat="1">
      <c r="C181" s="18"/>
      <c r="D181" s="18" t="s">
        <v>143</v>
      </c>
      <c r="E181" s="18"/>
      <c r="H181" s="99">
        <f>H179+H166</f>
        <v>38997</v>
      </c>
      <c r="I181" s="99">
        <f t="shared" ref="I181:K181" si="250">I179+I166</f>
        <v>43028</v>
      </c>
      <c r="J181" s="99">
        <f t="shared" si="250"/>
        <v>60167</v>
      </c>
      <c r="K181" s="99">
        <f t="shared" si="250"/>
        <v>64595</v>
      </c>
      <c r="L181" s="99">
        <f t="shared" ref="L181:S181" si="251">L179+L166</f>
        <v>61799.730415265753</v>
      </c>
      <c r="M181" s="99">
        <f t="shared" ref="M181" si="252">M179+M166</f>
        <v>66656.409483500014</v>
      </c>
      <c r="N181" s="99">
        <f t="shared" si="251"/>
        <v>71728.286436202718</v>
      </c>
      <c r="O181" s="99">
        <f t="shared" si="251"/>
        <v>78871.233820655398</v>
      </c>
      <c r="P181" s="99">
        <f t="shared" si="251"/>
        <v>87170.843481109288</v>
      </c>
      <c r="Q181" s="99">
        <f t="shared" si="251"/>
        <v>97032.808858718781</v>
      </c>
      <c r="R181" s="99">
        <f t="shared" si="251"/>
        <v>108010.09858762682</v>
      </c>
      <c r="S181" s="99">
        <f t="shared" si="251"/>
        <v>120228.80539840421</v>
      </c>
      <c r="U181" s="1511"/>
      <c r="V181" s="1511"/>
      <c r="W181" s="1511"/>
      <c r="X181" s="1511"/>
      <c r="Y181" s="1511"/>
      <c r="Z181" s="1511"/>
      <c r="AA181" s="1511"/>
      <c r="AB181" s="1056"/>
      <c r="AI181" s="414"/>
      <c r="AK181" s="1511"/>
      <c r="AL181" s="1511"/>
      <c r="AM181" s="1511"/>
      <c r="AN181" s="1511"/>
      <c r="AO181" s="1511"/>
      <c r="AP181" s="1511"/>
      <c r="AQ181" s="1511"/>
      <c r="AR181" s="414"/>
    </row>
    <row r="182" spans="1:44" s="101" customFormat="1">
      <c r="C182" s="1"/>
      <c r="D182" s="22" t="s">
        <v>130</v>
      </c>
      <c r="E182" s="1"/>
      <c r="F182" s="1"/>
      <c r="G182" s="1"/>
      <c r="H182" s="94">
        <f>H181/H34</f>
        <v>0.26530917700204781</v>
      </c>
      <c r="I182" s="94">
        <f>I181/I151</f>
        <v>0.29211728684223032</v>
      </c>
      <c r="J182" s="94">
        <f t="shared" ref="J182:M182" si="253">J181/J151</f>
        <v>0.38704551887399324</v>
      </c>
      <c r="K182" s="94">
        <f t="shared" si="253"/>
        <v>0.3976961390936013</v>
      </c>
      <c r="L182" s="94">
        <f t="shared" si="253"/>
        <v>0.37816036583722434</v>
      </c>
      <c r="M182" s="94">
        <f t="shared" si="253"/>
        <v>0.41509387675339149</v>
      </c>
      <c r="N182" s="94">
        <f t="shared" ref="N182:S182" si="254">N181/N31</f>
        <v>0.39506251641030904</v>
      </c>
      <c r="O182" s="94">
        <f t="shared" si="254"/>
        <v>0.39100287048611809</v>
      </c>
      <c r="P182" s="94">
        <f t="shared" si="254"/>
        <v>0.38897214366492838</v>
      </c>
      <c r="Q182" s="94">
        <f t="shared" si="254"/>
        <v>0.38971919462151644</v>
      </c>
      <c r="R182" s="94">
        <f t="shared" si="254"/>
        <v>0.39046624557810444</v>
      </c>
      <c r="S182" s="94">
        <f t="shared" si="254"/>
        <v>0.39121329653469256</v>
      </c>
      <c r="U182" s="1512"/>
      <c r="V182" s="1512"/>
      <c r="W182" s="1512"/>
      <c r="X182" s="1512"/>
      <c r="Y182" s="1512"/>
      <c r="Z182" s="1512"/>
      <c r="AA182" s="1512"/>
      <c r="AB182" s="1527"/>
      <c r="AI182" s="473"/>
      <c r="AK182" s="1512"/>
      <c r="AL182" s="1512"/>
      <c r="AM182" s="1512"/>
      <c r="AN182" s="1512"/>
      <c r="AO182" s="1512"/>
      <c r="AP182" s="1512"/>
      <c r="AQ182" s="1512"/>
      <c r="AR182" s="473"/>
    </row>
    <row r="183" spans="1:44">
      <c r="C183" s="1"/>
      <c r="D183" s="1"/>
      <c r="E183" s="1"/>
      <c r="F183" s="1"/>
      <c r="G183" s="1"/>
      <c r="H183" s="21"/>
      <c r="I183" s="21"/>
      <c r="J183" s="21"/>
      <c r="K183" s="21"/>
      <c r="L183" s="1"/>
      <c r="M183" s="1"/>
      <c r="N183" s="99"/>
      <c r="O183" s="99"/>
      <c r="P183" s="99"/>
      <c r="Q183" s="99"/>
      <c r="R183" s="99"/>
      <c r="S183" s="99"/>
    </row>
    <row r="184" spans="1:44">
      <c r="C184" s="1"/>
      <c r="D184" s="1"/>
      <c r="E184" s="1"/>
      <c r="F184" s="1"/>
      <c r="G184" s="1"/>
      <c r="H184" s="21"/>
      <c r="I184" s="21"/>
      <c r="J184" s="21"/>
      <c r="K184" s="21"/>
      <c r="L184" s="1"/>
      <c r="M184" s="1"/>
    </row>
    <row r="185" spans="1:44">
      <c r="C185" s="1"/>
      <c r="D185" s="1"/>
      <c r="E185" s="1"/>
      <c r="F185" s="1"/>
      <c r="G185" s="1"/>
      <c r="H185" s="21"/>
      <c r="I185" s="21"/>
      <c r="J185" s="21"/>
      <c r="K185" s="21"/>
      <c r="L185" s="1"/>
      <c r="M185" s="1"/>
    </row>
    <row r="186" spans="1:44">
      <c r="C186" s="1"/>
      <c r="D186" s="1"/>
      <c r="E186" s="1"/>
      <c r="F186" s="1"/>
      <c r="G186" s="1"/>
      <c r="H186" s="21"/>
      <c r="I186" s="21"/>
      <c r="J186" s="21"/>
      <c r="K186" s="21"/>
      <c r="L186" s="1"/>
      <c r="M186" s="1"/>
    </row>
    <row r="187" spans="1:44">
      <c r="C187" s="1"/>
      <c r="D187" s="1"/>
      <c r="E187" s="1"/>
      <c r="H187" s="52"/>
      <c r="I187" s="52"/>
      <c r="J187" s="52"/>
      <c r="K187" s="52"/>
    </row>
    <row r="188" spans="1:44">
      <c r="C188" s="1"/>
      <c r="D188" s="1"/>
      <c r="E188" s="1"/>
      <c r="F188" s="1"/>
      <c r="G188" s="1"/>
      <c r="H188" s="52"/>
      <c r="I188" s="52"/>
      <c r="J188" s="52"/>
      <c r="K188" s="52"/>
      <c r="L188" s="1"/>
      <c r="M188" s="1"/>
    </row>
    <row r="189" spans="1:44">
      <c r="C189" s="1"/>
      <c r="D189" s="1"/>
      <c r="E189" s="1"/>
      <c r="F189" s="1"/>
      <c r="G189" s="1"/>
      <c r="H189" s="52"/>
      <c r="I189" s="52"/>
      <c r="J189" s="52"/>
      <c r="K189" s="52"/>
      <c r="L189" s="1"/>
      <c r="M189" s="1"/>
    </row>
    <row r="190" spans="1:44">
      <c r="C190" s="1"/>
      <c r="D190" s="1"/>
      <c r="E190" s="1"/>
      <c r="F190" s="1"/>
      <c r="G190" s="1"/>
      <c r="H190" s="52"/>
      <c r="I190" s="52"/>
      <c r="J190" s="52"/>
      <c r="K190" s="52"/>
      <c r="L190" s="1"/>
      <c r="M190" s="1"/>
    </row>
    <row r="191" spans="1:44">
      <c r="C191" s="1"/>
      <c r="D191" s="1"/>
      <c r="E191" s="1"/>
      <c r="F191" s="1"/>
      <c r="G191" s="1"/>
      <c r="H191" s="52"/>
      <c r="I191" s="52"/>
      <c r="J191" s="52"/>
      <c r="K191" s="52"/>
      <c r="L191" s="1"/>
      <c r="M191" s="1"/>
    </row>
    <row r="192" spans="1:44">
      <c r="C192" s="1"/>
      <c r="D192" s="1"/>
      <c r="E192" s="1"/>
      <c r="F192" s="1"/>
      <c r="G192" s="1"/>
      <c r="H192" s="52"/>
      <c r="I192" s="52"/>
      <c r="J192" s="52"/>
      <c r="K192" s="52"/>
      <c r="L192" s="1"/>
      <c r="M192" s="1"/>
    </row>
    <row r="193" spans="1:44">
      <c r="C193" s="18"/>
      <c r="D193" s="1"/>
      <c r="E193" s="1"/>
      <c r="H193" s="100"/>
      <c r="I193" s="100"/>
      <c r="J193" s="99"/>
      <c r="K193" s="99"/>
    </row>
    <row r="194" spans="1:44">
      <c r="C194" s="1"/>
      <c r="D194" s="1"/>
      <c r="E194" s="1"/>
      <c r="F194" s="1"/>
      <c r="G194" s="1"/>
      <c r="H194" s="21"/>
      <c r="I194" s="21"/>
      <c r="J194" s="21"/>
      <c r="K194" s="21"/>
      <c r="L194" s="1"/>
      <c r="M194" s="1"/>
    </row>
    <row r="195" spans="1:44">
      <c r="C195" s="1"/>
      <c r="D195" s="1"/>
      <c r="E195" s="1"/>
      <c r="F195" s="1"/>
      <c r="G195" s="1"/>
      <c r="H195" s="21"/>
      <c r="I195" s="21"/>
      <c r="J195" s="21"/>
      <c r="K195" s="21"/>
      <c r="L195" s="1"/>
      <c r="M195" s="1"/>
    </row>
    <row r="196" spans="1:44">
      <c r="C196" s="1"/>
      <c r="D196" s="1"/>
      <c r="E196" s="1"/>
      <c r="F196" s="1"/>
      <c r="G196" s="1"/>
      <c r="H196" s="21"/>
      <c r="I196" s="21"/>
      <c r="J196" s="21"/>
      <c r="K196" s="21"/>
      <c r="L196" s="1"/>
      <c r="M196" s="1"/>
    </row>
    <row r="197" spans="1:44">
      <c r="C197" s="1"/>
      <c r="D197" s="1"/>
      <c r="E197" s="1"/>
      <c r="F197" s="1"/>
      <c r="G197" s="1"/>
      <c r="H197" s="21"/>
      <c r="I197" s="21"/>
      <c r="J197" s="21"/>
      <c r="K197" s="21"/>
      <c r="L197" s="1"/>
      <c r="M197" s="1"/>
    </row>
    <row r="198" spans="1:44">
      <c r="C198" s="1"/>
      <c r="D198" s="1"/>
      <c r="E198" s="1"/>
      <c r="F198" s="1"/>
      <c r="G198" s="1"/>
      <c r="H198" s="21"/>
      <c r="I198" s="21"/>
      <c r="J198" s="21"/>
      <c r="K198" s="21"/>
      <c r="L198" s="1"/>
      <c r="M198" s="1"/>
    </row>
    <row r="199" spans="1:44">
      <c r="C199" s="1"/>
      <c r="D199" s="1"/>
      <c r="E199" s="1"/>
    </row>
    <row r="200" spans="1:44">
      <c r="C200" s="1"/>
      <c r="D200" s="1"/>
      <c r="E200" s="1"/>
      <c r="H200" s="127"/>
      <c r="I200" s="127"/>
      <c r="J200" s="127"/>
      <c r="K200" s="127"/>
    </row>
    <row r="201" spans="1:44" s="101" customFormat="1">
      <c r="C201" s="18"/>
      <c r="D201" s="18"/>
      <c r="E201" s="18"/>
      <c r="H201" s="100"/>
      <c r="I201" s="100"/>
      <c r="J201" s="100"/>
      <c r="K201" s="100"/>
      <c r="U201" s="1512"/>
      <c r="V201" s="1512"/>
      <c r="W201" s="1512"/>
      <c r="X201" s="1512"/>
      <c r="Y201" s="1512"/>
      <c r="Z201" s="1512"/>
      <c r="AA201" s="1512"/>
      <c r="AB201" s="1527"/>
      <c r="AI201" s="473"/>
      <c r="AK201" s="1512"/>
      <c r="AL201" s="1512"/>
      <c r="AM201" s="1512"/>
      <c r="AN201" s="1512"/>
      <c r="AO201" s="1512"/>
      <c r="AP201" s="1512"/>
      <c r="AQ201" s="1512"/>
      <c r="AR201" s="473"/>
    </row>
    <row r="202" spans="1:44" s="101" customFormat="1">
      <c r="C202" s="97"/>
      <c r="H202" s="21"/>
      <c r="I202" s="21"/>
      <c r="J202" s="21"/>
      <c r="K202" s="21"/>
      <c r="U202" s="1512"/>
      <c r="V202" s="1512"/>
      <c r="W202" s="1512"/>
      <c r="X202" s="1512"/>
      <c r="Y202" s="1512"/>
      <c r="Z202" s="1512"/>
      <c r="AA202" s="1512"/>
      <c r="AB202" s="1527"/>
      <c r="AI202" s="473"/>
      <c r="AK202" s="1512"/>
      <c r="AL202" s="1512"/>
      <c r="AM202" s="1512"/>
      <c r="AN202" s="1512"/>
      <c r="AO202" s="1512"/>
      <c r="AP202" s="1512"/>
      <c r="AQ202" s="1512"/>
      <c r="AR202" s="473"/>
    </row>
    <row r="203" spans="1:44" s="101" customFormat="1">
      <c r="C203" s="18"/>
      <c r="D203" s="18"/>
      <c r="E203" s="18"/>
      <c r="H203" s="23"/>
      <c r="I203" s="23"/>
      <c r="J203" s="23"/>
      <c r="K203" s="23"/>
      <c r="U203" s="1512"/>
      <c r="V203" s="1512"/>
      <c r="W203" s="1512"/>
      <c r="X203" s="1512"/>
      <c r="Y203" s="1512"/>
      <c r="Z203" s="1512"/>
      <c r="AA203" s="1512"/>
      <c r="AB203" s="1527"/>
      <c r="AI203" s="473"/>
      <c r="AK203" s="1512"/>
      <c r="AL203" s="1512"/>
      <c r="AM203" s="1512"/>
      <c r="AN203" s="1512"/>
      <c r="AO203" s="1512"/>
      <c r="AP203" s="1512"/>
      <c r="AQ203" s="1512"/>
      <c r="AR203" s="473"/>
    </row>
    <row r="204" spans="1:44" s="101" customFormat="1">
      <c r="C204" s="22"/>
      <c r="D204" s="18"/>
      <c r="E204" s="18"/>
      <c r="H204" s="94"/>
      <c r="I204" s="94"/>
      <c r="J204" s="94"/>
      <c r="K204" s="94"/>
      <c r="U204" s="1512"/>
      <c r="V204" s="1512"/>
      <c r="W204" s="1512"/>
      <c r="X204" s="1512"/>
      <c r="Y204" s="1512"/>
      <c r="Z204" s="1512"/>
      <c r="AA204" s="1512"/>
      <c r="AB204" s="1527"/>
      <c r="AI204" s="473"/>
      <c r="AK204" s="1512"/>
      <c r="AL204" s="1512"/>
      <c r="AM204" s="1512"/>
      <c r="AN204" s="1512"/>
      <c r="AO204" s="1512"/>
      <c r="AP204" s="1512"/>
      <c r="AQ204" s="1512"/>
      <c r="AR204" s="473"/>
    </row>
    <row r="206" spans="1:44" s="18" customFormat="1">
      <c r="T206" s="1126"/>
      <c r="U206" s="1518"/>
      <c r="V206" s="1518"/>
      <c r="W206" s="1518"/>
      <c r="X206" s="1518"/>
      <c r="Y206" s="1518"/>
      <c r="Z206" s="1518"/>
      <c r="AA206" s="1518"/>
      <c r="AB206" s="397"/>
      <c r="AI206" s="478"/>
      <c r="AJ206" s="1126"/>
      <c r="AK206" s="1518"/>
      <c r="AL206" s="1518"/>
      <c r="AM206" s="1518"/>
      <c r="AN206" s="1518"/>
      <c r="AO206" s="1518"/>
      <c r="AP206" s="1518"/>
      <c r="AQ206" s="1518"/>
      <c r="AR206" s="1494"/>
    </row>
    <row r="207" spans="1:44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</row>
    <row r="208" spans="1:44" s="99" customFormat="1">
      <c r="C208" s="18"/>
      <c r="D208" s="18"/>
      <c r="E208" s="18"/>
      <c r="U208" s="1511"/>
      <c r="V208" s="1511"/>
      <c r="W208" s="1511"/>
      <c r="X208" s="1511"/>
      <c r="Y208" s="1511"/>
      <c r="Z208" s="1511"/>
      <c r="AA208" s="1511"/>
      <c r="AB208" s="1056"/>
      <c r="AI208" s="414"/>
      <c r="AK208" s="1511"/>
      <c r="AL208" s="1511"/>
      <c r="AM208" s="1511"/>
      <c r="AN208" s="1511"/>
      <c r="AO208" s="1511"/>
      <c r="AP208" s="1511"/>
      <c r="AQ208" s="1511"/>
      <c r="AR208" s="414"/>
    </row>
    <row r="209" spans="3:44" s="101" customFormat="1">
      <c r="C209" s="1"/>
      <c r="D209" s="1"/>
      <c r="E209" s="1"/>
      <c r="F209" s="1"/>
      <c r="G209" s="1"/>
      <c r="H209" s="21"/>
      <c r="I209" s="21"/>
      <c r="J209" s="21"/>
      <c r="K209" s="21"/>
      <c r="L209" s="1"/>
      <c r="M209" s="1"/>
      <c r="U209" s="1512"/>
      <c r="V209" s="1512"/>
      <c r="W209" s="1512"/>
      <c r="X209" s="1512"/>
      <c r="Y209" s="1512"/>
      <c r="Z209" s="1512"/>
      <c r="AA209" s="1512"/>
      <c r="AB209" s="1527"/>
      <c r="AI209" s="473"/>
      <c r="AK209" s="1512"/>
      <c r="AL209" s="1512"/>
      <c r="AM209" s="1512"/>
      <c r="AN209" s="1512"/>
      <c r="AO209" s="1512"/>
      <c r="AP209" s="1512"/>
      <c r="AQ209" s="1512"/>
      <c r="AR209" s="473"/>
    </row>
    <row r="210" spans="3:44">
      <c r="C210" s="1"/>
      <c r="D210" s="1"/>
      <c r="E210" s="1"/>
      <c r="F210" s="1"/>
      <c r="G210" s="1"/>
      <c r="H210" s="21"/>
      <c r="I210" s="21"/>
      <c r="J210" s="21"/>
      <c r="K210" s="21"/>
      <c r="L210" s="1"/>
      <c r="M210" s="1"/>
      <c r="N210" s="99"/>
      <c r="O210" s="99"/>
      <c r="P210" s="99"/>
      <c r="Q210" s="99"/>
      <c r="R210" s="99"/>
      <c r="S210" s="99"/>
    </row>
    <row r="211" spans="3:44">
      <c r="C211" s="1"/>
      <c r="D211" s="1"/>
      <c r="E211" s="1"/>
      <c r="F211" s="1"/>
      <c r="G211" s="1"/>
      <c r="H211" s="21"/>
      <c r="I211" s="21"/>
      <c r="J211" s="21"/>
      <c r="K211" s="21"/>
      <c r="L211" s="1"/>
      <c r="M211" s="1"/>
    </row>
    <row r="212" spans="3:44">
      <c r="C212" s="1"/>
      <c r="D212" s="1"/>
      <c r="E212" s="1"/>
      <c r="F212" s="1"/>
      <c r="G212" s="1"/>
      <c r="H212" s="21"/>
      <c r="I212" s="21"/>
      <c r="J212" s="21"/>
      <c r="K212" s="21"/>
      <c r="L212" s="1"/>
      <c r="M212" s="1"/>
    </row>
    <row r="213" spans="3:44">
      <c r="C213" s="1"/>
      <c r="D213" s="1"/>
      <c r="E213" s="1"/>
      <c r="F213" s="1"/>
      <c r="G213" s="1"/>
      <c r="H213" s="21"/>
      <c r="I213" s="21"/>
      <c r="J213" s="21"/>
      <c r="K213" s="21"/>
      <c r="L213" s="1"/>
      <c r="M213" s="1"/>
    </row>
    <row r="214" spans="3:44">
      <c r="C214" s="1"/>
      <c r="D214" s="1"/>
      <c r="E214" s="1"/>
      <c r="H214" s="52"/>
      <c r="I214" s="52"/>
      <c r="J214" s="52"/>
      <c r="K214" s="52"/>
    </row>
    <row r="215" spans="3:44">
      <c r="C215" s="1"/>
      <c r="D215" s="1"/>
      <c r="E215" s="1"/>
      <c r="F215" s="1"/>
      <c r="G215" s="1"/>
      <c r="H215" s="52"/>
      <c r="I215" s="52"/>
      <c r="J215" s="52"/>
      <c r="K215" s="52"/>
      <c r="L215" s="1"/>
      <c r="M215" s="1"/>
    </row>
    <row r="216" spans="3:44">
      <c r="C216" s="1"/>
      <c r="D216" s="1"/>
      <c r="E216" s="1"/>
      <c r="F216" s="1"/>
      <c r="G216" s="1"/>
      <c r="H216" s="52"/>
      <c r="I216" s="52"/>
      <c r="J216" s="52"/>
      <c r="K216" s="52"/>
      <c r="L216" s="1"/>
      <c r="M216" s="1"/>
    </row>
    <row r="217" spans="3:44">
      <c r="C217" s="1"/>
      <c r="D217" s="1"/>
      <c r="E217" s="1"/>
      <c r="F217" s="1"/>
      <c r="G217" s="1"/>
      <c r="H217" s="52"/>
      <c r="I217" s="52"/>
      <c r="J217" s="52"/>
      <c r="K217" s="52"/>
      <c r="L217" s="1"/>
      <c r="M217" s="1"/>
    </row>
    <row r="218" spans="3:44">
      <c r="C218" s="1"/>
      <c r="D218" s="1"/>
      <c r="E218" s="1"/>
      <c r="F218" s="1"/>
      <c r="G218" s="1"/>
      <c r="H218" s="52"/>
      <c r="I218" s="52"/>
      <c r="J218" s="52"/>
      <c r="K218" s="52"/>
      <c r="L218" s="1"/>
      <c r="M218" s="1"/>
    </row>
    <row r="219" spans="3:44">
      <c r="C219" s="1"/>
      <c r="D219" s="1"/>
      <c r="E219" s="1"/>
      <c r="F219" s="1"/>
      <c r="G219" s="1"/>
      <c r="H219" s="52"/>
      <c r="I219" s="52"/>
      <c r="J219" s="52"/>
      <c r="K219" s="52"/>
      <c r="L219" s="1"/>
      <c r="M219" s="1"/>
    </row>
    <row r="220" spans="3:44">
      <c r="C220" s="18"/>
      <c r="D220" s="1"/>
      <c r="E220" s="1"/>
      <c r="H220" s="100"/>
      <c r="I220" s="100"/>
      <c r="J220" s="99"/>
      <c r="K220" s="99"/>
    </row>
    <row r="221" spans="3:44">
      <c r="C221" s="1"/>
      <c r="D221" s="1"/>
      <c r="E221" s="1"/>
      <c r="F221" s="1"/>
      <c r="G221" s="1"/>
      <c r="H221" s="21"/>
      <c r="I221" s="21"/>
      <c r="J221" s="21"/>
      <c r="K221" s="21"/>
      <c r="L221" s="1"/>
      <c r="M221" s="1"/>
    </row>
    <row r="222" spans="3:44">
      <c r="C222" s="1"/>
      <c r="D222" s="1"/>
      <c r="E222" s="1"/>
      <c r="F222" s="1"/>
      <c r="G222" s="1"/>
      <c r="H222" s="21"/>
      <c r="I222" s="21"/>
      <c r="J222" s="21"/>
      <c r="K222" s="21"/>
      <c r="L222" s="1"/>
      <c r="M222" s="1"/>
    </row>
    <row r="223" spans="3:44">
      <c r="C223" s="1"/>
      <c r="D223" s="1"/>
      <c r="E223" s="1"/>
      <c r="F223" s="1"/>
      <c r="G223" s="1"/>
      <c r="H223" s="21"/>
      <c r="I223" s="21"/>
      <c r="J223" s="21"/>
      <c r="K223" s="21"/>
      <c r="L223" s="1"/>
      <c r="M223" s="1"/>
    </row>
    <row r="224" spans="3:44">
      <c r="C224" s="1"/>
      <c r="D224" s="1"/>
      <c r="E224" s="1"/>
      <c r="F224" s="1"/>
      <c r="G224" s="1"/>
      <c r="H224" s="21"/>
      <c r="I224" s="21"/>
      <c r="J224" s="21"/>
      <c r="K224" s="21"/>
      <c r="L224" s="1"/>
      <c r="M224" s="1"/>
    </row>
    <row r="225" spans="1:44">
      <c r="C225" s="1"/>
      <c r="D225" s="1"/>
      <c r="E225" s="1"/>
      <c r="F225" s="1"/>
      <c r="G225" s="1"/>
      <c r="H225" s="21"/>
      <c r="I225" s="21"/>
      <c r="J225" s="21"/>
      <c r="K225" s="21"/>
      <c r="L225" s="1"/>
      <c r="M225" s="1"/>
    </row>
    <row r="226" spans="1:44">
      <c r="C226" s="1"/>
      <c r="D226" s="1"/>
      <c r="E226" s="1"/>
    </row>
    <row r="227" spans="1:44">
      <c r="C227" s="1"/>
      <c r="D227" s="1"/>
      <c r="E227" s="1"/>
      <c r="H227" s="127"/>
      <c r="I227" s="127"/>
      <c r="J227" s="127"/>
      <c r="K227" s="127"/>
    </row>
    <row r="228" spans="1:44" s="101" customFormat="1">
      <c r="C228" s="18"/>
      <c r="D228" s="18"/>
      <c r="E228" s="18"/>
      <c r="H228" s="100"/>
      <c r="I228" s="100"/>
      <c r="J228" s="100"/>
      <c r="K228" s="100"/>
      <c r="U228" s="1512"/>
      <c r="V228" s="1512"/>
      <c r="W228" s="1512"/>
      <c r="X228" s="1512"/>
      <c r="Y228" s="1512"/>
      <c r="Z228" s="1512"/>
      <c r="AA228" s="1512"/>
      <c r="AB228" s="1527"/>
      <c r="AI228" s="473"/>
      <c r="AK228" s="1512"/>
      <c r="AL228" s="1512"/>
      <c r="AM228" s="1512"/>
      <c r="AN228" s="1512"/>
      <c r="AO228" s="1512"/>
      <c r="AP228" s="1512"/>
      <c r="AQ228" s="1512"/>
      <c r="AR228" s="473"/>
    </row>
    <row r="229" spans="1:44" s="101" customFormat="1">
      <c r="C229" s="97"/>
      <c r="H229" s="21"/>
      <c r="I229" s="21"/>
      <c r="J229" s="21"/>
      <c r="K229" s="21"/>
      <c r="U229" s="1512"/>
      <c r="V229" s="1512"/>
      <c r="W229" s="1512"/>
      <c r="X229" s="1512"/>
      <c r="Y229" s="1512"/>
      <c r="Z229" s="1512"/>
      <c r="AA229" s="1512"/>
      <c r="AB229" s="1527"/>
      <c r="AI229" s="473"/>
      <c r="AK229" s="1512"/>
      <c r="AL229" s="1512"/>
      <c r="AM229" s="1512"/>
      <c r="AN229" s="1512"/>
      <c r="AO229" s="1512"/>
      <c r="AP229" s="1512"/>
      <c r="AQ229" s="1512"/>
      <c r="AR229" s="473"/>
    </row>
    <row r="230" spans="1:44" s="101" customFormat="1">
      <c r="C230" s="18"/>
      <c r="D230" s="18"/>
      <c r="E230" s="18"/>
      <c r="H230" s="23"/>
      <c r="I230" s="23"/>
      <c r="J230" s="23"/>
      <c r="K230" s="23"/>
      <c r="U230" s="1512"/>
      <c r="V230" s="1512"/>
      <c r="W230" s="1512"/>
      <c r="X230" s="1512"/>
      <c r="Y230" s="1512"/>
      <c r="Z230" s="1512"/>
      <c r="AA230" s="1512"/>
      <c r="AB230" s="1527"/>
      <c r="AI230" s="473"/>
      <c r="AK230" s="1512"/>
      <c r="AL230" s="1512"/>
      <c r="AM230" s="1512"/>
      <c r="AN230" s="1512"/>
      <c r="AO230" s="1512"/>
      <c r="AP230" s="1512"/>
      <c r="AQ230" s="1512"/>
      <c r="AR230" s="473"/>
    </row>
    <row r="231" spans="1:44" s="101" customFormat="1">
      <c r="C231" s="22"/>
      <c r="D231" s="18"/>
      <c r="E231" s="18"/>
      <c r="H231" s="94"/>
      <c r="I231" s="94"/>
      <c r="J231" s="94"/>
      <c r="K231" s="94"/>
      <c r="U231" s="1512"/>
      <c r="V231" s="1512"/>
      <c r="W231" s="1512"/>
      <c r="X231" s="1512"/>
      <c r="Y231" s="1512"/>
      <c r="Z231" s="1512"/>
      <c r="AA231" s="1512"/>
      <c r="AB231" s="1527"/>
      <c r="AI231" s="473"/>
      <c r="AK231" s="1512"/>
      <c r="AL231" s="1512"/>
      <c r="AM231" s="1512"/>
      <c r="AN231" s="1512"/>
      <c r="AO231" s="1512"/>
      <c r="AP231" s="1512"/>
      <c r="AQ231" s="1512"/>
      <c r="AR231" s="473"/>
    </row>
    <row r="233" spans="1:44" s="18" customFormat="1">
      <c r="T233" s="1126"/>
      <c r="U233" s="1518"/>
      <c r="V233" s="1518"/>
      <c r="W233" s="1518"/>
      <c r="X233" s="1518"/>
      <c r="Y233" s="1518"/>
      <c r="Z233" s="1518"/>
      <c r="AA233" s="1518"/>
      <c r="AB233" s="397"/>
      <c r="AI233" s="478"/>
      <c r="AJ233" s="1126"/>
      <c r="AK233" s="1518"/>
      <c r="AL233" s="1518"/>
      <c r="AM233" s="1518"/>
      <c r="AN233" s="1518"/>
      <c r="AO233" s="1518"/>
      <c r="AP233" s="1518"/>
      <c r="AQ233" s="1518"/>
      <c r="AR233" s="1494"/>
    </row>
    <row r="234" spans="1:4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</row>
    <row r="235" spans="1:44" s="99" customFormat="1">
      <c r="C235" s="18"/>
      <c r="D235" s="18"/>
      <c r="E235" s="18"/>
      <c r="U235" s="1511"/>
      <c r="V235" s="1511"/>
      <c r="W235" s="1511"/>
      <c r="X235" s="1511"/>
      <c r="Y235" s="1511"/>
      <c r="Z235" s="1511"/>
      <c r="AA235" s="1511"/>
      <c r="AB235" s="1056"/>
      <c r="AI235" s="414"/>
      <c r="AK235" s="1511"/>
      <c r="AL235" s="1511"/>
      <c r="AM235" s="1511"/>
      <c r="AN235" s="1511"/>
      <c r="AO235" s="1511"/>
      <c r="AP235" s="1511"/>
      <c r="AQ235" s="1511"/>
      <c r="AR235" s="414"/>
    </row>
    <row r="236" spans="1:44" s="101" customFormat="1">
      <c r="C236" s="1"/>
      <c r="D236" s="1"/>
      <c r="E236" s="1"/>
      <c r="F236" s="1"/>
      <c r="G236" s="1"/>
      <c r="H236" s="21"/>
      <c r="I236" s="21"/>
      <c r="J236" s="21"/>
      <c r="K236" s="21"/>
      <c r="L236" s="1"/>
      <c r="M236" s="1"/>
      <c r="U236" s="1512"/>
      <c r="V236" s="1512"/>
      <c r="W236" s="1512"/>
      <c r="X236" s="1512"/>
      <c r="Y236" s="1512"/>
      <c r="Z236" s="1512"/>
      <c r="AA236" s="1512"/>
      <c r="AB236" s="1527"/>
      <c r="AI236" s="473"/>
      <c r="AK236" s="1512"/>
      <c r="AL236" s="1512"/>
      <c r="AM236" s="1512"/>
      <c r="AN236" s="1512"/>
      <c r="AO236" s="1512"/>
      <c r="AP236" s="1512"/>
      <c r="AQ236" s="1512"/>
      <c r="AR236" s="473"/>
    </row>
    <row r="237" spans="1:44">
      <c r="C237" s="1"/>
      <c r="D237" s="1"/>
      <c r="E237" s="1"/>
      <c r="F237" s="1"/>
      <c r="G237" s="1"/>
      <c r="H237" s="21"/>
      <c r="I237" s="21"/>
      <c r="J237" s="21"/>
      <c r="K237" s="21"/>
      <c r="L237" s="1"/>
      <c r="M237" s="1"/>
      <c r="N237" s="99"/>
      <c r="O237" s="99"/>
      <c r="P237" s="99"/>
      <c r="Q237" s="99"/>
      <c r="R237" s="99"/>
      <c r="S237" s="99"/>
    </row>
    <row r="238" spans="1:44">
      <c r="C238" s="1"/>
      <c r="D238" s="1"/>
      <c r="E238" s="1"/>
      <c r="F238" s="1"/>
      <c r="G238" s="1"/>
      <c r="H238" s="21"/>
      <c r="I238" s="21"/>
      <c r="J238" s="21"/>
      <c r="K238" s="21"/>
      <c r="L238" s="1"/>
      <c r="M238" s="1"/>
    </row>
    <row r="239" spans="1:44">
      <c r="C239" s="1"/>
      <c r="D239" s="1"/>
      <c r="E239" s="1"/>
      <c r="F239" s="1"/>
      <c r="G239" s="1"/>
      <c r="H239" s="21"/>
      <c r="I239" s="21"/>
      <c r="J239" s="21"/>
      <c r="K239" s="21"/>
      <c r="L239" s="1"/>
      <c r="M239" s="1"/>
    </row>
    <row r="240" spans="1:44">
      <c r="C240" s="1"/>
      <c r="D240" s="1"/>
      <c r="E240" s="1"/>
      <c r="F240" s="1"/>
      <c r="G240" s="1"/>
      <c r="H240" s="21"/>
      <c r="I240" s="21"/>
      <c r="J240" s="21"/>
      <c r="K240" s="21"/>
      <c r="L240" s="1"/>
      <c r="M240" s="1"/>
    </row>
    <row r="241" spans="3:44">
      <c r="C241" s="1"/>
      <c r="D241" s="1"/>
      <c r="E241" s="1"/>
      <c r="H241" s="52"/>
      <c r="I241" s="52"/>
      <c r="J241" s="52"/>
      <c r="K241" s="52"/>
    </row>
    <row r="242" spans="3:44">
      <c r="C242" s="1"/>
      <c r="D242" s="1"/>
      <c r="E242" s="1"/>
      <c r="F242" s="1"/>
      <c r="G242" s="1"/>
      <c r="H242" s="52"/>
      <c r="I242" s="52"/>
      <c r="J242" s="52"/>
      <c r="K242" s="52"/>
      <c r="L242" s="1"/>
      <c r="M242" s="1"/>
    </row>
    <row r="243" spans="3:44">
      <c r="C243" s="1"/>
      <c r="D243" s="1"/>
      <c r="E243" s="1"/>
      <c r="F243" s="1"/>
      <c r="G243" s="1"/>
      <c r="H243" s="52"/>
      <c r="I243" s="52"/>
      <c r="J243" s="52"/>
      <c r="K243" s="52"/>
      <c r="L243" s="1"/>
      <c r="M243" s="1"/>
    </row>
    <row r="244" spans="3:44">
      <c r="C244" s="1"/>
      <c r="D244" s="1"/>
      <c r="E244" s="1"/>
      <c r="F244" s="1"/>
      <c r="G244" s="1"/>
      <c r="H244" s="52"/>
      <c r="I244" s="52"/>
      <c r="J244" s="52"/>
      <c r="K244" s="52"/>
      <c r="L244" s="1"/>
      <c r="M244" s="1"/>
    </row>
    <row r="245" spans="3:44">
      <c r="C245" s="1"/>
      <c r="D245" s="1"/>
      <c r="E245" s="1"/>
      <c r="F245" s="1"/>
      <c r="G245" s="1"/>
      <c r="H245" s="52"/>
      <c r="I245" s="52"/>
      <c r="J245" s="52"/>
      <c r="K245" s="52"/>
      <c r="L245" s="1"/>
      <c r="M245" s="1"/>
    </row>
    <row r="246" spans="3:44">
      <c r="C246" s="1"/>
      <c r="D246" s="1"/>
      <c r="E246" s="1"/>
      <c r="F246" s="1"/>
      <c r="G246" s="1"/>
      <c r="H246" s="52"/>
      <c r="I246" s="52"/>
      <c r="J246" s="52"/>
      <c r="K246" s="52"/>
      <c r="L246" s="1"/>
      <c r="M246" s="1"/>
    </row>
    <row r="247" spans="3:44">
      <c r="C247" s="18"/>
      <c r="D247" s="1"/>
      <c r="E247" s="1"/>
      <c r="H247" s="100"/>
      <c r="I247" s="100"/>
      <c r="J247" s="100"/>
      <c r="K247" s="99"/>
    </row>
    <row r="248" spans="3:44">
      <c r="C248" s="1"/>
      <c r="D248" s="1"/>
      <c r="E248" s="1"/>
      <c r="F248" s="1"/>
      <c r="G248" s="1"/>
      <c r="H248" s="21"/>
      <c r="I248" s="21"/>
      <c r="J248" s="21"/>
      <c r="K248" s="21"/>
      <c r="L248" s="1"/>
      <c r="M248" s="1"/>
    </row>
    <row r="249" spans="3:44">
      <c r="C249" s="1"/>
      <c r="D249" s="1"/>
      <c r="E249" s="1"/>
      <c r="F249" s="1"/>
      <c r="G249" s="1"/>
      <c r="H249" s="21"/>
      <c r="I249" s="21"/>
      <c r="J249" s="21"/>
      <c r="K249" s="21"/>
      <c r="L249" s="1"/>
      <c r="M249" s="1"/>
    </row>
    <row r="250" spans="3:44">
      <c r="C250" s="1"/>
      <c r="D250" s="1"/>
      <c r="E250" s="1"/>
      <c r="F250" s="1"/>
      <c r="G250" s="1"/>
      <c r="H250" s="21"/>
      <c r="I250" s="21"/>
      <c r="J250" s="21"/>
      <c r="K250" s="21"/>
      <c r="L250" s="1"/>
      <c r="M250" s="1"/>
    </row>
    <row r="251" spans="3:44">
      <c r="C251" s="1"/>
      <c r="D251" s="1"/>
      <c r="E251" s="1"/>
      <c r="F251" s="1"/>
      <c r="G251" s="1"/>
      <c r="H251" s="21"/>
      <c r="I251" s="21"/>
      <c r="J251" s="21"/>
      <c r="K251" s="21"/>
      <c r="L251" s="1"/>
      <c r="M251" s="1"/>
    </row>
    <row r="252" spans="3:44">
      <c r="C252" s="1"/>
      <c r="D252" s="1"/>
      <c r="E252" s="1"/>
      <c r="F252" s="1"/>
      <c r="G252" s="1"/>
      <c r="H252" s="21"/>
      <c r="I252" s="21"/>
      <c r="J252" s="21"/>
      <c r="K252" s="21"/>
      <c r="L252" s="1"/>
      <c r="M252" s="1"/>
    </row>
    <row r="253" spans="3:44">
      <c r="C253" s="1"/>
      <c r="D253" s="1"/>
      <c r="E253" s="1"/>
    </row>
    <row r="254" spans="3:44">
      <c r="C254" s="1"/>
      <c r="D254" s="1"/>
      <c r="E254" s="1"/>
      <c r="H254" s="127"/>
      <c r="I254" s="127"/>
      <c r="J254" s="127"/>
      <c r="K254" s="127"/>
    </row>
    <row r="255" spans="3:44" s="101" customFormat="1">
      <c r="C255" s="18"/>
      <c r="D255" s="18"/>
      <c r="E255" s="18"/>
      <c r="H255" s="100"/>
      <c r="I255" s="100"/>
      <c r="J255" s="100"/>
      <c r="K255" s="100"/>
      <c r="U255" s="1512"/>
      <c r="V255" s="1512"/>
      <c r="W255" s="1512"/>
      <c r="X255" s="1512"/>
      <c r="Y255" s="1512"/>
      <c r="Z255" s="1512"/>
      <c r="AA255" s="1512"/>
      <c r="AB255" s="1527"/>
      <c r="AI255" s="473"/>
      <c r="AK255" s="1512"/>
      <c r="AL255" s="1512"/>
      <c r="AM255" s="1512"/>
      <c r="AN255" s="1512"/>
      <c r="AO255" s="1512"/>
      <c r="AP255" s="1512"/>
      <c r="AQ255" s="1512"/>
      <c r="AR255" s="473"/>
    </row>
    <row r="256" spans="3:44" s="101" customFormat="1">
      <c r="C256" s="97"/>
      <c r="H256" s="21"/>
      <c r="I256" s="21"/>
      <c r="J256" s="21"/>
      <c r="K256" s="21"/>
      <c r="U256" s="1512"/>
      <c r="V256" s="1512"/>
      <c r="W256" s="1512"/>
      <c r="X256" s="1512"/>
      <c r="Y256" s="1512"/>
      <c r="Z256" s="1512"/>
      <c r="AA256" s="1512"/>
      <c r="AB256" s="1527"/>
      <c r="AI256" s="473"/>
      <c r="AK256" s="1512"/>
      <c r="AL256" s="1512"/>
      <c r="AM256" s="1512"/>
      <c r="AN256" s="1512"/>
      <c r="AO256" s="1512"/>
      <c r="AP256" s="1512"/>
      <c r="AQ256" s="1512"/>
      <c r="AR256" s="473"/>
    </row>
    <row r="257" spans="1:44" s="101" customFormat="1">
      <c r="C257" s="18"/>
      <c r="D257" s="18"/>
      <c r="E257" s="18"/>
      <c r="H257" s="23"/>
      <c r="I257" s="23"/>
      <c r="J257" s="23"/>
      <c r="K257" s="23"/>
      <c r="U257" s="1512"/>
      <c r="V257" s="1512"/>
      <c r="W257" s="1512"/>
      <c r="X257" s="1512"/>
      <c r="Y257" s="1512"/>
      <c r="Z257" s="1512"/>
      <c r="AA257" s="1512"/>
      <c r="AB257" s="1527"/>
      <c r="AI257" s="473"/>
      <c r="AK257" s="1512"/>
      <c r="AL257" s="1512"/>
      <c r="AM257" s="1512"/>
      <c r="AN257" s="1512"/>
      <c r="AO257" s="1512"/>
      <c r="AP257" s="1512"/>
      <c r="AQ257" s="1512"/>
      <c r="AR257" s="473"/>
    </row>
    <row r="258" spans="1:44" s="101" customFormat="1">
      <c r="C258" s="22"/>
      <c r="D258" s="18"/>
      <c r="E258" s="18"/>
      <c r="H258" s="94"/>
      <c r="I258" s="94"/>
      <c r="J258" s="94"/>
      <c r="K258" s="94"/>
      <c r="U258" s="1512"/>
      <c r="V258" s="1512"/>
      <c r="W258" s="1512"/>
      <c r="X258" s="1512"/>
      <c r="Y258" s="1512"/>
      <c r="Z258" s="1512"/>
      <c r="AA258" s="1512"/>
      <c r="AB258" s="1527"/>
      <c r="AI258" s="473"/>
      <c r="AK258" s="1512"/>
      <c r="AL258" s="1512"/>
      <c r="AM258" s="1512"/>
      <c r="AN258" s="1512"/>
      <c r="AO258" s="1512"/>
      <c r="AP258" s="1512"/>
      <c r="AQ258" s="1512"/>
      <c r="AR258" s="473"/>
    </row>
    <row r="259" spans="1:44" collapsed="1"/>
    <row r="260" spans="1:44" s="96" customForma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1125"/>
      <c r="U260" s="1515"/>
      <c r="V260" s="1515"/>
      <c r="W260" s="1515"/>
      <c r="X260" s="1515"/>
      <c r="Y260" s="1515"/>
      <c r="Z260" s="1515"/>
      <c r="AA260" s="1515"/>
      <c r="AB260" s="1179"/>
      <c r="AI260" s="415"/>
      <c r="AJ260" s="1125"/>
      <c r="AK260" s="1515"/>
      <c r="AL260" s="1515"/>
      <c r="AM260" s="1515"/>
      <c r="AN260" s="1515"/>
      <c r="AO260" s="1515"/>
      <c r="AP260" s="1515"/>
      <c r="AQ260" s="1515"/>
      <c r="AR260" s="1482"/>
    </row>
    <row r="261" spans="1:44"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</row>
    <row r="262" spans="1:44" s="18" customFormat="1">
      <c r="T262" s="1126"/>
      <c r="U262" s="1518"/>
      <c r="V262" s="1518"/>
      <c r="W262" s="1518"/>
      <c r="X262" s="1518"/>
      <c r="Y262" s="1518"/>
      <c r="Z262" s="1518"/>
      <c r="AA262" s="1518"/>
      <c r="AB262" s="397"/>
      <c r="AI262" s="478"/>
      <c r="AJ262" s="1126"/>
      <c r="AK262" s="1518"/>
      <c r="AL262" s="1518"/>
      <c r="AM262" s="1518"/>
      <c r="AN262" s="1518"/>
      <c r="AO262" s="1518"/>
      <c r="AP262" s="1518"/>
      <c r="AQ262" s="1518"/>
      <c r="AR262" s="1494"/>
    </row>
    <row r="263" spans="1:44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</row>
    <row r="264" spans="1:44" s="99" customFormat="1">
      <c r="C264" s="18"/>
      <c r="D264" s="18"/>
      <c r="E264" s="18"/>
      <c r="U264" s="1511"/>
      <c r="V264" s="1511"/>
      <c r="W264" s="1511"/>
      <c r="X264" s="1511"/>
      <c r="Y264" s="1511"/>
      <c r="Z264" s="1511"/>
      <c r="AA264" s="1511"/>
      <c r="AB264" s="1056"/>
      <c r="AI264" s="414"/>
      <c r="AK264" s="1511"/>
      <c r="AL264" s="1511"/>
      <c r="AM264" s="1511"/>
      <c r="AN264" s="1511"/>
      <c r="AO264" s="1511"/>
      <c r="AP264" s="1511"/>
      <c r="AQ264" s="1511"/>
      <c r="AR264" s="414"/>
    </row>
    <row r="265" spans="1:44" s="101" customFormat="1">
      <c r="C265" s="1"/>
      <c r="D265" s="1"/>
      <c r="E265" s="1"/>
      <c r="F265" s="1"/>
      <c r="G265" s="1"/>
      <c r="H265" s="20"/>
      <c r="I265" s="20"/>
      <c r="J265" s="20"/>
      <c r="K265" s="20"/>
      <c r="L265" s="20"/>
      <c r="M265" s="20"/>
      <c r="U265" s="1512"/>
      <c r="V265" s="1512"/>
      <c r="W265" s="1512"/>
      <c r="X265" s="1512"/>
      <c r="Y265" s="1512"/>
      <c r="Z265" s="1512"/>
      <c r="AA265" s="1512"/>
      <c r="AB265" s="1527"/>
      <c r="AI265" s="473"/>
      <c r="AK265" s="1512"/>
      <c r="AL265" s="1512"/>
      <c r="AM265" s="1512"/>
      <c r="AN265" s="1512"/>
      <c r="AO265" s="1512"/>
      <c r="AP265" s="1512"/>
      <c r="AQ265" s="1512"/>
      <c r="AR265" s="473"/>
    </row>
    <row r="266" spans="1:44">
      <c r="C266" s="1"/>
      <c r="D266" s="1"/>
      <c r="E266" s="1"/>
      <c r="F266" s="1"/>
      <c r="G266" s="1"/>
      <c r="H266" s="20"/>
      <c r="I266" s="20"/>
      <c r="J266" s="20"/>
      <c r="K266" s="20"/>
      <c r="L266" s="20"/>
      <c r="M266" s="20"/>
      <c r="N266" s="99"/>
      <c r="O266" s="99"/>
      <c r="P266" s="99"/>
      <c r="Q266" s="99"/>
      <c r="R266" s="99"/>
      <c r="S266" s="99"/>
    </row>
    <row r="267" spans="1:44">
      <c r="C267" s="1"/>
      <c r="D267" s="1"/>
      <c r="E267" s="1"/>
      <c r="F267" s="1"/>
      <c r="G267" s="1"/>
      <c r="H267" s="20"/>
      <c r="I267" s="20"/>
      <c r="J267" s="20"/>
      <c r="K267" s="20"/>
      <c r="L267" s="20"/>
      <c r="M267" s="20"/>
    </row>
    <row r="268" spans="1:44">
      <c r="C268" s="1"/>
      <c r="D268" s="1"/>
      <c r="E268" s="1"/>
      <c r="F268" s="1"/>
      <c r="G268" s="1"/>
      <c r="H268" s="20"/>
      <c r="I268" s="20"/>
      <c r="J268" s="20"/>
      <c r="K268" s="20"/>
      <c r="L268" s="20"/>
      <c r="M268" s="20"/>
    </row>
    <row r="269" spans="1:44">
      <c r="C269" s="1"/>
      <c r="D269" s="1"/>
      <c r="E269" s="1"/>
      <c r="F269" s="1"/>
      <c r="G269" s="1"/>
      <c r="H269" s="20"/>
      <c r="I269" s="20"/>
      <c r="J269" s="20"/>
      <c r="K269" s="20"/>
      <c r="L269" s="20"/>
      <c r="M269" s="20"/>
    </row>
    <row r="270" spans="1:44">
      <c r="C270" s="1"/>
      <c r="D270" s="1"/>
      <c r="E270" s="1"/>
      <c r="H270" s="52"/>
      <c r="I270" s="52"/>
      <c r="J270" s="52"/>
      <c r="K270" s="52"/>
    </row>
    <row r="271" spans="1:44">
      <c r="C271" s="1"/>
      <c r="D271" s="1"/>
      <c r="E271" s="1"/>
      <c r="F271" s="1"/>
      <c r="G271" s="1"/>
      <c r="H271" s="52"/>
      <c r="I271" s="52"/>
      <c r="J271" s="52"/>
      <c r="K271" s="52"/>
      <c r="L271" s="1"/>
      <c r="M271" s="1"/>
    </row>
    <row r="272" spans="1:44">
      <c r="C272" s="1"/>
      <c r="D272" s="1"/>
      <c r="E272" s="1"/>
      <c r="F272" s="1"/>
      <c r="G272" s="1"/>
      <c r="H272" s="52"/>
      <c r="I272" s="52"/>
      <c r="J272" s="52"/>
      <c r="K272" s="52"/>
      <c r="L272" s="1"/>
      <c r="M272" s="1"/>
    </row>
    <row r="273" spans="3:44">
      <c r="C273" s="1"/>
      <c r="D273" s="1"/>
      <c r="E273" s="1"/>
      <c r="F273" s="1"/>
      <c r="G273" s="1"/>
      <c r="H273" s="52"/>
      <c r="I273" s="52"/>
      <c r="J273" s="52"/>
      <c r="K273" s="52"/>
      <c r="L273" s="1"/>
      <c r="M273" s="1"/>
    </row>
    <row r="274" spans="3:44">
      <c r="C274" s="1"/>
      <c r="D274" s="1"/>
      <c r="E274" s="1"/>
      <c r="F274" s="1"/>
      <c r="G274" s="1"/>
      <c r="H274" s="52"/>
      <c r="I274" s="52"/>
      <c r="J274" s="52"/>
      <c r="K274" s="52"/>
      <c r="L274" s="1"/>
      <c r="M274" s="1"/>
    </row>
    <row r="275" spans="3:44">
      <c r="C275" s="1"/>
      <c r="D275" s="1"/>
      <c r="E275" s="1"/>
      <c r="F275" s="1"/>
      <c r="G275" s="1"/>
      <c r="H275" s="52"/>
      <c r="I275" s="52"/>
      <c r="J275" s="52"/>
      <c r="K275" s="52"/>
      <c r="L275" s="1"/>
      <c r="M275" s="1"/>
    </row>
    <row r="276" spans="3:44">
      <c r="C276" s="18"/>
      <c r="D276" s="1"/>
      <c r="E276" s="1"/>
      <c r="H276" s="99"/>
      <c r="I276" s="99"/>
      <c r="J276" s="99"/>
      <c r="K276" s="99"/>
    </row>
    <row r="277" spans="3:44">
      <c r="C277" s="1"/>
      <c r="D277" s="1"/>
      <c r="E277" s="1"/>
      <c r="F277" s="1"/>
      <c r="G277" s="1"/>
      <c r="H277" s="20"/>
      <c r="I277" s="20"/>
      <c r="J277" s="20"/>
      <c r="K277" s="20"/>
      <c r="L277" s="1"/>
      <c r="M277" s="1"/>
    </row>
    <row r="278" spans="3:44">
      <c r="C278" s="1"/>
      <c r="D278" s="1"/>
      <c r="E278" s="1"/>
      <c r="F278" s="1"/>
      <c r="G278" s="1"/>
      <c r="H278" s="20"/>
      <c r="I278" s="20"/>
      <c r="J278" s="20"/>
      <c r="K278" s="20"/>
      <c r="L278" s="1"/>
      <c r="M278" s="1"/>
    </row>
    <row r="279" spans="3:44">
      <c r="C279" s="1"/>
      <c r="D279" s="1"/>
      <c r="E279" s="1"/>
      <c r="F279" s="1"/>
      <c r="G279" s="1"/>
      <c r="H279" s="20"/>
      <c r="I279" s="20"/>
      <c r="J279" s="20"/>
      <c r="K279" s="20"/>
      <c r="L279" s="1"/>
      <c r="M279" s="1"/>
    </row>
    <row r="280" spans="3:44">
      <c r="C280" s="1"/>
      <c r="D280" s="1"/>
      <c r="E280" s="1"/>
      <c r="F280" s="1"/>
      <c r="G280" s="1"/>
      <c r="H280" s="20"/>
      <c r="I280" s="20"/>
      <c r="J280" s="20"/>
      <c r="K280" s="20"/>
      <c r="L280" s="1"/>
      <c r="M280" s="1"/>
    </row>
    <row r="281" spans="3:44">
      <c r="C281" s="1"/>
      <c r="D281" s="1"/>
      <c r="E281" s="1"/>
      <c r="F281" s="1"/>
      <c r="G281" s="1"/>
      <c r="H281" s="20"/>
      <c r="I281" s="20"/>
      <c r="J281" s="20"/>
      <c r="K281" s="20"/>
      <c r="L281" s="1"/>
      <c r="M281" s="1"/>
    </row>
    <row r="282" spans="3:44">
      <c r="C282" s="1"/>
      <c r="D282" s="1"/>
      <c r="E282" s="1"/>
    </row>
    <row r="283" spans="3:44">
      <c r="C283" s="1"/>
      <c r="D283" s="1"/>
      <c r="E283" s="1"/>
      <c r="H283" s="127"/>
      <c r="I283" s="127"/>
      <c r="J283" s="127"/>
      <c r="K283" s="127"/>
    </row>
    <row r="284" spans="3:44" s="101" customFormat="1">
      <c r="C284" s="18"/>
      <c r="D284" s="18"/>
      <c r="E284" s="18"/>
      <c r="H284" s="23"/>
      <c r="I284" s="23"/>
      <c r="J284" s="23"/>
      <c r="K284" s="23"/>
      <c r="U284" s="1512"/>
      <c r="V284" s="1512"/>
      <c r="W284" s="1512"/>
      <c r="X284" s="1512"/>
      <c r="Y284" s="1512"/>
      <c r="Z284" s="1512"/>
      <c r="AA284" s="1512"/>
      <c r="AB284" s="1527"/>
      <c r="AI284" s="473"/>
      <c r="AK284" s="1512"/>
      <c r="AL284" s="1512"/>
      <c r="AM284" s="1512"/>
      <c r="AN284" s="1512"/>
      <c r="AO284" s="1512"/>
      <c r="AP284" s="1512"/>
      <c r="AQ284" s="1512"/>
      <c r="AR284" s="473"/>
    </row>
    <row r="285" spans="3:44" s="101" customFormat="1">
      <c r="C285" s="97"/>
      <c r="H285" s="20"/>
      <c r="I285" s="20"/>
      <c r="J285" s="20"/>
      <c r="K285" s="20"/>
      <c r="U285" s="1512"/>
      <c r="V285" s="1512"/>
      <c r="W285" s="1512"/>
      <c r="X285" s="1512"/>
      <c r="Y285" s="1512"/>
      <c r="Z285" s="1512"/>
      <c r="AA285" s="1512"/>
      <c r="AB285" s="1527"/>
      <c r="AI285" s="473"/>
      <c r="AK285" s="1512"/>
      <c r="AL285" s="1512"/>
      <c r="AM285" s="1512"/>
      <c r="AN285" s="1512"/>
      <c r="AO285" s="1512"/>
      <c r="AP285" s="1512"/>
      <c r="AQ285" s="1512"/>
      <c r="AR285" s="473"/>
    </row>
    <row r="286" spans="3:44" s="101" customFormat="1">
      <c r="C286" s="18"/>
      <c r="D286" s="18"/>
      <c r="E286" s="18"/>
      <c r="H286" s="23"/>
      <c r="I286" s="23"/>
      <c r="J286" s="23"/>
      <c r="K286" s="23"/>
      <c r="U286" s="1512"/>
      <c r="V286" s="1512"/>
      <c r="W286" s="1512"/>
      <c r="X286" s="1512"/>
      <c r="Y286" s="1512"/>
      <c r="Z286" s="1512"/>
      <c r="AA286" s="1512"/>
      <c r="AB286" s="1527"/>
      <c r="AI286" s="473"/>
      <c r="AK286" s="1512"/>
      <c r="AL286" s="1512"/>
      <c r="AM286" s="1512"/>
      <c r="AN286" s="1512"/>
      <c r="AO286" s="1512"/>
      <c r="AP286" s="1512"/>
      <c r="AQ286" s="1512"/>
      <c r="AR286" s="473"/>
    </row>
    <row r="287" spans="3:44" s="101" customFormat="1">
      <c r="C287" s="22"/>
      <c r="D287" s="18"/>
      <c r="E287" s="18"/>
      <c r="H287" s="94"/>
      <c r="I287" s="94"/>
      <c r="J287" s="94"/>
      <c r="K287" s="94"/>
      <c r="U287" s="1512"/>
      <c r="V287" s="1512"/>
      <c r="W287" s="1512"/>
      <c r="X287" s="1512"/>
      <c r="Y287" s="1512"/>
      <c r="Z287" s="1512"/>
      <c r="AA287" s="1512"/>
      <c r="AB287" s="1527"/>
      <c r="AI287" s="473"/>
      <c r="AK287" s="1512"/>
      <c r="AL287" s="1512"/>
      <c r="AM287" s="1512"/>
      <c r="AN287" s="1512"/>
      <c r="AO287" s="1512"/>
      <c r="AP287" s="1512"/>
      <c r="AQ287" s="1512"/>
      <c r="AR287" s="473"/>
    </row>
    <row r="288" spans="3:44" collapsed="1"/>
    <row r="289" spans="1:44" s="96" customForma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1125"/>
      <c r="U289" s="1515"/>
      <c r="V289" s="1515"/>
      <c r="W289" s="1515"/>
      <c r="X289" s="1515"/>
      <c r="Y289" s="1515"/>
      <c r="Z289" s="1515"/>
      <c r="AA289" s="1515"/>
      <c r="AB289" s="1179"/>
      <c r="AI289" s="415"/>
      <c r="AJ289" s="1125"/>
      <c r="AK289" s="1515"/>
      <c r="AL289" s="1515"/>
      <c r="AM289" s="1515"/>
      <c r="AN289" s="1515"/>
      <c r="AO289" s="1515"/>
      <c r="AP289" s="1515"/>
      <c r="AQ289" s="1515"/>
      <c r="AR289" s="1482"/>
    </row>
    <row r="291" spans="1:44" s="99" customFormat="1">
      <c r="B291" s="1"/>
      <c r="C291" s="18"/>
      <c r="D291" s="1"/>
      <c r="H291" s="23"/>
      <c r="I291" s="23"/>
      <c r="J291" s="23"/>
      <c r="K291" s="23"/>
      <c r="U291" s="1511"/>
      <c r="V291" s="1511"/>
      <c r="W291" s="1511"/>
      <c r="X291" s="1511"/>
      <c r="Y291" s="1511"/>
      <c r="Z291" s="1511"/>
      <c r="AA291" s="1511"/>
      <c r="AB291" s="1056"/>
      <c r="AI291" s="414"/>
      <c r="AK291" s="1511"/>
      <c r="AL291" s="1511"/>
      <c r="AM291" s="1511"/>
      <c r="AN291" s="1511"/>
      <c r="AO291" s="1511"/>
      <c r="AP291" s="1511"/>
      <c r="AQ291" s="1511"/>
      <c r="AR291" s="414"/>
    </row>
    <row r="292" spans="1:44">
      <c r="B292" s="1"/>
      <c r="C292" s="1"/>
      <c r="D292" s="1"/>
      <c r="H292" s="21"/>
      <c r="I292" s="21"/>
      <c r="J292" s="21"/>
      <c r="K292" s="21"/>
    </row>
    <row r="293" spans="1:44">
      <c r="B293" s="1"/>
      <c r="C293" s="1"/>
      <c r="D293" s="1"/>
      <c r="H293" s="21"/>
      <c r="I293" s="21"/>
      <c r="J293" s="21"/>
      <c r="K293" s="21"/>
    </row>
    <row r="294" spans="1:44">
      <c r="B294" s="1"/>
      <c r="C294" s="1"/>
      <c r="D294" s="1"/>
      <c r="H294" s="21"/>
      <c r="I294" s="21"/>
      <c r="J294" s="21"/>
      <c r="K294" s="21"/>
    </row>
    <row r="295" spans="1:44">
      <c r="B295" s="1"/>
      <c r="C295" s="1"/>
      <c r="D295" s="1"/>
      <c r="H295" s="21"/>
      <c r="I295" s="21"/>
      <c r="J295" s="21"/>
      <c r="K295" s="21"/>
    </row>
    <row r="296" spans="1:44">
      <c r="B296" s="1"/>
      <c r="C296" s="18"/>
      <c r="D296" s="1"/>
      <c r="H296" s="23"/>
      <c r="I296" s="23"/>
      <c r="J296" s="23"/>
      <c r="K296" s="23"/>
    </row>
    <row r="297" spans="1:44">
      <c r="B297" s="1"/>
      <c r="C297" s="1"/>
      <c r="D297" s="1"/>
      <c r="H297" s="21"/>
      <c r="I297" s="21"/>
      <c r="J297" s="21"/>
      <c r="K297" s="21"/>
      <c r="L297" s="102"/>
      <c r="M297" s="102"/>
      <c r="N297" s="102"/>
      <c r="O297" s="102"/>
      <c r="P297" s="102"/>
      <c r="Q297" s="102"/>
      <c r="R297" s="102"/>
      <c r="S297" s="102"/>
    </row>
    <row r="298" spans="1:44">
      <c r="B298" s="1"/>
      <c r="C298" s="1"/>
      <c r="D298" s="1"/>
      <c r="H298" s="21"/>
      <c r="I298" s="21"/>
      <c r="J298" s="21"/>
      <c r="K298" s="21"/>
      <c r="L298" s="102"/>
      <c r="M298" s="102"/>
      <c r="N298" s="102"/>
      <c r="O298" s="102"/>
      <c r="P298" s="102"/>
      <c r="Q298" s="102"/>
      <c r="R298" s="102"/>
      <c r="S298" s="102"/>
    </row>
    <row r="299" spans="1:44">
      <c r="B299" s="1"/>
      <c r="C299" s="1"/>
      <c r="D299" s="1"/>
      <c r="H299" s="21"/>
      <c r="I299" s="21"/>
      <c r="J299" s="21"/>
      <c r="K299" s="21"/>
      <c r="L299" s="102"/>
      <c r="M299" s="102"/>
      <c r="N299" s="102"/>
      <c r="O299" s="102"/>
      <c r="P299" s="102"/>
      <c r="Q299" s="102"/>
      <c r="R299" s="102"/>
      <c r="S299" s="102"/>
    </row>
    <row r="300" spans="1:44">
      <c r="B300" s="1"/>
      <c r="C300" s="1"/>
      <c r="D300" s="1"/>
      <c r="H300" s="21"/>
      <c r="I300" s="21"/>
      <c r="J300" s="21"/>
      <c r="K300" s="21"/>
      <c r="L300" s="102"/>
      <c r="M300" s="102"/>
      <c r="N300" s="102"/>
      <c r="O300" s="102"/>
      <c r="P300" s="102"/>
      <c r="Q300" s="102"/>
      <c r="R300" s="102"/>
      <c r="S300" s="102"/>
    </row>
    <row r="301" spans="1:44">
      <c r="B301" s="1"/>
      <c r="C301" s="1"/>
      <c r="D301" s="1"/>
      <c r="H301" s="21"/>
      <c r="I301" s="21"/>
      <c r="J301" s="21"/>
      <c r="K301" s="21"/>
      <c r="L301" s="102"/>
      <c r="M301" s="102"/>
      <c r="N301" s="102"/>
      <c r="O301" s="102"/>
      <c r="P301" s="102"/>
      <c r="Q301" s="102"/>
      <c r="R301" s="102"/>
      <c r="S301" s="102"/>
    </row>
    <row r="302" spans="1:44">
      <c r="D302" s="1"/>
      <c r="H302" s="21"/>
      <c r="I302" s="21"/>
      <c r="J302" s="21"/>
      <c r="K302" s="21"/>
      <c r="L302" s="102"/>
      <c r="M302" s="102"/>
      <c r="N302" s="102"/>
      <c r="O302" s="102"/>
      <c r="P302" s="102"/>
      <c r="Q302" s="102"/>
      <c r="R302" s="102"/>
      <c r="S302" s="102"/>
    </row>
    <row r="303" spans="1:44">
      <c r="C303" s="99"/>
      <c r="D303" s="1"/>
      <c r="H303" s="21"/>
      <c r="I303" s="21"/>
      <c r="J303" s="21"/>
      <c r="K303" s="21"/>
      <c r="L303" s="99"/>
      <c r="M303" s="99"/>
      <c r="N303" s="99"/>
      <c r="O303" s="99"/>
      <c r="P303" s="99"/>
      <c r="Q303" s="99"/>
      <c r="R303" s="99"/>
      <c r="S303" s="99"/>
    </row>
    <row r="304" spans="1:44">
      <c r="C304" s="99"/>
      <c r="D304" s="1"/>
      <c r="H304" s="21"/>
      <c r="I304" s="21"/>
      <c r="J304" s="21"/>
      <c r="K304" s="21"/>
      <c r="L304" s="99"/>
      <c r="M304" s="99"/>
      <c r="N304" s="99"/>
      <c r="O304" s="99"/>
      <c r="P304" s="99"/>
      <c r="Q304" s="99"/>
      <c r="R304" s="99"/>
      <c r="S304" s="99"/>
    </row>
    <row r="305" spans="1:44">
      <c r="C305" s="99"/>
      <c r="H305" s="23"/>
      <c r="I305" s="23"/>
      <c r="J305" s="23"/>
      <c r="K305" s="23"/>
    </row>
    <row r="306" spans="1:44">
      <c r="H306" s="21"/>
      <c r="I306" s="21"/>
      <c r="J306" s="21"/>
      <c r="K306" s="21"/>
    </row>
    <row r="308" spans="1:44">
      <c r="C308" s="99"/>
      <c r="H308" s="23"/>
      <c r="I308" s="23"/>
      <c r="J308" s="23"/>
      <c r="K308" s="23"/>
    </row>
    <row r="309" spans="1:44">
      <c r="H309" s="21"/>
      <c r="I309" s="21"/>
      <c r="J309" s="21"/>
      <c r="K309" s="21"/>
    </row>
    <row r="311" spans="1:44" s="101" customFormat="1">
      <c r="C311" s="18"/>
      <c r="D311" s="18"/>
      <c r="E311" s="18"/>
      <c r="H311" s="23"/>
      <c r="I311" s="23"/>
      <c r="J311" s="23"/>
      <c r="K311" s="23"/>
      <c r="U311" s="1512"/>
      <c r="V311" s="1512"/>
      <c r="W311" s="1512"/>
      <c r="X311" s="1512"/>
      <c r="Y311" s="1512"/>
      <c r="Z311" s="1512"/>
      <c r="AA311" s="1512"/>
      <c r="AB311" s="1527"/>
      <c r="AI311" s="473"/>
      <c r="AK311" s="1512"/>
      <c r="AL311" s="1512"/>
      <c r="AM311" s="1512"/>
      <c r="AN311" s="1512"/>
      <c r="AO311" s="1512"/>
      <c r="AP311" s="1512"/>
      <c r="AQ311" s="1512"/>
      <c r="AR311" s="473"/>
    </row>
    <row r="312" spans="1:44">
      <c r="C312" s="101"/>
      <c r="H312" s="94"/>
      <c r="I312" s="94"/>
      <c r="J312" s="94"/>
      <c r="K312" s="94"/>
    </row>
    <row r="313" spans="1:44"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</row>
    <row r="314" spans="1:44" s="96" customForma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1125"/>
      <c r="U314" s="1515"/>
      <c r="V314" s="1515"/>
      <c r="W314" s="1515"/>
      <c r="X314" s="1515"/>
      <c r="Y314" s="1515"/>
      <c r="Z314" s="1515"/>
      <c r="AA314" s="1515"/>
      <c r="AB314" s="1179"/>
      <c r="AI314" s="415"/>
      <c r="AJ314" s="1125"/>
      <c r="AK314" s="1515"/>
      <c r="AL314" s="1515"/>
      <c r="AM314" s="1515"/>
      <c r="AN314" s="1515"/>
      <c r="AO314" s="1515"/>
      <c r="AP314" s="1515"/>
      <c r="AQ314" s="1515"/>
      <c r="AR314" s="1482"/>
    </row>
    <row r="316" spans="1:44" s="99" customFormat="1">
      <c r="C316" s="97"/>
      <c r="H316" s="21"/>
      <c r="I316" s="21"/>
      <c r="J316" s="21"/>
      <c r="K316" s="21"/>
      <c r="U316" s="1511"/>
      <c r="V316" s="1511"/>
      <c r="W316" s="1511"/>
      <c r="X316" s="1511"/>
      <c r="Y316" s="1511"/>
      <c r="Z316" s="1511"/>
      <c r="AA316" s="1511"/>
      <c r="AB316" s="1056"/>
      <c r="AI316" s="414"/>
      <c r="AK316" s="1511"/>
      <c r="AL316" s="1511"/>
      <c r="AM316" s="1511"/>
      <c r="AN316" s="1511"/>
      <c r="AO316" s="1511"/>
      <c r="AP316" s="1511"/>
      <c r="AQ316" s="1511"/>
      <c r="AR316" s="414"/>
    </row>
    <row r="317" spans="1:44">
      <c r="H317" s="21"/>
      <c r="I317" s="21"/>
      <c r="J317" s="21"/>
      <c r="K317" s="21"/>
    </row>
    <row r="318" spans="1:44" s="104" customFormat="1">
      <c r="D318" s="101"/>
      <c r="H318" s="94"/>
      <c r="I318" s="94"/>
      <c r="J318" s="94"/>
      <c r="K318" s="94"/>
      <c r="U318" s="1514"/>
      <c r="V318" s="1514"/>
      <c r="W318" s="1514"/>
      <c r="X318" s="1514"/>
      <c r="Y318" s="1514"/>
      <c r="Z318" s="1514"/>
      <c r="AA318" s="1514"/>
      <c r="AB318" s="1528"/>
      <c r="AI318" s="477"/>
      <c r="AK318" s="1514"/>
      <c r="AL318" s="1514"/>
      <c r="AM318" s="1514"/>
      <c r="AN318" s="1514"/>
      <c r="AO318" s="1514"/>
      <c r="AP318" s="1514"/>
      <c r="AQ318" s="1514"/>
      <c r="AR318" s="477"/>
    </row>
    <row r="320" spans="1:44" s="1" customFormat="1">
      <c r="C320" s="18"/>
      <c r="H320" s="98"/>
      <c r="I320" s="98"/>
      <c r="J320" s="98"/>
      <c r="K320" s="98"/>
      <c r="T320" s="1321"/>
      <c r="U320" s="1515"/>
      <c r="V320" s="1515"/>
      <c r="W320" s="1515"/>
      <c r="X320" s="1515"/>
      <c r="Y320" s="1515"/>
      <c r="Z320" s="1515"/>
      <c r="AA320" s="1515"/>
      <c r="AB320" s="14"/>
      <c r="AI320" s="415"/>
      <c r="AJ320" s="1321"/>
      <c r="AK320" s="1515"/>
      <c r="AL320" s="1515"/>
      <c r="AM320" s="1515"/>
      <c r="AN320" s="1515"/>
      <c r="AO320" s="1515"/>
      <c r="AP320" s="1515"/>
      <c r="AQ320" s="1515"/>
      <c r="AR320" s="1482"/>
    </row>
    <row r="322" spans="3:19" ht="16">
      <c r="C322" s="67"/>
      <c r="D322" s="128"/>
      <c r="E322" s="128"/>
      <c r="F322" s="128"/>
    </row>
    <row r="323" spans="3:19">
      <c r="H323" s="21"/>
      <c r="I323" s="21"/>
      <c r="J323" s="21"/>
      <c r="K323" s="21"/>
    </row>
    <row r="324" spans="3:19">
      <c r="H324" s="21"/>
      <c r="I324" s="21"/>
      <c r="J324" s="21"/>
      <c r="K324" s="21"/>
      <c r="L324" s="102"/>
      <c r="M324" s="102"/>
      <c r="N324" s="102"/>
      <c r="O324" s="102"/>
      <c r="P324" s="102"/>
      <c r="Q324" s="102"/>
      <c r="R324" s="102"/>
      <c r="S324" s="102"/>
    </row>
    <row r="325" spans="3:19">
      <c r="H325" s="21"/>
      <c r="I325" s="21"/>
      <c r="J325" s="21"/>
      <c r="K325" s="21"/>
      <c r="L325" s="102"/>
      <c r="M325" s="102"/>
      <c r="N325" s="102"/>
      <c r="O325" s="102"/>
      <c r="P325" s="102"/>
      <c r="Q325" s="102"/>
      <c r="R325" s="102"/>
      <c r="S325" s="102"/>
    </row>
    <row r="326" spans="3:19">
      <c r="H326" s="21"/>
      <c r="I326" s="21"/>
      <c r="J326" s="21"/>
      <c r="K326" s="21"/>
      <c r="L326" s="102"/>
      <c r="M326" s="102"/>
      <c r="N326" s="102"/>
      <c r="O326" s="102"/>
      <c r="P326" s="102"/>
      <c r="Q326" s="102"/>
      <c r="R326" s="102"/>
      <c r="S326" s="102"/>
    </row>
    <row r="327" spans="3:19">
      <c r="H327" s="21"/>
      <c r="I327" s="21"/>
      <c r="J327" s="21"/>
      <c r="K327" s="21"/>
      <c r="L327" s="102"/>
      <c r="M327" s="102"/>
      <c r="N327" s="102"/>
      <c r="O327" s="102"/>
      <c r="P327" s="102"/>
      <c r="Q327" s="102"/>
      <c r="R327" s="102"/>
      <c r="S327" s="102"/>
    </row>
    <row r="328" spans="3:19">
      <c r="H328" s="21"/>
      <c r="I328" s="21"/>
      <c r="J328" s="21"/>
      <c r="K328" s="21"/>
      <c r="L328" s="102"/>
      <c r="M328" s="102"/>
      <c r="N328" s="102"/>
      <c r="O328" s="102"/>
      <c r="P328" s="102"/>
      <c r="Q328" s="102"/>
      <c r="R328" s="102"/>
      <c r="S328" s="102"/>
    </row>
    <row r="329" spans="3:19">
      <c r="H329" s="21"/>
      <c r="I329" s="21"/>
      <c r="J329" s="21"/>
      <c r="K329" s="21"/>
      <c r="L329" s="102"/>
      <c r="M329" s="102"/>
      <c r="N329" s="102"/>
      <c r="O329" s="102"/>
      <c r="P329" s="102"/>
      <c r="Q329" s="102"/>
      <c r="R329" s="102"/>
      <c r="S329" s="102"/>
    </row>
    <row r="330" spans="3:19">
      <c r="H330" s="21"/>
      <c r="I330" s="21"/>
      <c r="J330" s="21"/>
      <c r="K330" s="21"/>
      <c r="L330" s="99"/>
      <c r="M330" s="99"/>
      <c r="N330" s="99"/>
      <c r="O330" s="99"/>
      <c r="P330" s="99"/>
      <c r="Q330" s="99"/>
      <c r="R330" s="99"/>
      <c r="S330" s="99"/>
    </row>
    <row r="331" spans="3:19">
      <c r="C331" s="99"/>
      <c r="H331" s="99"/>
      <c r="I331" s="99"/>
      <c r="J331" s="99"/>
      <c r="K331" s="99"/>
    </row>
    <row r="333" spans="3:19">
      <c r="C333" s="67"/>
    </row>
    <row r="334" spans="3:19">
      <c r="H334" s="21"/>
      <c r="I334" s="21"/>
      <c r="J334" s="21"/>
      <c r="K334" s="21"/>
    </row>
    <row r="335" spans="3:19">
      <c r="H335" s="21"/>
      <c r="I335" s="21"/>
      <c r="J335" s="21"/>
      <c r="K335" s="21"/>
    </row>
    <row r="336" spans="3:19">
      <c r="H336" s="21"/>
      <c r="I336" s="21"/>
      <c r="J336" s="21"/>
      <c r="K336" s="21"/>
    </row>
    <row r="337" spans="3:44">
      <c r="C337" s="99"/>
      <c r="H337" s="99"/>
      <c r="I337" s="99"/>
      <c r="J337" s="99"/>
      <c r="K337" s="99"/>
    </row>
    <row r="338" spans="3:44"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</row>
    <row r="339" spans="3:44" s="1" customFormat="1">
      <c r="C339" s="18"/>
      <c r="H339" s="23"/>
      <c r="I339" s="23"/>
      <c r="J339" s="23"/>
      <c r="K339" s="23"/>
      <c r="T339" s="1321"/>
      <c r="U339" s="1515"/>
      <c r="V339" s="1515"/>
      <c r="W339" s="1515"/>
      <c r="X339" s="1515"/>
      <c r="Y339" s="1515"/>
      <c r="Z339" s="1515"/>
      <c r="AA339" s="1515"/>
      <c r="AB339" s="14"/>
      <c r="AI339" s="415"/>
      <c r="AJ339" s="1321"/>
      <c r="AK339" s="1515"/>
      <c r="AL339" s="1515"/>
      <c r="AM339" s="1515"/>
      <c r="AN339" s="1515"/>
      <c r="AO339" s="1515"/>
      <c r="AP339" s="1515"/>
      <c r="AQ339" s="1515"/>
      <c r="AR339" s="1482"/>
    </row>
    <row r="340" spans="3:44">
      <c r="D340" s="101"/>
      <c r="H340" s="94"/>
      <c r="I340" s="94"/>
      <c r="J340" s="94"/>
      <c r="K340" s="94"/>
    </row>
    <row r="341" spans="3:44" s="99" customFormat="1">
      <c r="U341" s="1511"/>
      <c r="V341" s="1511"/>
      <c r="W341" s="1511"/>
      <c r="X341" s="1511"/>
      <c r="Y341" s="1511"/>
      <c r="Z341" s="1511"/>
      <c r="AA341" s="1511"/>
      <c r="AB341" s="1056"/>
      <c r="AI341" s="414"/>
      <c r="AK341" s="1511"/>
      <c r="AL341" s="1511"/>
      <c r="AM341" s="1511"/>
      <c r="AN341" s="1511"/>
      <c r="AO341" s="1511"/>
      <c r="AP341" s="1511"/>
      <c r="AQ341" s="1511"/>
      <c r="AR341" s="414"/>
    </row>
    <row r="342" spans="3:44">
      <c r="C342" s="67"/>
    </row>
    <row r="343" spans="3:44" s="99" customFormat="1">
      <c r="C343" s="97"/>
      <c r="D343" s="97"/>
      <c r="E343" s="97"/>
      <c r="F343" s="97"/>
      <c r="G343" s="97"/>
      <c r="H343" s="21"/>
      <c r="I343" s="21"/>
      <c r="J343" s="21"/>
      <c r="K343" s="21"/>
      <c r="U343" s="1511"/>
      <c r="V343" s="1511"/>
      <c r="W343" s="1511"/>
      <c r="X343" s="1511"/>
      <c r="Y343" s="1511"/>
      <c r="Z343" s="1511"/>
      <c r="AA343" s="1511"/>
      <c r="AB343" s="1056"/>
      <c r="AI343" s="414"/>
      <c r="AK343" s="1511"/>
      <c r="AL343" s="1511"/>
      <c r="AM343" s="1511"/>
      <c r="AN343" s="1511"/>
      <c r="AO343" s="1511"/>
      <c r="AP343" s="1511"/>
      <c r="AQ343" s="1511"/>
      <c r="AR343" s="414"/>
    </row>
    <row r="344" spans="3:44">
      <c r="H344" s="21"/>
      <c r="I344" s="21"/>
      <c r="J344" s="21"/>
      <c r="K344" s="21"/>
    </row>
    <row r="345" spans="3:44">
      <c r="H345" s="21"/>
      <c r="I345" s="21"/>
      <c r="J345" s="21"/>
      <c r="K345" s="21"/>
    </row>
    <row r="346" spans="3:44">
      <c r="H346" s="21"/>
      <c r="I346" s="21"/>
      <c r="J346" s="21"/>
      <c r="K346" s="21"/>
    </row>
    <row r="347" spans="3:44">
      <c r="H347" s="21"/>
      <c r="I347" s="21"/>
      <c r="J347" s="21"/>
      <c r="K347" s="21"/>
    </row>
    <row r="348" spans="3:44" s="99" customFormat="1">
      <c r="U348" s="1511"/>
      <c r="V348" s="1511"/>
      <c r="W348" s="1511"/>
      <c r="X348" s="1511"/>
      <c r="Y348" s="1511"/>
      <c r="Z348" s="1511"/>
      <c r="AA348" s="1511"/>
      <c r="AB348" s="1056"/>
      <c r="AI348" s="414"/>
      <c r="AK348" s="1511"/>
      <c r="AL348" s="1511"/>
      <c r="AM348" s="1511"/>
      <c r="AN348" s="1511"/>
      <c r="AO348" s="1511"/>
      <c r="AP348" s="1511"/>
      <c r="AQ348" s="1511"/>
      <c r="AR348" s="414"/>
    </row>
    <row r="350" spans="3:44">
      <c r="C350" s="67"/>
      <c r="L350" s="102"/>
      <c r="M350" s="102"/>
      <c r="N350" s="102"/>
      <c r="O350" s="102"/>
      <c r="P350" s="102"/>
      <c r="Q350" s="102"/>
      <c r="R350" s="102"/>
      <c r="S350" s="102"/>
    </row>
    <row r="351" spans="3:44">
      <c r="H351" s="21"/>
      <c r="I351" s="21"/>
      <c r="J351" s="21"/>
      <c r="K351" s="21"/>
      <c r="L351" s="102"/>
      <c r="M351" s="102"/>
      <c r="N351" s="102"/>
      <c r="O351" s="102"/>
      <c r="P351" s="102"/>
      <c r="Q351" s="102"/>
      <c r="R351" s="102"/>
      <c r="S351" s="102"/>
    </row>
    <row r="352" spans="3:44">
      <c r="H352" s="21"/>
      <c r="I352" s="21"/>
      <c r="J352" s="21"/>
      <c r="K352" s="21"/>
      <c r="L352" s="102"/>
      <c r="M352" s="102"/>
      <c r="N352" s="102"/>
      <c r="O352" s="102"/>
      <c r="P352" s="102"/>
      <c r="Q352" s="102"/>
      <c r="R352" s="102"/>
      <c r="S352" s="102"/>
    </row>
    <row r="353" spans="1:44">
      <c r="H353" s="21"/>
      <c r="I353" s="21"/>
      <c r="J353" s="21"/>
      <c r="K353" s="21"/>
      <c r="L353" s="102"/>
      <c r="M353" s="102"/>
      <c r="N353" s="102"/>
      <c r="O353" s="102"/>
      <c r="P353" s="102"/>
      <c r="Q353" s="102"/>
      <c r="R353" s="102"/>
      <c r="S353" s="102"/>
    </row>
    <row r="354" spans="1:44" s="99" customFormat="1"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U354" s="1511"/>
      <c r="V354" s="1511"/>
      <c r="W354" s="1511"/>
      <c r="X354" s="1511"/>
      <c r="Y354" s="1511"/>
      <c r="Z354" s="1511"/>
      <c r="AA354" s="1511"/>
      <c r="AB354" s="1056"/>
      <c r="AI354" s="414"/>
      <c r="AK354" s="1511"/>
      <c r="AL354" s="1511"/>
      <c r="AM354" s="1511"/>
      <c r="AN354" s="1511"/>
      <c r="AO354" s="1511"/>
      <c r="AP354" s="1511"/>
      <c r="AQ354" s="1511"/>
      <c r="AR354" s="414"/>
    </row>
    <row r="355" spans="1:44"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</row>
    <row r="356" spans="1:44" s="1" customFormat="1">
      <c r="C356" s="18"/>
      <c r="H356" s="23"/>
      <c r="I356" s="23"/>
      <c r="J356" s="23"/>
      <c r="K356" s="23"/>
      <c r="T356" s="1321"/>
      <c r="U356" s="1515"/>
      <c r="V356" s="1515"/>
      <c r="W356" s="1515"/>
      <c r="X356" s="1515"/>
      <c r="Y356" s="1515"/>
      <c r="Z356" s="1515"/>
      <c r="AA356" s="1515"/>
      <c r="AB356" s="14"/>
      <c r="AI356" s="415"/>
      <c r="AJ356" s="1321"/>
      <c r="AK356" s="1515"/>
      <c r="AL356" s="1515"/>
      <c r="AM356" s="1515"/>
      <c r="AN356" s="1515"/>
      <c r="AO356" s="1515"/>
      <c r="AP356" s="1515"/>
      <c r="AQ356" s="1515"/>
      <c r="AR356" s="1482"/>
    </row>
    <row r="357" spans="1:44">
      <c r="D357" s="101"/>
      <c r="H357" s="94"/>
      <c r="I357" s="94"/>
      <c r="J357" s="94"/>
      <c r="K357" s="94"/>
    </row>
    <row r="359" spans="1:44" s="96" customForma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1125"/>
      <c r="U359" s="1515"/>
      <c r="V359" s="1515"/>
      <c r="W359" s="1515"/>
      <c r="X359" s="1515"/>
      <c r="Y359" s="1515"/>
      <c r="Z359" s="1515"/>
      <c r="AA359" s="1515"/>
      <c r="AB359" s="1179"/>
      <c r="AI359" s="415"/>
      <c r="AJ359" s="1125"/>
      <c r="AK359" s="1515"/>
      <c r="AL359" s="1515"/>
      <c r="AM359" s="1515"/>
      <c r="AN359" s="1515"/>
      <c r="AO359" s="1515"/>
      <c r="AP359" s="1515"/>
      <c r="AQ359" s="1515"/>
      <c r="AR359" s="1482"/>
    </row>
    <row r="360" spans="1:44" s="1" customFormat="1">
      <c r="T360" s="1321"/>
      <c r="U360" s="1515"/>
      <c r="V360" s="1515"/>
      <c r="W360" s="1515"/>
      <c r="X360" s="1515"/>
      <c r="Y360" s="1515"/>
      <c r="Z360" s="1515"/>
      <c r="AA360" s="1515"/>
      <c r="AB360" s="14"/>
      <c r="AI360" s="415"/>
      <c r="AJ360" s="1321"/>
      <c r="AK360" s="1515"/>
      <c r="AL360" s="1515"/>
      <c r="AM360" s="1515"/>
      <c r="AN360" s="1515"/>
      <c r="AO360" s="1515"/>
      <c r="AP360" s="1515"/>
      <c r="AQ360" s="1515"/>
      <c r="AR360" s="1482"/>
    </row>
    <row r="361" spans="1:44" s="96" customForma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1125"/>
      <c r="U361" s="1515"/>
      <c r="V361" s="1515"/>
      <c r="W361" s="1515"/>
      <c r="X361" s="1515"/>
      <c r="Y361" s="1515"/>
      <c r="Z361" s="1515"/>
      <c r="AA361" s="1515"/>
      <c r="AB361" s="1179"/>
      <c r="AI361" s="415"/>
      <c r="AJ361" s="1125"/>
      <c r="AK361" s="1515"/>
      <c r="AL361" s="1515"/>
      <c r="AM361" s="1515"/>
      <c r="AN361" s="1515"/>
      <c r="AO361" s="1515"/>
      <c r="AP361" s="1515"/>
      <c r="AQ361" s="1515"/>
      <c r="AR361" s="1482"/>
    </row>
    <row r="362" spans="1:44">
      <c r="H362" s="20"/>
      <c r="I362" s="20"/>
      <c r="J362" s="20"/>
      <c r="K362" s="21"/>
    </row>
    <row r="363" spans="1:44">
      <c r="H363" s="20"/>
      <c r="I363" s="20"/>
      <c r="J363" s="20"/>
      <c r="K363" s="21"/>
    </row>
    <row r="364" spans="1:44">
      <c r="C364" s="99"/>
      <c r="E364" s="99"/>
      <c r="F364" s="99"/>
      <c r="G364" s="99"/>
      <c r="H364" s="20"/>
      <c r="I364" s="20"/>
      <c r="J364" s="20"/>
      <c r="K364" s="21"/>
      <c r="L364" s="99"/>
      <c r="M364" s="99"/>
      <c r="N364" s="99"/>
      <c r="O364" s="99"/>
      <c r="P364" s="99"/>
      <c r="Q364" s="99"/>
      <c r="R364" s="99"/>
      <c r="S364" s="99"/>
    </row>
    <row r="365" spans="1:44">
      <c r="C365" s="99"/>
      <c r="E365" s="99"/>
      <c r="F365" s="99"/>
      <c r="G365" s="99"/>
      <c r="H365" s="20"/>
      <c r="I365" s="20"/>
      <c r="J365" s="20"/>
      <c r="K365" s="21"/>
      <c r="L365" s="99"/>
      <c r="M365" s="99"/>
      <c r="N365" s="99"/>
      <c r="O365" s="99"/>
      <c r="P365" s="99"/>
      <c r="Q365" s="99"/>
      <c r="R365" s="99"/>
      <c r="S365" s="99"/>
    </row>
    <row r="366" spans="1:44">
      <c r="C366" s="101"/>
      <c r="E366" s="101"/>
      <c r="F366" s="101"/>
      <c r="G366" s="101"/>
      <c r="H366" s="102"/>
      <c r="I366" s="102"/>
      <c r="J366" s="102"/>
      <c r="K366" s="102"/>
      <c r="N366" s="101"/>
      <c r="O366" s="101"/>
      <c r="P366" s="101"/>
      <c r="Q366" s="101"/>
      <c r="R366" s="101"/>
      <c r="S366" s="101"/>
    </row>
    <row r="367" spans="1:44">
      <c r="H367" s="21"/>
      <c r="I367" s="21"/>
      <c r="J367" s="21"/>
      <c r="K367" s="21"/>
    </row>
    <row r="368" spans="1:44" s="99" customFormat="1">
      <c r="H368" s="21"/>
      <c r="I368" s="21"/>
      <c r="J368" s="21"/>
      <c r="K368" s="21"/>
      <c r="U368" s="1511"/>
      <c r="V368" s="1511"/>
      <c r="W368" s="1511"/>
      <c r="X368" s="1511"/>
      <c r="Y368" s="1511"/>
      <c r="Z368" s="1511"/>
      <c r="AA368" s="1511"/>
      <c r="AB368" s="1056"/>
      <c r="AI368" s="414"/>
      <c r="AK368" s="1511"/>
      <c r="AL368" s="1511"/>
      <c r="AM368" s="1511"/>
      <c r="AN368" s="1511"/>
      <c r="AO368" s="1511"/>
      <c r="AP368" s="1511"/>
      <c r="AQ368" s="1511"/>
      <c r="AR368" s="414"/>
    </row>
    <row r="369" spans="3:44" s="99" customFormat="1">
      <c r="U369" s="1511"/>
      <c r="V369" s="1511"/>
      <c r="W369" s="1511"/>
      <c r="X369" s="1511"/>
      <c r="Y369" s="1511"/>
      <c r="Z369" s="1511"/>
      <c r="AA369" s="1511"/>
      <c r="AB369" s="1056"/>
      <c r="AI369" s="414"/>
      <c r="AK369" s="1511"/>
      <c r="AL369" s="1511"/>
      <c r="AM369" s="1511"/>
      <c r="AN369" s="1511"/>
      <c r="AO369" s="1511"/>
      <c r="AP369" s="1511"/>
      <c r="AQ369" s="1511"/>
      <c r="AR369" s="414"/>
    </row>
    <row r="370" spans="3:44" s="99" customFormat="1">
      <c r="U370" s="1511"/>
      <c r="V370" s="1511"/>
      <c r="W370" s="1511"/>
      <c r="X370" s="1511"/>
      <c r="Y370" s="1511"/>
      <c r="Z370" s="1511"/>
      <c r="AA370" s="1511"/>
      <c r="AB370" s="1056"/>
      <c r="AI370" s="414"/>
      <c r="AK370" s="1511"/>
      <c r="AL370" s="1511"/>
      <c r="AM370" s="1511"/>
      <c r="AN370" s="1511"/>
      <c r="AO370" s="1511"/>
      <c r="AP370" s="1511"/>
      <c r="AQ370" s="1511"/>
      <c r="AR370" s="414"/>
    </row>
    <row r="371" spans="3:44" s="99" customFormat="1">
      <c r="D371" s="97"/>
      <c r="H371" s="21"/>
      <c r="I371" s="21"/>
      <c r="J371" s="21"/>
      <c r="K371" s="21"/>
      <c r="U371" s="1511"/>
      <c r="V371" s="1511"/>
      <c r="W371" s="1511"/>
      <c r="X371" s="1511"/>
      <c r="Y371" s="1511"/>
      <c r="Z371" s="1511"/>
      <c r="AA371" s="1511"/>
      <c r="AB371" s="1056"/>
      <c r="AI371" s="414"/>
      <c r="AK371" s="1511"/>
      <c r="AL371" s="1511"/>
      <c r="AM371" s="1511"/>
      <c r="AN371" s="1511"/>
      <c r="AO371" s="1511"/>
      <c r="AP371" s="1511"/>
      <c r="AQ371" s="1511"/>
      <c r="AR371" s="414"/>
    </row>
    <row r="372" spans="3:44" s="99" customFormat="1">
      <c r="U372" s="1511"/>
      <c r="V372" s="1511"/>
      <c r="W372" s="1511"/>
      <c r="X372" s="1511"/>
      <c r="Y372" s="1511"/>
      <c r="Z372" s="1511"/>
      <c r="AA372" s="1511"/>
      <c r="AB372" s="1056"/>
      <c r="AI372" s="414"/>
      <c r="AK372" s="1511"/>
      <c r="AL372" s="1511"/>
      <c r="AM372" s="1511"/>
      <c r="AN372" s="1511"/>
      <c r="AO372" s="1511"/>
      <c r="AP372" s="1511"/>
      <c r="AQ372" s="1511"/>
      <c r="AR372" s="414"/>
    </row>
    <row r="373" spans="3:44" s="99" customFormat="1">
      <c r="U373" s="1511"/>
      <c r="V373" s="1511"/>
      <c r="W373" s="1511"/>
      <c r="X373" s="1511"/>
      <c r="Y373" s="1511"/>
      <c r="Z373" s="1511"/>
      <c r="AA373" s="1511"/>
      <c r="AB373" s="1056"/>
      <c r="AI373" s="414"/>
      <c r="AK373" s="1511"/>
      <c r="AL373" s="1511"/>
      <c r="AM373" s="1511"/>
      <c r="AN373" s="1511"/>
      <c r="AO373" s="1511"/>
      <c r="AP373" s="1511"/>
      <c r="AQ373" s="1511"/>
      <c r="AR373" s="414"/>
    </row>
    <row r="374" spans="3:44">
      <c r="H374" s="20"/>
      <c r="I374" s="20"/>
      <c r="J374" s="20"/>
      <c r="K374" s="20"/>
    </row>
    <row r="375" spans="3:44">
      <c r="H375" s="21"/>
      <c r="I375" s="21"/>
      <c r="J375" s="21"/>
      <c r="K375" s="21"/>
    </row>
    <row r="376" spans="3:44">
      <c r="H376" s="21"/>
      <c r="I376" s="21"/>
      <c r="J376" s="21"/>
      <c r="K376" s="21"/>
    </row>
    <row r="377" spans="3:44">
      <c r="D377" s="99"/>
      <c r="H377" s="23"/>
      <c r="I377" s="23"/>
      <c r="J377" s="23"/>
      <c r="K377" s="23"/>
    </row>
    <row r="378" spans="3:44"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</row>
    <row r="379" spans="3:44" s="1" customFormat="1">
      <c r="C379" s="18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321"/>
      <c r="U379" s="1515"/>
      <c r="V379" s="1515"/>
      <c r="W379" s="1515"/>
      <c r="X379" s="1515"/>
      <c r="Y379" s="1515"/>
      <c r="Z379" s="1515"/>
      <c r="AA379" s="1515"/>
      <c r="AB379" s="14"/>
      <c r="AI379" s="415"/>
      <c r="AJ379" s="1321"/>
      <c r="AK379" s="1515"/>
      <c r="AL379" s="1515"/>
      <c r="AM379" s="1515"/>
      <c r="AN379" s="1515"/>
      <c r="AO379" s="1515"/>
      <c r="AP379" s="1515"/>
      <c r="AQ379" s="1515"/>
      <c r="AR379" s="1482"/>
    </row>
    <row r="380" spans="3:44" s="1" customFormat="1">
      <c r="D380" s="18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1321"/>
      <c r="U380" s="1515"/>
      <c r="V380" s="1515"/>
      <c r="W380" s="1515"/>
      <c r="X380" s="1515"/>
      <c r="Y380" s="1515"/>
      <c r="Z380" s="1515"/>
      <c r="AA380" s="1515"/>
      <c r="AB380" s="14"/>
      <c r="AI380" s="415"/>
      <c r="AJ380" s="1321"/>
      <c r="AK380" s="1515"/>
      <c r="AL380" s="1515"/>
      <c r="AM380" s="1515"/>
      <c r="AN380" s="1515"/>
      <c r="AO380" s="1515"/>
      <c r="AP380" s="1515"/>
      <c r="AQ380" s="1515"/>
      <c r="AR380" s="1482"/>
    </row>
    <row r="381" spans="3:44" s="1" customFormat="1">
      <c r="D381" s="22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1321"/>
      <c r="U381" s="1515"/>
      <c r="V381" s="1515"/>
      <c r="W381" s="1515"/>
      <c r="X381" s="1515"/>
      <c r="Y381" s="1515"/>
      <c r="Z381" s="1515"/>
      <c r="AA381" s="1515"/>
      <c r="AB381" s="14"/>
      <c r="AI381" s="415"/>
      <c r="AJ381" s="1321"/>
      <c r="AK381" s="1515"/>
      <c r="AL381" s="1515"/>
      <c r="AM381" s="1515"/>
      <c r="AN381" s="1515"/>
      <c r="AO381" s="1515"/>
      <c r="AP381" s="1515"/>
      <c r="AQ381" s="1515"/>
      <c r="AR381" s="1482"/>
    </row>
    <row r="382" spans="3:44">
      <c r="H382" s="21"/>
      <c r="I382" s="21"/>
      <c r="J382" s="21"/>
      <c r="K382" s="21"/>
      <c r="L382" s="102"/>
      <c r="M382" s="102"/>
      <c r="N382" s="102"/>
      <c r="O382" s="102"/>
      <c r="P382" s="102"/>
      <c r="Q382" s="102"/>
      <c r="R382" s="102"/>
      <c r="S382" s="102"/>
    </row>
    <row r="383" spans="3:44">
      <c r="H383" s="21"/>
      <c r="I383" s="21"/>
      <c r="J383" s="21"/>
      <c r="K383" s="21"/>
    </row>
    <row r="384" spans="3:44" s="101" customFormat="1">
      <c r="C384" s="104"/>
      <c r="H384" s="94"/>
      <c r="I384" s="94"/>
      <c r="J384" s="94"/>
      <c r="K384" s="94"/>
      <c r="U384" s="1512"/>
      <c r="V384" s="1512"/>
      <c r="W384" s="1512"/>
      <c r="X384" s="1512"/>
      <c r="Y384" s="1512"/>
      <c r="Z384" s="1512"/>
      <c r="AA384" s="1512"/>
      <c r="AB384" s="1527"/>
      <c r="AI384" s="473"/>
      <c r="AK384" s="1512"/>
      <c r="AL384" s="1512"/>
      <c r="AM384" s="1512"/>
      <c r="AN384" s="1512"/>
      <c r="AO384" s="1512"/>
      <c r="AP384" s="1512"/>
      <c r="AQ384" s="1512"/>
      <c r="AR384" s="473"/>
    </row>
    <row r="385" spans="1:44">
      <c r="H385" s="21"/>
      <c r="I385" s="21"/>
      <c r="J385" s="21"/>
      <c r="K385" s="21"/>
    </row>
    <row r="386" spans="1:44" s="101" customFormat="1">
      <c r="H386" s="94"/>
      <c r="I386" s="94"/>
      <c r="J386" s="94"/>
      <c r="K386" s="94"/>
      <c r="U386" s="1512"/>
      <c r="V386" s="1512"/>
      <c r="W386" s="1512"/>
      <c r="X386" s="1512"/>
      <c r="Y386" s="1512"/>
      <c r="Z386" s="1512"/>
      <c r="AA386" s="1512"/>
      <c r="AB386" s="1527"/>
      <c r="AI386" s="473"/>
      <c r="AK386" s="1512"/>
      <c r="AL386" s="1512"/>
      <c r="AM386" s="1512"/>
      <c r="AN386" s="1512"/>
      <c r="AO386" s="1512"/>
      <c r="AP386" s="1512"/>
      <c r="AQ386" s="1512"/>
      <c r="AR386" s="473"/>
    </row>
    <row r="387" spans="1:44">
      <c r="H387" s="21"/>
      <c r="I387" s="21"/>
      <c r="J387" s="21"/>
      <c r="K387" s="21"/>
    </row>
    <row r="388" spans="1:44">
      <c r="H388" s="21"/>
      <c r="I388" s="21"/>
      <c r="J388" s="21"/>
      <c r="K388" s="21"/>
    </row>
    <row r="389" spans="1:44" s="1" customFormat="1">
      <c r="C389" s="18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321"/>
      <c r="U389" s="1515"/>
      <c r="V389" s="1515"/>
      <c r="W389" s="1515"/>
      <c r="X389" s="1515"/>
      <c r="Y389" s="1515"/>
      <c r="Z389" s="1515"/>
      <c r="AA389" s="1515"/>
      <c r="AB389" s="14"/>
      <c r="AI389" s="415"/>
      <c r="AJ389" s="1321"/>
      <c r="AK389" s="1515"/>
      <c r="AL389" s="1515"/>
      <c r="AM389" s="1515"/>
      <c r="AN389" s="1515"/>
      <c r="AO389" s="1515"/>
      <c r="AP389" s="1515"/>
      <c r="AQ389" s="1515"/>
      <c r="AR389" s="1482"/>
    </row>
    <row r="391" spans="1:44" s="1" customFormat="1">
      <c r="C391" s="18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321"/>
      <c r="U391" s="1515"/>
      <c r="V391" s="1515"/>
      <c r="W391" s="1515"/>
      <c r="X391" s="1515"/>
      <c r="Y391" s="1515"/>
      <c r="Z391" s="1515"/>
      <c r="AA391" s="1515"/>
      <c r="AB391" s="14"/>
      <c r="AI391" s="415"/>
      <c r="AJ391" s="1321"/>
      <c r="AK391" s="1515"/>
      <c r="AL391" s="1515"/>
      <c r="AM391" s="1515"/>
      <c r="AN391" s="1515"/>
      <c r="AO391" s="1515"/>
      <c r="AP391" s="1515"/>
      <c r="AQ391" s="1515"/>
      <c r="AR391" s="1482"/>
    </row>
    <row r="392" spans="1:44" s="1" customFormat="1">
      <c r="D392" s="22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1321"/>
      <c r="U392" s="1515"/>
      <c r="V392" s="1515"/>
      <c r="W392" s="1515"/>
      <c r="X392" s="1515"/>
      <c r="Y392" s="1515"/>
      <c r="Z392" s="1515"/>
      <c r="AA392" s="1515"/>
      <c r="AB392" s="14"/>
      <c r="AI392" s="415"/>
      <c r="AJ392" s="1321"/>
      <c r="AK392" s="1515"/>
      <c r="AL392" s="1515"/>
      <c r="AM392" s="1515"/>
      <c r="AN392" s="1515"/>
      <c r="AO392" s="1515"/>
      <c r="AP392" s="1515"/>
      <c r="AQ392" s="1515"/>
      <c r="AR392" s="1482"/>
    </row>
    <row r="393" spans="1:44">
      <c r="C393" s="101"/>
      <c r="D393" s="101"/>
      <c r="E393" s="101"/>
      <c r="F393" s="101"/>
      <c r="G393" s="101"/>
      <c r="H393" s="103"/>
      <c r="I393" s="103"/>
      <c r="J393" s="103"/>
      <c r="K393" s="103"/>
      <c r="L393" s="101"/>
      <c r="M393" s="101"/>
      <c r="N393" s="101"/>
      <c r="O393" s="101"/>
      <c r="P393" s="101"/>
      <c r="Q393" s="101"/>
      <c r="R393" s="101"/>
      <c r="S393" s="101"/>
    </row>
    <row r="394" spans="1:44" collapsed="1"/>
    <row r="395" spans="1:44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</row>
    <row r="397" spans="1:44">
      <c r="C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</row>
    <row r="398" spans="1:44" s="101" customFormat="1">
      <c r="C398" s="104"/>
      <c r="H398" s="104"/>
      <c r="U398" s="1512"/>
      <c r="V398" s="1512"/>
      <c r="W398" s="1512"/>
      <c r="X398" s="1512"/>
      <c r="Y398" s="1512"/>
      <c r="Z398" s="1512"/>
      <c r="AA398" s="1512"/>
      <c r="AB398" s="1527"/>
      <c r="AI398" s="473"/>
      <c r="AK398" s="1512"/>
      <c r="AL398" s="1512"/>
      <c r="AM398" s="1512"/>
      <c r="AN398" s="1512"/>
      <c r="AO398" s="1512"/>
      <c r="AP398" s="1512"/>
      <c r="AQ398" s="1512"/>
      <c r="AR398" s="473"/>
    </row>
    <row r="399" spans="1:44" s="101" customFormat="1">
      <c r="C399" s="104"/>
      <c r="H399" s="104"/>
      <c r="I399" s="104"/>
      <c r="J399" s="104"/>
      <c r="K399" s="104"/>
      <c r="U399" s="1512"/>
      <c r="V399" s="1512"/>
      <c r="W399" s="1512"/>
      <c r="X399" s="1512"/>
      <c r="Y399" s="1512"/>
      <c r="Z399" s="1512"/>
      <c r="AA399" s="1512"/>
      <c r="AB399" s="1527"/>
      <c r="AI399" s="473"/>
      <c r="AK399" s="1512"/>
      <c r="AL399" s="1512"/>
      <c r="AM399" s="1512"/>
      <c r="AN399" s="1512"/>
      <c r="AO399" s="1512"/>
      <c r="AP399" s="1512"/>
      <c r="AQ399" s="1512"/>
      <c r="AR399" s="473"/>
    </row>
    <row r="401" spans="1:44"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</row>
    <row r="402" spans="1:44" s="101" customFormat="1">
      <c r="U402" s="1512"/>
      <c r="V402" s="1512"/>
      <c r="W402" s="1512"/>
      <c r="X402" s="1512"/>
      <c r="Y402" s="1512"/>
      <c r="Z402" s="1512"/>
      <c r="AA402" s="1512"/>
      <c r="AB402" s="1527"/>
      <c r="AI402" s="473"/>
      <c r="AK402" s="1512"/>
      <c r="AL402" s="1512"/>
      <c r="AM402" s="1512"/>
      <c r="AN402" s="1512"/>
      <c r="AO402" s="1512"/>
      <c r="AP402" s="1512"/>
      <c r="AQ402" s="1512"/>
      <c r="AR402" s="473"/>
    </row>
    <row r="405" spans="1:44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</row>
    <row r="407" spans="1:44" s="99" customFormat="1">
      <c r="U407" s="1511"/>
      <c r="V407" s="1511"/>
      <c r="W407" s="1511"/>
      <c r="X407" s="1511"/>
      <c r="Y407" s="1511"/>
      <c r="Z407" s="1511"/>
      <c r="AA407" s="1511"/>
      <c r="AB407" s="1056"/>
      <c r="AI407" s="414"/>
      <c r="AK407" s="1511"/>
      <c r="AL407" s="1511"/>
      <c r="AM407" s="1511"/>
      <c r="AN407" s="1511"/>
      <c r="AO407" s="1511"/>
      <c r="AP407" s="1511"/>
      <c r="AQ407" s="1511"/>
      <c r="AR407" s="414"/>
    </row>
    <row r="413" spans="1:44"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</row>
    <row r="414" spans="1:44"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</row>
    <row r="415" spans="1:44"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</row>
    <row r="416" spans="1:44"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</row>
    <row r="417" spans="1:44"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</row>
    <row r="418" spans="1:44"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</row>
    <row r="419" spans="1:44">
      <c r="C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</row>
    <row r="426" spans="1:44" ht="14.5" customHeight="1"/>
    <row r="427" spans="1:44" s="99" customFormat="1">
      <c r="U427" s="1511"/>
      <c r="V427" s="1511"/>
      <c r="W427" s="1511"/>
      <c r="X427" s="1511"/>
      <c r="Y427" s="1511"/>
      <c r="Z427" s="1511"/>
      <c r="AA427" s="1511"/>
      <c r="AB427" s="1056"/>
      <c r="AI427" s="414"/>
      <c r="AK427" s="1511"/>
      <c r="AL427" s="1511"/>
      <c r="AM427" s="1511"/>
      <c r="AN427" s="1511"/>
      <c r="AO427" s="1511"/>
      <c r="AP427" s="1511"/>
      <c r="AQ427" s="1511"/>
      <c r="AR427" s="414"/>
    </row>
    <row r="428" spans="1:44" s="101" customFormat="1">
      <c r="H428" s="103"/>
      <c r="I428" s="103"/>
      <c r="J428" s="103"/>
      <c r="K428" s="103"/>
      <c r="U428" s="1512"/>
      <c r="V428" s="1512"/>
      <c r="W428" s="1512"/>
      <c r="X428" s="1512"/>
      <c r="Y428" s="1512"/>
      <c r="Z428" s="1512"/>
      <c r="AA428" s="1512"/>
      <c r="AB428" s="1527"/>
      <c r="AI428" s="473"/>
      <c r="AK428" s="1512"/>
      <c r="AL428" s="1512"/>
      <c r="AM428" s="1512"/>
      <c r="AN428" s="1512"/>
      <c r="AO428" s="1512"/>
      <c r="AP428" s="1512"/>
      <c r="AQ428" s="1512"/>
      <c r="AR428" s="473"/>
    </row>
    <row r="430" spans="1:44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</row>
    <row r="434" spans="1:44" s="99" customFormat="1">
      <c r="U434" s="1511"/>
      <c r="V434" s="1511"/>
      <c r="W434" s="1511"/>
      <c r="X434" s="1511"/>
      <c r="Y434" s="1511"/>
      <c r="Z434" s="1511"/>
      <c r="AA434" s="1511"/>
      <c r="AB434" s="1056"/>
      <c r="AI434" s="414"/>
      <c r="AK434" s="1511"/>
      <c r="AL434" s="1511"/>
      <c r="AM434" s="1511"/>
      <c r="AN434" s="1511"/>
      <c r="AO434" s="1511"/>
      <c r="AP434" s="1511"/>
      <c r="AQ434" s="1511"/>
      <c r="AR434" s="414"/>
    </row>
    <row r="436" spans="1:44" ht="14.5" customHeight="1"/>
    <row r="437" spans="1:44" s="99" customFormat="1">
      <c r="U437" s="1511"/>
      <c r="V437" s="1511"/>
      <c r="W437" s="1511"/>
      <c r="X437" s="1511"/>
      <c r="Y437" s="1511"/>
      <c r="Z437" s="1511"/>
      <c r="AA437" s="1511"/>
      <c r="AB437" s="1056"/>
      <c r="AI437" s="414"/>
      <c r="AK437" s="1511"/>
      <c r="AL437" s="1511"/>
      <c r="AM437" s="1511"/>
      <c r="AN437" s="1511"/>
      <c r="AO437" s="1511"/>
      <c r="AP437" s="1511"/>
      <c r="AQ437" s="1511"/>
      <c r="AR437" s="414"/>
    </row>
    <row r="438" spans="1:44" s="101" customFormat="1"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U438" s="1512"/>
      <c r="V438" s="1512"/>
      <c r="W438" s="1512"/>
      <c r="X438" s="1512"/>
      <c r="Y438" s="1512"/>
      <c r="Z438" s="1512"/>
      <c r="AA438" s="1512"/>
      <c r="AB438" s="1527"/>
      <c r="AI438" s="473"/>
      <c r="AK438" s="1512"/>
      <c r="AL438" s="1512"/>
      <c r="AM438" s="1512"/>
      <c r="AN438" s="1512"/>
      <c r="AO438" s="1512"/>
      <c r="AP438" s="1512"/>
      <c r="AQ438" s="1512"/>
      <c r="AR438" s="473"/>
    </row>
    <row r="440" spans="1:44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</row>
    <row r="442" spans="1:44" s="99" customFormat="1">
      <c r="U442" s="1511"/>
      <c r="V442" s="1511"/>
      <c r="W442" s="1511"/>
      <c r="X442" s="1511"/>
      <c r="Y442" s="1511"/>
      <c r="Z442" s="1511"/>
      <c r="AA442" s="1511"/>
      <c r="AB442" s="1056"/>
      <c r="AI442" s="414"/>
      <c r="AK442" s="1511"/>
      <c r="AL442" s="1511"/>
      <c r="AM442" s="1511"/>
      <c r="AN442" s="1511"/>
      <c r="AO442" s="1511"/>
      <c r="AP442" s="1511"/>
      <c r="AQ442" s="1511"/>
      <c r="AR442" s="414"/>
    </row>
    <row r="443" spans="1:44" s="101" customFormat="1">
      <c r="U443" s="1512"/>
      <c r="V443" s="1512"/>
      <c r="W443" s="1512"/>
      <c r="X443" s="1512"/>
      <c r="Y443" s="1512"/>
      <c r="Z443" s="1512"/>
      <c r="AA443" s="1512"/>
      <c r="AB443" s="1527"/>
      <c r="AI443" s="473"/>
      <c r="AK443" s="1512"/>
      <c r="AL443" s="1512"/>
      <c r="AM443" s="1512"/>
      <c r="AN443" s="1512"/>
      <c r="AO443" s="1512"/>
      <c r="AP443" s="1512"/>
      <c r="AQ443" s="1512"/>
      <c r="AR443" s="473"/>
    </row>
    <row r="445" spans="1:44" ht="14.5" customHeight="1"/>
    <row r="446" spans="1:44" s="99" customFormat="1">
      <c r="U446" s="1511"/>
      <c r="V446" s="1511"/>
      <c r="W446" s="1511"/>
      <c r="X446" s="1511"/>
      <c r="Y446" s="1511"/>
      <c r="Z446" s="1511"/>
      <c r="AA446" s="1511"/>
      <c r="AB446" s="1056"/>
      <c r="AI446" s="414"/>
      <c r="AK446" s="1511"/>
      <c r="AL446" s="1511"/>
      <c r="AM446" s="1511"/>
      <c r="AN446" s="1511"/>
      <c r="AO446" s="1511"/>
      <c r="AP446" s="1511"/>
      <c r="AQ446" s="1511"/>
      <c r="AR446" s="414"/>
    </row>
    <row r="447" spans="1:44" s="101" customFormat="1"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U447" s="1512"/>
      <c r="V447" s="1512"/>
      <c r="W447" s="1512"/>
      <c r="X447" s="1512"/>
      <c r="Y447" s="1512"/>
      <c r="Z447" s="1512"/>
      <c r="AA447" s="1512"/>
      <c r="AB447" s="1527"/>
      <c r="AI447" s="473"/>
      <c r="AK447" s="1512"/>
      <c r="AL447" s="1512"/>
      <c r="AM447" s="1512"/>
      <c r="AN447" s="1512"/>
      <c r="AO447" s="1512"/>
      <c r="AP447" s="1512"/>
      <c r="AQ447" s="1512"/>
      <c r="AR447" s="473"/>
    </row>
    <row r="449" spans="1:44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</row>
    <row r="451" spans="1:44" s="99" customFormat="1">
      <c r="U451" s="1511"/>
      <c r="V451" s="1511"/>
      <c r="W451" s="1511"/>
      <c r="X451" s="1511"/>
      <c r="Y451" s="1511"/>
      <c r="Z451" s="1511"/>
      <c r="AA451" s="1511"/>
      <c r="AB451" s="1056"/>
      <c r="AI451" s="414"/>
      <c r="AK451" s="1511"/>
      <c r="AL451" s="1511"/>
      <c r="AM451" s="1511"/>
      <c r="AN451" s="1511"/>
      <c r="AO451" s="1511"/>
      <c r="AP451" s="1511"/>
      <c r="AQ451" s="1511"/>
      <c r="AR451" s="414"/>
    </row>
    <row r="452" spans="1:44" s="101" customFormat="1">
      <c r="U452" s="1512"/>
      <c r="V452" s="1512"/>
      <c r="W452" s="1512"/>
      <c r="X452" s="1512"/>
      <c r="Y452" s="1512"/>
      <c r="Z452" s="1512"/>
      <c r="AA452" s="1512"/>
      <c r="AB452" s="1527"/>
      <c r="AI452" s="473"/>
      <c r="AK452" s="1512"/>
      <c r="AL452" s="1512"/>
      <c r="AM452" s="1512"/>
      <c r="AN452" s="1512"/>
      <c r="AO452" s="1512"/>
      <c r="AP452" s="1512"/>
      <c r="AQ452" s="1512"/>
      <c r="AR452" s="473"/>
    </row>
    <row r="454" spans="1:44" ht="14.5" customHeight="1"/>
    <row r="455" spans="1:44" s="99" customFormat="1">
      <c r="U455" s="1511"/>
      <c r="V455" s="1511"/>
      <c r="W455" s="1511"/>
      <c r="X455" s="1511"/>
      <c r="Y455" s="1511"/>
      <c r="Z455" s="1511"/>
      <c r="AA455" s="1511"/>
      <c r="AB455" s="1056"/>
      <c r="AI455" s="414"/>
      <c r="AK455" s="1511"/>
      <c r="AL455" s="1511"/>
      <c r="AM455" s="1511"/>
      <c r="AN455" s="1511"/>
      <c r="AO455" s="1511"/>
      <c r="AP455" s="1511"/>
      <c r="AQ455" s="1511"/>
      <c r="AR455" s="414"/>
    </row>
    <row r="456" spans="1:44" s="101" customFormat="1"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U456" s="1512"/>
      <c r="V456" s="1512"/>
      <c r="W456" s="1512"/>
      <c r="X456" s="1512"/>
      <c r="Y456" s="1512"/>
      <c r="Z456" s="1512"/>
      <c r="AA456" s="1512"/>
      <c r="AB456" s="1527"/>
      <c r="AI456" s="473"/>
      <c r="AK456" s="1512"/>
      <c r="AL456" s="1512"/>
      <c r="AM456" s="1512"/>
      <c r="AN456" s="1512"/>
      <c r="AO456" s="1512"/>
      <c r="AP456" s="1512"/>
      <c r="AQ456" s="1512"/>
      <c r="AR456" s="473"/>
    </row>
    <row r="458" spans="1:44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</row>
    <row r="460" spans="1:44">
      <c r="C460" s="99"/>
      <c r="H460" s="99"/>
      <c r="I460" s="99"/>
      <c r="J460" s="99"/>
      <c r="K460" s="99"/>
    </row>
    <row r="465" spans="1:19">
      <c r="C465" s="99"/>
      <c r="H465" s="99"/>
      <c r="I465" s="99"/>
      <c r="J465" s="99"/>
      <c r="K465" s="99"/>
    </row>
    <row r="472" spans="1:19">
      <c r="C472" s="99"/>
      <c r="H472" s="99"/>
      <c r="I472" s="99"/>
      <c r="J472" s="99"/>
      <c r="K472" s="99"/>
    </row>
    <row r="475" spans="1:19">
      <c r="C475" s="99"/>
      <c r="H475" s="99"/>
      <c r="I475" s="99"/>
      <c r="J475" s="99"/>
      <c r="K475" s="99"/>
    </row>
    <row r="478" spans="1:19">
      <c r="C478" s="99"/>
      <c r="H478" s="99"/>
      <c r="I478" s="99"/>
      <c r="J478" s="99"/>
      <c r="K478" s="99"/>
    </row>
    <row r="480" spans="1:19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</row>
    <row r="485" spans="3:44" s="101" customFormat="1">
      <c r="U485" s="1512"/>
      <c r="V485" s="1512"/>
      <c r="W485" s="1512"/>
      <c r="X485" s="1512"/>
      <c r="Y485" s="1512"/>
      <c r="Z485" s="1512"/>
      <c r="AA485" s="1512"/>
      <c r="AB485" s="1527"/>
      <c r="AI485" s="473"/>
      <c r="AK485" s="1512"/>
      <c r="AL485" s="1512"/>
      <c r="AM485" s="1512"/>
      <c r="AN485" s="1512"/>
      <c r="AO485" s="1512"/>
      <c r="AP485" s="1512"/>
      <c r="AQ485" s="1512"/>
      <c r="AR485" s="473"/>
    </row>
    <row r="487" spans="3:44">
      <c r="C487" s="99"/>
      <c r="H487" s="99"/>
      <c r="I487" s="99"/>
      <c r="J487" s="99"/>
      <c r="K487" s="99"/>
    </row>
    <row r="489" spans="3:44">
      <c r="D489" s="105"/>
    </row>
    <row r="491" spans="3:44" s="99" customFormat="1">
      <c r="U491" s="1511"/>
      <c r="V491" s="1511"/>
      <c r="W491" s="1511"/>
      <c r="X491" s="1511"/>
      <c r="Y491" s="1511"/>
      <c r="Z491" s="1511"/>
      <c r="AA491" s="1511"/>
      <c r="AB491" s="1056"/>
      <c r="AI491" s="414"/>
      <c r="AK491" s="1511"/>
      <c r="AL491" s="1511"/>
      <c r="AM491" s="1511"/>
      <c r="AN491" s="1511"/>
      <c r="AO491" s="1511"/>
      <c r="AP491" s="1511"/>
      <c r="AQ491" s="1511"/>
      <c r="AR491" s="414"/>
    </row>
    <row r="493" spans="3:44">
      <c r="D493" s="105"/>
    </row>
    <row r="495" spans="3:44">
      <c r="D495" s="99"/>
      <c r="H495" s="99"/>
      <c r="I495" s="99"/>
      <c r="J495" s="99"/>
      <c r="K495" s="99"/>
    </row>
    <row r="499" spans="3:44">
      <c r="D499" s="99"/>
      <c r="H499" s="99"/>
      <c r="I499" s="99"/>
      <c r="J499" s="99"/>
      <c r="K499" s="99"/>
    </row>
    <row r="505" spans="3:44">
      <c r="D505" s="99"/>
      <c r="H505" s="99"/>
      <c r="I505" s="99"/>
      <c r="J505" s="99"/>
      <c r="K505" s="99"/>
    </row>
    <row r="507" spans="3:44">
      <c r="C507" s="99"/>
      <c r="H507" s="99"/>
      <c r="I507" s="99"/>
      <c r="J507" s="99"/>
      <c r="K507" s="99"/>
    </row>
    <row r="508" spans="3:44" s="101" customFormat="1">
      <c r="U508" s="1512"/>
      <c r="V508" s="1512"/>
      <c r="W508" s="1512"/>
      <c r="X508" s="1512"/>
      <c r="Y508" s="1512"/>
      <c r="Z508" s="1512"/>
      <c r="AA508" s="1512"/>
      <c r="AB508" s="1527"/>
      <c r="AI508" s="473"/>
      <c r="AK508" s="1512"/>
      <c r="AL508" s="1512"/>
      <c r="AM508" s="1512"/>
      <c r="AN508" s="1512"/>
      <c r="AO508" s="1512"/>
      <c r="AP508" s="1512"/>
      <c r="AQ508" s="1512"/>
      <c r="AR508" s="473"/>
    </row>
    <row r="510" spans="3:44">
      <c r="D510" s="105"/>
    </row>
    <row r="512" spans="3:44">
      <c r="D512" s="99"/>
      <c r="H512" s="99"/>
      <c r="I512" s="99"/>
      <c r="J512" s="99"/>
      <c r="K512" s="99"/>
    </row>
    <row r="514" spans="1:44">
      <c r="D514" s="105"/>
    </row>
    <row r="515" spans="1:44">
      <c r="H515" s="99"/>
      <c r="I515" s="99"/>
      <c r="J515" s="99"/>
      <c r="K515" s="99"/>
    </row>
    <row r="518" spans="1:44">
      <c r="H518" s="99"/>
      <c r="I518" s="99"/>
      <c r="J518" s="99"/>
      <c r="K518" s="99"/>
    </row>
    <row r="521" spans="1:44">
      <c r="D521" s="99"/>
      <c r="H521" s="99"/>
      <c r="I521" s="99"/>
      <c r="J521" s="99"/>
      <c r="K521" s="99"/>
    </row>
    <row r="523" spans="1:44">
      <c r="C523" s="99"/>
      <c r="H523" s="99"/>
      <c r="I523" s="99"/>
      <c r="J523" s="99"/>
      <c r="K523" s="99"/>
    </row>
    <row r="524" spans="1:44" s="101" customFormat="1">
      <c r="U524" s="1512"/>
      <c r="V524" s="1512"/>
      <c r="W524" s="1512"/>
      <c r="X524" s="1512"/>
      <c r="Y524" s="1512"/>
      <c r="Z524" s="1512"/>
      <c r="AA524" s="1512"/>
      <c r="AB524" s="1527"/>
      <c r="AI524" s="473"/>
      <c r="AK524" s="1512"/>
      <c r="AL524" s="1512"/>
      <c r="AM524" s="1512"/>
      <c r="AN524" s="1512"/>
      <c r="AO524" s="1512"/>
      <c r="AP524" s="1512"/>
      <c r="AQ524" s="1512"/>
      <c r="AR524" s="473"/>
    </row>
    <row r="526" spans="1:44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</row>
    <row r="528" spans="1:44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</row>
    <row r="529" spans="4:44" s="99" customFormat="1">
      <c r="U529" s="1511"/>
      <c r="V529" s="1511"/>
      <c r="W529" s="1511"/>
      <c r="X529" s="1511"/>
      <c r="Y529" s="1511"/>
      <c r="Z529" s="1511"/>
      <c r="AA529" s="1511"/>
      <c r="AB529" s="1056"/>
      <c r="AI529" s="414"/>
      <c r="AK529" s="1511"/>
      <c r="AL529" s="1511"/>
      <c r="AM529" s="1511"/>
      <c r="AN529" s="1511"/>
      <c r="AO529" s="1511"/>
      <c r="AP529" s="1511"/>
      <c r="AQ529" s="1511"/>
      <c r="AR529" s="414"/>
    </row>
    <row r="537" spans="4:44">
      <c r="D537" s="99"/>
      <c r="H537" s="99"/>
      <c r="I537" s="99"/>
      <c r="J537" s="99"/>
      <c r="K537" s="99"/>
    </row>
    <row r="541" spans="4:44" s="99" customFormat="1">
      <c r="U541" s="1511"/>
      <c r="V541" s="1511"/>
      <c r="W541" s="1511"/>
      <c r="X541" s="1511"/>
      <c r="Y541" s="1511"/>
      <c r="Z541" s="1511"/>
      <c r="AA541" s="1511"/>
      <c r="AB541" s="1056"/>
      <c r="AI541" s="414"/>
      <c r="AK541" s="1511"/>
      <c r="AL541" s="1511"/>
      <c r="AM541" s="1511"/>
      <c r="AN541" s="1511"/>
      <c r="AO541" s="1511"/>
      <c r="AP541" s="1511"/>
      <c r="AQ541" s="1511"/>
      <c r="AR541" s="414"/>
    </row>
    <row r="544" spans="4:44" s="99" customFormat="1">
      <c r="U544" s="1511"/>
      <c r="V544" s="1511"/>
      <c r="W544" s="1511"/>
      <c r="X544" s="1511"/>
      <c r="Y544" s="1511"/>
      <c r="Z544" s="1511"/>
      <c r="AA544" s="1511"/>
      <c r="AB544" s="1056"/>
      <c r="AI544" s="414"/>
      <c r="AK544" s="1511"/>
      <c r="AL544" s="1511"/>
      <c r="AM544" s="1511"/>
      <c r="AN544" s="1511"/>
      <c r="AO544" s="1511"/>
      <c r="AP544" s="1511"/>
      <c r="AQ544" s="1511"/>
      <c r="AR544" s="414"/>
    </row>
    <row r="546" spans="3:44" s="99" customFormat="1">
      <c r="U546" s="1511"/>
      <c r="V546" s="1511"/>
      <c r="W546" s="1511"/>
      <c r="X546" s="1511"/>
      <c r="Y546" s="1511"/>
      <c r="Z546" s="1511"/>
      <c r="AA546" s="1511"/>
      <c r="AB546" s="1056"/>
      <c r="AI546" s="414"/>
      <c r="AK546" s="1511"/>
      <c r="AL546" s="1511"/>
      <c r="AM546" s="1511"/>
      <c r="AN546" s="1511"/>
      <c r="AO546" s="1511"/>
      <c r="AP546" s="1511"/>
      <c r="AQ546" s="1511"/>
      <c r="AR546" s="414"/>
    </row>
    <row r="550" spans="3:44" s="99" customFormat="1">
      <c r="U550" s="1511"/>
      <c r="V550" s="1511"/>
      <c r="W550" s="1511"/>
      <c r="X550" s="1511"/>
      <c r="Y550" s="1511"/>
      <c r="Z550" s="1511"/>
      <c r="AA550" s="1511"/>
      <c r="AB550" s="1056"/>
      <c r="AI550" s="414"/>
      <c r="AK550" s="1511"/>
      <c r="AL550" s="1511"/>
      <c r="AM550" s="1511"/>
      <c r="AN550" s="1511"/>
      <c r="AO550" s="1511"/>
      <c r="AP550" s="1511"/>
      <c r="AQ550" s="1511"/>
      <c r="AR550" s="414"/>
    </row>
    <row r="552" spans="3:44">
      <c r="C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</row>
    <row r="553" spans="3:44">
      <c r="D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</row>
    <row r="554" spans="3:44">
      <c r="D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</row>
    <row r="555" spans="3:44">
      <c r="D555" s="101"/>
      <c r="H555" s="101"/>
      <c r="I555" s="101"/>
      <c r="J555" s="101"/>
      <c r="K555" s="101"/>
    </row>
    <row r="557" spans="3:44">
      <c r="D557" s="101"/>
      <c r="H557" s="101"/>
      <c r="I557" s="101"/>
      <c r="J557" s="101"/>
      <c r="K557" s="101"/>
    </row>
    <row r="559" spans="3:44">
      <c r="D559" s="101"/>
      <c r="H559" s="101"/>
      <c r="I559" s="101"/>
      <c r="J559" s="101"/>
      <c r="K559" s="101"/>
    </row>
    <row r="561" spans="4:44">
      <c r="D561" s="101"/>
      <c r="H561" s="101"/>
      <c r="I561" s="101"/>
      <c r="J561" s="101"/>
      <c r="K561" s="101"/>
    </row>
    <row r="563" spans="4:44">
      <c r="D563" s="101"/>
      <c r="H563" s="101"/>
      <c r="I563" s="101"/>
      <c r="J563" s="101"/>
      <c r="K563" s="101"/>
    </row>
    <row r="565" spans="4:44">
      <c r="D565" s="101"/>
      <c r="H565" s="101"/>
      <c r="I565" s="101"/>
      <c r="J565" s="101"/>
      <c r="K565" s="101"/>
    </row>
    <row r="567" spans="4:44">
      <c r="D567" s="101"/>
      <c r="H567" s="101"/>
      <c r="I567" s="101"/>
      <c r="J567" s="101"/>
      <c r="K567" s="101"/>
    </row>
    <row r="568" spans="4:44" s="99" customFormat="1">
      <c r="U568" s="1511"/>
      <c r="V568" s="1511"/>
      <c r="W568" s="1511"/>
      <c r="X568" s="1511"/>
      <c r="Y568" s="1511"/>
      <c r="Z568" s="1511"/>
      <c r="AA568" s="1511"/>
      <c r="AB568" s="1056"/>
      <c r="AI568" s="414"/>
      <c r="AK568" s="1511"/>
      <c r="AL568" s="1511"/>
      <c r="AM568" s="1511"/>
      <c r="AN568" s="1511"/>
      <c r="AO568" s="1511"/>
      <c r="AP568" s="1511"/>
      <c r="AQ568" s="1511"/>
      <c r="AR568" s="414"/>
    </row>
    <row r="570" spans="4:44" s="99" customFormat="1">
      <c r="U570" s="1511"/>
      <c r="V570" s="1511"/>
      <c r="W570" s="1511"/>
      <c r="X570" s="1511"/>
      <c r="Y570" s="1511"/>
      <c r="Z570" s="1511"/>
      <c r="AA570" s="1511"/>
      <c r="AB570" s="1056"/>
      <c r="AI570" s="414"/>
      <c r="AK570" s="1511"/>
      <c r="AL570" s="1511"/>
      <c r="AM570" s="1511"/>
      <c r="AN570" s="1511"/>
      <c r="AO570" s="1511"/>
      <c r="AP570" s="1511"/>
      <c r="AQ570" s="1511"/>
      <c r="AR570" s="414"/>
    </row>
    <row r="571" spans="4:44">
      <c r="D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</row>
    <row r="573" spans="4:44" s="99" customFormat="1">
      <c r="U573" s="1511"/>
      <c r="V573" s="1511"/>
      <c r="W573" s="1511"/>
      <c r="X573" s="1511"/>
      <c r="Y573" s="1511"/>
      <c r="Z573" s="1511"/>
      <c r="AA573" s="1511"/>
      <c r="AB573" s="1056"/>
      <c r="AI573" s="414"/>
      <c r="AK573" s="1511"/>
      <c r="AL573" s="1511"/>
      <c r="AM573" s="1511"/>
      <c r="AN573" s="1511"/>
      <c r="AO573" s="1511"/>
      <c r="AP573" s="1511"/>
      <c r="AQ573" s="1511"/>
      <c r="AR573" s="414"/>
    </row>
  </sheetData>
  <mergeCells count="5">
    <mergeCell ref="A1:S1"/>
    <mergeCell ref="A2:S2"/>
    <mergeCell ref="U4:AA4"/>
    <mergeCell ref="AC4:AI4"/>
    <mergeCell ref="AK4:AQ4"/>
  </mergeCells>
  <phoneticPr fontId="5" type="noConversion"/>
  <conditionalFormatting sqref="H4:H5 N5 P5:S5">
    <cfRule type="containsText" dxfId="30" priority="12" operator="containsText" text="Error">
      <formula>NOT(ISERROR(SEARCH("Error",H4)))</formula>
    </cfRule>
  </conditionalFormatting>
  <conditionalFormatting sqref="J5:L5">
    <cfRule type="containsText" dxfId="29" priority="4" operator="containsText" text="Error">
      <formula>NOT(ISERROR(SEARCH("Error",J5)))</formula>
    </cfRule>
  </conditionalFormatting>
  <conditionalFormatting sqref="U5">
    <cfRule type="containsText" dxfId="28" priority="10" operator="containsText" text="Error">
      <formula>NOT(ISERROR(SEARCH("Error",U5)))</formula>
    </cfRule>
  </conditionalFormatting>
  <conditionalFormatting sqref="W5:AA5">
    <cfRule type="containsText" dxfId="27" priority="9" operator="containsText" text="Error">
      <formula>NOT(ISERROR(SEARCH("Error",W5)))</formula>
    </cfRule>
  </conditionalFormatting>
  <conditionalFormatting sqref="AC5">
    <cfRule type="containsText" dxfId="26" priority="8" operator="containsText" text="Error">
      <formula>NOT(ISERROR(SEARCH("Error",AC5)))</formula>
    </cfRule>
  </conditionalFormatting>
  <conditionalFormatting sqref="AE5:AI5">
    <cfRule type="containsText" dxfId="25" priority="7" operator="containsText" text="Error">
      <formula>NOT(ISERROR(SEARCH("Error",AE5)))</formula>
    </cfRule>
  </conditionalFormatting>
  <conditionalFormatting sqref="AK5">
    <cfRule type="containsText" dxfId="24" priority="6" operator="containsText" text="Error">
      <formula>NOT(ISERROR(SEARCH("Error",AK5)))</formula>
    </cfRule>
  </conditionalFormatting>
  <conditionalFormatting sqref="AM5:AQ5">
    <cfRule type="containsText" dxfId="23" priority="5" operator="containsText" text="Error">
      <formula>NOT(ISERROR(SEARCH("Error",AM5)))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AQ734"/>
  <sheetViews>
    <sheetView showGridLines="0" zoomScale="66" zoomScaleNormal="100" workbookViewId="0">
      <pane xSplit="7" ySplit="6" topLeftCell="H87" activePane="bottomRight" state="frozen"/>
      <selection activeCell="E29" sqref="E29"/>
      <selection pane="topRight" activeCell="E29" sqref="E29"/>
      <selection pane="bottomLeft" activeCell="E29" sqref="E29"/>
      <selection pane="bottomRight" activeCell="F102" sqref="F102:AB132"/>
    </sheetView>
  </sheetViews>
  <sheetFormatPr defaultColWidth="8.6640625" defaultRowHeight="14.5" outlineLevelRow="1"/>
  <cols>
    <col min="1" max="1" width="2.33203125" style="97" customWidth="1"/>
    <col min="2" max="3" width="3.08203125" style="97" customWidth="1"/>
    <col min="4" max="4" width="2.6640625" style="97" customWidth="1"/>
    <col min="5" max="7" width="11.6640625" style="97" customWidth="1"/>
    <col min="8" max="19" width="10.83203125" style="97" customWidth="1"/>
    <col min="20" max="20" width="8.6640625" style="97"/>
    <col min="21" max="27" width="8.6640625" style="1510" hidden="1" customWidth="1"/>
    <col min="28" max="29" width="8.6640625" style="97"/>
    <col min="30" max="30" width="7.9140625" style="97" bestFit="1" customWidth="1"/>
    <col min="31" max="34" width="8.6640625" style="97"/>
    <col min="35" max="35" width="8.6640625" style="424"/>
    <col min="36" max="36" width="8.6640625" style="97"/>
    <col min="37" max="43" width="8.6640625" style="1510" hidden="1" customWidth="1"/>
    <col min="44" max="16384" width="8.6640625" style="97"/>
  </cols>
  <sheetData>
    <row r="1" spans="1:43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U1" s="1515"/>
      <c r="V1" s="1515"/>
      <c r="W1" s="1515"/>
      <c r="X1" s="1515"/>
      <c r="Y1" s="1515"/>
      <c r="Z1" s="1515"/>
      <c r="AA1" s="1515"/>
      <c r="AI1" s="415"/>
      <c r="AK1" s="1515"/>
      <c r="AL1" s="1515"/>
      <c r="AM1" s="1515"/>
      <c r="AN1" s="1515"/>
      <c r="AO1" s="1515"/>
      <c r="AP1" s="1515"/>
      <c r="AQ1" s="1515"/>
    </row>
    <row r="2" spans="1:43" s="1" customFormat="1" ht="20.25" customHeight="1">
      <c r="A2" s="1579" t="s">
        <v>224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U2" s="1515"/>
      <c r="V2" s="1515"/>
      <c r="W2" s="1515"/>
      <c r="X2" s="1515"/>
      <c r="Y2" s="1515"/>
      <c r="Z2" s="1515"/>
      <c r="AA2" s="1515"/>
      <c r="AI2" s="415"/>
      <c r="AK2" s="1515"/>
      <c r="AL2" s="1515"/>
      <c r="AM2" s="1515"/>
      <c r="AN2" s="1515"/>
      <c r="AO2" s="1515"/>
      <c r="AP2" s="1515"/>
      <c r="AQ2" s="1515"/>
    </row>
    <row r="3" spans="1:43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  <c r="U3" s="1515"/>
      <c r="V3" s="1515"/>
      <c r="W3" s="1515"/>
      <c r="X3" s="1515"/>
      <c r="Y3" s="1515"/>
      <c r="Z3" s="1515"/>
      <c r="AA3" s="1515"/>
      <c r="AI3" s="415"/>
      <c r="AK3" s="1515"/>
      <c r="AL3" s="1515"/>
      <c r="AM3" s="1515"/>
      <c r="AN3" s="1515"/>
      <c r="AO3" s="1515"/>
      <c r="AP3" s="1515"/>
      <c r="AQ3" s="1515"/>
    </row>
    <row r="4" spans="1:43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U4" s="1583" t="s">
        <v>646</v>
      </c>
      <c r="V4" s="1583"/>
      <c r="W4" s="1583"/>
      <c r="X4" s="1583"/>
      <c r="Y4" s="1583"/>
      <c r="Z4" s="1583"/>
      <c r="AA4" s="1583"/>
      <c r="AC4" s="1584" t="s">
        <v>647</v>
      </c>
      <c r="AD4" s="1585"/>
      <c r="AE4" s="1585"/>
      <c r="AF4" s="1585"/>
      <c r="AG4" s="1585"/>
      <c r="AH4" s="1585"/>
      <c r="AI4" s="1585"/>
      <c r="AK4" s="1583" t="s">
        <v>648</v>
      </c>
      <c r="AL4" s="1583"/>
      <c r="AM4" s="1583"/>
      <c r="AN4" s="1583"/>
      <c r="AO4" s="1583"/>
      <c r="AP4" s="1583"/>
      <c r="AQ4" s="1583"/>
    </row>
    <row r="5" spans="1:43" s="1" customFormat="1" ht="14.25" customHeight="1">
      <c r="A5" s="5" t="s">
        <v>225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9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  <c r="U5" s="1516">
        <v>46022</v>
      </c>
      <c r="V5" s="1516">
        <v>46387</v>
      </c>
      <c r="W5" s="1516">
        <v>46752</v>
      </c>
      <c r="X5" s="1516">
        <v>46753</v>
      </c>
      <c r="Y5" s="1516">
        <v>47483</v>
      </c>
      <c r="Z5" s="1516">
        <v>47848</v>
      </c>
      <c r="AA5" s="1516" t="s">
        <v>356</v>
      </c>
      <c r="AC5" s="435">
        <v>46022</v>
      </c>
      <c r="AD5" s="435">
        <v>46387</v>
      </c>
      <c r="AE5" s="435">
        <v>46752</v>
      </c>
      <c r="AF5" s="435">
        <v>46753</v>
      </c>
      <c r="AG5" s="435">
        <v>47483</v>
      </c>
      <c r="AH5" s="435">
        <v>47848</v>
      </c>
      <c r="AI5" s="435" t="s">
        <v>356</v>
      </c>
      <c r="AK5" s="1516">
        <v>46022</v>
      </c>
      <c r="AL5" s="1516">
        <v>46387</v>
      </c>
      <c r="AM5" s="1516">
        <v>46752</v>
      </c>
      <c r="AN5" s="1516">
        <v>46753</v>
      </c>
      <c r="AO5" s="1516">
        <v>47483</v>
      </c>
      <c r="AP5" s="1516">
        <v>47848</v>
      </c>
      <c r="AQ5" s="1516" t="s">
        <v>356</v>
      </c>
    </row>
    <row r="6" spans="1:43" s="1" customFormat="1" ht="14.25" customHeight="1">
      <c r="A6" s="5" t="s">
        <v>226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U6" s="1515"/>
      <c r="V6" s="1515"/>
      <c r="W6" s="1515"/>
      <c r="X6" s="1515"/>
      <c r="Y6" s="1515"/>
      <c r="Z6" s="1515"/>
      <c r="AA6" s="1515"/>
      <c r="AI6" s="415"/>
      <c r="AK6" s="1515"/>
      <c r="AL6" s="1515"/>
      <c r="AM6" s="1515"/>
      <c r="AN6" s="1515"/>
      <c r="AO6" s="1515"/>
      <c r="AP6" s="1515"/>
      <c r="AQ6" s="1515"/>
    </row>
    <row r="7" spans="1:43" s="108" customFormat="1" ht="14.25" customHeight="1">
      <c r="A7" s="106"/>
      <c r="B7" s="106"/>
      <c r="C7" s="106"/>
      <c r="D7" s="107"/>
      <c r="E7" s="107"/>
      <c r="F7" s="107"/>
      <c r="G7" s="107" t="s">
        <v>227</v>
      </c>
      <c r="H7" s="107">
        <f>集团!H10</f>
        <v>8.7484000000000002</v>
      </c>
      <c r="I7" s="107">
        <f>集团!I10</f>
        <v>8.2980999999999998</v>
      </c>
      <c r="J7" s="107">
        <f>集团!J10</f>
        <v>8.7155000000000005</v>
      </c>
      <c r="K7" s="107">
        <f>集团!K10</f>
        <v>9.14</v>
      </c>
      <c r="L7" s="107">
        <f>集团!L10</f>
        <v>9.0634999999999994</v>
      </c>
      <c r="M7" s="107">
        <f>集团!M10</f>
        <v>9.2965999999999998</v>
      </c>
      <c r="N7" s="107">
        <f>集团!N10</f>
        <v>9.2965999999999998</v>
      </c>
      <c r="O7" s="107">
        <f>集团!O10</f>
        <v>9.2965999999999998</v>
      </c>
      <c r="P7" s="107">
        <f>集团!P10</f>
        <v>9.2965999999999998</v>
      </c>
      <c r="Q7" s="107">
        <f>集团!Q10</f>
        <v>9.2965999999999998</v>
      </c>
      <c r="R7" s="107">
        <f>集团!R10</f>
        <v>9.2965999999999998</v>
      </c>
      <c r="S7" s="107">
        <f>集团!S10</f>
        <v>9.2965999999999998</v>
      </c>
      <c r="U7" s="1517"/>
      <c r="V7" s="1517"/>
      <c r="W7" s="1517"/>
      <c r="X7" s="1517"/>
      <c r="Y7" s="1517"/>
      <c r="Z7" s="1517"/>
      <c r="AA7" s="1517"/>
      <c r="AK7" s="1517"/>
      <c r="AL7" s="1517"/>
      <c r="AM7" s="1517"/>
      <c r="AN7" s="1517"/>
      <c r="AO7" s="1517"/>
      <c r="AP7" s="1517"/>
      <c r="AQ7" s="1517"/>
    </row>
    <row r="8" spans="1:43" s="59" customFormat="1">
      <c r="A8" s="58" t="s">
        <v>8</v>
      </c>
      <c r="B8" s="58" t="s">
        <v>228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U8" s="1515"/>
      <c r="V8" s="1515"/>
      <c r="W8" s="1515"/>
      <c r="X8" s="1515"/>
      <c r="Y8" s="1515"/>
      <c r="Z8" s="1515"/>
      <c r="AA8" s="1515"/>
      <c r="AI8" s="476"/>
      <c r="AK8" s="1515"/>
      <c r="AL8" s="1515"/>
      <c r="AM8" s="1515"/>
      <c r="AN8" s="1515"/>
      <c r="AO8" s="1515"/>
      <c r="AP8" s="1515"/>
      <c r="AQ8" s="1515"/>
    </row>
    <row r="10" spans="1:43" s="99" customFormat="1" hidden="1">
      <c r="C10" s="18" t="s">
        <v>10</v>
      </c>
      <c r="D10" s="18"/>
      <c r="E10" s="18"/>
      <c r="H10" s="414">
        <v>102584</v>
      </c>
      <c r="I10" s="414">
        <v>102592</v>
      </c>
      <c r="J10" s="414">
        <v>119814</v>
      </c>
      <c r="K10" s="414">
        <v>110077</v>
      </c>
      <c r="L10" s="166"/>
      <c r="M10" s="166"/>
      <c r="N10" s="166"/>
      <c r="O10" s="166"/>
      <c r="P10" s="166"/>
      <c r="Q10" s="166"/>
      <c r="R10" s="166"/>
      <c r="S10" s="166"/>
      <c r="U10" s="1511"/>
      <c r="V10" s="1511"/>
      <c r="W10" s="1511"/>
      <c r="X10" s="1511"/>
      <c r="Y10" s="1511"/>
      <c r="Z10" s="1511"/>
      <c r="AA10" s="1511"/>
      <c r="AI10" s="414"/>
      <c r="AK10" s="1511"/>
      <c r="AL10" s="1511"/>
      <c r="AM10" s="1511"/>
      <c r="AN10" s="1511"/>
      <c r="AO10" s="1511"/>
      <c r="AP10" s="1511"/>
      <c r="AQ10" s="1511"/>
    </row>
    <row r="11" spans="1:43" s="101" customFormat="1" hidden="1">
      <c r="C11" s="22"/>
      <c r="D11" s="1"/>
      <c r="E11" s="1"/>
      <c r="F11" s="1"/>
      <c r="G11" s="1"/>
      <c r="H11" s="21"/>
      <c r="I11" s="21"/>
      <c r="J11" s="21"/>
      <c r="K11" s="21"/>
      <c r="L11" s="20"/>
      <c r="M11" s="20"/>
      <c r="N11" s="20"/>
      <c r="O11" s="20"/>
      <c r="P11" s="20"/>
      <c r="Q11" s="20"/>
      <c r="R11" s="20"/>
      <c r="S11" s="20"/>
      <c r="U11" s="1512"/>
      <c r="V11" s="1512"/>
      <c r="W11" s="1512"/>
      <c r="X11" s="1512"/>
      <c r="Y11" s="1512"/>
      <c r="Z11" s="1512"/>
      <c r="AA11" s="1512"/>
      <c r="AI11" s="473"/>
      <c r="AK11" s="1512"/>
      <c r="AL11" s="1512"/>
      <c r="AM11" s="1512"/>
      <c r="AN11" s="1512"/>
      <c r="AO11" s="1512"/>
      <c r="AP11" s="1512"/>
      <c r="AQ11" s="1512"/>
    </row>
    <row r="12" spans="1:43" hidden="1">
      <c r="C12" s="18" t="s">
        <v>229</v>
      </c>
      <c r="D12" s="1"/>
      <c r="E12" s="1"/>
      <c r="F12" s="1"/>
      <c r="G12" s="1"/>
      <c r="H12" s="394">
        <v>104064</v>
      </c>
      <c r="I12" s="394">
        <v>103410</v>
      </c>
      <c r="J12" s="394">
        <v>114981</v>
      </c>
      <c r="K12" s="394">
        <v>105852</v>
      </c>
      <c r="L12" s="119"/>
      <c r="M12" s="119"/>
      <c r="N12" s="119"/>
      <c r="O12" s="119"/>
      <c r="P12" s="119"/>
      <c r="Q12" s="119"/>
      <c r="R12" s="119"/>
      <c r="S12" s="119"/>
    </row>
    <row r="13" spans="1:43" hidden="1">
      <c r="C13" s="1"/>
      <c r="D13" s="1"/>
      <c r="E13" s="1"/>
      <c r="F13" s="1"/>
      <c r="G13" s="1"/>
      <c r="H13" s="21"/>
      <c r="I13" s="21"/>
      <c r="J13" s="21"/>
      <c r="K13" s="21"/>
      <c r="L13" s="20"/>
      <c r="M13" s="20"/>
      <c r="N13" s="20"/>
      <c r="O13" s="20"/>
      <c r="P13" s="20"/>
      <c r="Q13" s="20"/>
      <c r="R13" s="20"/>
      <c r="S13" s="20"/>
    </row>
    <row r="14" spans="1:43" ht="15" hidden="1" thickBot="1">
      <c r="C14" s="37"/>
      <c r="D14" s="37" t="s">
        <v>230</v>
      </c>
      <c r="E14" s="37"/>
      <c r="F14" s="37"/>
      <c r="G14" s="37"/>
      <c r="H14" s="404">
        <v>-250</v>
      </c>
      <c r="I14" s="404">
        <v>-913</v>
      </c>
      <c r="J14" s="404">
        <v>-497</v>
      </c>
      <c r="K14" s="404">
        <v>-106</v>
      </c>
      <c r="L14" s="123"/>
      <c r="M14" s="123"/>
      <c r="N14" s="123"/>
      <c r="O14" s="123"/>
      <c r="P14" s="123"/>
      <c r="Q14" s="123"/>
      <c r="R14" s="123"/>
      <c r="S14" s="123"/>
    </row>
    <row r="15" spans="1:43" ht="15" thickBot="1">
      <c r="C15" s="63" t="s">
        <v>12</v>
      </c>
      <c r="D15" s="37"/>
      <c r="E15" s="37"/>
      <c r="F15" s="37"/>
      <c r="G15" s="37"/>
      <c r="H15" s="64">
        <f>H14+H12</f>
        <v>103814</v>
      </c>
      <c r="I15" s="64">
        <f t="shared" ref="I15:J15" si="0">I14+I12</f>
        <v>102497</v>
      </c>
      <c r="J15" s="64">
        <f t="shared" si="0"/>
        <v>114484</v>
      </c>
      <c r="K15" s="64">
        <f>K14+K12</f>
        <v>105746</v>
      </c>
      <c r="L15" s="64">
        <f>L54+L61+L77+L85</f>
        <v>127976.9892059922</v>
      </c>
      <c r="M15" s="64">
        <f>M54+M61+M77+M85</f>
        <v>71461.395386231554</v>
      </c>
      <c r="N15" s="64">
        <f>N54+N61+N77+N85+N69</f>
        <v>136452.01301097791</v>
      </c>
      <c r="O15" s="64">
        <f t="shared" ref="O15:S15" si="1">O54+O61+O77+O85+O69</f>
        <v>146490.19852615445</v>
      </c>
      <c r="P15" s="64">
        <f t="shared" si="1"/>
        <v>157129.18484165522</v>
      </c>
      <c r="Q15" s="64">
        <f t="shared" si="1"/>
        <v>169409.14332074643</v>
      </c>
      <c r="R15" s="64">
        <f t="shared" si="1"/>
        <v>184372.94923892012</v>
      </c>
      <c r="S15" s="64">
        <f t="shared" si="1"/>
        <v>204066.36515380064</v>
      </c>
      <c r="T15" s="527"/>
    </row>
    <row r="16" spans="1:43">
      <c r="C16" s="1"/>
      <c r="D16" s="1"/>
      <c r="E16" s="1"/>
      <c r="H16" s="48"/>
      <c r="I16" s="48"/>
      <c r="J16" s="48"/>
      <c r="K16" s="48"/>
      <c r="L16" s="48"/>
      <c r="M16" s="48"/>
    </row>
    <row r="17" spans="1:43" hidden="1">
      <c r="C17" s="1"/>
      <c r="D17" s="1" t="s">
        <v>231</v>
      </c>
      <c r="E17" s="1"/>
      <c r="F17" s="1"/>
      <c r="G17" s="1"/>
      <c r="H17" s="394">
        <v>-1228</v>
      </c>
      <c r="I17" s="394">
        <v>-1826</v>
      </c>
      <c r="J17" s="394">
        <v>-423</v>
      </c>
      <c r="K17" s="394">
        <v>-19</v>
      </c>
      <c r="L17" s="167"/>
      <c r="M17" s="167"/>
      <c r="N17" s="167"/>
      <c r="O17" s="167"/>
      <c r="P17" s="167"/>
      <c r="Q17" s="167"/>
      <c r="R17" s="167"/>
      <c r="S17" s="167"/>
    </row>
    <row r="18" spans="1:43" ht="15" hidden="1" thickBot="1">
      <c r="C18" s="37"/>
      <c r="D18" s="37"/>
      <c r="E18" s="37"/>
      <c r="F18" s="37"/>
      <c r="G18" s="37"/>
      <c r="H18" s="54"/>
      <c r="I18" s="54"/>
      <c r="J18" s="54"/>
      <c r="K18" s="54"/>
      <c r="L18" s="52"/>
      <c r="M18" s="52"/>
      <c r="N18" s="52"/>
      <c r="O18" s="52"/>
      <c r="P18" s="52"/>
      <c r="Q18" s="52"/>
      <c r="R18" s="52"/>
      <c r="S18" s="52"/>
    </row>
    <row r="19" spans="1:43" ht="15" hidden="1" thickBot="1">
      <c r="C19" s="63" t="s">
        <v>16</v>
      </c>
      <c r="D19" s="37"/>
      <c r="E19" s="37"/>
      <c r="F19" s="37"/>
      <c r="G19" s="37"/>
      <c r="H19" s="64">
        <f>H15+H17</f>
        <v>102586</v>
      </c>
      <c r="I19" s="64">
        <f t="shared" ref="I19:K19" si="2">I15+I17</f>
        <v>100671</v>
      </c>
      <c r="J19" s="64">
        <f t="shared" si="2"/>
        <v>114061</v>
      </c>
      <c r="K19" s="64">
        <f t="shared" si="2"/>
        <v>105727</v>
      </c>
      <c r="L19" s="176"/>
      <c r="M19" s="176"/>
      <c r="N19" s="176"/>
      <c r="O19" s="176"/>
      <c r="P19" s="176"/>
      <c r="Q19" s="176"/>
      <c r="R19" s="176"/>
      <c r="S19" s="176"/>
    </row>
    <row r="20" spans="1:43" hidden="1">
      <c r="C20" s="1"/>
      <c r="D20" s="1"/>
      <c r="E20" s="1"/>
      <c r="F20" s="1"/>
      <c r="G20" s="1"/>
      <c r="H20" s="48"/>
      <c r="I20" s="48"/>
      <c r="J20" s="48"/>
      <c r="K20" s="48"/>
      <c r="L20" s="52"/>
      <c r="M20" s="52"/>
      <c r="N20" s="1"/>
      <c r="O20" s="1"/>
      <c r="P20" s="1"/>
      <c r="Q20" s="1"/>
      <c r="R20" s="1"/>
      <c r="S20" s="1"/>
    </row>
    <row r="21" spans="1:43">
      <c r="C21" s="1" t="s">
        <v>232</v>
      </c>
      <c r="D21" s="1"/>
      <c r="E21" s="1"/>
      <c r="F21" s="1"/>
      <c r="G21" s="1"/>
      <c r="H21" s="418">
        <v>-79493</v>
      </c>
      <c r="I21" s="418">
        <v>-80481</v>
      </c>
      <c r="J21" s="418">
        <v>-94635</v>
      </c>
      <c r="K21" s="418">
        <v>-82396</v>
      </c>
      <c r="L21" s="394">
        <v>-99951.47041207111</v>
      </c>
      <c r="M21" s="394">
        <v>-55091.012470625858</v>
      </c>
      <c r="N21" s="20">
        <f>N55+N63+N79+N71</f>
        <v>-105197.29761662838</v>
      </c>
      <c r="O21" s="20">
        <f t="shared" ref="O21:S21" si="3">O55+O63+O79+O71</f>
        <v>-112917.75489318071</v>
      </c>
      <c r="P21" s="20">
        <f t="shared" si="3"/>
        <v>-121091.64010478582</v>
      </c>
      <c r="Q21" s="20">
        <f t="shared" si="3"/>
        <v>-130553.88067884182</v>
      </c>
      <c r="R21" s="20">
        <f t="shared" si="3"/>
        <v>-142141.38789973652</v>
      </c>
      <c r="S21" s="20">
        <f t="shared" si="3"/>
        <v>-157558.1890778052</v>
      </c>
    </row>
    <row r="22" spans="1:43">
      <c r="C22" s="1" t="s">
        <v>233</v>
      </c>
      <c r="D22" s="1"/>
      <c r="E22" s="1"/>
      <c r="H22" s="394">
        <v>-6071</v>
      </c>
      <c r="I22" s="394">
        <v>-4269</v>
      </c>
      <c r="J22" s="394">
        <v>-2025</v>
      </c>
      <c r="K22" s="394">
        <v>-3914</v>
      </c>
      <c r="L22" s="20">
        <f>L25-L21-L24</f>
        <v>-4688.2005299998909</v>
      </c>
      <c r="M22" s="20">
        <f>M25-M21-M24</f>
        <v>-3952.5642100000296</v>
      </c>
      <c r="N22" s="20">
        <f t="shared" ref="N22:S22" si="4">N23*N15</f>
        <v>-7547.2265842931365</v>
      </c>
      <c r="O22" s="20">
        <f t="shared" si="4"/>
        <v>-8102.4434616880599</v>
      </c>
      <c r="P22" s="20">
        <f t="shared" si="4"/>
        <v>-8690.8909208238838</v>
      </c>
      <c r="Q22" s="20">
        <f t="shared" si="4"/>
        <v>-9370.1013409732495</v>
      </c>
      <c r="R22" s="20">
        <f t="shared" si="4"/>
        <v>-10197.756656096799</v>
      </c>
      <c r="S22" s="20">
        <f t="shared" si="4"/>
        <v>-11287.008978936257</v>
      </c>
    </row>
    <row r="23" spans="1:43" s="101" customFormat="1">
      <c r="C23" s="22"/>
      <c r="D23" s="22" t="s">
        <v>352</v>
      </c>
      <c r="E23" s="22"/>
      <c r="H23" s="94">
        <f>H22/H15</f>
        <v>-5.847958849480802E-2</v>
      </c>
      <c r="I23" s="94">
        <f t="shared" ref="I23:L23" si="5">I22/I15</f>
        <v>-4.1649999512180846E-2</v>
      </c>
      <c r="J23" s="94">
        <f t="shared" si="5"/>
        <v>-1.7688061213794067E-2</v>
      </c>
      <c r="K23" s="94">
        <f t="shared" si="5"/>
        <v>-3.7013220358216858E-2</v>
      </c>
      <c r="L23" s="94">
        <f t="shared" si="5"/>
        <v>-3.663315224937623E-2</v>
      </c>
      <c r="M23" s="94">
        <f>M22/M15</f>
        <v>-5.5310481815214724E-2</v>
      </c>
      <c r="N23" s="161">
        <f>M23</f>
        <v>-5.5310481815214724E-2</v>
      </c>
      <c r="O23" s="161">
        <f t="shared" ref="O23:S23" si="6">N23</f>
        <v>-5.5310481815214724E-2</v>
      </c>
      <c r="P23" s="161">
        <f t="shared" si="6"/>
        <v>-5.5310481815214724E-2</v>
      </c>
      <c r="Q23" s="161">
        <f t="shared" si="6"/>
        <v>-5.5310481815214724E-2</v>
      </c>
      <c r="R23" s="161">
        <f t="shared" si="6"/>
        <v>-5.5310481815214724E-2</v>
      </c>
      <c r="S23" s="161">
        <f t="shared" si="6"/>
        <v>-5.5310481815214724E-2</v>
      </c>
      <c r="U23" s="1512"/>
      <c r="V23" s="1512"/>
      <c r="W23" s="1512"/>
      <c r="X23" s="1512"/>
      <c r="Y23" s="1512"/>
      <c r="Z23" s="1512"/>
      <c r="AA23" s="1512"/>
      <c r="AI23" s="473"/>
      <c r="AK23" s="1512"/>
      <c r="AL23" s="1512"/>
      <c r="AM23" s="1512"/>
      <c r="AN23" s="1512"/>
      <c r="AO23" s="1512"/>
      <c r="AP23" s="1512"/>
      <c r="AQ23" s="1512"/>
    </row>
    <row r="24" spans="1:43" ht="15" thickBot="1">
      <c r="C24" s="37" t="s">
        <v>234</v>
      </c>
      <c r="D24" s="37"/>
      <c r="E24" s="37"/>
      <c r="F24" s="37"/>
      <c r="G24" s="37"/>
      <c r="H24" s="404">
        <v>734</v>
      </c>
      <c r="I24" s="404">
        <v>913</v>
      </c>
      <c r="J24" s="404">
        <v>497</v>
      </c>
      <c r="K24" s="404">
        <v>106</v>
      </c>
      <c r="L24" s="404">
        <v>208.17244000000002</v>
      </c>
      <c r="M24" s="404">
        <v>49.08699</v>
      </c>
      <c r="N24" s="39">
        <f t="shared" ref="N24:S24" si="7">N87</f>
        <v>207.96426756000002</v>
      </c>
      <c r="O24" s="39">
        <f t="shared" si="7"/>
        <v>207.96426756000002</v>
      </c>
      <c r="P24" s="39">
        <f t="shared" si="7"/>
        <v>207.96426756000002</v>
      </c>
      <c r="Q24" s="39">
        <f t="shared" si="7"/>
        <v>207.96426756000002</v>
      </c>
      <c r="R24" s="39">
        <f t="shared" si="7"/>
        <v>207.96426756000002</v>
      </c>
      <c r="S24" s="39">
        <f t="shared" si="7"/>
        <v>207.96426756000002</v>
      </c>
      <c r="T24" s="1"/>
    </row>
    <row r="25" spans="1:43" ht="15" thickBot="1">
      <c r="C25" s="76" t="s">
        <v>235</v>
      </c>
      <c r="D25" s="60"/>
      <c r="E25" s="60"/>
      <c r="F25" s="60"/>
      <c r="G25" s="60"/>
      <c r="H25" s="77">
        <f>SUM(H21,H22,H24)</f>
        <v>-84830</v>
      </c>
      <c r="I25" s="77">
        <f t="shared" ref="I25:S25" si="8">SUM(I21,I22,I24)</f>
        <v>-83837</v>
      </c>
      <c r="J25" s="77">
        <f t="shared" si="8"/>
        <v>-96163</v>
      </c>
      <c r="K25" s="77">
        <f>SUM(K21,K22,K24)</f>
        <v>-86204</v>
      </c>
      <c r="L25" s="423">
        <v>-104431.498502071</v>
      </c>
      <c r="M25" s="423">
        <v>-58994.489690625887</v>
      </c>
      <c r="N25" s="77">
        <f t="shared" si="8"/>
        <v>-112536.55993336151</v>
      </c>
      <c r="O25" s="77">
        <f t="shared" si="8"/>
        <v>-120812.23408730877</v>
      </c>
      <c r="P25" s="77">
        <f t="shared" si="8"/>
        <v>-129574.5667580497</v>
      </c>
      <c r="Q25" s="77">
        <f t="shared" si="8"/>
        <v>-139716.01775225508</v>
      </c>
      <c r="R25" s="77">
        <f t="shared" si="8"/>
        <v>-152131.18028827335</v>
      </c>
      <c r="S25" s="77">
        <f t="shared" si="8"/>
        <v>-168637.23378918148</v>
      </c>
    </row>
    <row r="26" spans="1:43" ht="15" thickBot="1">
      <c r="C26" s="60"/>
      <c r="D26" s="60"/>
      <c r="E26" s="60"/>
      <c r="F26" s="60"/>
      <c r="G26" s="60"/>
      <c r="H26" s="132"/>
      <c r="I26" s="132"/>
      <c r="J26" s="132"/>
      <c r="K26" s="132"/>
      <c r="L26" s="132"/>
      <c r="M26" s="132"/>
      <c r="N26" s="60"/>
      <c r="O26" s="60"/>
      <c r="P26" s="60"/>
      <c r="Q26" s="60"/>
      <c r="R26" s="60"/>
      <c r="S26" s="60"/>
    </row>
    <row r="27" spans="1:43" ht="15" thickBot="1">
      <c r="C27" s="63" t="s">
        <v>236</v>
      </c>
      <c r="D27" s="37"/>
      <c r="E27" s="37"/>
      <c r="F27" s="37"/>
      <c r="G27" s="37"/>
      <c r="H27" s="64">
        <f>H15+H25</f>
        <v>18984</v>
      </c>
      <c r="I27" s="64">
        <f t="shared" ref="I27:K27" si="9">I15+I25</f>
        <v>18660</v>
      </c>
      <c r="J27" s="64">
        <f t="shared" si="9"/>
        <v>18321</v>
      </c>
      <c r="K27" s="64">
        <f t="shared" si="9"/>
        <v>19542</v>
      </c>
      <c r="L27" s="64">
        <f>L15+L25</f>
        <v>23545.490703921198</v>
      </c>
      <c r="M27" s="64">
        <f>M15+M25</f>
        <v>12466.905695605667</v>
      </c>
      <c r="N27" s="64">
        <f t="shared" ref="N27:S27" si="10">N15+N25</f>
        <v>23915.453077616403</v>
      </c>
      <c r="O27" s="64">
        <f t="shared" si="10"/>
        <v>25677.96443884568</v>
      </c>
      <c r="P27" s="64">
        <f t="shared" si="10"/>
        <v>27554.618083605528</v>
      </c>
      <c r="Q27" s="64">
        <f t="shared" si="10"/>
        <v>29693.125568491349</v>
      </c>
      <c r="R27" s="64">
        <f t="shared" si="10"/>
        <v>32241.768950646772</v>
      </c>
      <c r="S27" s="64">
        <f t="shared" si="10"/>
        <v>35429.131364619156</v>
      </c>
    </row>
    <row r="28" spans="1:43" s="101" customFormat="1">
      <c r="C28" s="22" t="s">
        <v>168</v>
      </c>
      <c r="D28" s="22"/>
      <c r="E28" s="22"/>
      <c r="F28" s="22"/>
      <c r="G28" s="22"/>
      <c r="H28" s="94">
        <f>H27/H15</f>
        <v>0.18286550946885777</v>
      </c>
      <c r="I28" s="94">
        <f t="shared" ref="I28:K28" si="11">I27/I15</f>
        <v>0.1820541089007483</v>
      </c>
      <c r="J28" s="94">
        <f t="shared" si="11"/>
        <v>0.16003109604835611</v>
      </c>
      <c r="K28" s="94">
        <f t="shared" si="11"/>
        <v>0.18480131636184821</v>
      </c>
      <c r="L28" s="94">
        <f t="shared" ref="L28:S28" si="12">L27/L15</f>
        <v>0.18398222094459729</v>
      </c>
      <c r="M28" s="94">
        <f t="shared" ref="M28" si="13">M27/M15</f>
        <v>0.17445651079474531</v>
      </c>
      <c r="N28" s="94">
        <f t="shared" si="12"/>
        <v>0.17526639988588769</v>
      </c>
      <c r="O28" s="94">
        <f t="shared" si="12"/>
        <v>0.17528793528299522</v>
      </c>
      <c r="P28" s="94">
        <f t="shared" si="12"/>
        <v>0.17536282716271528</v>
      </c>
      <c r="Q28" s="94">
        <f t="shared" si="12"/>
        <v>0.17527463386242759</v>
      </c>
      <c r="R28" s="94">
        <f t="shared" si="12"/>
        <v>0.17487255632531104</v>
      </c>
      <c r="S28" s="94">
        <f t="shared" si="12"/>
        <v>0.17361573200912822</v>
      </c>
      <c r="U28" s="1512"/>
      <c r="V28" s="1512"/>
      <c r="W28" s="1512"/>
      <c r="X28" s="1512"/>
      <c r="Y28" s="1512"/>
      <c r="Z28" s="1512"/>
      <c r="AA28" s="1512"/>
      <c r="AI28" s="473"/>
      <c r="AK28" s="1512"/>
      <c r="AL28" s="1512"/>
      <c r="AM28" s="1512"/>
      <c r="AN28" s="1512"/>
      <c r="AO28" s="1512"/>
      <c r="AP28" s="1512"/>
      <c r="AQ28" s="1512"/>
    </row>
    <row r="29" spans="1:43" s="101" customFormat="1">
      <c r="C29" s="22"/>
      <c r="D29" s="22"/>
      <c r="E29" s="22"/>
      <c r="F29" s="22"/>
      <c r="G29" s="22"/>
      <c r="H29" s="94"/>
      <c r="I29" s="94"/>
      <c r="J29" s="94"/>
      <c r="K29" s="94"/>
      <c r="L29" s="22"/>
      <c r="M29" s="22"/>
      <c r="N29" s="22"/>
      <c r="O29" s="22"/>
      <c r="P29" s="22"/>
      <c r="Q29" s="22"/>
      <c r="R29" s="22"/>
      <c r="S29" s="22"/>
      <c r="U29" s="1512"/>
      <c r="V29" s="1512"/>
      <c r="W29" s="1512"/>
      <c r="X29" s="1512"/>
      <c r="Y29" s="1512"/>
      <c r="Z29" s="1512"/>
      <c r="AA29" s="1512"/>
      <c r="AI29" s="473"/>
      <c r="AK29" s="1512"/>
      <c r="AL29" s="1512"/>
      <c r="AM29" s="1512"/>
      <c r="AN29" s="1512"/>
      <c r="AO29" s="1512"/>
      <c r="AP29" s="1512"/>
      <c r="AQ29" s="1512"/>
    </row>
    <row r="30" spans="1:43">
      <c r="C30" s="1"/>
      <c r="D30" s="1"/>
      <c r="E30" s="1"/>
      <c r="H30" s="99"/>
    </row>
    <row r="31" spans="1:43" s="62" customFormat="1" outlineLevel="1">
      <c r="A31" s="10" t="s">
        <v>8</v>
      </c>
      <c r="B31" s="10" t="s">
        <v>237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U31" s="1515"/>
      <c r="V31" s="1515"/>
      <c r="W31" s="1515"/>
      <c r="X31" s="1515"/>
      <c r="Y31" s="1515"/>
      <c r="Z31" s="1515"/>
      <c r="AA31" s="1515"/>
      <c r="AI31" s="475"/>
      <c r="AK31" s="1515"/>
      <c r="AL31" s="1515"/>
      <c r="AM31" s="1515"/>
      <c r="AN31" s="1515"/>
      <c r="AO31" s="1515"/>
      <c r="AP31" s="1515"/>
      <c r="AQ31" s="1515"/>
    </row>
    <row r="32" spans="1:43" outlineLevel="1">
      <c r="H32" s="101"/>
      <c r="I32" s="101"/>
      <c r="J32" s="101"/>
      <c r="K32" s="101"/>
      <c r="L32" s="481"/>
      <c r="M32" s="481"/>
      <c r="N32" s="101"/>
      <c r="O32" s="101"/>
      <c r="P32" s="101"/>
      <c r="Q32" s="101"/>
      <c r="R32" s="101"/>
      <c r="S32" s="101"/>
    </row>
    <row r="33" spans="3:43" s="101" customFormat="1" outlineLevel="1">
      <c r="C33" s="18" t="s">
        <v>24</v>
      </c>
      <c r="D33" s="18"/>
      <c r="E33" s="18"/>
      <c r="F33" s="99"/>
      <c r="G33" s="99"/>
      <c r="H33" s="414">
        <v>29678</v>
      </c>
      <c r="I33" s="414">
        <v>33570</v>
      </c>
      <c r="J33" s="414">
        <v>35209</v>
      </c>
      <c r="K33" s="414">
        <v>36298</v>
      </c>
      <c r="L33" s="1056">
        <f>L45/L39</f>
        <v>43992.268093258484</v>
      </c>
      <c r="M33" s="1056">
        <f>M45/M39</f>
        <v>24706.76147532506</v>
      </c>
      <c r="N33" s="23">
        <f>CHOOSE(case,U33,AC33,AK33)</f>
        <v>46851.765519320281</v>
      </c>
      <c r="O33" s="23">
        <f t="shared" ref="O33:S33" si="14">CHOOSE(case,V33,AD33,AL33)</f>
        <v>49897.130278076096</v>
      </c>
      <c r="P33" s="23">
        <f t="shared" si="14"/>
        <v>53140.443746151039</v>
      </c>
      <c r="Q33" s="23">
        <f t="shared" si="14"/>
        <v>56594.572589650852</v>
      </c>
      <c r="R33" s="23">
        <f t="shared" si="14"/>
        <v>60273.219807978152</v>
      </c>
      <c r="S33" s="23">
        <f t="shared" si="14"/>
        <v>64190.979095496732</v>
      </c>
      <c r="T33" s="18"/>
      <c r="U33" s="1519">
        <f>$L33*(1+$AA33)</f>
        <v>48391.494902584338</v>
      </c>
      <c r="V33" s="1519">
        <f>U33*(1+$AA33)</f>
        <v>53230.644392842776</v>
      </c>
      <c r="W33" s="1519">
        <f t="shared" ref="W33:Z33" si="15">V33*(1+$AA33)</f>
        <v>58553.708832127057</v>
      </c>
      <c r="X33" s="1519">
        <f t="shared" si="15"/>
        <v>64409.079715339765</v>
      </c>
      <c r="Y33" s="1519">
        <f t="shared" si="15"/>
        <v>70849.987686873748</v>
      </c>
      <c r="Z33" s="1519">
        <f t="shared" si="15"/>
        <v>77934.986455561128</v>
      </c>
      <c r="AA33" s="1520">
        <v>0.1</v>
      </c>
      <c r="AB33" s="1"/>
      <c r="AC33" s="20">
        <f>$L33*(1+$AI33)</f>
        <v>46851.765519320281</v>
      </c>
      <c r="AD33" s="20">
        <f>AC33*(1+$AI33)</f>
        <v>49897.130278076096</v>
      </c>
      <c r="AE33" s="20">
        <f t="shared" ref="AE33" si="16">AD33*(1+$AI33)</f>
        <v>53140.443746151039</v>
      </c>
      <c r="AF33" s="20">
        <f>AE33*(1+$AI33)</f>
        <v>56594.572589650852</v>
      </c>
      <c r="AG33" s="20">
        <f t="shared" ref="AG33" si="17">AF33*(1+$AI33)</f>
        <v>60273.219807978152</v>
      </c>
      <c r="AH33" s="20">
        <f>AG33*(1+$AI33)</f>
        <v>64190.979095496732</v>
      </c>
      <c r="AI33" s="472">
        <v>6.5000000000000002E-2</v>
      </c>
      <c r="AJ33" s="1"/>
      <c r="AK33" s="1519">
        <f>$L33*(1+$AQ33)</f>
        <v>45751.958816988823</v>
      </c>
      <c r="AL33" s="1519">
        <f>AK33*(1+$AQ33)</f>
        <v>47582.03716966838</v>
      </c>
      <c r="AM33" s="1519">
        <f t="shared" ref="AM33:AN33" si="18">AL33*(1+$AQ33)</f>
        <v>49485.318656455114</v>
      </c>
      <c r="AN33" s="1519">
        <f t="shared" si="18"/>
        <v>51464.731402713318</v>
      </c>
      <c r="AO33" s="1519">
        <f>AN33*(1+$AQ33)</f>
        <v>53523.320658821853</v>
      </c>
      <c r="AP33" s="1519">
        <f t="shared" ref="AP33" si="19">AO33*(1+$AQ33)</f>
        <v>55664.253485174726</v>
      </c>
      <c r="AQ33" s="1520">
        <v>0.04</v>
      </c>
    </row>
    <row r="34" spans="3:43" s="101" customFormat="1" outlineLevel="1">
      <c r="C34" s="1"/>
      <c r="D34" s="27" t="s">
        <v>25</v>
      </c>
      <c r="E34" s="28"/>
      <c r="F34" s="28"/>
      <c r="G34" s="2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U34" s="1512"/>
      <c r="V34" s="1512"/>
      <c r="W34" s="1512"/>
      <c r="X34" s="1512"/>
      <c r="Y34" s="1512"/>
      <c r="Z34" s="1512"/>
      <c r="AA34" s="1512"/>
      <c r="AI34" s="473"/>
      <c r="AK34" s="1512"/>
      <c r="AL34" s="1512"/>
      <c r="AM34" s="1512"/>
      <c r="AN34" s="1512"/>
      <c r="AO34" s="1512"/>
      <c r="AP34" s="1512"/>
      <c r="AQ34" s="1512"/>
    </row>
    <row r="35" spans="3:43" s="101" customFormat="1" outlineLevel="1">
      <c r="C35" s="1"/>
      <c r="D35" s="31" t="s">
        <v>26</v>
      </c>
      <c r="E35" s="1"/>
      <c r="F35" s="1"/>
      <c r="G35" s="1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U35" s="1512"/>
      <c r="V35" s="1512"/>
      <c r="W35" s="1512"/>
      <c r="X35" s="1512"/>
      <c r="Y35" s="1512"/>
      <c r="Z35" s="1512"/>
      <c r="AA35" s="1512"/>
      <c r="AI35" s="473"/>
      <c r="AK35" s="1512"/>
      <c r="AL35" s="1512"/>
      <c r="AM35" s="1512"/>
      <c r="AN35" s="1512"/>
      <c r="AO35" s="1512"/>
      <c r="AP35" s="1512"/>
      <c r="AQ35" s="1512"/>
    </row>
    <row r="36" spans="3:43" s="101" customFormat="1" outlineLevel="1">
      <c r="C36" s="1"/>
      <c r="D36" s="31" t="s">
        <v>27</v>
      </c>
      <c r="E36" s="1"/>
      <c r="F36" s="1"/>
      <c r="G36" s="1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U36" s="1512"/>
      <c r="V36" s="1512"/>
      <c r="W36" s="1512"/>
      <c r="X36" s="1512"/>
      <c r="Y36" s="1512"/>
      <c r="Z36" s="1512"/>
      <c r="AA36" s="1512"/>
      <c r="AI36" s="473"/>
      <c r="AK36" s="1512"/>
      <c r="AL36" s="1512"/>
      <c r="AM36" s="1512"/>
      <c r="AN36" s="1512"/>
      <c r="AO36" s="1512"/>
      <c r="AP36" s="1512"/>
      <c r="AQ36" s="1512"/>
    </row>
    <row r="37" spans="3:43" s="101" customFormat="1" outlineLevel="1">
      <c r="C37" s="1"/>
      <c r="D37" s="31" t="s">
        <v>28</v>
      </c>
      <c r="E37" s="1"/>
      <c r="F37" s="1"/>
      <c r="G37" s="1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U37" s="1512"/>
      <c r="V37" s="1512"/>
      <c r="W37" s="1512"/>
      <c r="X37" s="1512"/>
      <c r="Y37" s="1512"/>
      <c r="Z37" s="1512"/>
      <c r="AA37" s="1512"/>
      <c r="AI37" s="473"/>
      <c r="AK37" s="1512"/>
      <c r="AL37" s="1512"/>
      <c r="AM37" s="1512"/>
      <c r="AN37" s="1512"/>
      <c r="AO37" s="1512"/>
      <c r="AP37" s="1512"/>
      <c r="AQ37" s="1512"/>
    </row>
    <row r="38" spans="3:43" s="101" customFormat="1" outlineLevel="1">
      <c r="C38" s="1"/>
      <c r="D38" s="33" t="s">
        <v>169</v>
      </c>
      <c r="E38" s="34"/>
      <c r="F38" s="34"/>
      <c r="G38" s="3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U38" s="1512"/>
      <c r="V38" s="1512"/>
      <c r="W38" s="1512"/>
      <c r="X38" s="1512"/>
      <c r="Y38" s="1512"/>
      <c r="Z38" s="1512"/>
      <c r="AA38" s="1512"/>
      <c r="AI38" s="473"/>
      <c r="AK38" s="1512"/>
      <c r="AL38" s="1512"/>
      <c r="AM38" s="1512"/>
      <c r="AN38" s="1512"/>
      <c r="AO38" s="1512"/>
      <c r="AP38" s="1512"/>
      <c r="AQ38" s="1512"/>
    </row>
    <row r="39" spans="3:43" s="99" customFormat="1" outlineLevel="1">
      <c r="C39" s="1" t="s">
        <v>31</v>
      </c>
      <c r="D39" s="1"/>
      <c r="E39" s="1"/>
      <c r="F39" s="97"/>
      <c r="G39" s="97"/>
      <c r="H39" s="759">
        <f>IFERROR(H45/H33,"NA")</f>
        <v>2.7726598827414248</v>
      </c>
      <c r="I39" s="759">
        <f t="shared" ref="I39:K44" si="20">IFERROR(I45/I33,"NA")</f>
        <v>2.5398868036937743</v>
      </c>
      <c r="J39" s="759">
        <f t="shared" si="20"/>
        <v>2.7091368684143258</v>
      </c>
      <c r="K39" s="759">
        <f t="shared" si="20"/>
        <v>2.4483993608463277</v>
      </c>
      <c r="L39" s="796">
        <f>K39</f>
        <v>2.4483993608463277</v>
      </c>
      <c r="M39" s="797">
        <f>L39</f>
        <v>2.4483993608463277</v>
      </c>
      <c r="N39" s="795">
        <f t="shared" ref="N39:S39" si="21">CHOOSE(case,U39,AC39,AK39)</f>
        <v>2.4483993608463277</v>
      </c>
      <c r="O39" s="795">
        <f t="shared" si="21"/>
        <v>2.4483993608463277</v>
      </c>
      <c r="P39" s="795">
        <f t="shared" si="21"/>
        <v>2.4483993608463277</v>
      </c>
      <c r="Q39" s="795">
        <f t="shared" si="21"/>
        <v>2.4483993608463277</v>
      </c>
      <c r="R39" s="795">
        <f t="shared" si="21"/>
        <v>2.4483993608463277</v>
      </c>
      <c r="S39" s="795">
        <f t="shared" si="21"/>
        <v>2.4483993608463277</v>
      </c>
      <c r="T39" s="1"/>
      <c r="U39" s="1529">
        <f>$L39*(1+$AA39)</f>
        <v>2.4728833544547908</v>
      </c>
      <c r="V39" s="1529">
        <f>U39*(1+$AA39)</f>
        <v>2.4976121879993389</v>
      </c>
      <c r="W39" s="1529">
        <f t="shared" ref="W39:Z39" si="22">V39*(1+$AA39)</f>
        <v>2.5225883098793322</v>
      </c>
      <c r="X39" s="1529">
        <f t="shared" si="22"/>
        <v>2.5478141929781257</v>
      </c>
      <c r="Y39" s="1529">
        <f t="shared" si="22"/>
        <v>2.5732923349079071</v>
      </c>
      <c r="Z39" s="1529">
        <f t="shared" si="22"/>
        <v>2.5990252582569862</v>
      </c>
      <c r="AA39" s="1520">
        <v>0.01</v>
      </c>
      <c r="AB39" s="1"/>
      <c r="AC39" s="448">
        <f>$L39*(1+$AI39)</f>
        <v>2.4483993608463277</v>
      </c>
      <c r="AD39" s="448">
        <f>AC39*(1+$AI39)</f>
        <v>2.4483993608463277</v>
      </c>
      <c r="AE39" s="448">
        <f t="shared" ref="AE39:AG39" si="23">AD39*(1+$AI39)</f>
        <v>2.4483993608463277</v>
      </c>
      <c r="AF39" s="448">
        <f t="shared" si="23"/>
        <v>2.4483993608463277</v>
      </c>
      <c r="AG39" s="448">
        <f t="shared" si="23"/>
        <v>2.4483993608463277</v>
      </c>
      <c r="AH39" s="448">
        <f>AG39*(1+$AI39)</f>
        <v>2.4483993608463277</v>
      </c>
      <c r="AI39" s="472">
        <v>0</v>
      </c>
      <c r="AJ39" s="1"/>
      <c r="AK39" s="1529">
        <f>$L39*(1+$AQ39)</f>
        <v>2.4483993608463277</v>
      </c>
      <c r="AL39" s="1529">
        <f>AK39*(1+$AQ39)</f>
        <v>2.4483993608463277</v>
      </c>
      <c r="AM39" s="1529">
        <f t="shared" ref="AM39:AN39" si="24">AL39*(1+$AQ39)</f>
        <v>2.4483993608463277</v>
      </c>
      <c r="AN39" s="1529">
        <f t="shared" si="24"/>
        <v>2.4483993608463277</v>
      </c>
      <c r="AO39" s="1529">
        <f>AN39*(1+$AQ39)</f>
        <v>2.4483993608463277</v>
      </c>
      <c r="AP39" s="1529">
        <f t="shared" ref="AP39" si="25">AO39*(1+$AQ39)</f>
        <v>2.4483993608463277</v>
      </c>
      <c r="AQ39" s="1520">
        <v>0</v>
      </c>
    </row>
    <row r="40" spans="3:43" s="101" customFormat="1" outlineLevel="1">
      <c r="C40" s="1"/>
      <c r="D40" s="27" t="s">
        <v>25</v>
      </c>
      <c r="E40" s="28"/>
      <c r="F40" s="28"/>
      <c r="G40" s="28"/>
      <c r="H40" s="1058" t="str">
        <f>IFERROR(H46/H34,"NA")</f>
        <v>NA</v>
      </c>
      <c r="I40" s="1058" t="str">
        <f t="shared" si="20"/>
        <v>NA</v>
      </c>
      <c r="J40" s="1058" t="str">
        <f t="shared" si="20"/>
        <v>NA</v>
      </c>
      <c r="K40" s="1058" t="str">
        <f t="shared" si="20"/>
        <v>NA</v>
      </c>
      <c r="L40" s="1058"/>
      <c r="M40" s="1058"/>
      <c r="N40" s="1058"/>
      <c r="O40" s="1058"/>
      <c r="P40" s="1058"/>
      <c r="Q40" s="1058"/>
      <c r="R40" s="1058"/>
      <c r="S40" s="1058"/>
      <c r="U40" s="1512"/>
      <c r="V40" s="1512"/>
      <c r="W40" s="1512"/>
      <c r="X40" s="1512"/>
      <c r="Y40" s="1512"/>
      <c r="Z40" s="1512"/>
      <c r="AA40" s="1512"/>
      <c r="AI40" s="473"/>
      <c r="AK40" s="1512"/>
      <c r="AL40" s="1512"/>
      <c r="AM40" s="1512"/>
      <c r="AN40" s="1512"/>
      <c r="AO40" s="1512"/>
      <c r="AP40" s="1512"/>
      <c r="AQ40" s="1512"/>
    </row>
    <row r="41" spans="3:43" s="101" customFormat="1" outlineLevel="1">
      <c r="C41" s="1"/>
      <c r="D41" s="31" t="s">
        <v>26</v>
      </c>
      <c r="E41" s="1"/>
      <c r="F41" s="1"/>
      <c r="G41" s="1"/>
      <c r="H41" s="1059" t="str">
        <f t="shared" ref="H41:J44" si="26">IFERROR(H47/H35,"NA")</f>
        <v>NA</v>
      </c>
      <c r="I41" s="1059" t="str">
        <f t="shared" si="26"/>
        <v>NA</v>
      </c>
      <c r="J41" s="1059" t="str">
        <f t="shared" si="26"/>
        <v>NA</v>
      </c>
      <c r="K41" s="1059" t="str">
        <f t="shared" si="20"/>
        <v>NA</v>
      </c>
      <c r="L41" s="1059"/>
      <c r="M41" s="1059"/>
      <c r="N41" s="1059"/>
      <c r="O41" s="1059"/>
      <c r="P41" s="1059"/>
      <c r="Q41" s="1059"/>
      <c r="R41" s="1059"/>
      <c r="S41" s="1059"/>
      <c r="U41" s="1512"/>
      <c r="V41" s="1512"/>
      <c r="W41" s="1512"/>
      <c r="X41" s="1512"/>
      <c r="Y41" s="1512"/>
      <c r="Z41" s="1512"/>
      <c r="AA41" s="1512"/>
      <c r="AI41" s="473"/>
      <c r="AK41" s="1512"/>
      <c r="AL41" s="1512"/>
      <c r="AM41" s="1512"/>
      <c r="AN41" s="1512"/>
      <c r="AO41" s="1512"/>
      <c r="AP41" s="1512"/>
      <c r="AQ41" s="1512"/>
    </row>
    <row r="42" spans="3:43" s="101" customFormat="1" outlineLevel="1">
      <c r="C42" s="1"/>
      <c r="D42" s="31" t="s">
        <v>27</v>
      </c>
      <c r="E42" s="1"/>
      <c r="F42" s="1"/>
      <c r="G42" s="1"/>
      <c r="H42" s="1059" t="str">
        <f t="shared" si="26"/>
        <v>NA</v>
      </c>
      <c r="I42" s="1059" t="str">
        <f t="shared" si="26"/>
        <v>NA</v>
      </c>
      <c r="J42" s="1059" t="str">
        <f t="shared" si="26"/>
        <v>NA</v>
      </c>
      <c r="K42" s="1059" t="str">
        <f t="shared" si="20"/>
        <v>NA</v>
      </c>
      <c r="L42" s="1059"/>
      <c r="M42" s="1059"/>
      <c r="N42" s="1059"/>
      <c r="O42" s="1059"/>
      <c r="P42" s="1059"/>
      <c r="Q42" s="1059"/>
      <c r="R42" s="1059"/>
      <c r="S42" s="1059"/>
      <c r="U42" s="1512"/>
      <c r="V42" s="1512"/>
      <c r="W42" s="1512"/>
      <c r="X42" s="1512"/>
      <c r="Y42" s="1512"/>
      <c r="Z42" s="1512"/>
      <c r="AA42" s="1512"/>
      <c r="AI42" s="473"/>
      <c r="AK42" s="1512"/>
      <c r="AL42" s="1512"/>
      <c r="AM42" s="1512"/>
      <c r="AN42" s="1512"/>
      <c r="AO42" s="1512"/>
      <c r="AP42" s="1512"/>
      <c r="AQ42" s="1512"/>
    </row>
    <row r="43" spans="3:43" s="101" customFormat="1" outlineLevel="1">
      <c r="C43" s="1"/>
      <c r="D43" s="31" t="s">
        <v>28</v>
      </c>
      <c r="E43" s="1"/>
      <c r="F43" s="1"/>
      <c r="G43" s="1"/>
      <c r="H43" s="1059" t="str">
        <f t="shared" si="26"/>
        <v>NA</v>
      </c>
      <c r="I43" s="1059" t="str">
        <f t="shared" si="26"/>
        <v>NA</v>
      </c>
      <c r="J43" s="1059" t="str">
        <f t="shared" si="26"/>
        <v>NA</v>
      </c>
      <c r="K43" s="1059" t="str">
        <f t="shared" si="20"/>
        <v>NA</v>
      </c>
      <c r="L43" s="1059"/>
      <c r="M43" s="1059"/>
      <c r="N43" s="1059"/>
      <c r="O43" s="1059"/>
      <c r="P43" s="1059"/>
      <c r="Q43" s="1059"/>
      <c r="R43" s="1059"/>
      <c r="S43" s="1059"/>
      <c r="U43" s="1512"/>
      <c r="V43" s="1512"/>
      <c r="W43" s="1512"/>
      <c r="X43" s="1512"/>
      <c r="Y43" s="1512"/>
      <c r="Z43" s="1512"/>
      <c r="AA43" s="1512"/>
      <c r="AI43" s="473"/>
      <c r="AK43" s="1512"/>
      <c r="AL43" s="1512"/>
      <c r="AM43" s="1512"/>
      <c r="AN43" s="1512"/>
      <c r="AO43" s="1512"/>
      <c r="AP43" s="1512"/>
      <c r="AQ43" s="1512"/>
    </row>
    <row r="44" spans="3:43" s="101" customFormat="1" ht="15" outlineLevel="1" thickBot="1">
      <c r="C44" s="37"/>
      <c r="D44" s="38" t="s">
        <v>169</v>
      </c>
      <c r="E44" s="37"/>
      <c r="F44" s="37"/>
      <c r="G44" s="37"/>
      <c r="H44" s="1060" t="str">
        <f t="shared" si="26"/>
        <v>NA</v>
      </c>
      <c r="I44" s="1060" t="str">
        <f t="shared" si="26"/>
        <v>NA</v>
      </c>
      <c r="J44" s="1060" t="str">
        <f t="shared" si="26"/>
        <v>NA</v>
      </c>
      <c r="K44" s="1060" t="str">
        <f t="shared" si="20"/>
        <v>NA</v>
      </c>
      <c r="L44" s="1060"/>
      <c r="M44" s="1060"/>
      <c r="N44" s="1060"/>
      <c r="O44" s="1060"/>
      <c r="P44" s="1060"/>
      <c r="Q44" s="1060"/>
      <c r="R44" s="1060"/>
      <c r="S44" s="1060"/>
      <c r="U44" s="1512"/>
      <c r="V44" s="1512"/>
      <c r="W44" s="1512"/>
      <c r="X44" s="1512"/>
      <c r="Y44" s="1512"/>
      <c r="Z44" s="1512"/>
      <c r="AA44" s="1512"/>
      <c r="AI44" s="473"/>
      <c r="AK44" s="1512"/>
      <c r="AL44" s="1512"/>
      <c r="AM44" s="1512"/>
      <c r="AN44" s="1512"/>
      <c r="AO44" s="1512"/>
      <c r="AP44" s="1512"/>
      <c r="AQ44" s="1512"/>
    </row>
    <row r="45" spans="3:43" s="101" customFormat="1" outlineLevel="1">
      <c r="C45" s="18" t="s">
        <v>159</v>
      </c>
      <c r="D45" s="1"/>
      <c r="E45" s="1"/>
      <c r="F45" s="97"/>
      <c r="G45" s="97"/>
      <c r="H45" s="414">
        <v>82287</v>
      </c>
      <c r="I45" s="99">
        <f t="shared" ref="I45:J45" si="27">SUM(I46:I50)</f>
        <v>85264</v>
      </c>
      <c r="J45" s="99">
        <f t="shared" si="27"/>
        <v>95386</v>
      </c>
      <c r="K45" s="99">
        <f>SUM(K46:K50)</f>
        <v>88872</v>
      </c>
      <c r="L45" s="99">
        <f>L54/(1-L51)</f>
        <v>107710.64108171436</v>
      </c>
      <c r="M45" s="99">
        <f>M54/(1-M51)</f>
        <v>60492.019004768546</v>
      </c>
      <c r="N45" s="99">
        <f t="shared" ref="N45:S45" si="28">N33*N39</f>
        <v>114711.83275202579</v>
      </c>
      <c r="O45" s="99">
        <f t="shared" si="28"/>
        <v>122168.10188090746</v>
      </c>
      <c r="P45" s="99">
        <f t="shared" si="28"/>
        <v>130109.02850316644</v>
      </c>
      <c r="Q45" s="99">
        <f t="shared" si="28"/>
        <v>138566.11535587223</v>
      </c>
      <c r="R45" s="99">
        <f t="shared" si="28"/>
        <v>147572.91285400392</v>
      </c>
      <c r="S45" s="99">
        <f t="shared" si="28"/>
        <v>157165.15218951419</v>
      </c>
      <c r="U45" s="1512"/>
      <c r="V45" s="1512"/>
      <c r="W45" s="1512"/>
      <c r="X45" s="1512"/>
      <c r="Y45" s="1512"/>
      <c r="Z45" s="1512"/>
      <c r="AA45" s="1512"/>
      <c r="AI45" s="473"/>
      <c r="AK45" s="1512"/>
      <c r="AL45" s="1512"/>
      <c r="AM45" s="1512"/>
      <c r="AN45" s="1512"/>
      <c r="AO45" s="1512"/>
      <c r="AP45" s="1512"/>
      <c r="AQ45" s="1512"/>
    </row>
    <row r="46" spans="3:43" s="101" customFormat="1" outlineLevel="1">
      <c r="C46" s="1"/>
      <c r="D46" s="27" t="s">
        <v>25</v>
      </c>
      <c r="E46" s="28"/>
      <c r="F46" s="28"/>
      <c r="G46" s="28"/>
      <c r="H46" s="419">
        <v>2771</v>
      </c>
      <c r="I46" s="419">
        <v>2732</v>
      </c>
      <c r="J46" s="419">
        <v>2964</v>
      </c>
      <c r="K46" s="419">
        <v>2087</v>
      </c>
      <c r="L46" s="133">
        <f>L$45/K$45*K46</f>
        <v>2529.3917987390614</v>
      </c>
      <c r="M46" s="133">
        <f>M$45/L$45*L46</f>
        <v>1420.5468951182818</v>
      </c>
      <c r="N46" s="133"/>
      <c r="O46" s="133"/>
      <c r="P46" s="133"/>
      <c r="Q46" s="133"/>
      <c r="R46" s="133"/>
      <c r="S46" s="133"/>
      <c r="U46" s="1512"/>
      <c r="V46" s="1512"/>
      <c r="W46" s="1512"/>
      <c r="X46" s="1512"/>
      <c r="Y46" s="1512"/>
      <c r="Z46" s="1512"/>
      <c r="AA46" s="1512"/>
      <c r="AI46" s="473"/>
      <c r="AK46" s="1512"/>
      <c r="AL46" s="1512"/>
      <c r="AM46" s="1512"/>
      <c r="AN46" s="1512"/>
      <c r="AO46" s="1512"/>
      <c r="AP46" s="1512"/>
      <c r="AQ46" s="1512"/>
    </row>
    <row r="47" spans="3:43" s="101" customFormat="1" outlineLevel="1">
      <c r="C47" s="1"/>
      <c r="D47" s="31" t="s">
        <v>26</v>
      </c>
      <c r="E47" s="1"/>
      <c r="F47" s="1"/>
      <c r="G47" s="1"/>
      <c r="H47" s="394">
        <v>1448</v>
      </c>
      <c r="I47" s="394">
        <v>1057</v>
      </c>
      <c r="J47" s="394">
        <v>1122</v>
      </c>
      <c r="K47" s="394">
        <v>1410</v>
      </c>
      <c r="L47" s="21">
        <f t="shared" ref="L47" si="29">L$45/K$45*K47</f>
        <v>1708.8847322578229</v>
      </c>
      <c r="M47" s="21">
        <f>M$45/L$45*L47</f>
        <v>959.7370014934246</v>
      </c>
      <c r="N47" s="21"/>
      <c r="O47" s="21"/>
      <c r="P47" s="21"/>
      <c r="Q47" s="21"/>
      <c r="R47" s="21"/>
      <c r="S47" s="21"/>
      <c r="U47" s="1512"/>
      <c r="V47" s="1512"/>
      <c r="W47" s="1512"/>
      <c r="X47" s="1512"/>
      <c r="Y47" s="1512"/>
      <c r="Z47" s="1512"/>
      <c r="AA47" s="1512"/>
      <c r="AI47" s="473"/>
      <c r="AK47" s="1512"/>
      <c r="AL47" s="1512"/>
      <c r="AM47" s="1512"/>
      <c r="AN47" s="1512"/>
      <c r="AO47" s="1512"/>
      <c r="AP47" s="1512"/>
      <c r="AQ47" s="1512"/>
    </row>
    <row r="48" spans="3:43" s="101" customFormat="1" outlineLevel="1">
      <c r="C48" s="1"/>
      <c r="D48" s="31" t="s">
        <v>27</v>
      </c>
      <c r="E48" s="1"/>
      <c r="F48" s="1"/>
      <c r="G48" s="1"/>
      <c r="H48" s="394">
        <v>21533</v>
      </c>
      <c r="I48" s="394">
        <v>24819</v>
      </c>
      <c r="J48" s="394">
        <v>31051</v>
      </c>
      <c r="K48" s="394">
        <v>29606</v>
      </c>
      <c r="L48" s="21">
        <f t="shared" ref="L48:M48" si="30">L$45/K$45*K48</f>
        <v>35881.731477464615</v>
      </c>
      <c r="M48" s="21">
        <f t="shared" si="30"/>
        <v>20151.754373201653</v>
      </c>
      <c r="N48" s="21"/>
      <c r="O48" s="21"/>
      <c r="P48" s="21"/>
      <c r="Q48" s="21"/>
      <c r="R48" s="21"/>
      <c r="S48" s="21"/>
      <c r="U48" s="1512"/>
      <c r="V48" s="1512"/>
      <c r="W48" s="1512"/>
      <c r="X48" s="1512"/>
      <c r="Y48" s="1512"/>
      <c r="Z48" s="1512"/>
      <c r="AA48" s="1512"/>
      <c r="AI48" s="473"/>
      <c r="AK48" s="1512"/>
      <c r="AL48" s="1512"/>
      <c r="AM48" s="1512"/>
      <c r="AN48" s="1512"/>
      <c r="AO48" s="1512"/>
      <c r="AP48" s="1512"/>
      <c r="AQ48" s="1512"/>
    </row>
    <row r="49" spans="1:43" s="101" customFormat="1" outlineLevel="1">
      <c r="C49" s="1"/>
      <c r="D49" s="31" t="s">
        <v>28</v>
      </c>
      <c r="E49" s="1"/>
      <c r="F49" s="1"/>
      <c r="G49" s="1"/>
      <c r="H49" s="394">
        <v>49515</v>
      </c>
      <c r="I49" s="394">
        <v>49671</v>
      </c>
      <c r="J49" s="394">
        <v>51810</v>
      </c>
      <c r="K49" s="394">
        <v>48825</v>
      </c>
      <c r="L49" s="21">
        <f t="shared" ref="L49:M49" si="31">L$45/K$45*K49</f>
        <v>59174.678760629933</v>
      </c>
      <c r="M49" s="21">
        <f t="shared" si="31"/>
        <v>33233.446168735078</v>
      </c>
      <c r="N49" s="21"/>
      <c r="O49" s="21"/>
      <c r="P49" s="21"/>
      <c r="Q49" s="21"/>
      <c r="R49" s="21"/>
      <c r="S49" s="21"/>
      <c r="U49" s="1512"/>
      <c r="V49" s="1512"/>
      <c r="W49" s="1512"/>
      <c r="X49" s="1512"/>
      <c r="Y49" s="1512"/>
      <c r="Z49" s="1512"/>
      <c r="AA49" s="1512"/>
      <c r="AI49" s="473"/>
      <c r="AK49" s="1512"/>
      <c r="AL49" s="1512"/>
      <c r="AM49" s="1512"/>
      <c r="AN49" s="1512"/>
      <c r="AO49" s="1512"/>
      <c r="AP49" s="1512"/>
      <c r="AQ49" s="1512"/>
    </row>
    <row r="50" spans="1:43" s="101" customFormat="1" outlineLevel="1">
      <c r="C50" s="1"/>
      <c r="D50" s="33" t="s">
        <v>169</v>
      </c>
      <c r="E50" s="34"/>
      <c r="F50" s="34"/>
      <c r="G50" s="34"/>
      <c r="H50" s="420">
        <v>6275</v>
      </c>
      <c r="I50" s="420">
        <v>6985</v>
      </c>
      <c r="J50" s="420">
        <v>8439</v>
      </c>
      <c r="K50" s="420">
        <v>6944</v>
      </c>
      <c r="L50" s="134">
        <f t="shared" ref="L50:M50" si="32">L$45/K$45*K50</f>
        <v>8415.9543126229237</v>
      </c>
      <c r="M50" s="134">
        <f t="shared" si="32"/>
        <v>4726.5345662200998</v>
      </c>
      <c r="N50" s="134"/>
      <c r="O50" s="134"/>
      <c r="P50" s="134"/>
      <c r="Q50" s="134"/>
      <c r="R50" s="134"/>
      <c r="S50" s="134"/>
      <c r="U50" s="1512"/>
      <c r="V50" s="1512"/>
      <c r="W50" s="1512"/>
      <c r="X50" s="1512"/>
      <c r="Y50" s="1512"/>
      <c r="Z50" s="1512"/>
      <c r="AA50" s="1512"/>
      <c r="AI50" s="473"/>
      <c r="AK50" s="1512"/>
      <c r="AL50" s="1512"/>
      <c r="AM50" s="1512"/>
      <c r="AN50" s="1512"/>
      <c r="AO50" s="1512"/>
      <c r="AP50" s="1512"/>
      <c r="AQ50" s="1512"/>
    </row>
    <row r="51" spans="1:43" s="101" customFormat="1" outlineLevel="1">
      <c r="C51" s="22" t="s">
        <v>1001</v>
      </c>
      <c r="H51" s="94">
        <f>1-H54/H45</f>
        <v>4.1444225697884196E-4</v>
      </c>
      <c r="I51" s="94">
        <f t="shared" ref="I51:K51" si="33">1-I54/I45</f>
        <v>3.9633714111464435E-4</v>
      </c>
      <c r="J51" s="94">
        <f t="shared" si="33"/>
        <v>-6.5336633468224825E-3</v>
      </c>
      <c r="K51" s="94">
        <f t="shared" si="33"/>
        <v>3.150598613736566E-3</v>
      </c>
      <c r="L51" s="161">
        <f>K51</f>
        <v>3.150598613736566E-3</v>
      </c>
      <c r="M51" s="161">
        <f>L51</f>
        <v>3.150598613736566E-3</v>
      </c>
      <c r="N51" s="161">
        <f>L51</f>
        <v>3.150598613736566E-3</v>
      </c>
      <c r="O51" s="161">
        <f t="shared" ref="O51:S51" si="34">N51</f>
        <v>3.150598613736566E-3</v>
      </c>
      <c r="P51" s="161">
        <f t="shared" si="34"/>
        <v>3.150598613736566E-3</v>
      </c>
      <c r="Q51" s="161">
        <f t="shared" si="34"/>
        <v>3.150598613736566E-3</v>
      </c>
      <c r="R51" s="161">
        <f t="shared" si="34"/>
        <v>3.150598613736566E-3</v>
      </c>
      <c r="S51" s="161">
        <f t="shared" si="34"/>
        <v>3.150598613736566E-3</v>
      </c>
      <c r="U51" s="1512"/>
      <c r="V51" s="1512"/>
      <c r="W51" s="1512"/>
      <c r="X51" s="1512"/>
      <c r="Y51" s="1512"/>
      <c r="Z51" s="1512"/>
      <c r="AA51" s="1512"/>
      <c r="AI51" s="473"/>
      <c r="AK51" s="1512"/>
      <c r="AL51" s="1512"/>
      <c r="AM51" s="1512"/>
      <c r="AN51" s="1512"/>
      <c r="AO51" s="1512"/>
      <c r="AP51" s="1512"/>
      <c r="AQ51" s="1512"/>
    </row>
    <row r="52" spans="1:43" s="1" customFormat="1" outlineLevel="1">
      <c r="A52" s="18"/>
      <c r="B52" s="18"/>
      <c r="D52" s="18"/>
      <c r="E52" s="18"/>
      <c r="F52" s="18"/>
      <c r="G52" s="18"/>
      <c r="H52" s="415"/>
      <c r="I52" s="415"/>
      <c r="J52" s="415"/>
      <c r="K52" s="415"/>
      <c r="L52" s="153"/>
      <c r="M52" s="153"/>
      <c r="N52" s="153"/>
      <c r="O52" s="153"/>
      <c r="P52" s="153"/>
      <c r="Q52" s="153"/>
      <c r="R52" s="153"/>
      <c r="S52" s="153"/>
      <c r="U52" s="1515"/>
      <c r="V52" s="1515"/>
      <c r="W52" s="1515"/>
      <c r="X52" s="1515"/>
      <c r="Y52" s="1515"/>
      <c r="Z52" s="1515"/>
      <c r="AA52" s="1515"/>
      <c r="AI52" s="415"/>
      <c r="AK52" s="1515"/>
      <c r="AL52" s="1515"/>
      <c r="AM52" s="1515"/>
      <c r="AN52" s="1515"/>
      <c r="AO52" s="1515"/>
      <c r="AP52" s="1515"/>
      <c r="AQ52" s="1515"/>
    </row>
    <row r="53" spans="1:43" s="1" customFormat="1" ht="15" outlineLevel="1" thickBot="1">
      <c r="A53" s="18"/>
      <c r="B53" s="18"/>
      <c r="C53" s="37"/>
      <c r="D53" s="74"/>
      <c r="E53" s="74"/>
      <c r="F53" s="63"/>
      <c r="G53" s="63"/>
      <c r="H53" s="172"/>
      <c r="I53" s="172"/>
      <c r="J53" s="172"/>
      <c r="K53" s="172"/>
      <c r="L53" s="1055"/>
      <c r="M53" s="1055"/>
      <c r="N53" s="1057"/>
      <c r="O53" s="1057"/>
      <c r="P53" s="1057"/>
      <c r="Q53" s="1057"/>
      <c r="R53" s="1057"/>
      <c r="S53" s="1057"/>
      <c r="U53" s="1515"/>
      <c r="V53" s="1515"/>
      <c r="W53" s="1515"/>
      <c r="X53" s="1515"/>
      <c r="Y53" s="1515"/>
      <c r="Z53" s="1515"/>
      <c r="AA53" s="1515"/>
      <c r="AI53" s="415"/>
      <c r="AK53" s="1515"/>
      <c r="AL53" s="1515"/>
      <c r="AM53" s="1515"/>
      <c r="AN53" s="1515"/>
      <c r="AO53" s="1515"/>
      <c r="AP53" s="1515"/>
      <c r="AQ53" s="1515"/>
    </row>
    <row r="54" spans="1:43" ht="15" outlineLevel="1" thickBot="1">
      <c r="C54" s="63" t="s">
        <v>170</v>
      </c>
      <c r="D54" s="109"/>
      <c r="E54" s="109"/>
      <c r="F54" s="109"/>
      <c r="G54" s="109"/>
      <c r="H54" s="421">
        <v>82252.896789999984</v>
      </c>
      <c r="I54" s="421">
        <v>85230.206709999999</v>
      </c>
      <c r="J54" s="421">
        <v>96009.220012000005</v>
      </c>
      <c r="K54" s="421">
        <v>88592</v>
      </c>
      <c r="L54" s="421">
        <v>107371.28808523764</v>
      </c>
      <c r="M54" s="421">
        <v>60301.432933549993</v>
      </c>
      <c r="N54" s="129">
        <f>N45*(1-N51)</f>
        <v>114350.42181077808</v>
      </c>
      <c r="O54" s="129">
        <f t="shared" ref="O54:S54" si="35">O45*(1-O51)</f>
        <v>121783.19922847864</v>
      </c>
      <c r="P54" s="129">
        <f t="shared" si="35"/>
        <v>129699.10717832975</v>
      </c>
      <c r="Q54" s="129">
        <f t="shared" si="35"/>
        <v>138129.54914492115</v>
      </c>
      <c r="R54" s="129">
        <f t="shared" si="35"/>
        <v>147107.96983934104</v>
      </c>
      <c r="S54" s="129">
        <f t="shared" si="35"/>
        <v>156669.98787889822</v>
      </c>
    </row>
    <row r="55" spans="1:43" s="1" customFormat="1" ht="15" outlineLevel="1" thickBot="1">
      <c r="C55" s="60" t="s">
        <v>238</v>
      </c>
      <c r="D55" s="60"/>
      <c r="E55" s="60"/>
      <c r="F55" s="60"/>
      <c r="G55" s="60"/>
      <c r="H55" s="422">
        <v>-66852</v>
      </c>
      <c r="I55" s="422">
        <v>-70509</v>
      </c>
      <c r="J55" s="422">
        <v>-83662</v>
      </c>
      <c r="K55" s="422">
        <v>-72955</v>
      </c>
      <c r="L55" s="132">
        <f>L21-L63-L79</f>
        <v>-88368.46424999999</v>
      </c>
      <c r="M55" s="132">
        <f>M21-M63-M79</f>
        <v>-49141.347679999963</v>
      </c>
      <c r="N55" s="132">
        <f t="shared" ref="N55:S55" si="36">N56-N54</f>
        <v>-93187.401396421206</v>
      </c>
      <c r="O55" s="132">
        <f t="shared" si="36"/>
        <v>-99244.582487188571</v>
      </c>
      <c r="P55" s="132">
        <f t="shared" si="36"/>
        <v>-105695.48034885584</v>
      </c>
      <c r="Q55" s="132">
        <f t="shared" si="36"/>
        <v>-112565.68657153143</v>
      </c>
      <c r="R55" s="132">
        <f t="shared" si="36"/>
        <v>-119882.45619868099</v>
      </c>
      <c r="S55" s="132">
        <f t="shared" si="36"/>
        <v>-127674.81585159525</v>
      </c>
      <c r="U55" s="1515"/>
      <c r="V55" s="1515"/>
      <c r="W55" s="1515"/>
      <c r="X55" s="1515"/>
      <c r="Y55" s="1515"/>
      <c r="Z55" s="1515"/>
      <c r="AA55" s="1515"/>
      <c r="AI55" s="415"/>
      <c r="AK55" s="1515"/>
      <c r="AL55" s="1515"/>
      <c r="AM55" s="1515"/>
      <c r="AN55" s="1515"/>
      <c r="AO55" s="1515"/>
      <c r="AP55" s="1515"/>
      <c r="AQ55" s="1515"/>
    </row>
    <row r="56" spans="1:43" ht="15" outlineLevel="1" thickBot="1">
      <c r="A56" s="99"/>
      <c r="B56" s="99"/>
      <c r="C56" s="63" t="s">
        <v>239</v>
      </c>
      <c r="D56" s="129"/>
      <c r="E56" s="129"/>
      <c r="F56" s="129"/>
      <c r="G56" s="129"/>
      <c r="H56" s="129">
        <f>SUM(H54:H55)</f>
        <v>15400.896789999984</v>
      </c>
      <c r="I56" s="129">
        <f t="shared" ref="I56:K56" si="37">SUM(I54:I55)</f>
        <v>14721.206709999999</v>
      </c>
      <c r="J56" s="129">
        <f t="shared" si="37"/>
        <v>12347.220012000005</v>
      </c>
      <c r="K56" s="129">
        <f t="shared" si="37"/>
        <v>15637</v>
      </c>
      <c r="L56" s="129">
        <f t="shared" ref="L56:M56" si="38">SUM(L54:L55)</f>
        <v>19002.82383523765</v>
      </c>
      <c r="M56" s="129">
        <f t="shared" si="38"/>
        <v>11160.085253550031</v>
      </c>
      <c r="N56" s="129">
        <f t="shared" ref="N56:S56" si="39">N54*N57</f>
        <v>21163.02041435687</v>
      </c>
      <c r="O56" s="129">
        <f t="shared" si="39"/>
        <v>22538.616741290065</v>
      </c>
      <c r="P56" s="129">
        <f t="shared" si="39"/>
        <v>24003.626829473917</v>
      </c>
      <c r="Q56" s="129">
        <f t="shared" si="39"/>
        <v>25563.862573389717</v>
      </c>
      <c r="R56" s="129">
        <f t="shared" si="39"/>
        <v>27225.51364066005</v>
      </c>
      <c r="S56" s="129">
        <f t="shared" si="39"/>
        <v>28995.172027302957</v>
      </c>
    </row>
    <row r="57" spans="1:43" s="99" customFormat="1" outlineLevel="1">
      <c r="C57" s="1" t="s">
        <v>20</v>
      </c>
      <c r="D57" s="18"/>
      <c r="E57" s="18"/>
      <c r="H57" s="127">
        <f>H56/H54</f>
        <v>0.1872383513655457</v>
      </c>
      <c r="I57" s="127">
        <f t="shared" ref="I57:K57" si="40">I56/I54</f>
        <v>0.17272287934358335</v>
      </c>
      <c r="J57" s="127">
        <f t="shared" si="40"/>
        <v>0.12860452371612591</v>
      </c>
      <c r="K57" s="127">
        <f t="shared" si="40"/>
        <v>0.17650577930287159</v>
      </c>
      <c r="L57" s="127">
        <f t="shared" ref="L57:M57" si="41">L56/L54</f>
        <v>0.17698235882345092</v>
      </c>
      <c r="M57" s="127">
        <f t="shared" si="41"/>
        <v>0.18507164275595311</v>
      </c>
      <c r="N57" s="79">
        <f t="shared" ref="N57:S57" si="42">CHOOSE(case,U57,AC57,AK57)</f>
        <v>0.18507164275595311</v>
      </c>
      <c r="O57" s="79">
        <f t="shared" si="42"/>
        <v>0.18507164275595311</v>
      </c>
      <c r="P57" s="79">
        <f t="shared" si="42"/>
        <v>0.18507164275595311</v>
      </c>
      <c r="Q57" s="79">
        <f t="shared" si="42"/>
        <v>0.18507164275595311</v>
      </c>
      <c r="R57" s="79">
        <f t="shared" si="42"/>
        <v>0.18507164275595311</v>
      </c>
      <c r="S57" s="79">
        <f t="shared" si="42"/>
        <v>0.18507164275595311</v>
      </c>
      <c r="T57" s="1"/>
      <c r="U57" s="1526">
        <f>AC57+1%</f>
        <v>0.19507164275595312</v>
      </c>
      <c r="V57" s="1526">
        <f t="shared" ref="V57:Z57" si="43">AD57+1%</f>
        <v>0.19507164275595312</v>
      </c>
      <c r="W57" s="1526">
        <f t="shared" si="43"/>
        <v>0.19507164275595312</v>
      </c>
      <c r="X57" s="1526">
        <f t="shared" si="43"/>
        <v>0.19507164275595312</v>
      </c>
      <c r="Y57" s="1526">
        <f t="shared" si="43"/>
        <v>0.19507164275595312</v>
      </c>
      <c r="Z57" s="1526">
        <f t="shared" si="43"/>
        <v>0.19507164275595312</v>
      </c>
      <c r="AA57" s="1515"/>
      <c r="AB57" s="1"/>
      <c r="AC57" s="79">
        <f>M57</f>
        <v>0.18507164275595311</v>
      </c>
      <c r="AD57" s="79">
        <f>AC57</f>
        <v>0.18507164275595311</v>
      </c>
      <c r="AE57" s="79">
        <f t="shared" ref="AE57:AH57" si="44">AD57</f>
        <v>0.18507164275595311</v>
      </c>
      <c r="AF57" s="79">
        <f t="shared" si="44"/>
        <v>0.18507164275595311</v>
      </c>
      <c r="AG57" s="79">
        <f t="shared" si="44"/>
        <v>0.18507164275595311</v>
      </c>
      <c r="AH57" s="79">
        <f t="shared" si="44"/>
        <v>0.18507164275595311</v>
      </c>
      <c r="AI57" s="415"/>
      <c r="AJ57" s="1"/>
      <c r="AK57" s="1526">
        <f>AC57-0.5%</f>
        <v>0.18007164275595311</v>
      </c>
      <c r="AL57" s="1526">
        <f t="shared" ref="AL57:AP57" si="45">AD57-0.5%</f>
        <v>0.18007164275595311</v>
      </c>
      <c r="AM57" s="1526">
        <f t="shared" si="45"/>
        <v>0.18007164275595311</v>
      </c>
      <c r="AN57" s="1526">
        <f t="shared" si="45"/>
        <v>0.18007164275595311</v>
      </c>
      <c r="AO57" s="1526">
        <f t="shared" si="45"/>
        <v>0.18007164275595311</v>
      </c>
      <c r="AP57" s="1526">
        <f t="shared" si="45"/>
        <v>0.18007164275595311</v>
      </c>
      <c r="AQ57" s="1511"/>
    </row>
    <row r="58" spans="1:43" s="101" customFormat="1" outlineLevel="1">
      <c r="C58" s="1"/>
      <c r="D58" s="1"/>
      <c r="E58" s="1"/>
      <c r="F58" s="1"/>
      <c r="G58" s="1"/>
      <c r="H58" s="20"/>
      <c r="I58" s="20"/>
      <c r="J58" s="20"/>
      <c r="K58" s="20"/>
      <c r="L58" s="20"/>
      <c r="M58" s="20"/>
      <c r="U58" s="1512"/>
      <c r="V58" s="1512"/>
      <c r="W58" s="1512"/>
      <c r="X58" s="1512"/>
      <c r="Y58" s="1512"/>
      <c r="Z58" s="1512"/>
      <c r="AA58" s="1512"/>
      <c r="AI58" s="473"/>
      <c r="AK58" s="1512"/>
      <c r="AL58" s="1512"/>
      <c r="AM58" s="1512"/>
      <c r="AN58" s="1512"/>
      <c r="AO58" s="1512"/>
      <c r="AP58" s="1512"/>
      <c r="AQ58" s="1512"/>
    </row>
    <row r="59" spans="1:43" s="62" customFormat="1" outlineLevel="1">
      <c r="A59" s="10" t="s">
        <v>8</v>
      </c>
      <c r="B59" s="10" t="s">
        <v>240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U59" s="1515"/>
      <c r="V59" s="1515"/>
      <c r="W59" s="1515"/>
      <c r="X59" s="1515"/>
      <c r="Y59" s="1515"/>
      <c r="Z59" s="1515"/>
      <c r="AA59" s="1515"/>
      <c r="AI59" s="475"/>
      <c r="AK59" s="1515"/>
      <c r="AL59" s="1515"/>
      <c r="AM59" s="1515"/>
      <c r="AN59" s="1515"/>
      <c r="AO59" s="1515"/>
      <c r="AP59" s="1515"/>
      <c r="AQ59" s="1515"/>
    </row>
    <row r="60" spans="1:43" ht="15" outlineLevel="1" thickBot="1">
      <c r="C60" s="109"/>
      <c r="D60" s="109"/>
      <c r="E60" s="109"/>
      <c r="F60" s="109"/>
      <c r="G60" s="109"/>
      <c r="H60" s="135"/>
      <c r="I60" s="135"/>
      <c r="J60" s="135"/>
      <c r="K60" s="135"/>
      <c r="L60" s="482"/>
      <c r="M60" s="482"/>
      <c r="N60" s="135"/>
      <c r="O60" s="135"/>
      <c r="P60" s="135"/>
      <c r="Q60" s="135"/>
      <c r="R60" s="135"/>
      <c r="S60" s="135"/>
    </row>
    <row r="61" spans="1:43" s="101" customFormat="1" ht="15" outlineLevel="1" thickBot="1">
      <c r="C61" s="63" t="s">
        <v>33</v>
      </c>
      <c r="D61" s="109"/>
      <c r="E61" s="109"/>
      <c r="F61" s="109"/>
      <c r="G61" s="109"/>
      <c r="H61" s="421">
        <v>12041</v>
      </c>
      <c r="I61" s="421">
        <v>10931</v>
      </c>
      <c r="J61" s="421">
        <v>10580</v>
      </c>
      <c r="K61" s="421">
        <v>10239</v>
      </c>
      <c r="L61" s="421">
        <v>12352.88328999998</v>
      </c>
      <c r="M61" s="421">
        <v>7051.9315999999935</v>
      </c>
      <c r="N61" s="23">
        <f t="shared" ref="N61:S61" si="46">CHOOSE(case,U61,AC61,AK61)</f>
        <v>13341.11395319998</v>
      </c>
      <c r="O61" s="23">
        <f t="shared" si="46"/>
        <v>14408.403069455979</v>
      </c>
      <c r="P61" s="23">
        <f t="shared" si="46"/>
        <v>15561.075315012458</v>
      </c>
      <c r="Q61" s="23">
        <f t="shared" si="46"/>
        <v>16805.961340213456</v>
      </c>
      <c r="R61" s="23">
        <f t="shared" si="46"/>
        <v>18150.438247430535</v>
      </c>
      <c r="S61" s="23">
        <f t="shared" si="46"/>
        <v>19602.47330722498</v>
      </c>
      <c r="T61" s="18"/>
      <c r="U61" s="1519">
        <f>$L61*(1+$AA61)</f>
        <v>13588.171618999979</v>
      </c>
      <c r="V61" s="1519">
        <f>U61*(1+$AA61)</f>
        <v>14946.988780899977</v>
      </c>
      <c r="W61" s="1519">
        <f t="shared" ref="W61:Z61" si="47">V61*(1+$AA61)</f>
        <v>16441.687658989977</v>
      </c>
      <c r="X61" s="1519">
        <f t="shared" si="47"/>
        <v>18085.856424888974</v>
      </c>
      <c r="Y61" s="1519">
        <f t="shared" si="47"/>
        <v>19894.442067377873</v>
      </c>
      <c r="Z61" s="1519">
        <f t="shared" si="47"/>
        <v>21883.886274115663</v>
      </c>
      <c r="AA61" s="1520">
        <v>0.1</v>
      </c>
      <c r="AB61" s="1"/>
      <c r="AC61" s="20">
        <f>$L61*(1+$AI61)</f>
        <v>13341.11395319998</v>
      </c>
      <c r="AD61" s="20">
        <f>AC61*(1+$AI61)</f>
        <v>14408.403069455979</v>
      </c>
      <c r="AE61" s="20">
        <f t="shared" ref="AE61" si="48">AD61*(1+$AI61)</f>
        <v>15561.075315012458</v>
      </c>
      <c r="AF61" s="20">
        <f>AE61*(1+$AI61)</f>
        <v>16805.961340213456</v>
      </c>
      <c r="AG61" s="20">
        <f t="shared" ref="AG61" si="49">AF61*(1+$AI61)</f>
        <v>18150.438247430535</v>
      </c>
      <c r="AH61" s="20">
        <f>AG61*(1+$AI61)</f>
        <v>19602.47330722498</v>
      </c>
      <c r="AI61" s="472">
        <v>0.08</v>
      </c>
      <c r="AJ61" s="1"/>
      <c r="AK61" s="1519">
        <f>$L61*(1+$AQ61)</f>
        <v>12846.99862159998</v>
      </c>
      <c r="AL61" s="1519">
        <f>AK61*(1+$AQ61)</f>
        <v>13360.87856646398</v>
      </c>
      <c r="AM61" s="1519">
        <f t="shared" ref="AM61:AN61" si="50">AL61*(1+$AQ61)</f>
        <v>13895.31370912254</v>
      </c>
      <c r="AN61" s="1519">
        <f t="shared" si="50"/>
        <v>14451.126257487442</v>
      </c>
      <c r="AO61" s="1519">
        <f>AN61*(1+$AQ61)</f>
        <v>15029.171307786941</v>
      </c>
      <c r="AP61" s="1519">
        <f t="shared" ref="AP61" si="51">AO61*(1+$AQ61)</f>
        <v>15630.338160098419</v>
      </c>
      <c r="AQ61" s="1520">
        <v>0.04</v>
      </c>
    </row>
    <row r="62" spans="1:43" s="101" customFormat="1" ht="15" outlineLevel="1" thickBot="1">
      <c r="C62" s="170"/>
      <c r="D62" s="135" t="s">
        <v>151</v>
      </c>
      <c r="E62" s="135"/>
      <c r="F62" s="135"/>
      <c r="G62" s="135"/>
      <c r="H62" s="171"/>
      <c r="I62" s="172">
        <f>I61/H61-1</f>
        <v>-9.218503446557591E-2</v>
      </c>
      <c r="J62" s="172">
        <f t="shared" ref="J62" si="52">J61/I61-1</f>
        <v>-3.211051138962584E-2</v>
      </c>
      <c r="K62" s="172"/>
      <c r="L62" s="177">
        <f>L61/J61-1</f>
        <v>0.16756930907372203</v>
      </c>
      <c r="M62" s="177"/>
      <c r="N62" s="177">
        <f>N61/L61-1</f>
        <v>8.0000000000000071E-2</v>
      </c>
      <c r="O62" s="177">
        <f t="shared" ref="O62:S62" si="53">O61/N61-1</f>
        <v>8.0000000000000071E-2</v>
      </c>
      <c r="P62" s="177">
        <f t="shared" si="53"/>
        <v>8.0000000000000071E-2</v>
      </c>
      <c r="Q62" s="177">
        <f t="shared" si="53"/>
        <v>8.0000000000000071E-2</v>
      </c>
      <c r="R62" s="177">
        <f t="shared" si="53"/>
        <v>8.0000000000000071E-2</v>
      </c>
      <c r="S62" s="177">
        <f t="shared" si="53"/>
        <v>8.0000000000000071E-2</v>
      </c>
      <c r="U62" s="1512"/>
      <c r="V62" s="1512"/>
      <c r="W62" s="1512"/>
      <c r="X62" s="1512"/>
      <c r="Y62" s="1512"/>
      <c r="Z62" s="1512"/>
      <c r="AA62" s="1512"/>
      <c r="AI62" s="473"/>
      <c r="AK62" s="1512"/>
      <c r="AL62" s="1512"/>
      <c r="AM62" s="1512"/>
      <c r="AN62" s="1512"/>
      <c r="AO62" s="1512"/>
      <c r="AP62" s="1512"/>
      <c r="AQ62" s="1512"/>
    </row>
    <row r="63" spans="1:43" ht="15" outlineLevel="1" thickBot="1">
      <c r="C63" s="60" t="s">
        <v>35</v>
      </c>
      <c r="D63" s="60"/>
      <c r="E63" s="60"/>
      <c r="F63" s="60"/>
      <c r="G63" s="60"/>
      <c r="H63" s="422">
        <v>-5354</v>
      </c>
      <c r="I63" s="422">
        <v>-5090</v>
      </c>
      <c r="J63" s="422">
        <v>-4835</v>
      </c>
      <c r="K63" s="422">
        <v>-4671</v>
      </c>
      <c r="L63" s="422">
        <v>-5649.5641899999946</v>
      </c>
      <c r="M63" s="422">
        <v>-3110.2662300000029</v>
      </c>
      <c r="N63" s="132">
        <f t="shared" ref="N63" si="54">N64-N61</f>
        <v>-5884.1206286260312</v>
      </c>
      <c r="O63" s="132">
        <f t="shared" ref="O63" si="55">O64-O61</f>
        <v>-6354.8502789161139</v>
      </c>
      <c r="P63" s="132">
        <f t="shared" ref="P63" si="56">P64-P61</f>
        <v>-6863.2383012294049</v>
      </c>
      <c r="Q63" s="132">
        <f t="shared" ref="Q63" si="57">Q64-Q61</f>
        <v>-7412.2973653277568</v>
      </c>
      <c r="R63" s="132">
        <f t="shared" ref="R63" si="58">R64-R61</f>
        <v>-8005.2811545539789</v>
      </c>
      <c r="S63" s="132">
        <f t="shared" ref="S63" si="59">S64-S61</f>
        <v>-8645.7036469182985</v>
      </c>
    </row>
    <row r="64" spans="1:43" ht="15" outlineLevel="1" thickBot="1">
      <c r="C64" s="63" t="s">
        <v>239</v>
      </c>
      <c r="D64" s="129"/>
      <c r="E64" s="129"/>
      <c r="F64" s="129"/>
      <c r="G64" s="129"/>
      <c r="H64" s="129">
        <f>SUM(H61:H63)</f>
        <v>6687</v>
      </c>
      <c r="I64" s="129">
        <f t="shared" ref="I64:K64" si="60">SUM(I61:I63)</f>
        <v>5840.9078149655343</v>
      </c>
      <c r="J64" s="129">
        <f t="shared" si="60"/>
        <v>5744.967889488611</v>
      </c>
      <c r="K64" s="129">
        <f t="shared" si="60"/>
        <v>5568</v>
      </c>
      <c r="L64" s="129">
        <f t="shared" ref="L64:M64" si="61">SUM(L61:L63)</f>
        <v>6703.486669309058</v>
      </c>
      <c r="M64" s="129">
        <f t="shared" si="61"/>
        <v>3941.6653699999906</v>
      </c>
      <c r="N64" s="129">
        <f t="shared" ref="N64" si="62">N61*N65</f>
        <v>7456.9933245739485</v>
      </c>
      <c r="O64" s="129">
        <f t="shared" ref="O64" si="63">O61*O65</f>
        <v>8053.5527905398649</v>
      </c>
      <c r="P64" s="129">
        <f t="shared" ref="P64" si="64">P61*P65</f>
        <v>8697.8370137830534</v>
      </c>
      <c r="Q64" s="129">
        <f t="shared" ref="Q64" si="65">Q61*Q65</f>
        <v>9393.6639748856996</v>
      </c>
      <c r="R64" s="129">
        <f t="shared" ref="R64" si="66">R61*R65</f>
        <v>10145.157092876556</v>
      </c>
      <c r="S64" s="129">
        <f t="shared" ref="S64" si="67">S61*S65</f>
        <v>10956.769660306682</v>
      </c>
    </row>
    <row r="65" spans="1:43" outlineLevel="1">
      <c r="C65" s="1" t="s">
        <v>20</v>
      </c>
      <c r="D65" s="18"/>
      <c r="E65" s="18"/>
      <c r="F65" s="99"/>
      <c r="G65" s="99"/>
      <c r="H65" s="94">
        <f>H64/H61</f>
        <v>0.55535254546964541</v>
      </c>
      <c r="I65" s="94">
        <f t="shared" ref="I65:K65" si="68">I64/I61</f>
        <v>0.53434341002337704</v>
      </c>
      <c r="J65" s="94">
        <f t="shared" si="68"/>
        <v>0.54300263605752463</v>
      </c>
      <c r="K65" s="94">
        <f t="shared" si="68"/>
        <v>0.54380310577204805</v>
      </c>
      <c r="L65" s="94">
        <f t="shared" ref="L65:M65" si="69">L64/L61</f>
        <v>0.5426657495206586</v>
      </c>
      <c r="M65" s="94">
        <f t="shared" si="69"/>
        <v>0.55894832700872965</v>
      </c>
      <c r="N65" s="65">
        <f t="shared" ref="N65:S65" si="70">CHOOSE(case,U65,AC65,AK65)</f>
        <v>0.55894832700872965</v>
      </c>
      <c r="O65" s="65">
        <f t="shared" si="70"/>
        <v>0.55894832700872965</v>
      </c>
      <c r="P65" s="65">
        <f t="shared" si="70"/>
        <v>0.55894832700872965</v>
      </c>
      <c r="Q65" s="65">
        <f t="shared" si="70"/>
        <v>0.55894832700872965</v>
      </c>
      <c r="R65" s="65">
        <f t="shared" si="70"/>
        <v>0.55894832700872965</v>
      </c>
      <c r="S65" s="65">
        <f t="shared" si="70"/>
        <v>0.55894832700872965</v>
      </c>
      <c r="T65" s="1"/>
      <c r="U65" s="1526">
        <f>AC65+1%</f>
        <v>0.56894832700872966</v>
      </c>
      <c r="V65" s="1526">
        <f t="shared" ref="V65:Z65" si="71">AD65+1%</f>
        <v>0.56894832700872966</v>
      </c>
      <c r="W65" s="1526">
        <f t="shared" si="71"/>
        <v>0.56894832700872966</v>
      </c>
      <c r="X65" s="1526">
        <f t="shared" si="71"/>
        <v>0.56894832700872966</v>
      </c>
      <c r="Y65" s="1526">
        <f t="shared" si="71"/>
        <v>0.56894832700872966</v>
      </c>
      <c r="Z65" s="1526">
        <f t="shared" si="71"/>
        <v>0.56894832700872966</v>
      </c>
      <c r="AA65" s="1515"/>
      <c r="AB65" s="1"/>
      <c r="AC65" s="79">
        <f>M65</f>
        <v>0.55894832700872965</v>
      </c>
      <c r="AD65" s="79">
        <f>AC65</f>
        <v>0.55894832700872965</v>
      </c>
      <c r="AE65" s="79">
        <f t="shared" ref="AE65:AH65" si="72">AD65</f>
        <v>0.55894832700872965</v>
      </c>
      <c r="AF65" s="79">
        <f t="shared" si="72"/>
        <v>0.55894832700872965</v>
      </c>
      <c r="AG65" s="79">
        <f t="shared" si="72"/>
        <v>0.55894832700872965</v>
      </c>
      <c r="AH65" s="79">
        <f t="shared" si="72"/>
        <v>0.55894832700872965</v>
      </c>
      <c r="AI65" s="415"/>
      <c r="AJ65" s="1"/>
      <c r="AK65" s="1526">
        <f>AC65-1%</f>
        <v>0.54894832700872964</v>
      </c>
      <c r="AL65" s="1526">
        <f t="shared" ref="AL65:AP65" si="73">AD65-1%</f>
        <v>0.54894832700872964</v>
      </c>
      <c r="AM65" s="1526">
        <f t="shared" si="73"/>
        <v>0.54894832700872964</v>
      </c>
      <c r="AN65" s="1526">
        <f t="shared" si="73"/>
        <v>0.54894832700872964</v>
      </c>
      <c r="AO65" s="1526">
        <f t="shared" si="73"/>
        <v>0.54894832700872964</v>
      </c>
      <c r="AP65" s="1526">
        <f t="shared" si="73"/>
        <v>0.54894832700872964</v>
      </c>
    </row>
    <row r="66" spans="1:43" outlineLevel="1">
      <c r="C66" s="18"/>
      <c r="D66" s="1"/>
      <c r="E66" s="1"/>
      <c r="H66" s="99"/>
      <c r="I66" s="100"/>
      <c r="J66" s="99"/>
      <c r="K66" s="99"/>
    </row>
    <row r="67" spans="1:43" s="62" customFormat="1" outlineLevel="1">
      <c r="A67" s="10" t="s">
        <v>8</v>
      </c>
      <c r="B67" s="10" t="s">
        <v>1124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U67" s="1515"/>
      <c r="V67" s="1515"/>
      <c r="W67" s="1515"/>
      <c r="X67" s="1515"/>
      <c r="Y67" s="1515"/>
      <c r="Z67" s="1515"/>
      <c r="AA67" s="1515"/>
      <c r="AI67" s="475"/>
      <c r="AK67" s="1515"/>
      <c r="AL67" s="1515"/>
      <c r="AM67" s="1515"/>
      <c r="AN67" s="1515"/>
      <c r="AO67" s="1515"/>
      <c r="AP67" s="1515"/>
      <c r="AQ67" s="1515"/>
    </row>
    <row r="68" spans="1:43" ht="15" outlineLevel="1" thickBot="1">
      <c r="C68" s="109"/>
      <c r="D68" s="109"/>
      <c r="E68" s="109"/>
      <c r="F68" s="109"/>
      <c r="G68" s="109"/>
      <c r="H68" s="135"/>
      <c r="I68" s="135"/>
      <c r="J68" s="135"/>
      <c r="K68" s="135"/>
      <c r="L68" s="482"/>
      <c r="M68" s="482"/>
      <c r="N68" s="135"/>
      <c r="O68" s="135"/>
      <c r="P68" s="135"/>
      <c r="Q68" s="135"/>
      <c r="R68" s="135"/>
      <c r="S68" s="135"/>
    </row>
    <row r="69" spans="1:43" s="101" customFormat="1" ht="15" outlineLevel="1" thickBot="1">
      <c r="C69" s="63" t="s">
        <v>33</v>
      </c>
      <c r="D69" s="109"/>
      <c r="E69" s="109"/>
      <c r="F69" s="109"/>
      <c r="G69" s="109"/>
      <c r="H69" s="421"/>
      <c r="I69" s="421"/>
      <c r="J69" s="421"/>
      <c r="K69" s="421"/>
      <c r="L69" s="421"/>
      <c r="M69" s="421"/>
      <c r="N69" s="23">
        <f t="shared" ref="N69" si="74">CHOOSE(case,U69,AC69,AK69)</f>
        <v>0</v>
      </c>
      <c r="O69" s="23">
        <f t="shared" ref="O69" si="75">CHOOSE(case,V69,AD69,AL69)</f>
        <v>1000</v>
      </c>
      <c r="P69" s="23">
        <f t="shared" ref="P69" si="76">CHOOSE(case,W69,AE69,AM69)</f>
        <v>2000</v>
      </c>
      <c r="Q69" s="23">
        <f t="shared" ref="Q69" si="77">CHOOSE(case,X69,AF69,AN69)</f>
        <v>4000</v>
      </c>
      <c r="R69" s="23">
        <f t="shared" ref="R69" si="78">CHOOSE(case,Y69,AG69,AO69)</f>
        <v>8000</v>
      </c>
      <c r="S69" s="23">
        <f t="shared" ref="S69" si="79">CHOOSE(case,Z69,AH69,AP69)</f>
        <v>16000</v>
      </c>
      <c r="T69" s="18"/>
      <c r="U69" s="1519">
        <f>$L69*(1+$AA69)</f>
        <v>0</v>
      </c>
      <c r="V69" s="1519">
        <f>U69*(1+$AA69)</f>
        <v>0</v>
      </c>
      <c r="W69" s="1519">
        <f t="shared" ref="W69" si="80">V69*(1+$AA69)</f>
        <v>0</v>
      </c>
      <c r="X69" s="1519">
        <f t="shared" ref="X69" si="81">W69*(1+$AA69)</f>
        <v>0</v>
      </c>
      <c r="Y69" s="1519">
        <f t="shared" ref="Y69" si="82">X69*(1+$AA69)</f>
        <v>0</v>
      </c>
      <c r="Z69" s="1519">
        <f t="shared" ref="Z69" si="83">Y69*(1+$AA69)</f>
        <v>0</v>
      </c>
      <c r="AA69" s="1520">
        <v>0.1</v>
      </c>
      <c r="AB69" s="1"/>
      <c r="AC69" s="80"/>
      <c r="AD69" s="80">
        <v>1000</v>
      </c>
      <c r="AE69" s="80">
        <f>AD69*2</f>
        <v>2000</v>
      </c>
      <c r="AF69" s="80">
        <f>AE69*2</f>
        <v>4000</v>
      </c>
      <c r="AG69" s="80">
        <f>AF69*2</f>
        <v>8000</v>
      </c>
      <c r="AH69" s="80">
        <f>AG69*2</f>
        <v>16000</v>
      </c>
      <c r="AI69" s="1249"/>
      <c r="AJ69" s="1"/>
      <c r="AK69" s="1519">
        <f>$L69*(1+$AQ69)</f>
        <v>0</v>
      </c>
      <c r="AL69" s="1519">
        <f>AK69*(1+$AQ69)</f>
        <v>0</v>
      </c>
      <c r="AM69" s="1519">
        <f t="shared" ref="AM69" si="84">AL69*(1+$AQ69)</f>
        <v>0</v>
      </c>
      <c r="AN69" s="1519">
        <f t="shared" ref="AN69" si="85">AM69*(1+$AQ69)</f>
        <v>0</v>
      </c>
      <c r="AO69" s="1519">
        <f>AN69*(1+$AQ69)</f>
        <v>0</v>
      </c>
      <c r="AP69" s="1519">
        <f t="shared" ref="AP69" si="86">AO69*(1+$AQ69)</f>
        <v>0</v>
      </c>
      <c r="AQ69" s="1520">
        <v>0.04</v>
      </c>
    </row>
    <row r="70" spans="1:43" s="101" customFormat="1" ht="15" outlineLevel="1" thickBot="1">
      <c r="C70" s="170"/>
      <c r="D70" s="135" t="s">
        <v>151</v>
      </c>
      <c r="E70" s="135"/>
      <c r="F70" s="135"/>
      <c r="G70" s="135"/>
      <c r="H70" s="171"/>
      <c r="I70" s="172"/>
      <c r="J70" s="172"/>
      <c r="K70" s="172"/>
      <c r="L70" s="177"/>
      <c r="M70" s="177"/>
      <c r="N70" s="177"/>
      <c r="O70" s="177"/>
      <c r="P70" s="177">
        <f t="shared" ref="P70" si="87">P69/O69-1</f>
        <v>1</v>
      </c>
      <c r="Q70" s="177">
        <f t="shared" ref="Q70" si="88">Q69/P69-1</f>
        <v>1</v>
      </c>
      <c r="R70" s="177">
        <f t="shared" ref="R70" si="89">R69/Q69-1</f>
        <v>1</v>
      </c>
      <c r="S70" s="177">
        <f t="shared" ref="S70" si="90">S69/R69-1</f>
        <v>1</v>
      </c>
      <c r="U70" s="1512"/>
      <c r="V70" s="1512"/>
      <c r="W70" s="1512"/>
      <c r="X70" s="1512"/>
      <c r="Y70" s="1512"/>
      <c r="Z70" s="1512"/>
      <c r="AA70" s="1512"/>
      <c r="AI70" s="473"/>
      <c r="AK70" s="1512"/>
      <c r="AL70" s="1512"/>
      <c r="AM70" s="1512"/>
      <c r="AN70" s="1512"/>
      <c r="AO70" s="1512"/>
      <c r="AP70" s="1512"/>
      <c r="AQ70" s="1512"/>
    </row>
    <row r="71" spans="1:43" ht="15" outlineLevel="1" thickBot="1">
      <c r="C71" s="60" t="s">
        <v>35</v>
      </c>
      <c r="D71" s="60"/>
      <c r="E71" s="60"/>
      <c r="F71" s="60"/>
      <c r="G71" s="60"/>
      <c r="H71" s="422"/>
      <c r="I71" s="422"/>
      <c r="J71" s="422"/>
      <c r="K71" s="422"/>
      <c r="L71" s="422"/>
      <c r="M71" s="422"/>
      <c r="N71" s="132">
        <f t="shared" ref="N71:S71" si="91">N72-N69</f>
        <v>0</v>
      </c>
      <c r="O71" s="132">
        <f t="shared" si="91"/>
        <v>-825</v>
      </c>
      <c r="P71" s="132">
        <f t="shared" si="91"/>
        <v>-1650</v>
      </c>
      <c r="Q71" s="132">
        <f t="shared" si="91"/>
        <v>-3280</v>
      </c>
      <c r="R71" s="132">
        <f t="shared" si="91"/>
        <v>-6520</v>
      </c>
      <c r="S71" s="132">
        <f t="shared" si="91"/>
        <v>-13040</v>
      </c>
    </row>
    <row r="72" spans="1:43" ht="15" outlineLevel="1" thickBot="1">
      <c r="C72" s="63" t="s">
        <v>239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>
        <f t="shared" ref="N72:S72" si="92">N69*N73</f>
        <v>0</v>
      </c>
      <c r="O72" s="129">
        <f t="shared" si="92"/>
        <v>175</v>
      </c>
      <c r="P72" s="129">
        <f t="shared" si="92"/>
        <v>350</v>
      </c>
      <c r="Q72" s="129">
        <f t="shared" si="92"/>
        <v>720</v>
      </c>
      <c r="R72" s="129">
        <f t="shared" si="92"/>
        <v>1480</v>
      </c>
      <c r="S72" s="129">
        <f t="shared" si="92"/>
        <v>2960</v>
      </c>
    </row>
    <row r="73" spans="1:43" outlineLevel="1">
      <c r="C73" s="1" t="s">
        <v>20</v>
      </c>
      <c r="D73" s="18"/>
      <c r="E73" s="18"/>
      <c r="F73" s="99"/>
      <c r="G73" s="99"/>
      <c r="H73" s="94"/>
      <c r="I73" s="94"/>
      <c r="J73" s="94"/>
      <c r="K73" s="94"/>
      <c r="L73" s="94"/>
      <c r="M73" s="94"/>
      <c r="N73" s="65">
        <f t="shared" ref="N73" si="93">CHOOSE(case,U73,AC73,AK73)</f>
        <v>0.17499999999999999</v>
      </c>
      <c r="O73" s="65">
        <f t="shared" ref="O73" si="94">CHOOSE(case,V73,AD73,AL73)</f>
        <v>0.17499999999999999</v>
      </c>
      <c r="P73" s="65">
        <f t="shared" ref="P73" si="95">CHOOSE(case,W73,AE73,AM73)</f>
        <v>0.17499999999999999</v>
      </c>
      <c r="Q73" s="65">
        <f t="shared" ref="Q73" si="96">CHOOSE(case,X73,AF73,AN73)</f>
        <v>0.18</v>
      </c>
      <c r="R73" s="65">
        <f t="shared" ref="R73" si="97">CHOOSE(case,Y73,AG73,AO73)</f>
        <v>0.185</v>
      </c>
      <c r="S73" s="65">
        <f t="shared" ref="S73" si="98">CHOOSE(case,Z73,AH73,AP73)</f>
        <v>0.185</v>
      </c>
      <c r="T73" s="1"/>
      <c r="U73" s="1526">
        <f>AC73+1%</f>
        <v>0.185</v>
      </c>
      <c r="V73" s="1526">
        <f t="shared" ref="V73" si="99">AD73+1%</f>
        <v>0.185</v>
      </c>
      <c r="W73" s="1526">
        <f t="shared" ref="W73" si="100">AE73+1%</f>
        <v>0.185</v>
      </c>
      <c r="X73" s="1526">
        <f t="shared" ref="X73" si="101">AF73+1%</f>
        <v>0.19</v>
      </c>
      <c r="Y73" s="1526">
        <f t="shared" ref="Y73" si="102">AG73+1%</f>
        <v>0.19500000000000001</v>
      </c>
      <c r="Z73" s="1526">
        <f t="shared" ref="Z73" si="103">AH73+1%</f>
        <v>0.19500000000000001</v>
      </c>
      <c r="AA73" s="1515"/>
      <c r="AB73" s="1"/>
      <c r="AC73" s="79">
        <v>0.17499999999999999</v>
      </c>
      <c r="AD73" s="79">
        <f>AC73</f>
        <v>0.17499999999999999</v>
      </c>
      <c r="AE73" s="79">
        <f t="shared" ref="AE73" si="104">AD73</f>
        <v>0.17499999999999999</v>
      </c>
      <c r="AF73" s="79">
        <f>AE73+0.5%</f>
        <v>0.18</v>
      </c>
      <c r="AG73" s="79">
        <f t="shared" ref="AG73" si="105">AF73+0.5%</f>
        <v>0.185</v>
      </c>
      <c r="AH73" s="79">
        <f>AG73</f>
        <v>0.185</v>
      </c>
      <c r="AI73" s="415"/>
      <c r="AJ73" s="1"/>
      <c r="AK73" s="1526">
        <f>AC73-1%</f>
        <v>0.16499999999999998</v>
      </c>
      <c r="AL73" s="1526">
        <f t="shared" ref="AL73" si="106">AD73-1%</f>
        <v>0.16499999999999998</v>
      </c>
      <c r="AM73" s="1526">
        <f t="shared" ref="AM73" si="107">AE73-1%</f>
        <v>0.16499999999999998</v>
      </c>
      <c r="AN73" s="1526">
        <f t="shared" ref="AN73" si="108">AF73-1%</f>
        <v>0.16999999999999998</v>
      </c>
      <c r="AO73" s="1526">
        <f t="shared" ref="AO73" si="109">AG73-1%</f>
        <v>0.17499999999999999</v>
      </c>
      <c r="AP73" s="1526">
        <f t="shared" ref="AP73" si="110">AH73-1%</f>
        <v>0.17499999999999999</v>
      </c>
    </row>
    <row r="74" spans="1:43" outlineLevel="1">
      <c r="C74" s="18"/>
      <c r="D74" s="1"/>
      <c r="E74" s="1"/>
      <c r="H74" s="99"/>
      <c r="I74" s="100"/>
      <c r="J74" s="99"/>
      <c r="K74" s="99"/>
    </row>
    <row r="75" spans="1:43" s="62" customFormat="1" outlineLevel="1">
      <c r="A75" s="10" t="s">
        <v>8</v>
      </c>
      <c r="B75" s="10" t="s">
        <v>1125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U75" s="1515"/>
      <c r="V75" s="1515"/>
      <c r="W75" s="1515"/>
      <c r="X75" s="1515"/>
      <c r="Y75" s="1515"/>
      <c r="Z75" s="1515"/>
      <c r="AA75" s="1515"/>
      <c r="AI75" s="475"/>
      <c r="AK75" s="1515"/>
      <c r="AL75" s="1515"/>
      <c r="AM75" s="1515"/>
      <c r="AN75" s="1515"/>
      <c r="AO75" s="1515"/>
      <c r="AP75" s="1515"/>
      <c r="AQ75" s="1515"/>
    </row>
    <row r="76" spans="1:43" ht="15" outlineLevel="1" thickBot="1">
      <c r="C76" s="109"/>
      <c r="D76" s="109"/>
      <c r="E76" s="109"/>
      <c r="F76" s="109"/>
      <c r="G76" s="109"/>
      <c r="H76" s="135"/>
      <c r="I76" s="135"/>
      <c r="J76" s="135"/>
      <c r="K76" s="421"/>
      <c r="L76" s="421"/>
      <c r="M76" s="421"/>
      <c r="N76" s="135"/>
      <c r="O76" s="135"/>
      <c r="P76" s="135"/>
      <c r="Q76" s="135"/>
      <c r="R76" s="135"/>
      <c r="S76" s="135"/>
    </row>
    <row r="77" spans="1:43" s="101" customFormat="1" ht="15" outlineLevel="1" thickBot="1">
      <c r="C77" s="63" t="s">
        <v>33</v>
      </c>
      <c r="D77" s="109"/>
      <c r="E77" s="109"/>
      <c r="F77" s="109"/>
      <c r="G77" s="109"/>
      <c r="H77" s="421">
        <v>10255</v>
      </c>
      <c r="I77" s="421">
        <v>7250</v>
      </c>
      <c r="J77" s="421">
        <v>8391</v>
      </c>
      <c r="K77" s="421">
        <v>7021</v>
      </c>
      <c r="L77" s="421">
        <v>8460.9902707545698</v>
      </c>
      <c r="M77" s="421">
        <v>4157.1178426815632</v>
      </c>
      <c r="N77" s="23">
        <f t="shared" ref="N77:S77" si="111">CHOOSE(case,U77,AC77,AK77)</f>
        <v>8968.6496869998446</v>
      </c>
      <c r="O77" s="23">
        <f t="shared" si="111"/>
        <v>9506.7686682198364</v>
      </c>
      <c r="P77" s="23">
        <f t="shared" si="111"/>
        <v>10077.174788313027</v>
      </c>
      <c r="Q77" s="23">
        <f t="shared" si="111"/>
        <v>10681.805275611809</v>
      </c>
      <c r="R77" s="23">
        <f t="shared" si="111"/>
        <v>11322.713592148517</v>
      </c>
      <c r="S77" s="23">
        <f t="shared" si="111"/>
        <v>12002.076407677429</v>
      </c>
      <c r="T77" s="18"/>
      <c r="U77" s="1519">
        <f>$L77*(1+$AA77)</f>
        <v>9307.0892978300271</v>
      </c>
      <c r="V77" s="1519">
        <f>U77*(1+$AA77)</f>
        <v>10237.798227613031</v>
      </c>
      <c r="W77" s="1519">
        <f t="shared" ref="W77:Z77" si="112">V77*(1+$AA77)</f>
        <v>11261.578050374335</v>
      </c>
      <c r="X77" s="1519">
        <f t="shared" si="112"/>
        <v>12387.735855411769</v>
      </c>
      <c r="Y77" s="1519">
        <f t="shared" si="112"/>
        <v>13626.509440952947</v>
      </c>
      <c r="Z77" s="1519">
        <f t="shared" si="112"/>
        <v>14989.160385048242</v>
      </c>
      <c r="AA77" s="1520">
        <v>0.1</v>
      </c>
      <c r="AB77" s="1"/>
      <c r="AC77" s="20">
        <f>$L77*(1+$AI77)</f>
        <v>8968.6496869998446</v>
      </c>
      <c r="AD77" s="20">
        <f>AC77*(1+$AI77)</f>
        <v>9506.7686682198364</v>
      </c>
      <c r="AE77" s="20">
        <f t="shared" ref="AE77" si="113">AD77*(1+$AI77)</f>
        <v>10077.174788313027</v>
      </c>
      <c r="AF77" s="20">
        <f>AE77*(1+$AI77)</f>
        <v>10681.805275611809</v>
      </c>
      <c r="AG77" s="20">
        <f t="shared" ref="AG77" si="114">AF77*(1+$AI77)</f>
        <v>11322.713592148517</v>
      </c>
      <c r="AH77" s="20">
        <f>AG77*(1+$AI77)</f>
        <v>12002.076407677429</v>
      </c>
      <c r="AI77" s="472">
        <v>0.06</v>
      </c>
      <c r="AJ77" s="1"/>
      <c r="AK77" s="1519">
        <f>$L77*(1+$AQ77)</f>
        <v>8968.6496869998446</v>
      </c>
      <c r="AL77" s="1519">
        <f>AK77*(1+$AQ77)</f>
        <v>9506.7686682198364</v>
      </c>
      <c r="AM77" s="1519">
        <f t="shared" ref="AM77:AN77" si="115">AL77*(1+$AQ77)</f>
        <v>10077.174788313027</v>
      </c>
      <c r="AN77" s="1519">
        <f t="shared" si="115"/>
        <v>10681.805275611809</v>
      </c>
      <c r="AO77" s="1519">
        <f>AN77*(1+$AQ77)</f>
        <v>11322.713592148517</v>
      </c>
      <c r="AP77" s="1519">
        <f t="shared" ref="AP77" si="116">AO77*(1+$AQ77)</f>
        <v>12002.076407677429</v>
      </c>
      <c r="AQ77" s="1520">
        <v>0.06</v>
      </c>
    </row>
    <row r="78" spans="1:43" s="101" customFormat="1" ht="15" outlineLevel="1" thickBot="1">
      <c r="C78" s="170"/>
      <c r="D78" s="135" t="s">
        <v>151</v>
      </c>
      <c r="E78" s="135"/>
      <c r="F78" s="135"/>
      <c r="G78" s="135"/>
      <c r="H78" s="171"/>
      <c r="I78" s="172">
        <f>I77/H77-1</f>
        <v>-0.29302779132130663</v>
      </c>
      <c r="J78" s="172">
        <f t="shared" ref="J78" si="117">J77/I77-1</f>
        <v>0.15737931034482755</v>
      </c>
      <c r="K78" s="172"/>
      <c r="L78" s="177">
        <f>L77/J77-1</f>
        <v>8.3411119955392188E-3</v>
      </c>
      <c r="M78" s="177"/>
      <c r="N78" s="177">
        <f>N77/L77-1</f>
        <v>6.0000000000000053E-2</v>
      </c>
      <c r="O78" s="177">
        <f t="shared" ref="O78" si="118">O77/N77-1</f>
        <v>6.0000000000000053E-2</v>
      </c>
      <c r="P78" s="177">
        <f t="shared" ref="P78" si="119">P77/O77-1</f>
        <v>6.0000000000000053E-2</v>
      </c>
      <c r="Q78" s="177">
        <f t="shared" ref="Q78" si="120">Q77/P77-1</f>
        <v>6.0000000000000053E-2</v>
      </c>
      <c r="R78" s="177">
        <f t="shared" ref="R78" si="121">R77/Q77-1</f>
        <v>6.0000000000000053E-2</v>
      </c>
      <c r="S78" s="177">
        <f t="shared" ref="S78" si="122">S77/R77-1</f>
        <v>6.0000000000000053E-2</v>
      </c>
      <c r="U78" s="1512"/>
      <c r="V78" s="1512"/>
      <c r="W78" s="1512"/>
      <c r="X78" s="1512"/>
      <c r="Y78" s="1512"/>
      <c r="Z78" s="1512"/>
      <c r="AA78" s="1512"/>
      <c r="AI78" s="473"/>
      <c r="AK78" s="1512"/>
      <c r="AL78" s="1512"/>
      <c r="AM78" s="1512"/>
      <c r="AN78" s="1512"/>
      <c r="AO78" s="1512"/>
      <c r="AP78" s="1512"/>
      <c r="AQ78" s="1512"/>
    </row>
    <row r="79" spans="1:43" ht="15" outlineLevel="1" thickBot="1">
      <c r="C79" s="60" t="s">
        <v>35</v>
      </c>
      <c r="D79" s="60"/>
      <c r="E79" s="60"/>
      <c r="F79" s="60"/>
      <c r="G79" s="60"/>
      <c r="H79" s="422">
        <v>-7286</v>
      </c>
      <c r="I79" s="422">
        <v>-4882</v>
      </c>
      <c r="J79" s="422">
        <v>-6138</v>
      </c>
      <c r="K79" s="422">
        <v>-4771</v>
      </c>
      <c r="L79" s="422">
        <v>-5933.4419720711358</v>
      </c>
      <c r="M79" s="422">
        <v>-2839.3985606258912</v>
      </c>
      <c r="N79" s="132">
        <f t="shared" ref="N79:S79" si="123">N80-N77</f>
        <v>-6125.7755915811504</v>
      </c>
      <c r="O79" s="132">
        <f t="shared" si="123"/>
        <v>-6493.3221270760205</v>
      </c>
      <c r="P79" s="132">
        <f t="shared" si="123"/>
        <v>-6882.9214547005813</v>
      </c>
      <c r="Q79" s="132">
        <f t="shared" si="123"/>
        <v>-7295.8967419826167</v>
      </c>
      <c r="R79" s="132">
        <f t="shared" si="123"/>
        <v>-7733.6505465015725</v>
      </c>
      <c r="S79" s="132">
        <f t="shared" si="123"/>
        <v>-8197.6695792916689</v>
      </c>
    </row>
    <row r="80" spans="1:43" ht="15" outlineLevel="1" thickBot="1">
      <c r="C80" s="63" t="s">
        <v>239</v>
      </c>
      <c r="D80" s="129"/>
      <c r="E80" s="129"/>
      <c r="F80" s="129"/>
      <c r="G80" s="129"/>
      <c r="H80" s="129">
        <f>SUM(H77:H79)</f>
        <v>2969</v>
      </c>
      <c r="I80" s="129">
        <f t="shared" ref="I80" si="124">SUM(I77:I79)</f>
        <v>2367.706972208679</v>
      </c>
      <c r="J80" s="129">
        <f t="shared" ref="J80" si="125">SUM(J77:J79)</f>
        <v>2253.1573793103453</v>
      </c>
      <c r="K80" s="129">
        <f t="shared" ref="K80:M80" si="126">SUM(K77:K79)</f>
        <v>2250</v>
      </c>
      <c r="L80" s="129">
        <f t="shared" si="126"/>
        <v>2527.5566397954299</v>
      </c>
      <c r="M80" s="129">
        <f t="shared" si="126"/>
        <v>1317.719282055672</v>
      </c>
      <c r="N80" s="129">
        <f t="shared" ref="N80:S80" si="127">N77*N81</f>
        <v>2842.8740954186947</v>
      </c>
      <c r="O80" s="129">
        <f t="shared" si="127"/>
        <v>3013.4465411438164</v>
      </c>
      <c r="P80" s="129">
        <f t="shared" si="127"/>
        <v>3194.2533336124457</v>
      </c>
      <c r="Q80" s="129">
        <f t="shared" si="127"/>
        <v>3385.9085336291923</v>
      </c>
      <c r="R80" s="129">
        <f t="shared" si="127"/>
        <v>3589.0630456469439</v>
      </c>
      <c r="S80" s="129">
        <f t="shared" si="127"/>
        <v>3804.4068283857605</v>
      </c>
    </row>
    <row r="81" spans="1:43" outlineLevel="1">
      <c r="C81" s="1" t="s">
        <v>20</v>
      </c>
      <c r="D81" s="18"/>
      <c r="E81" s="18"/>
      <c r="F81" s="99"/>
      <c r="G81" s="99"/>
      <c r="H81" s="94">
        <f>H80/H77</f>
        <v>0.28951730862993663</v>
      </c>
      <c r="I81" s="94">
        <f t="shared" ref="I81" si="128">I80/I77</f>
        <v>0.32658027202878331</v>
      </c>
      <c r="J81" s="94">
        <f t="shared" ref="J81" si="129">J80/J77</f>
        <v>0.26852072212016986</v>
      </c>
      <c r="K81" s="94">
        <f t="shared" ref="K81:M81" si="130">K80/K77</f>
        <v>0.32046716991881496</v>
      </c>
      <c r="L81" s="94">
        <f t="shared" si="130"/>
        <v>0.29873059286357234</v>
      </c>
      <c r="M81" s="94">
        <f t="shared" si="130"/>
        <v>0.31697905422033279</v>
      </c>
      <c r="N81" s="65">
        <f t="shared" ref="N81:S81" si="131">CHOOSE(case,U81,AC81,AK81)</f>
        <v>0.31697905422033279</v>
      </c>
      <c r="O81" s="65">
        <f t="shared" si="131"/>
        <v>0.31697905422033279</v>
      </c>
      <c r="P81" s="65">
        <f t="shared" si="131"/>
        <v>0.31697905422033279</v>
      </c>
      <c r="Q81" s="65">
        <f t="shared" si="131"/>
        <v>0.31697905422033279</v>
      </c>
      <c r="R81" s="65">
        <f t="shared" si="131"/>
        <v>0.31697905422033279</v>
      </c>
      <c r="S81" s="65">
        <f t="shared" si="131"/>
        <v>0.31697905422033279</v>
      </c>
      <c r="T81" s="1"/>
      <c r="U81" s="1526">
        <f>AC81+1%</f>
        <v>0.3269790542203328</v>
      </c>
      <c r="V81" s="1526">
        <f t="shared" ref="V81:Z81" si="132">AD81+1%</f>
        <v>0.3269790542203328</v>
      </c>
      <c r="W81" s="1526">
        <f t="shared" si="132"/>
        <v>0.3269790542203328</v>
      </c>
      <c r="X81" s="1526">
        <f t="shared" si="132"/>
        <v>0.3269790542203328</v>
      </c>
      <c r="Y81" s="1526">
        <f t="shared" si="132"/>
        <v>0.3269790542203328</v>
      </c>
      <c r="Z81" s="1526">
        <f t="shared" si="132"/>
        <v>0.3269790542203328</v>
      </c>
      <c r="AA81" s="1515"/>
      <c r="AB81" s="1"/>
      <c r="AC81" s="79">
        <f>M81</f>
        <v>0.31697905422033279</v>
      </c>
      <c r="AD81" s="79">
        <f>AC81</f>
        <v>0.31697905422033279</v>
      </c>
      <c r="AE81" s="79">
        <f t="shared" ref="AE81:AH81" si="133">AD81</f>
        <v>0.31697905422033279</v>
      </c>
      <c r="AF81" s="79">
        <f t="shared" si="133"/>
        <v>0.31697905422033279</v>
      </c>
      <c r="AG81" s="79">
        <f t="shared" si="133"/>
        <v>0.31697905422033279</v>
      </c>
      <c r="AH81" s="79">
        <f t="shared" si="133"/>
        <v>0.31697905422033279</v>
      </c>
      <c r="AI81" s="415"/>
      <c r="AJ81" s="1"/>
      <c r="AK81" s="1526">
        <f>AC81-1%</f>
        <v>0.30697905422033278</v>
      </c>
      <c r="AL81" s="1526">
        <f t="shared" ref="AL81:AP81" si="134">AD81-1%</f>
        <v>0.30697905422033278</v>
      </c>
      <c r="AM81" s="1526">
        <f t="shared" si="134"/>
        <v>0.30697905422033278</v>
      </c>
      <c r="AN81" s="1526">
        <f t="shared" si="134"/>
        <v>0.30697905422033278</v>
      </c>
      <c r="AO81" s="1526">
        <f t="shared" si="134"/>
        <v>0.30697905422033278</v>
      </c>
      <c r="AP81" s="1526">
        <f t="shared" si="134"/>
        <v>0.30697905422033278</v>
      </c>
    </row>
    <row r="82" spans="1:43" outlineLevel="1">
      <c r="C82" s="1"/>
      <c r="D82" s="1"/>
      <c r="E82" s="1"/>
      <c r="H82" s="127"/>
      <c r="I82" s="127"/>
      <c r="J82" s="127"/>
      <c r="K82" s="127"/>
      <c r="P82" s="136"/>
    </row>
    <row r="83" spans="1:43" s="62" customFormat="1" outlineLevel="1">
      <c r="A83" s="10" t="s">
        <v>8</v>
      </c>
      <c r="B83" s="10" t="s">
        <v>1126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U83" s="1515"/>
      <c r="V83" s="1515"/>
      <c r="W83" s="1515"/>
      <c r="X83" s="1515"/>
      <c r="Y83" s="1515"/>
      <c r="Z83" s="1515"/>
      <c r="AA83" s="1515"/>
      <c r="AI83" s="475"/>
      <c r="AK83" s="1515"/>
      <c r="AL83" s="1515"/>
      <c r="AM83" s="1515"/>
      <c r="AN83" s="1515"/>
      <c r="AO83" s="1515"/>
      <c r="AP83" s="1515"/>
      <c r="AQ83" s="1515"/>
    </row>
    <row r="84" spans="1:43" ht="15" outlineLevel="1" thickBot="1">
      <c r="C84" s="109"/>
      <c r="D84" s="109"/>
      <c r="E84" s="109"/>
      <c r="F84" s="109"/>
      <c r="G84" s="109"/>
      <c r="H84" s="135"/>
      <c r="I84" s="135"/>
      <c r="J84" s="135"/>
      <c r="K84" s="135"/>
      <c r="L84" s="101"/>
      <c r="M84" s="101"/>
      <c r="N84" s="101"/>
      <c r="O84" s="101"/>
      <c r="P84" s="101"/>
      <c r="Q84" s="101"/>
      <c r="R84" s="101"/>
      <c r="S84" s="101"/>
    </row>
    <row r="85" spans="1:43" s="101" customFormat="1" ht="15" outlineLevel="1" thickBot="1">
      <c r="C85" s="63" t="s">
        <v>33</v>
      </c>
      <c r="D85" s="109"/>
      <c r="E85" s="109"/>
      <c r="F85" s="109"/>
      <c r="G85" s="109"/>
      <c r="H85" s="423">
        <v>-734</v>
      </c>
      <c r="I85" s="423">
        <v>-913</v>
      </c>
      <c r="J85" s="423">
        <v>-497</v>
      </c>
      <c r="K85" s="423">
        <v>-106</v>
      </c>
      <c r="L85" s="423">
        <v>-208.17244000000002</v>
      </c>
      <c r="M85" s="423">
        <v>-49.08699</v>
      </c>
      <c r="N85" s="77">
        <f t="shared" ref="N85" si="135">L85*(1+N86)</f>
        <v>-208.17244000000002</v>
      </c>
      <c r="O85" s="77">
        <f t="shared" ref="O85" si="136">N85*(1+O86)</f>
        <v>-208.17244000000002</v>
      </c>
      <c r="P85" s="77">
        <f t="shared" ref="P85" si="137">O85*(1+P86)</f>
        <v>-208.17244000000002</v>
      </c>
      <c r="Q85" s="77">
        <f t="shared" ref="Q85" si="138">P85*(1+Q86)</f>
        <v>-208.17244000000002</v>
      </c>
      <c r="R85" s="77">
        <f t="shared" ref="R85" si="139">Q85*(1+R86)</f>
        <v>-208.17244000000002</v>
      </c>
      <c r="S85" s="77">
        <f t="shared" ref="S85" si="140">R85*(1+S86)</f>
        <v>-208.17244000000002</v>
      </c>
      <c r="U85" s="1512"/>
      <c r="V85" s="1512"/>
      <c r="W85" s="1512"/>
      <c r="X85" s="1512"/>
      <c r="Y85" s="1512"/>
      <c r="Z85" s="1512"/>
      <c r="AA85" s="1512"/>
      <c r="AI85" s="473"/>
      <c r="AK85" s="1512"/>
      <c r="AL85" s="1512"/>
      <c r="AM85" s="1512"/>
      <c r="AN85" s="1512"/>
      <c r="AO85" s="1512"/>
      <c r="AP85" s="1512"/>
      <c r="AQ85" s="1512"/>
    </row>
    <row r="86" spans="1:43" s="101" customFormat="1" ht="15" outlineLevel="1" thickBot="1">
      <c r="C86" s="170"/>
      <c r="D86" s="135" t="s">
        <v>151</v>
      </c>
      <c r="E86" s="135"/>
      <c r="F86" s="135"/>
      <c r="G86" s="135"/>
      <c r="H86" s="171"/>
      <c r="I86" s="172">
        <f>I85/H85-1</f>
        <v>0.2438692098092643</v>
      </c>
      <c r="J86" s="172">
        <f t="shared" ref="J86" si="141">J85/I85-1</f>
        <v>-0.45564074479737127</v>
      </c>
      <c r="K86" s="172"/>
      <c r="L86" s="177">
        <f>L85/J85-1</f>
        <v>-0.58114197183098582</v>
      </c>
      <c r="M86" s="177"/>
      <c r="N86" s="173">
        <v>0</v>
      </c>
      <c r="O86" s="173">
        <v>0</v>
      </c>
      <c r="P86" s="173">
        <v>0</v>
      </c>
      <c r="Q86" s="173">
        <v>0</v>
      </c>
      <c r="R86" s="173">
        <v>0</v>
      </c>
      <c r="S86" s="173">
        <v>0</v>
      </c>
      <c r="U86" s="1512"/>
      <c r="V86" s="1512"/>
      <c r="W86" s="1512"/>
      <c r="X86" s="1512"/>
      <c r="Y86" s="1512"/>
      <c r="Z86" s="1512"/>
      <c r="AA86" s="1512"/>
      <c r="AI86" s="473"/>
      <c r="AK86" s="1512"/>
      <c r="AL86" s="1512"/>
      <c r="AM86" s="1512"/>
      <c r="AN86" s="1512"/>
      <c r="AO86" s="1512"/>
      <c r="AP86" s="1512"/>
      <c r="AQ86" s="1512"/>
    </row>
    <row r="87" spans="1:43" ht="15" outlineLevel="1" thickBot="1">
      <c r="C87" s="60" t="s">
        <v>35</v>
      </c>
      <c r="D87" s="60"/>
      <c r="E87" s="60"/>
      <c r="F87" s="60"/>
      <c r="G87" s="60"/>
      <c r="H87" s="132">
        <f>-H85</f>
        <v>734</v>
      </c>
      <c r="I87" s="132">
        <f t="shared" ref="I87:K87" si="142">-I85</f>
        <v>913</v>
      </c>
      <c r="J87" s="132">
        <f t="shared" si="142"/>
        <v>497</v>
      </c>
      <c r="K87" s="132">
        <f t="shared" si="142"/>
        <v>106</v>
      </c>
      <c r="L87" s="132">
        <v>208.17244000000002</v>
      </c>
      <c r="M87" s="132">
        <v>49.08699</v>
      </c>
      <c r="N87" s="132">
        <f t="shared" ref="N87" si="143">N88-N85</f>
        <v>207.96426756000002</v>
      </c>
      <c r="O87" s="132">
        <f t="shared" ref="O87" si="144">O88-O85</f>
        <v>207.96426756000002</v>
      </c>
      <c r="P87" s="132">
        <f t="shared" ref="P87" si="145">P88-P85</f>
        <v>207.96426756000002</v>
      </c>
      <c r="Q87" s="132">
        <f t="shared" ref="Q87" si="146">Q88-Q85</f>
        <v>207.96426756000002</v>
      </c>
      <c r="R87" s="132">
        <f t="shared" ref="R87" si="147">R88-R85</f>
        <v>207.96426756000002</v>
      </c>
      <c r="S87" s="132">
        <f t="shared" ref="S87" si="148">S88-S85</f>
        <v>207.96426756000002</v>
      </c>
    </row>
    <row r="88" spans="1:43" ht="15" outlineLevel="1" thickBot="1">
      <c r="C88" s="63" t="s">
        <v>239</v>
      </c>
      <c r="D88" s="129"/>
      <c r="E88" s="129"/>
      <c r="F88" s="129"/>
      <c r="G88" s="129"/>
      <c r="H88" s="77">
        <f>SUM(H85:H87)</f>
        <v>0</v>
      </c>
      <c r="I88" s="77">
        <f t="shared" ref="I88" si="149">SUM(I85:I87)</f>
        <v>0.24386920980930427</v>
      </c>
      <c r="J88" s="77">
        <f t="shared" ref="J88" si="150">SUM(J85:J87)</f>
        <v>-0.45564074479739247</v>
      </c>
      <c r="K88" s="77">
        <f t="shared" ref="K88:M88" si="151">SUM(K85:K87)</f>
        <v>0</v>
      </c>
      <c r="L88" s="77">
        <f t="shared" si="151"/>
        <v>-0.58114197183098781</v>
      </c>
      <c r="M88" s="77">
        <f t="shared" si="151"/>
        <v>0</v>
      </c>
      <c r="N88" s="77">
        <f t="shared" ref="N88" si="152">N85*N89</f>
        <v>-0.20817244000000001</v>
      </c>
      <c r="O88" s="77">
        <f t="shared" ref="O88" si="153">O85*O89</f>
        <v>-0.20817244000000001</v>
      </c>
      <c r="P88" s="77">
        <f t="shared" ref="P88" si="154">P85*P89</f>
        <v>-0.20817244000000001</v>
      </c>
      <c r="Q88" s="77">
        <f t="shared" ref="Q88" si="155">Q85*Q89</f>
        <v>-0.20817244000000001</v>
      </c>
      <c r="R88" s="77">
        <f t="shared" ref="R88" si="156">R85*R89</f>
        <v>-0.20817244000000001</v>
      </c>
      <c r="S88" s="77">
        <f t="shared" ref="S88" si="157">S85*S89</f>
        <v>-0.20817244000000001</v>
      </c>
    </row>
    <row r="89" spans="1:43" outlineLevel="1">
      <c r="C89" s="1" t="s">
        <v>20</v>
      </c>
      <c r="D89" s="18"/>
      <c r="E89" s="18"/>
      <c r="F89" s="99"/>
      <c r="G89" s="99"/>
      <c r="H89" s="94">
        <f>H88/H85</f>
        <v>0</v>
      </c>
      <c r="I89" s="94">
        <f t="shared" ref="I89" si="158">I88/I85</f>
        <v>-2.6710756824677357E-4</v>
      </c>
      <c r="J89" s="94">
        <f t="shared" ref="J89" si="159">J88/J85</f>
        <v>9.1678218269093052E-4</v>
      </c>
      <c r="K89" s="94">
        <f t="shared" ref="K89:M89" si="160">K88/K85</f>
        <v>0</v>
      </c>
      <c r="L89" s="94">
        <f t="shared" si="160"/>
        <v>2.7916374128630463E-3</v>
      </c>
      <c r="M89" s="94">
        <f t="shared" si="160"/>
        <v>0</v>
      </c>
      <c r="N89" s="79">
        <v>1E-3</v>
      </c>
      <c r="O89" s="79">
        <f t="shared" ref="O89:S89" si="161">N89</f>
        <v>1E-3</v>
      </c>
      <c r="P89" s="79">
        <f t="shared" si="161"/>
        <v>1E-3</v>
      </c>
      <c r="Q89" s="79">
        <f t="shared" si="161"/>
        <v>1E-3</v>
      </c>
      <c r="R89" s="79">
        <f t="shared" si="161"/>
        <v>1E-3</v>
      </c>
      <c r="S89" s="79">
        <f t="shared" si="161"/>
        <v>1E-3</v>
      </c>
    </row>
    <row r="90" spans="1:43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</row>
    <row r="91" spans="1:43" s="59" customFormat="1">
      <c r="A91" s="58" t="s">
        <v>8</v>
      </c>
      <c r="B91" s="58" t="s">
        <v>187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U91" s="1515"/>
      <c r="V91" s="1515"/>
      <c r="W91" s="1515"/>
      <c r="X91" s="1515"/>
      <c r="Y91" s="1515"/>
      <c r="Z91" s="1515"/>
      <c r="AA91" s="1515"/>
      <c r="AI91" s="476"/>
      <c r="AK91" s="1515"/>
      <c r="AL91" s="1515"/>
      <c r="AM91" s="1515"/>
      <c r="AN91" s="1515"/>
      <c r="AO91" s="1515"/>
      <c r="AP91" s="1515"/>
      <c r="AQ91" s="1515"/>
    </row>
    <row r="93" spans="1:43" s="99" customFormat="1">
      <c r="B93" s="1"/>
      <c r="C93" s="18" t="s">
        <v>64</v>
      </c>
      <c r="D93" s="1"/>
      <c r="H93" s="23">
        <f t="shared" ref="H93:K93" si="162">SUM(H94,H96)</f>
        <v>-12464</v>
      </c>
      <c r="I93" s="23">
        <f t="shared" si="162"/>
        <v>-13731</v>
      </c>
      <c r="J93" s="23">
        <f t="shared" si="162"/>
        <v>-15518</v>
      </c>
      <c r="K93" s="23">
        <f t="shared" si="162"/>
        <v>-14140</v>
      </c>
      <c r="L93" s="23">
        <f>SUM(L94,L96)</f>
        <v>-17175.567677737621</v>
      </c>
      <c r="M93" s="23">
        <f t="shared" ref="M93:S93" si="163">SUM(M94,M96)</f>
        <v>-10123.99848351857</v>
      </c>
      <c r="N93" s="23">
        <f t="shared" si="163"/>
        <v>-18693.919382430096</v>
      </c>
      <c r="O93" s="23">
        <f t="shared" si="163"/>
        <v>-19483.189533078857</v>
      </c>
      <c r="P93" s="23">
        <f t="shared" si="163"/>
        <v>-20269.657474668387</v>
      </c>
      <c r="Q93" s="23">
        <f t="shared" si="163"/>
        <v>-21176.134969215414</v>
      </c>
      <c r="R93" s="23">
        <f t="shared" si="163"/>
        <v>-22309.118210176915</v>
      </c>
      <c r="S93" s="23">
        <f t="shared" si="163"/>
        <v>-23875.755151572568</v>
      </c>
      <c r="U93" s="1511"/>
      <c r="V93" s="1511"/>
      <c r="W93" s="1511"/>
      <c r="X93" s="1511"/>
      <c r="Y93" s="1511"/>
      <c r="Z93" s="1511"/>
      <c r="AA93" s="1511"/>
      <c r="AI93" s="414"/>
      <c r="AK93" s="1511"/>
      <c r="AL93" s="1511"/>
      <c r="AM93" s="1511"/>
      <c r="AN93" s="1511"/>
      <c r="AO93" s="1511"/>
      <c r="AP93" s="1511"/>
      <c r="AQ93" s="1511"/>
    </row>
    <row r="94" spans="1:43">
      <c r="B94" s="1"/>
      <c r="C94" s="1"/>
      <c r="D94" s="1" t="s">
        <v>65</v>
      </c>
      <c r="H94" s="394">
        <v>-2949</v>
      </c>
      <c r="I94" s="394">
        <v>-3414</v>
      </c>
      <c r="J94" s="394">
        <v>-4003</v>
      </c>
      <c r="K94" s="394">
        <v>-4184</v>
      </c>
      <c r="L94" s="394">
        <v>-4924.4591404300199</v>
      </c>
      <c r="M94" s="394">
        <v>-2726.2649119215012</v>
      </c>
      <c r="N94" s="97">
        <f t="shared" ref="N94:S94" si="164">N95*N$15</f>
        <v>-4568.3116734348278</v>
      </c>
      <c r="O94" s="97">
        <f t="shared" si="164"/>
        <v>-4904.3826412218395</v>
      </c>
      <c r="P94" s="97">
        <f t="shared" si="164"/>
        <v>-5260.567971919053</v>
      </c>
      <c r="Q94" s="97">
        <f t="shared" si="164"/>
        <v>-5671.6918273422343</v>
      </c>
      <c r="R94" s="97">
        <f t="shared" si="164"/>
        <v>-6172.6688942727624</v>
      </c>
      <c r="S94" s="97">
        <f t="shared" si="164"/>
        <v>-6831.9897780659385</v>
      </c>
    </row>
    <row r="95" spans="1:43" s="1" customFormat="1">
      <c r="E95" s="22" t="s">
        <v>130</v>
      </c>
      <c r="H95" s="56">
        <f>H94/H$15</f>
        <v>-2.8406573294546014E-2</v>
      </c>
      <c r="I95" s="56">
        <f t="shared" ref="I95:M95" si="165">I94/I$15</f>
        <v>-3.3308291950008291E-2</v>
      </c>
      <c r="J95" s="56">
        <f t="shared" si="165"/>
        <v>-3.4965584710527235E-2</v>
      </c>
      <c r="K95" s="56">
        <f t="shared" si="165"/>
        <v>-3.9566508425850626E-2</v>
      </c>
      <c r="L95" s="56">
        <f t="shared" si="165"/>
        <v>-3.847925452054192E-2</v>
      </c>
      <c r="M95" s="56">
        <f t="shared" si="165"/>
        <v>-3.8150177409588752E-2</v>
      </c>
      <c r="N95" s="79">
        <f t="shared" ref="N95:S95" si="166">CHOOSE(case,U95,AC95,AK95)</f>
        <v>-3.3479254520541922E-2</v>
      </c>
      <c r="O95" s="79">
        <f t="shared" si="166"/>
        <v>-3.3479254520541922E-2</v>
      </c>
      <c r="P95" s="79">
        <f t="shared" si="166"/>
        <v>-3.3479254520541922E-2</v>
      </c>
      <c r="Q95" s="79">
        <f t="shared" si="166"/>
        <v>-3.3479254520541922E-2</v>
      </c>
      <c r="R95" s="79">
        <f t="shared" si="166"/>
        <v>-3.3479254520541922E-2</v>
      </c>
      <c r="S95" s="79">
        <f t="shared" si="166"/>
        <v>-3.3479254520541922E-2</v>
      </c>
      <c r="T95" s="22"/>
      <c r="U95" s="1526">
        <f>AC95+0.5%</f>
        <v>-2.8479254520541921E-2</v>
      </c>
      <c r="V95" s="1526">
        <f t="shared" ref="V95:Z95" si="167">U95</f>
        <v>-2.8479254520541921E-2</v>
      </c>
      <c r="W95" s="1526">
        <f t="shared" si="167"/>
        <v>-2.8479254520541921E-2</v>
      </c>
      <c r="X95" s="1526">
        <f t="shared" si="167"/>
        <v>-2.8479254520541921E-2</v>
      </c>
      <c r="Y95" s="1526">
        <f t="shared" si="167"/>
        <v>-2.8479254520541921E-2</v>
      </c>
      <c r="Z95" s="1526">
        <f t="shared" si="167"/>
        <v>-2.8479254520541921E-2</v>
      </c>
      <c r="AA95" s="1515"/>
      <c r="AC95" s="79">
        <f>AK95+0.5%</f>
        <v>-3.3479254520541922E-2</v>
      </c>
      <c r="AD95" s="79">
        <f t="shared" ref="AD95:AH95" si="168">AC95</f>
        <v>-3.3479254520541922E-2</v>
      </c>
      <c r="AE95" s="79">
        <f t="shared" si="168"/>
        <v>-3.3479254520541922E-2</v>
      </c>
      <c r="AF95" s="79">
        <f t="shared" si="168"/>
        <v>-3.3479254520541922E-2</v>
      </c>
      <c r="AG95" s="79">
        <f t="shared" si="168"/>
        <v>-3.3479254520541922E-2</v>
      </c>
      <c r="AH95" s="79">
        <f t="shared" si="168"/>
        <v>-3.3479254520541922E-2</v>
      </c>
      <c r="AI95" s="415"/>
      <c r="AK95" s="1526">
        <f>L95</f>
        <v>-3.847925452054192E-2</v>
      </c>
      <c r="AL95" s="1526">
        <f t="shared" ref="AL95:AP95" si="169">AK95</f>
        <v>-3.847925452054192E-2</v>
      </c>
      <c r="AM95" s="1526">
        <f t="shared" si="169"/>
        <v>-3.847925452054192E-2</v>
      </c>
      <c r="AN95" s="1526">
        <f t="shared" si="169"/>
        <v>-3.847925452054192E-2</v>
      </c>
      <c r="AO95" s="1526">
        <f t="shared" si="169"/>
        <v>-3.847925452054192E-2</v>
      </c>
      <c r="AP95" s="1526">
        <f t="shared" si="169"/>
        <v>-3.847925452054192E-2</v>
      </c>
      <c r="AQ95" s="1515"/>
    </row>
    <row r="96" spans="1:43">
      <c r="B96" s="1"/>
      <c r="C96" s="1"/>
      <c r="D96" s="1" t="s">
        <v>66</v>
      </c>
      <c r="H96" s="394">
        <v>-9515</v>
      </c>
      <c r="I96" s="394">
        <v>-10317</v>
      </c>
      <c r="J96" s="394">
        <v>-11515</v>
      </c>
      <c r="K96" s="394">
        <v>-9956</v>
      </c>
      <c r="L96" s="394">
        <v>-12251.1085373076</v>
      </c>
      <c r="M96" s="394">
        <v>-7397.7335715970685</v>
      </c>
      <c r="N96" s="97">
        <f t="shared" ref="N96" si="170">N97*N$15</f>
        <v>-14125.607708995269</v>
      </c>
      <c r="O96" s="97">
        <f t="shared" ref="O96" si="171">O97*O$15</f>
        <v>-14578.806891857017</v>
      </c>
      <c r="P96" s="97">
        <f t="shared" ref="P96" si="172">P97*P$15</f>
        <v>-15009.089502749333</v>
      </c>
      <c r="Q96" s="97">
        <f t="shared" ref="Q96" si="173">Q97*Q$15</f>
        <v>-15504.44314187318</v>
      </c>
      <c r="R96" s="97">
        <f t="shared" ref="R96" si="174">R97*R$15</f>
        <v>-16136.449315904152</v>
      </c>
      <c r="S96" s="97">
        <f t="shared" ref="S96" si="175">S97*S$15</f>
        <v>-17043.765373506631</v>
      </c>
    </row>
    <row r="97" spans="3:43" s="1" customFormat="1">
      <c r="E97" s="22" t="s">
        <v>130</v>
      </c>
      <c r="H97" s="56">
        <f>H96/H$15</f>
        <v>-9.165430481437957E-2</v>
      </c>
      <c r="I97" s="56">
        <f t="shared" ref="I97" si="176">I96/I$15</f>
        <v>-0.10065660458354879</v>
      </c>
      <c r="J97" s="56">
        <f t="shared" ref="J97" si="177">J96/J$15</f>
        <v>-0.10058174067992035</v>
      </c>
      <c r="K97" s="56">
        <f t="shared" ref="K97:M97" si="178">K96/K$15</f>
        <v>-9.4150133338376865E-2</v>
      </c>
      <c r="L97" s="56">
        <f t="shared" si="178"/>
        <v>-9.5728994824125557E-2</v>
      </c>
      <c r="M97" s="56">
        <f t="shared" si="178"/>
        <v>-0.1035206985759809</v>
      </c>
      <c r="N97" s="79">
        <f t="shared" ref="N97:S97" si="179">CHOOSE(case,U97,AC97,AK97)</f>
        <v>-0.1035206985759809</v>
      </c>
      <c r="O97" s="79">
        <f t="shared" si="179"/>
        <v>-9.9520698575980893E-2</v>
      </c>
      <c r="P97" s="79">
        <f t="shared" si="179"/>
        <v>-9.5520698575980889E-2</v>
      </c>
      <c r="Q97" s="79">
        <f t="shared" si="179"/>
        <v>-9.1520698575980886E-2</v>
      </c>
      <c r="R97" s="79">
        <f t="shared" si="179"/>
        <v>-8.7520698575980882E-2</v>
      </c>
      <c r="S97" s="79">
        <f t="shared" si="179"/>
        <v>-8.3520698575980878E-2</v>
      </c>
      <c r="T97" s="22"/>
      <c r="U97" s="1526">
        <f>AC97+0.2%</f>
        <v>-0.10152069857598089</v>
      </c>
      <c r="V97" s="1526">
        <f t="shared" ref="V97:Z97" si="180">AD97+0.2%</f>
        <v>-9.7520698575980891E-2</v>
      </c>
      <c r="W97" s="1526">
        <f t="shared" si="180"/>
        <v>-9.3520698575980887E-2</v>
      </c>
      <c r="X97" s="1526">
        <f t="shared" si="180"/>
        <v>-8.9520698575980884E-2</v>
      </c>
      <c r="Y97" s="1526">
        <f t="shared" si="180"/>
        <v>-8.552069857598088E-2</v>
      </c>
      <c r="Z97" s="1526">
        <f t="shared" si="180"/>
        <v>-8.1520698575980877E-2</v>
      </c>
      <c r="AA97" s="1515"/>
      <c r="AC97" s="79">
        <f>M97</f>
        <v>-0.1035206985759809</v>
      </c>
      <c r="AD97" s="79">
        <f>AC97+0.4%</f>
        <v>-9.9520698575980893E-2</v>
      </c>
      <c r="AE97" s="79">
        <f t="shared" ref="AE97:AH97" si="181">AD97+0.4%</f>
        <v>-9.5520698575980889E-2</v>
      </c>
      <c r="AF97" s="79">
        <f t="shared" si="181"/>
        <v>-9.1520698575980886E-2</v>
      </c>
      <c r="AG97" s="79">
        <f t="shared" si="181"/>
        <v>-8.7520698575980882E-2</v>
      </c>
      <c r="AH97" s="79">
        <f t="shared" si="181"/>
        <v>-8.3520698575980878E-2</v>
      </c>
      <c r="AI97" s="415"/>
      <c r="AK97" s="1526">
        <f>L97</f>
        <v>-9.5728994824125557E-2</v>
      </c>
      <c r="AL97" s="1526">
        <f t="shared" ref="AL97:AP97" si="182">AK97</f>
        <v>-9.5728994824125557E-2</v>
      </c>
      <c r="AM97" s="1526">
        <f t="shared" si="182"/>
        <v>-9.5728994824125557E-2</v>
      </c>
      <c r="AN97" s="1526">
        <f t="shared" si="182"/>
        <v>-9.5728994824125557E-2</v>
      </c>
      <c r="AO97" s="1526">
        <f t="shared" si="182"/>
        <v>-9.5728994824125557E-2</v>
      </c>
      <c r="AP97" s="1526">
        <f t="shared" si="182"/>
        <v>-9.5728994824125557E-2</v>
      </c>
      <c r="AQ97" s="1515"/>
    </row>
    <row r="98" spans="3:43">
      <c r="C98" s="1"/>
      <c r="D98" s="1"/>
      <c r="E98" s="1"/>
      <c r="F98" s="1"/>
      <c r="G98" s="1"/>
      <c r="H98" s="21"/>
      <c r="I98" s="21"/>
      <c r="J98" s="21"/>
      <c r="K98" s="21"/>
      <c r="L98" s="1"/>
      <c r="M98" s="1"/>
    </row>
    <row r="99" spans="3:43">
      <c r="D99" s="1" t="s">
        <v>242</v>
      </c>
      <c r="E99" s="1"/>
      <c r="F99" s="1"/>
      <c r="G99" s="1"/>
      <c r="H99" s="394">
        <v>-383</v>
      </c>
      <c r="I99" s="394">
        <v>-1659</v>
      </c>
      <c r="J99" s="394">
        <v>-2064</v>
      </c>
      <c r="K99" s="394">
        <v>-1967</v>
      </c>
      <c r="L99" s="424">
        <v>-1921.3175863036499</v>
      </c>
      <c r="M99" s="424">
        <v>-1458.093435621965</v>
      </c>
      <c r="N99" s="1237">
        <f>M99*2</f>
        <v>-2916.18687124393</v>
      </c>
      <c r="O99" s="424">
        <v>0</v>
      </c>
      <c r="P99" s="424">
        <v>0</v>
      </c>
      <c r="Q99" s="424">
        <v>0</v>
      </c>
      <c r="R99" s="424">
        <v>0</v>
      </c>
      <c r="S99" s="424">
        <v>0</v>
      </c>
    </row>
    <row r="100" spans="3:43">
      <c r="D100" s="1"/>
      <c r="E100" s="1"/>
      <c r="F100" s="1"/>
      <c r="G100" s="1"/>
      <c r="H100" s="21"/>
      <c r="I100" s="21"/>
      <c r="J100" s="21"/>
      <c r="K100" s="21"/>
    </row>
    <row r="101" spans="3:43">
      <c r="C101" s="18" t="s">
        <v>241</v>
      </c>
      <c r="D101" s="1"/>
      <c r="E101" s="1"/>
      <c r="H101" s="405">
        <v>0</v>
      </c>
      <c r="I101" s="405">
        <v>0</v>
      </c>
      <c r="J101" s="405">
        <v>0</v>
      </c>
      <c r="K101" s="405">
        <v>0</v>
      </c>
      <c r="L101" s="405">
        <v>0</v>
      </c>
      <c r="M101" s="405">
        <v>0</v>
      </c>
      <c r="N101" s="23">
        <f t="shared" ref="N101:S101" si="183">N102*N15</f>
        <v>0</v>
      </c>
      <c r="O101" s="23">
        <f t="shared" si="183"/>
        <v>0</v>
      </c>
      <c r="P101" s="23">
        <f t="shared" si="183"/>
        <v>0</v>
      </c>
      <c r="Q101" s="23">
        <f t="shared" si="183"/>
        <v>0</v>
      </c>
      <c r="R101" s="23">
        <f t="shared" si="183"/>
        <v>0</v>
      </c>
      <c r="S101" s="23">
        <f t="shared" si="183"/>
        <v>0</v>
      </c>
    </row>
    <row r="102" spans="3:43" s="1" customFormat="1">
      <c r="E102" s="22" t="s">
        <v>130</v>
      </c>
      <c r="H102" s="56">
        <f>H101/H$15</f>
        <v>0</v>
      </c>
      <c r="I102" s="56">
        <f t="shared" ref="I102:K102" si="184">I101/I$15</f>
        <v>0</v>
      </c>
      <c r="J102" s="56">
        <f t="shared" si="184"/>
        <v>0</v>
      </c>
      <c r="K102" s="56">
        <f t="shared" si="184"/>
        <v>0</v>
      </c>
      <c r="L102" s="56">
        <f t="shared" ref="L102:M102" si="185">L101/L$15</f>
        <v>0</v>
      </c>
      <c r="M102" s="56">
        <f t="shared" si="185"/>
        <v>0</v>
      </c>
      <c r="N102" s="79">
        <f t="shared" ref="N102" si="186">L102</f>
        <v>0</v>
      </c>
      <c r="O102" s="79">
        <f t="shared" ref="O102" si="187">N102</f>
        <v>0</v>
      </c>
      <c r="P102" s="79">
        <f t="shared" ref="P102" si="188">O102</f>
        <v>0</v>
      </c>
      <c r="Q102" s="79">
        <f t="shared" ref="Q102" si="189">P102</f>
        <v>0</v>
      </c>
      <c r="R102" s="79">
        <f t="shared" ref="R102" si="190">Q102</f>
        <v>0</v>
      </c>
      <c r="S102" s="79">
        <f t="shared" ref="S102" si="191">R102</f>
        <v>0</v>
      </c>
      <c r="U102" s="1515"/>
      <c r="V102" s="1515"/>
      <c r="W102" s="1515"/>
      <c r="X102" s="1515"/>
      <c r="Y102" s="1515"/>
      <c r="Z102" s="1515"/>
      <c r="AA102" s="1515"/>
      <c r="AI102" s="415"/>
      <c r="AK102" s="1515"/>
      <c r="AL102" s="1515"/>
      <c r="AM102" s="1515"/>
      <c r="AN102" s="1515"/>
      <c r="AO102" s="1515"/>
      <c r="AP102" s="1515"/>
      <c r="AQ102" s="1515"/>
    </row>
    <row r="103" spans="3:43">
      <c r="C103" s="1"/>
      <c r="D103" s="1"/>
      <c r="E103" s="1"/>
      <c r="F103" s="1"/>
      <c r="G103" s="1"/>
      <c r="H103" s="52"/>
      <c r="I103" s="52"/>
      <c r="J103" s="52"/>
      <c r="K103" s="52"/>
      <c r="L103" s="1"/>
      <c r="M103" s="1"/>
    </row>
    <row r="104" spans="3:43">
      <c r="C104" s="18" t="s">
        <v>74</v>
      </c>
      <c r="D104" s="1"/>
      <c r="E104" s="1"/>
      <c r="F104" s="1"/>
      <c r="G104" s="1"/>
      <c r="H104" s="23">
        <f>H27+SUM(H93,H99)+H101</f>
        <v>6137</v>
      </c>
      <c r="I104" s="23">
        <f t="shared" ref="I104:S104" si="192">I27+SUM(I93,I99)+I101</f>
        <v>3270</v>
      </c>
      <c r="J104" s="23">
        <f t="shared" si="192"/>
        <v>739</v>
      </c>
      <c r="K104" s="23">
        <f t="shared" si="192"/>
        <v>3435</v>
      </c>
      <c r="L104" s="23">
        <f t="shared" ref="L104:M104" si="193">L27+SUM(L93,L99)+L101</f>
        <v>4448.6054398799279</v>
      </c>
      <c r="M104" s="23">
        <f t="shared" si="193"/>
        <v>884.81377646513283</v>
      </c>
      <c r="N104" s="23">
        <f t="shared" si="192"/>
        <v>2305.3468239423746</v>
      </c>
      <c r="O104" s="23">
        <f t="shared" si="192"/>
        <v>6194.7749057668225</v>
      </c>
      <c r="P104" s="23">
        <f t="shared" si="192"/>
        <v>7284.9606089371409</v>
      </c>
      <c r="Q104" s="23">
        <f t="shared" si="192"/>
        <v>8516.9905992759341</v>
      </c>
      <c r="R104" s="23">
        <f t="shared" si="192"/>
        <v>9932.6507404698568</v>
      </c>
      <c r="S104" s="23">
        <f t="shared" si="192"/>
        <v>11553.376213046588</v>
      </c>
    </row>
    <row r="105" spans="3:43" s="101" customFormat="1">
      <c r="C105" s="22" t="s">
        <v>243</v>
      </c>
      <c r="D105" s="22"/>
      <c r="E105" s="22"/>
      <c r="F105" s="22"/>
      <c r="G105" s="22"/>
      <c r="H105" s="94">
        <f t="shared" ref="H105:S105" si="194">H104/H15</f>
        <v>5.9115340898144762E-2</v>
      </c>
      <c r="I105" s="94">
        <f t="shared" si="194"/>
        <v>3.1903372781642389E-2</v>
      </c>
      <c r="J105" s="94">
        <f t="shared" si="194"/>
        <v>6.4550504874043534E-3</v>
      </c>
      <c r="K105" s="94">
        <f t="shared" si="194"/>
        <v>3.2483498193785106E-2</v>
      </c>
      <c r="L105" s="94">
        <f t="shared" ref="L105:M105" si="195">L104/L15</f>
        <v>3.4760979043814179E-2</v>
      </c>
      <c r="M105" s="94">
        <f t="shared" si="195"/>
        <v>1.2381703039563227E-2</v>
      </c>
      <c r="N105" s="94">
        <f t="shared" si="194"/>
        <v>1.6894927184085615E-2</v>
      </c>
      <c r="O105" s="94">
        <f t="shared" si="194"/>
        <v>4.2287982186472388E-2</v>
      </c>
      <c r="P105" s="94">
        <f t="shared" si="194"/>
        <v>4.6362874066192473E-2</v>
      </c>
      <c r="Q105" s="94">
        <f t="shared" si="194"/>
        <v>5.0274680765904765E-2</v>
      </c>
      <c r="R105" s="94">
        <f t="shared" si="194"/>
        <v>5.3872603228788229E-2</v>
      </c>
      <c r="S105" s="94">
        <f t="shared" si="194"/>
        <v>5.6615778912605441E-2</v>
      </c>
      <c r="U105" s="1512"/>
      <c r="V105" s="1512"/>
      <c r="W105" s="1512"/>
      <c r="X105" s="1512"/>
      <c r="Y105" s="1512"/>
      <c r="Z105" s="1512"/>
      <c r="AA105" s="1512"/>
      <c r="AI105" s="473"/>
      <c r="AK105" s="1512"/>
      <c r="AL105" s="1512"/>
      <c r="AM105" s="1512"/>
      <c r="AN105" s="1512"/>
      <c r="AO105" s="1512"/>
      <c r="AP105" s="1512"/>
      <c r="AQ105" s="1512"/>
    </row>
    <row r="106" spans="3:43">
      <c r="C106" s="1"/>
      <c r="D106" s="1" t="s">
        <v>244</v>
      </c>
      <c r="E106" s="1"/>
      <c r="F106" s="1"/>
      <c r="G106" s="1"/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168">
        <v>0</v>
      </c>
      <c r="O106" s="168">
        <v>0</v>
      </c>
      <c r="P106" s="168">
        <v>0</v>
      </c>
      <c r="Q106" s="168">
        <v>0</v>
      </c>
      <c r="R106" s="168">
        <v>0</v>
      </c>
      <c r="S106" s="168">
        <v>0</v>
      </c>
    </row>
    <row r="107" spans="3:43">
      <c r="D107" s="1"/>
      <c r="E107" s="1"/>
      <c r="F107" s="1"/>
      <c r="G107" s="1"/>
      <c r="H107" s="52"/>
      <c r="I107" s="52"/>
      <c r="J107" s="52"/>
      <c r="K107" s="52"/>
      <c r="L107" s="1"/>
      <c r="M107" s="1"/>
    </row>
    <row r="108" spans="3:43">
      <c r="C108" s="18" t="s">
        <v>245</v>
      </c>
      <c r="D108" s="1"/>
      <c r="E108" s="1"/>
      <c r="H108" s="99">
        <f>H104+H106</f>
        <v>6137</v>
      </c>
      <c r="I108" s="99">
        <f t="shared" ref="I108:S108" si="196">I104+I106</f>
        <v>3270</v>
      </c>
      <c r="J108" s="99">
        <f t="shared" si="196"/>
        <v>739</v>
      </c>
      <c r="K108" s="99">
        <f t="shared" si="196"/>
        <v>3435</v>
      </c>
      <c r="L108" s="99">
        <f t="shared" si="196"/>
        <v>4448.6054398799279</v>
      </c>
      <c r="M108" s="99">
        <f t="shared" si="196"/>
        <v>884.81377646513283</v>
      </c>
      <c r="N108" s="99">
        <f t="shared" si="196"/>
        <v>2305.3468239423746</v>
      </c>
      <c r="O108" s="99">
        <f t="shared" si="196"/>
        <v>6194.7749057668225</v>
      </c>
      <c r="P108" s="99">
        <f t="shared" si="196"/>
        <v>7284.9606089371409</v>
      </c>
      <c r="Q108" s="99">
        <f t="shared" si="196"/>
        <v>8516.9905992759341</v>
      </c>
      <c r="R108" s="99">
        <f t="shared" si="196"/>
        <v>9932.6507404698568</v>
      </c>
      <c r="S108" s="99">
        <f t="shared" si="196"/>
        <v>11553.376213046588</v>
      </c>
    </row>
    <row r="109" spans="3:43">
      <c r="D109" s="1" t="s">
        <v>246</v>
      </c>
      <c r="E109" s="1"/>
      <c r="F109" s="1"/>
      <c r="G109" s="1"/>
      <c r="H109" s="394">
        <v>-1151</v>
      </c>
      <c r="I109" s="394">
        <v>-875</v>
      </c>
      <c r="J109" s="394">
        <v>-974</v>
      </c>
      <c r="K109" s="394">
        <v>-1385</v>
      </c>
      <c r="L109" s="394">
        <v>-1678.0524604490699</v>
      </c>
      <c r="M109" s="394">
        <v>-430.55795413468411</v>
      </c>
      <c r="N109" s="20">
        <f t="shared" ref="N109:S109" si="197">-N108*N110</f>
        <v>-645.49711070386491</v>
      </c>
      <c r="O109" s="20">
        <f t="shared" si="197"/>
        <v>-1734.5369736147104</v>
      </c>
      <c r="P109" s="20">
        <f t="shared" si="197"/>
        <v>-2039.7889705023997</v>
      </c>
      <c r="Q109" s="20">
        <f t="shared" si="197"/>
        <v>-2384.7573677972618</v>
      </c>
      <c r="R109" s="20">
        <f t="shared" si="197"/>
        <v>-2781.1422073315603</v>
      </c>
      <c r="S109" s="20">
        <f t="shared" si="197"/>
        <v>-3234.9453396530448</v>
      </c>
    </row>
    <row r="110" spans="3:43">
      <c r="D110" s="22" t="s">
        <v>247</v>
      </c>
      <c r="E110" s="1"/>
      <c r="F110" s="1"/>
      <c r="G110" s="1"/>
      <c r="H110" s="94">
        <f>-H109/H108</f>
        <v>0.18755092064526641</v>
      </c>
      <c r="I110" s="94">
        <f t="shared" ref="I110:M110" si="198">-I109/I108</f>
        <v>0.26758409785932724</v>
      </c>
      <c r="J110" s="94">
        <f t="shared" si="198"/>
        <v>1.3179972936400541</v>
      </c>
      <c r="K110" s="94">
        <f t="shared" si="198"/>
        <v>0.40320232896652108</v>
      </c>
      <c r="L110" s="94">
        <f t="shared" si="198"/>
        <v>0.37720865181839147</v>
      </c>
      <c r="M110" s="94">
        <f t="shared" si="198"/>
        <v>0.48660855604529657</v>
      </c>
      <c r="N110" s="161">
        <v>0.28000000000000003</v>
      </c>
      <c r="O110" s="161">
        <f>N110</f>
        <v>0.28000000000000003</v>
      </c>
      <c r="P110" s="161">
        <f t="shared" ref="P110:S110" si="199">O110</f>
        <v>0.28000000000000003</v>
      </c>
      <c r="Q110" s="161">
        <f t="shared" si="199"/>
        <v>0.28000000000000003</v>
      </c>
      <c r="R110" s="161">
        <f t="shared" si="199"/>
        <v>0.28000000000000003</v>
      </c>
      <c r="S110" s="161">
        <f t="shared" si="199"/>
        <v>0.28000000000000003</v>
      </c>
    </row>
    <row r="111" spans="3:43">
      <c r="C111" s="1"/>
      <c r="D111" s="1"/>
      <c r="E111" s="1"/>
      <c r="F111" s="1"/>
      <c r="G111" s="1"/>
      <c r="H111" s="21"/>
      <c r="I111" s="21"/>
      <c r="J111" s="21"/>
      <c r="K111" s="21"/>
      <c r="L111" s="1"/>
      <c r="M111" s="1"/>
    </row>
    <row r="112" spans="3:43">
      <c r="C112" s="18" t="s">
        <v>248</v>
      </c>
      <c r="D112" s="1"/>
      <c r="E112" s="1"/>
      <c r="H112" s="99">
        <f>H108+H109</f>
        <v>4986</v>
      </c>
      <c r="I112" s="99">
        <f t="shared" ref="I112:K112" si="200">I108+I109</f>
        <v>2395</v>
      </c>
      <c r="J112" s="99">
        <f t="shared" si="200"/>
        <v>-235</v>
      </c>
      <c r="K112" s="99">
        <f t="shared" si="200"/>
        <v>2050</v>
      </c>
      <c r="L112" s="99">
        <f t="shared" ref="L112:S112" si="201">L108+L109</f>
        <v>2770.5529794308577</v>
      </c>
      <c r="M112" s="99">
        <f t="shared" ref="M112" si="202">M108+M109</f>
        <v>454.25582233044872</v>
      </c>
      <c r="N112" s="99">
        <f t="shared" si="201"/>
        <v>1659.8497132385096</v>
      </c>
      <c r="O112" s="99">
        <f t="shared" si="201"/>
        <v>4460.2379321521121</v>
      </c>
      <c r="P112" s="99">
        <f t="shared" si="201"/>
        <v>5245.171638434741</v>
      </c>
      <c r="Q112" s="99">
        <f t="shared" si="201"/>
        <v>6132.2332314786727</v>
      </c>
      <c r="R112" s="99">
        <f t="shared" si="201"/>
        <v>7151.5085331382961</v>
      </c>
      <c r="S112" s="99">
        <f t="shared" si="201"/>
        <v>8318.4308733935432</v>
      </c>
    </row>
    <row r="113" spans="1:43">
      <c r="C113" s="101" t="s">
        <v>193</v>
      </c>
      <c r="H113" s="94">
        <f t="shared" ref="H113:S113" si="203">H112/H15</f>
        <v>4.8028204288438937E-2</v>
      </c>
      <c r="I113" s="94">
        <f t="shared" si="203"/>
        <v>2.3366537557196795E-2</v>
      </c>
      <c r="J113" s="94">
        <f t="shared" si="203"/>
        <v>-2.0526885853044967E-3</v>
      </c>
      <c r="K113" s="94">
        <f t="shared" si="203"/>
        <v>1.9386076069071171E-2</v>
      </c>
      <c r="L113" s="94">
        <f t="shared" si="203"/>
        <v>2.164883700280967E-2</v>
      </c>
      <c r="M113" s="94">
        <f t="shared" ref="M113" si="204">M112/M15</f>
        <v>6.3566604020997061E-3</v>
      </c>
      <c r="N113" s="94">
        <f t="shared" si="203"/>
        <v>1.2164347572541642E-2</v>
      </c>
      <c r="O113" s="94">
        <f t="shared" si="203"/>
        <v>3.0447347174260116E-2</v>
      </c>
      <c r="P113" s="94">
        <f t="shared" si="203"/>
        <v>3.3381269327658579E-2</v>
      </c>
      <c r="Q113" s="94">
        <f t="shared" si="203"/>
        <v>3.6197770151451432E-2</v>
      </c>
      <c r="R113" s="94">
        <f t="shared" si="203"/>
        <v>3.878827432472752E-2</v>
      </c>
      <c r="S113" s="94">
        <f t="shared" si="203"/>
        <v>4.0763360817075919E-2</v>
      </c>
    </row>
    <row r="114" spans="1:43">
      <c r="C114" s="1"/>
      <c r="D114" s="1"/>
      <c r="E114" s="1"/>
      <c r="F114" s="1"/>
      <c r="G114" s="1"/>
      <c r="H114" s="21"/>
      <c r="I114" s="21"/>
      <c r="J114" s="21"/>
      <c r="K114" s="21"/>
      <c r="L114" s="1"/>
      <c r="M114" s="1"/>
    </row>
    <row r="115" spans="1:43" s="62" customFormat="1">
      <c r="A115" s="10" t="s">
        <v>8</v>
      </c>
      <c r="B115" s="10"/>
      <c r="C115" s="10" t="s">
        <v>79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U115" s="1515"/>
      <c r="V115" s="1515"/>
      <c r="W115" s="1515"/>
      <c r="X115" s="1515"/>
      <c r="Y115" s="1515"/>
      <c r="Z115" s="1515"/>
      <c r="AA115" s="1515"/>
      <c r="AI115" s="475"/>
      <c r="AK115" s="1515"/>
      <c r="AL115" s="1515"/>
      <c r="AM115" s="1515"/>
      <c r="AN115" s="1515"/>
      <c r="AO115" s="1515"/>
      <c r="AP115" s="1515"/>
      <c r="AQ115" s="1515"/>
    </row>
    <row r="116" spans="1:43">
      <c r="C116" s="1"/>
      <c r="D116" s="1"/>
      <c r="E116" s="1"/>
      <c r="H116" s="127"/>
      <c r="I116" s="127"/>
      <c r="J116" s="127"/>
      <c r="K116" s="127"/>
    </row>
    <row r="117" spans="1:43" s="101" customFormat="1" ht="14.5" customHeight="1">
      <c r="C117" s="1" t="s">
        <v>249</v>
      </c>
      <c r="D117" s="18"/>
      <c r="E117" s="18"/>
      <c r="H117" s="424">
        <v>246</v>
      </c>
      <c r="I117" s="424">
        <v>1328</v>
      </c>
      <c r="J117" s="424">
        <v>1921</v>
      </c>
      <c r="K117" s="424">
        <v>1407</v>
      </c>
      <c r="L117" s="424">
        <v>1585.2116364155399</v>
      </c>
      <c r="M117" s="424">
        <v>807.68720453864296</v>
      </c>
      <c r="N117" s="97">
        <f t="shared" ref="N117:S117" si="205">-N99</f>
        <v>2916.18687124393</v>
      </c>
      <c r="O117" s="97">
        <f t="shared" si="205"/>
        <v>0</v>
      </c>
      <c r="P117" s="97">
        <f t="shared" si="205"/>
        <v>0</v>
      </c>
      <c r="Q117" s="97">
        <f t="shared" si="205"/>
        <v>0</v>
      </c>
      <c r="R117" s="97">
        <f t="shared" si="205"/>
        <v>0</v>
      </c>
      <c r="S117" s="97">
        <f t="shared" si="205"/>
        <v>0</v>
      </c>
      <c r="U117" s="1512"/>
      <c r="V117" s="1512"/>
      <c r="W117" s="1512"/>
      <c r="X117" s="1512"/>
      <c r="Y117" s="1512"/>
      <c r="Z117" s="1512"/>
      <c r="AA117" s="1512"/>
      <c r="AI117" s="473"/>
      <c r="AK117" s="1512"/>
      <c r="AL117" s="1512"/>
      <c r="AM117" s="1512"/>
      <c r="AN117" s="1512"/>
      <c r="AO117" s="1512"/>
      <c r="AP117" s="1512"/>
      <c r="AQ117" s="1512"/>
    </row>
    <row r="118" spans="1:43" s="101" customFormat="1" ht="14.5" customHeight="1">
      <c r="C118" s="97" t="s">
        <v>250</v>
      </c>
      <c r="H118" s="394">
        <v>2519</v>
      </c>
      <c r="I118" s="394">
        <v>2869</v>
      </c>
      <c r="J118" s="394">
        <v>3225</v>
      </c>
      <c r="K118" s="394">
        <v>2803</v>
      </c>
      <c r="L118" s="394">
        <v>3093.45943426646</v>
      </c>
      <c r="M118" s="394">
        <v>1765.4667076534345</v>
      </c>
      <c r="N118" s="1067">
        <f>'固定资产&amp;无形资产'!N12*1000*集团!N9/集团!N10</f>
        <v>1331.0867855461997</v>
      </c>
      <c r="O118" s="1067">
        <f>'固定资产&amp;无形资产'!O12*1000*集团!O9/集团!O10</f>
        <v>1581.1878264643851</v>
      </c>
      <c r="P118" s="1067">
        <f>'固定资产&amp;无形资产'!P12*1000*集团!P9/集团!P10</f>
        <v>1831.2888673825703</v>
      </c>
      <c r="Q118" s="1067">
        <f>'固定资产&amp;无形资产'!Q12*1000*集团!Q9/集团!Q10</f>
        <v>2301.1623519898462</v>
      </c>
      <c r="R118" s="1067">
        <f>'固定资产&amp;无形资产'!R12*1000*集团!R9/集团!R10</f>
        <v>2771.0358365971219</v>
      </c>
      <c r="S118" s="1067">
        <f>'固定资产&amp;无形资产'!S12*1000*集团!S9/集团!S10</f>
        <v>3021.1368775153069</v>
      </c>
      <c r="U118" s="1512"/>
      <c r="V118" s="1512"/>
      <c r="W118" s="1512"/>
      <c r="X118" s="1512"/>
      <c r="Y118" s="1512"/>
      <c r="Z118" s="1512"/>
      <c r="AA118" s="1512"/>
      <c r="AI118" s="473"/>
      <c r="AK118" s="1512"/>
      <c r="AL118" s="1512"/>
      <c r="AM118" s="1512"/>
      <c r="AN118" s="1512"/>
      <c r="AO118" s="1512"/>
      <c r="AP118" s="1512"/>
      <c r="AQ118" s="1512"/>
    </row>
    <row r="119" spans="1:43" s="101" customFormat="1" ht="14.5" customHeight="1">
      <c r="D119" s="22" t="s">
        <v>83</v>
      </c>
      <c r="E119" s="18"/>
      <c r="H119" s="94">
        <f>H118/H15</f>
        <v>2.4264550060685456E-2</v>
      </c>
      <c r="I119" s="94">
        <f>I118/I15</f>
        <v>2.7991063153067895E-2</v>
      </c>
      <c r="J119" s="94">
        <f>J118/J15</f>
        <v>2.8169875266412774E-2</v>
      </c>
      <c r="K119" s="94">
        <f>K118/K15</f>
        <v>2.6506912791027556E-2</v>
      </c>
      <c r="L119" s="94">
        <f t="shared" ref="L119:S119" si="206">L118/L15</f>
        <v>2.4171997274347636E-2</v>
      </c>
      <c r="M119" s="94">
        <f t="shared" si="206"/>
        <v>2.4705181001735469E-2</v>
      </c>
      <c r="N119" s="94">
        <f t="shared" si="206"/>
        <v>9.7549809355990252E-3</v>
      </c>
      <c r="O119" s="94">
        <f t="shared" si="206"/>
        <v>1.0793813117688409E-2</v>
      </c>
      <c r="P119" s="94">
        <f t="shared" si="206"/>
        <v>1.1654670449846898E-2</v>
      </c>
      <c r="Q119" s="94">
        <f t="shared" si="206"/>
        <v>1.3583460177429738E-2</v>
      </c>
      <c r="R119" s="94">
        <f t="shared" si="206"/>
        <v>1.5029514080215035E-2</v>
      </c>
      <c r="S119" s="94">
        <f t="shared" si="206"/>
        <v>1.4804678248854669E-2</v>
      </c>
      <c r="U119" s="1512"/>
      <c r="V119" s="1512"/>
      <c r="W119" s="1512"/>
      <c r="X119" s="1512"/>
      <c r="Y119" s="1512"/>
      <c r="Z119" s="1512"/>
      <c r="AA119" s="1512"/>
      <c r="AI119" s="473"/>
      <c r="AK119" s="1512"/>
      <c r="AL119" s="1512"/>
      <c r="AM119" s="1512"/>
      <c r="AN119" s="1512"/>
      <c r="AO119" s="1512"/>
      <c r="AP119" s="1512"/>
      <c r="AQ119" s="1512"/>
    </row>
    <row r="120" spans="1:43" s="101" customFormat="1">
      <c r="C120" s="22"/>
      <c r="D120" s="18"/>
      <c r="E120" s="18"/>
      <c r="H120" s="94"/>
      <c r="I120" s="94"/>
      <c r="J120" s="94"/>
      <c r="K120" s="94"/>
      <c r="U120" s="1512"/>
      <c r="V120" s="1512"/>
      <c r="W120" s="1512"/>
      <c r="X120" s="1512"/>
      <c r="Y120" s="1512"/>
      <c r="Z120" s="1512"/>
      <c r="AA120" s="1512"/>
      <c r="AI120" s="473"/>
      <c r="AK120" s="1512"/>
      <c r="AL120" s="1512"/>
      <c r="AM120" s="1512"/>
      <c r="AN120" s="1512"/>
      <c r="AO120" s="1512"/>
      <c r="AP120" s="1512"/>
      <c r="AQ120" s="1512"/>
    </row>
    <row r="121" spans="1:43" s="99" customFormat="1" hidden="1">
      <c r="C121" s="99" t="s">
        <v>84</v>
      </c>
      <c r="H121" s="414">
        <v>9949</v>
      </c>
      <c r="I121" s="414">
        <v>9498</v>
      </c>
      <c r="J121" s="414">
        <v>10852</v>
      </c>
      <c r="K121" s="414">
        <v>11086</v>
      </c>
      <c r="L121" s="166"/>
      <c r="M121" s="166"/>
      <c r="N121" s="166"/>
      <c r="O121" s="166"/>
      <c r="P121" s="166"/>
      <c r="Q121" s="166"/>
      <c r="R121" s="166"/>
      <c r="S121" s="166"/>
      <c r="U121" s="1511"/>
      <c r="V121" s="1511"/>
      <c r="W121" s="1511"/>
      <c r="X121" s="1511"/>
      <c r="Y121" s="1511"/>
      <c r="Z121" s="1511"/>
      <c r="AA121" s="1511"/>
      <c r="AI121" s="414"/>
      <c r="AK121" s="1511"/>
      <c r="AL121" s="1511"/>
      <c r="AM121" s="1511"/>
      <c r="AN121" s="1511"/>
      <c r="AO121" s="1511"/>
      <c r="AP121" s="1511"/>
      <c r="AQ121" s="1511"/>
    </row>
    <row r="122" spans="1:43" s="18" customFormat="1" hidden="1">
      <c r="U122" s="1518"/>
      <c r="V122" s="1518"/>
      <c r="W122" s="1518"/>
      <c r="X122" s="1518"/>
      <c r="Y122" s="1518"/>
      <c r="Z122" s="1518"/>
      <c r="AA122" s="1518"/>
      <c r="AI122" s="478"/>
      <c r="AK122" s="1518"/>
      <c r="AL122" s="1518"/>
      <c r="AM122" s="1518"/>
      <c r="AN122" s="1518"/>
      <c r="AO122" s="1518"/>
      <c r="AP122" s="1518"/>
      <c r="AQ122" s="1518"/>
    </row>
    <row r="123" spans="1:43" hidden="1">
      <c r="A123" s="99"/>
      <c r="B123" s="99"/>
      <c r="C123" s="99"/>
      <c r="D123" s="67" t="s">
        <v>251</v>
      </c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</row>
    <row r="124" spans="1:43" s="99" customFormat="1" hidden="1">
      <c r="C124" s="18"/>
      <c r="D124" s="1" t="s">
        <v>252</v>
      </c>
      <c r="E124" s="18"/>
      <c r="H124" s="394">
        <v>0</v>
      </c>
      <c r="I124" s="394">
        <v>-48</v>
      </c>
      <c r="J124" s="394">
        <v>-2465</v>
      </c>
      <c r="K124" s="394">
        <v>-1837</v>
      </c>
      <c r="L124" s="166"/>
      <c r="M124" s="166"/>
      <c r="N124" s="166"/>
      <c r="O124" s="166"/>
      <c r="P124" s="166"/>
      <c r="Q124" s="166"/>
      <c r="R124" s="166"/>
      <c r="S124" s="166"/>
      <c r="U124" s="1511"/>
      <c r="V124" s="1511"/>
      <c r="W124" s="1511"/>
      <c r="X124" s="1511"/>
      <c r="Y124" s="1511"/>
      <c r="Z124" s="1511"/>
      <c r="AA124" s="1511"/>
      <c r="AI124" s="414"/>
      <c r="AK124" s="1511"/>
      <c r="AL124" s="1511"/>
      <c r="AM124" s="1511"/>
      <c r="AN124" s="1511"/>
      <c r="AO124" s="1511"/>
      <c r="AP124" s="1511"/>
      <c r="AQ124" s="1511"/>
    </row>
    <row r="125" spans="1:43" s="101" customFormat="1" hidden="1">
      <c r="C125" s="1"/>
      <c r="D125" s="1" t="s">
        <v>253</v>
      </c>
      <c r="E125" s="1"/>
      <c r="F125" s="1"/>
      <c r="G125" s="1"/>
      <c r="H125" s="394">
        <v>1231</v>
      </c>
      <c r="I125" s="394">
        <v>0</v>
      </c>
      <c r="J125" s="394">
        <v>0</v>
      </c>
      <c r="K125" s="394">
        <v>0</v>
      </c>
      <c r="L125" s="167"/>
      <c r="M125" s="167"/>
      <c r="N125" s="157"/>
      <c r="O125" s="157"/>
      <c r="P125" s="157"/>
      <c r="Q125" s="157"/>
      <c r="R125" s="157"/>
      <c r="S125" s="157"/>
      <c r="U125" s="1512"/>
      <c r="V125" s="1512"/>
      <c r="W125" s="1512"/>
      <c r="X125" s="1512"/>
      <c r="Y125" s="1512"/>
      <c r="Z125" s="1512"/>
      <c r="AA125" s="1512"/>
      <c r="AI125" s="473"/>
      <c r="AK125" s="1512"/>
      <c r="AL125" s="1512"/>
      <c r="AM125" s="1512"/>
      <c r="AN125" s="1512"/>
      <c r="AO125" s="1512"/>
      <c r="AP125" s="1512"/>
      <c r="AQ125" s="1512"/>
    </row>
    <row r="126" spans="1:43" hidden="1">
      <c r="C126" s="1"/>
      <c r="D126" s="1" t="s">
        <v>254</v>
      </c>
      <c r="E126" s="1"/>
      <c r="F126" s="1"/>
      <c r="G126" s="1"/>
      <c r="H126" s="394">
        <v>-22</v>
      </c>
      <c r="I126" s="394">
        <v>462</v>
      </c>
      <c r="J126" s="394">
        <v>-42</v>
      </c>
      <c r="K126" s="394">
        <v>-19</v>
      </c>
      <c r="L126" s="167"/>
      <c r="M126" s="167"/>
      <c r="N126" s="166"/>
      <c r="O126" s="166"/>
      <c r="P126" s="166"/>
      <c r="Q126" s="166"/>
      <c r="R126" s="166"/>
      <c r="S126" s="166"/>
    </row>
    <row r="127" spans="1:43" hidden="1">
      <c r="C127" s="1"/>
      <c r="D127" s="1" t="s">
        <v>255</v>
      </c>
      <c r="E127" s="1"/>
      <c r="F127" s="1"/>
      <c r="G127" s="1"/>
      <c r="H127" s="394">
        <v>0</v>
      </c>
      <c r="I127" s="394">
        <v>0</v>
      </c>
      <c r="J127" s="394">
        <v>0</v>
      </c>
      <c r="K127" s="394">
        <v>568</v>
      </c>
      <c r="L127" s="167"/>
      <c r="M127" s="167"/>
      <c r="N127" s="169"/>
      <c r="O127" s="169"/>
      <c r="P127" s="169"/>
      <c r="Q127" s="169"/>
      <c r="R127" s="169"/>
      <c r="S127" s="169"/>
    </row>
    <row r="128" spans="1:43" hidden="1">
      <c r="C128" s="1"/>
      <c r="D128" s="1" t="s">
        <v>91</v>
      </c>
      <c r="E128" s="1"/>
      <c r="F128" s="1"/>
      <c r="G128" s="1"/>
      <c r="H128" s="394">
        <v>-2254</v>
      </c>
      <c r="I128" s="394">
        <v>-2444</v>
      </c>
      <c r="J128" s="394">
        <v>-2461</v>
      </c>
      <c r="K128" s="394">
        <v>-2155</v>
      </c>
      <c r="L128" s="167"/>
      <c r="M128" s="167"/>
      <c r="N128" s="169"/>
      <c r="O128" s="169"/>
      <c r="P128" s="169"/>
      <c r="Q128" s="169"/>
      <c r="R128" s="169"/>
      <c r="S128" s="169"/>
    </row>
    <row r="129" spans="1:43" hidden="1">
      <c r="C129" s="1"/>
      <c r="D129" s="18" t="s">
        <v>256</v>
      </c>
      <c r="E129" s="1"/>
      <c r="F129" s="1"/>
      <c r="G129" s="1"/>
      <c r="H129" s="23">
        <f>SUM(H124:H128)</f>
        <v>-1045</v>
      </c>
      <c r="I129" s="23">
        <f t="shared" ref="I129:K129" si="207">SUM(I124:I128)</f>
        <v>-2030</v>
      </c>
      <c r="J129" s="23">
        <f t="shared" si="207"/>
        <v>-4968</v>
      </c>
      <c r="K129" s="23">
        <f t="shared" si="207"/>
        <v>-3443</v>
      </c>
      <c r="L129" s="167"/>
      <c r="M129" s="167"/>
      <c r="N129" s="169"/>
      <c r="O129" s="169"/>
      <c r="P129" s="169"/>
      <c r="Q129" s="169"/>
      <c r="R129" s="169"/>
      <c r="S129" s="169"/>
    </row>
    <row r="130" spans="1:43">
      <c r="C130" s="1"/>
      <c r="D130" s="1"/>
      <c r="E130" s="1"/>
      <c r="H130" s="52"/>
      <c r="I130" s="52"/>
      <c r="J130" s="52"/>
      <c r="K130" s="52"/>
    </row>
    <row r="131" spans="1:43" s="99" customFormat="1">
      <c r="C131" s="99" t="s">
        <v>99</v>
      </c>
      <c r="H131" s="99">
        <f>H121+H129</f>
        <v>8904</v>
      </c>
      <c r="I131" s="99">
        <f t="shared" ref="I131:K131" si="208">I121+I129</f>
        <v>7468</v>
      </c>
      <c r="J131" s="99">
        <f t="shared" si="208"/>
        <v>5884</v>
      </c>
      <c r="K131" s="99">
        <f t="shared" si="208"/>
        <v>7643</v>
      </c>
      <c r="L131" s="99">
        <f>L108+L117+L118</f>
        <v>9127.2765105619274</v>
      </c>
      <c r="M131" s="99">
        <f>M108+M117+M118</f>
        <v>3457.9676886572106</v>
      </c>
      <c r="N131" s="99">
        <f t="shared" ref="N131:S131" si="209">N108+N117+N118</f>
        <v>6552.6204807325048</v>
      </c>
      <c r="O131" s="99">
        <f t="shared" si="209"/>
        <v>7775.9627322312081</v>
      </c>
      <c r="P131" s="99">
        <f t="shared" si="209"/>
        <v>9116.2494763197119</v>
      </c>
      <c r="Q131" s="99">
        <f t="shared" si="209"/>
        <v>10818.15295126578</v>
      </c>
      <c r="R131" s="99">
        <f t="shared" si="209"/>
        <v>12703.686577066979</v>
      </c>
      <c r="S131" s="99">
        <f t="shared" si="209"/>
        <v>14574.513090561893</v>
      </c>
      <c r="U131" s="1511"/>
      <c r="V131" s="1511"/>
      <c r="W131" s="1511"/>
      <c r="X131" s="1511"/>
      <c r="Y131" s="1511"/>
      <c r="Z131" s="1511"/>
      <c r="AA131" s="1511"/>
      <c r="AI131" s="414"/>
      <c r="AK131" s="1511"/>
      <c r="AL131" s="1511"/>
      <c r="AM131" s="1511"/>
      <c r="AN131" s="1511"/>
      <c r="AO131" s="1511"/>
      <c r="AP131" s="1511"/>
      <c r="AQ131" s="1511"/>
    </row>
    <row r="132" spans="1:43">
      <c r="C132" s="1"/>
      <c r="D132" s="22" t="s">
        <v>257</v>
      </c>
      <c r="E132" s="1"/>
      <c r="F132" s="1"/>
      <c r="G132" s="1"/>
      <c r="H132" s="137">
        <f t="shared" ref="H132:S132" si="210">H131/H15</f>
        <v>8.5768778777428861E-2</v>
      </c>
      <c r="I132" s="137">
        <f t="shared" si="210"/>
        <v>7.2860669092753932E-2</v>
      </c>
      <c r="J132" s="137">
        <f t="shared" si="210"/>
        <v>5.1395828238007056E-2</v>
      </c>
      <c r="K132" s="137">
        <f t="shared" si="210"/>
        <v>7.2276965558980957E-2</v>
      </c>
      <c r="L132" s="137">
        <f t="shared" si="210"/>
        <v>7.1319669006047887E-2</v>
      </c>
      <c r="M132" s="137">
        <f t="shared" ref="M132" si="211">M131/M15</f>
        <v>4.8389311039446291E-2</v>
      </c>
      <c r="N132" s="137">
        <f t="shared" si="210"/>
        <v>4.8021427724963865E-2</v>
      </c>
      <c r="O132" s="137">
        <f t="shared" si="210"/>
        <v>5.3081795304160795E-2</v>
      </c>
      <c r="P132" s="137">
        <f t="shared" si="210"/>
        <v>5.8017544516039382E-2</v>
      </c>
      <c r="Q132" s="137">
        <f t="shared" si="210"/>
        <v>6.3858140943334502E-2</v>
      </c>
      <c r="R132" s="137">
        <f t="shared" si="210"/>
        <v>6.8902117309003266E-2</v>
      </c>
      <c r="S132" s="137">
        <f t="shared" si="210"/>
        <v>7.1420457161460102E-2</v>
      </c>
    </row>
    <row r="133" spans="1:43">
      <c r="C133" s="1"/>
      <c r="D133" s="1"/>
      <c r="E133" s="1"/>
      <c r="F133" s="1"/>
      <c r="G133" s="1"/>
      <c r="H133" s="52"/>
      <c r="I133" s="52"/>
      <c r="J133" s="52"/>
      <c r="K133" s="52"/>
      <c r="L133" s="52"/>
      <c r="M133" s="52"/>
    </row>
    <row r="134" spans="1:43" hidden="1">
      <c r="C134" s="1"/>
      <c r="D134" s="67" t="s">
        <v>258</v>
      </c>
      <c r="E134" s="1"/>
      <c r="F134" s="1"/>
      <c r="G134" s="1"/>
      <c r="H134" s="21"/>
      <c r="I134" s="21"/>
      <c r="J134" s="21"/>
      <c r="K134" s="21"/>
      <c r="L134" s="1"/>
      <c r="M134" s="1"/>
    </row>
    <row r="135" spans="1:43" hidden="1">
      <c r="C135" s="1"/>
      <c r="D135" s="1" t="s">
        <v>231</v>
      </c>
      <c r="E135" s="1"/>
      <c r="F135" s="1"/>
      <c r="G135" s="1"/>
      <c r="H135" s="21"/>
      <c r="I135" s="21"/>
      <c r="J135" s="21"/>
      <c r="K135" s="21"/>
      <c r="L135" s="1"/>
      <c r="M135" s="1"/>
    </row>
    <row r="136" spans="1:43" hidden="1">
      <c r="C136" s="18"/>
      <c r="D136" s="18" t="s">
        <v>256</v>
      </c>
      <c r="E136" s="1"/>
      <c r="H136" s="23"/>
      <c r="I136" s="23"/>
      <c r="J136" s="23"/>
      <c r="K136" s="23"/>
    </row>
    <row r="137" spans="1:43" hidden="1">
      <c r="C137" s="1"/>
      <c r="D137" s="1"/>
      <c r="E137" s="1"/>
      <c r="F137" s="1"/>
      <c r="G137" s="1"/>
      <c r="H137" s="21"/>
      <c r="I137" s="21"/>
      <c r="J137" s="21"/>
      <c r="K137" s="21"/>
      <c r="L137" s="1"/>
      <c r="M137" s="1"/>
    </row>
    <row r="138" spans="1:43" s="99" customFormat="1" hidden="1">
      <c r="C138" s="18" t="s">
        <v>259</v>
      </c>
      <c r="D138" s="18"/>
      <c r="E138" s="18"/>
      <c r="F138" s="18"/>
      <c r="G138" s="18"/>
      <c r="H138" s="98"/>
      <c r="I138" s="98"/>
      <c r="J138" s="98"/>
      <c r="K138" s="98"/>
      <c r="L138" s="18"/>
      <c r="M138" s="18"/>
      <c r="U138" s="1511"/>
      <c r="V138" s="1511"/>
      <c r="W138" s="1511"/>
      <c r="X138" s="1511"/>
      <c r="Y138" s="1511"/>
      <c r="Z138" s="1511"/>
      <c r="AA138" s="1511"/>
      <c r="AI138" s="414"/>
      <c r="AK138" s="1511"/>
      <c r="AL138" s="1511"/>
      <c r="AM138" s="1511"/>
      <c r="AN138" s="1511"/>
      <c r="AO138" s="1511"/>
      <c r="AP138" s="1511"/>
      <c r="AQ138" s="1511"/>
    </row>
    <row r="139" spans="1:43" hidden="1">
      <c r="C139" s="1"/>
      <c r="D139" s="22" t="s">
        <v>257</v>
      </c>
      <c r="E139" s="1"/>
      <c r="F139" s="1"/>
      <c r="G139" s="1"/>
      <c r="H139" s="137"/>
      <c r="I139" s="137"/>
      <c r="J139" s="137"/>
      <c r="K139" s="137"/>
      <c r="L139" s="1"/>
      <c r="M139" s="1"/>
    </row>
    <row r="140" spans="1:43">
      <c r="C140" s="1"/>
      <c r="D140" s="1"/>
      <c r="E140" s="1"/>
      <c r="F140" s="1"/>
      <c r="G140" s="1"/>
      <c r="H140" s="21"/>
      <c r="I140" s="21"/>
      <c r="J140" s="21"/>
      <c r="K140" s="21"/>
      <c r="L140" s="1"/>
      <c r="M140" s="1"/>
    </row>
    <row r="141" spans="1:43" s="59" customFormat="1">
      <c r="A141" s="58" t="s">
        <v>8</v>
      </c>
      <c r="B141" s="58" t="s">
        <v>109</v>
      </c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U141" s="1515"/>
      <c r="V141" s="1515"/>
      <c r="W141" s="1515"/>
      <c r="X141" s="1515"/>
      <c r="Y141" s="1515"/>
      <c r="Z141" s="1515"/>
      <c r="AA141" s="1515"/>
      <c r="AI141" s="476"/>
      <c r="AK141" s="1515"/>
      <c r="AL141" s="1515"/>
      <c r="AM141" s="1515"/>
      <c r="AN141" s="1515"/>
      <c r="AO141" s="1515"/>
      <c r="AP141" s="1515"/>
      <c r="AQ141" s="1515"/>
    </row>
    <row r="142" spans="1:43" s="1" customFormat="1">
      <c r="U142" s="1515"/>
      <c r="V142" s="1515"/>
      <c r="W142" s="1515"/>
      <c r="X142" s="1515"/>
      <c r="Y142" s="1515"/>
      <c r="Z142" s="1515"/>
      <c r="AA142" s="1515"/>
      <c r="AI142" s="415"/>
      <c r="AK142" s="1515"/>
      <c r="AL142" s="1515"/>
      <c r="AM142" s="1515"/>
      <c r="AN142" s="1515"/>
      <c r="AO142" s="1515"/>
      <c r="AP142" s="1515"/>
      <c r="AQ142" s="1515"/>
    </row>
    <row r="143" spans="1:43" s="62" customFormat="1">
      <c r="A143" s="10" t="s">
        <v>8</v>
      </c>
      <c r="B143" s="10"/>
      <c r="C143" s="10" t="s">
        <v>110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U143" s="1515"/>
      <c r="V143" s="1515"/>
      <c r="W143" s="1515"/>
      <c r="X143" s="1515"/>
      <c r="Y143" s="1515"/>
      <c r="Z143" s="1515"/>
      <c r="AA143" s="1515"/>
      <c r="AI143" s="475"/>
      <c r="AK143" s="1515"/>
      <c r="AL143" s="1515"/>
      <c r="AM143" s="1515"/>
      <c r="AN143" s="1515"/>
      <c r="AO143" s="1515"/>
      <c r="AP143" s="1515"/>
      <c r="AQ143" s="1515"/>
    </row>
    <row r="144" spans="1:43">
      <c r="D144" s="97" t="s">
        <v>217</v>
      </c>
      <c r="H144" s="20">
        <f>H15</f>
        <v>103814</v>
      </c>
      <c r="I144" s="20">
        <f>I15</f>
        <v>102497</v>
      </c>
      <c r="J144" s="20">
        <f>J15</f>
        <v>114484</v>
      </c>
      <c r="K144" s="394">
        <v>133167</v>
      </c>
      <c r="L144" s="20">
        <f t="shared" ref="L144:S144" si="212">L15</f>
        <v>127976.9892059922</v>
      </c>
      <c r="M144" s="20">
        <f>M15/7*12</f>
        <v>122505.24923353981</v>
      </c>
      <c r="N144" s="20">
        <f t="shared" si="212"/>
        <v>136452.01301097791</v>
      </c>
      <c r="O144" s="20">
        <f t="shared" si="212"/>
        <v>146490.19852615445</v>
      </c>
      <c r="P144" s="20">
        <f t="shared" si="212"/>
        <v>157129.18484165522</v>
      </c>
      <c r="Q144" s="20">
        <f t="shared" si="212"/>
        <v>169409.14332074643</v>
      </c>
      <c r="R144" s="20">
        <f t="shared" si="212"/>
        <v>184372.94923892012</v>
      </c>
      <c r="S144" s="20">
        <f t="shared" si="212"/>
        <v>204066.36515380064</v>
      </c>
    </row>
    <row r="145" spans="1:43">
      <c r="D145" s="97" t="s">
        <v>218</v>
      </c>
      <c r="H145" s="20">
        <f>H25</f>
        <v>-84830</v>
      </c>
      <c r="I145" s="20">
        <f>I25</f>
        <v>-83837</v>
      </c>
      <c r="J145" s="20">
        <f>J25</f>
        <v>-96163</v>
      </c>
      <c r="K145" s="394">
        <v>-108021</v>
      </c>
      <c r="L145" s="20">
        <f t="shared" ref="L145:S145" si="213">L25</f>
        <v>-104431.498502071</v>
      </c>
      <c r="M145" s="20">
        <f>M25/7*12</f>
        <v>-101133.41089821581</v>
      </c>
      <c r="N145" s="20">
        <f t="shared" si="213"/>
        <v>-112536.55993336151</v>
      </c>
      <c r="O145" s="20">
        <f t="shared" si="213"/>
        <v>-120812.23408730877</v>
      </c>
      <c r="P145" s="20">
        <f t="shared" si="213"/>
        <v>-129574.5667580497</v>
      </c>
      <c r="Q145" s="20">
        <f t="shared" si="213"/>
        <v>-139716.01775225508</v>
      </c>
      <c r="R145" s="20">
        <f t="shared" si="213"/>
        <v>-152131.18028827335</v>
      </c>
      <c r="S145" s="20">
        <f t="shared" si="213"/>
        <v>-168637.23378918148</v>
      </c>
    </row>
    <row r="146" spans="1:43">
      <c r="C146" s="99"/>
      <c r="D146" s="97" t="s">
        <v>219</v>
      </c>
      <c r="E146" s="99"/>
      <c r="F146" s="99"/>
      <c r="G146" s="99"/>
      <c r="H146" s="20">
        <f>H93</f>
        <v>-12464</v>
      </c>
      <c r="I146" s="20">
        <f>I93</f>
        <v>-13731</v>
      </c>
      <c r="J146" s="20">
        <f>J93</f>
        <v>-15518</v>
      </c>
      <c r="K146" s="20">
        <f>K93/10*12</f>
        <v>-16968</v>
      </c>
      <c r="L146" s="20">
        <f t="shared" ref="L146:S146" si="214">L93</f>
        <v>-17175.567677737621</v>
      </c>
      <c r="M146" s="20">
        <f>M93/7*12</f>
        <v>-17355.425971746117</v>
      </c>
      <c r="N146" s="20">
        <f t="shared" si="214"/>
        <v>-18693.919382430096</v>
      </c>
      <c r="O146" s="20">
        <f t="shared" si="214"/>
        <v>-19483.189533078857</v>
      </c>
      <c r="P146" s="20">
        <f t="shared" si="214"/>
        <v>-20269.657474668387</v>
      </c>
      <c r="Q146" s="20">
        <f t="shared" si="214"/>
        <v>-21176.134969215414</v>
      </c>
      <c r="R146" s="20">
        <f t="shared" si="214"/>
        <v>-22309.118210176915</v>
      </c>
      <c r="S146" s="20">
        <f t="shared" si="214"/>
        <v>-23875.755151572568</v>
      </c>
    </row>
    <row r="147" spans="1:43" s="101" customFormat="1">
      <c r="C147" s="22"/>
      <c r="D147" s="18"/>
      <c r="E147" s="18"/>
      <c r="H147" s="94"/>
      <c r="I147" s="94"/>
      <c r="J147" s="94"/>
      <c r="K147" s="94"/>
      <c r="U147" s="1512"/>
      <c r="V147" s="1512"/>
      <c r="W147" s="1512"/>
      <c r="X147" s="1512"/>
      <c r="Y147" s="1512"/>
      <c r="Z147" s="1512"/>
      <c r="AA147" s="1512"/>
      <c r="AI147" s="473"/>
      <c r="AK147" s="1512"/>
      <c r="AL147" s="1512"/>
      <c r="AM147" s="1512"/>
      <c r="AN147" s="1512"/>
      <c r="AO147" s="1512"/>
      <c r="AP147" s="1512"/>
      <c r="AQ147" s="1512"/>
    </row>
    <row r="148" spans="1:43" s="99" customFormat="1">
      <c r="D148" s="99" t="s">
        <v>260</v>
      </c>
      <c r="H148" s="99">
        <f>SUM(H149:H151)</f>
        <v>17304</v>
      </c>
      <c r="I148" s="99">
        <f t="shared" ref="I148:M148" si="215">SUM(I149:I151)</f>
        <v>21514</v>
      </c>
      <c r="J148" s="99">
        <f t="shared" si="215"/>
        <v>25897</v>
      </c>
      <c r="K148" s="99">
        <f t="shared" si="215"/>
        <v>22960</v>
      </c>
      <c r="L148" s="99">
        <f t="shared" si="215"/>
        <v>24139.337059284691</v>
      </c>
      <c r="M148" s="99">
        <f t="shared" si="215"/>
        <v>22155.891904430813</v>
      </c>
      <c r="N148" s="99">
        <f>N144/(360/N152)</f>
        <v>25774.269124295828</v>
      </c>
      <c r="O148" s="99">
        <f t="shared" ref="O148:S148" si="216">O144/(360/O152)</f>
        <v>27670.370832718065</v>
      </c>
      <c r="P148" s="99">
        <f t="shared" si="216"/>
        <v>29679.957136757097</v>
      </c>
      <c r="Q148" s="99">
        <f t="shared" si="216"/>
        <v>31999.504849474328</v>
      </c>
      <c r="R148" s="99">
        <f t="shared" si="216"/>
        <v>34826.001522907136</v>
      </c>
      <c r="S148" s="99">
        <f t="shared" si="216"/>
        <v>38545.868973495679</v>
      </c>
      <c r="U148" s="1511"/>
      <c r="V148" s="1511"/>
      <c r="W148" s="1511"/>
      <c r="X148" s="1511"/>
      <c r="Y148" s="1511"/>
      <c r="Z148" s="1511"/>
      <c r="AA148" s="1511"/>
      <c r="AI148" s="414"/>
      <c r="AK148" s="1511"/>
      <c r="AL148" s="1511"/>
      <c r="AM148" s="1511"/>
      <c r="AN148" s="1511"/>
      <c r="AO148" s="1511"/>
      <c r="AP148" s="1511"/>
      <c r="AQ148" s="1511"/>
    </row>
    <row r="149" spans="1:43" s="18" customFormat="1">
      <c r="E149" s="1" t="s">
        <v>261</v>
      </c>
      <c r="H149" s="394">
        <v>17311</v>
      </c>
      <c r="I149" s="394">
        <v>21422</v>
      </c>
      <c r="J149" s="394">
        <v>22580</v>
      </c>
      <c r="K149" s="394">
        <v>22698</v>
      </c>
      <c r="L149" s="394">
        <v>23653.924234485465</v>
      </c>
      <c r="M149" s="394">
        <v>22011.377265476458</v>
      </c>
      <c r="N149" s="80">
        <f>N$148/M$148*M149</f>
        <v>25606.153157090506</v>
      </c>
      <c r="O149" s="80">
        <f t="shared" ref="O149:S149" si="217">O$148/N$148*N149</f>
        <v>27489.88729958512</v>
      </c>
      <c r="P149" s="80">
        <f t="shared" si="217"/>
        <v>29486.365819905557</v>
      </c>
      <c r="Q149" s="80">
        <f t="shared" si="217"/>
        <v>31790.783985968264</v>
      </c>
      <c r="R149" s="80">
        <f t="shared" si="217"/>
        <v>34598.844473305347</v>
      </c>
      <c r="S149" s="80">
        <f t="shared" si="217"/>
        <v>38294.448612631197</v>
      </c>
      <c r="U149" s="1518"/>
      <c r="V149" s="1518"/>
      <c r="W149" s="1518"/>
      <c r="X149" s="1518"/>
      <c r="Y149" s="1518"/>
      <c r="Z149" s="1518"/>
      <c r="AA149" s="1518"/>
      <c r="AI149" s="478"/>
      <c r="AK149" s="1518"/>
      <c r="AL149" s="1518"/>
      <c r="AM149" s="1518"/>
      <c r="AN149" s="1518"/>
      <c r="AO149" s="1518"/>
      <c r="AP149" s="1518"/>
      <c r="AQ149" s="1518"/>
    </row>
    <row r="150" spans="1:43">
      <c r="A150" s="99"/>
      <c r="B150" s="99"/>
      <c r="C150" s="99"/>
      <c r="D150" s="99"/>
      <c r="E150" s="1" t="s">
        <v>262</v>
      </c>
      <c r="F150" s="99"/>
      <c r="G150" s="99"/>
      <c r="H150" s="394">
        <v>268</v>
      </c>
      <c r="I150" s="394">
        <v>94</v>
      </c>
      <c r="J150" s="394">
        <v>3717</v>
      </c>
      <c r="K150" s="394">
        <v>403</v>
      </c>
      <c r="L150" s="394">
        <v>856.76926000000003</v>
      </c>
      <c r="M150" s="394">
        <v>419.57668999999999</v>
      </c>
      <c r="N150" s="80">
        <f t="shared" ref="N150:S150" si="218">N$148/M$148*M150</f>
        <v>488.09962483065573</v>
      </c>
      <c r="O150" s="80">
        <f t="shared" si="218"/>
        <v>524.00700703647203</v>
      </c>
      <c r="P150" s="80">
        <f t="shared" si="218"/>
        <v>562.06350114445286</v>
      </c>
      <c r="Q150" s="80">
        <f t="shared" si="218"/>
        <v>605.98988225323308</v>
      </c>
      <c r="R150" s="80">
        <f t="shared" si="218"/>
        <v>659.51659756898084</v>
      </c>
      <c r="S150" s="80">
        <f t="shared" si="218"/>
        <v>729.96150129432135</v>
      </c>
    </row>
    <row r="151" spans="1:43" s="99" customFormat="1">
      <c r="C151" s="18"/>
      <c r="D151" s="18"/>
      <c r="E151" s="1" t="s">
        <v>263</v>
      </c>
      <c r="H151" s="394">
        <v>-275</v>
      </c>
      <c r="I151" s="394">
        <v>-2</v>
      </c>
      <c r="J151" s="394">
        <v>-400</v>
      </c>
      <c r="K151" s="394">
        <v>-141</v>
      </c>
      <c r="L151" s="394">
        <v>-371.3564352007761</v>
      </c>
      <c r="M151" s="394">
        <v>-275.06205104564634</v>
      </c>
      <c r="N151" s="80">
        <f t="shared" ref="N151:S151" si="219">N$148/M$148*M151</f>
        <v>-319.98365762533342</v>
      </c>
      <c r="O151" s="80">
        <f t="shared" si="219"/>
        <v>-343.52347390352509</v>
      </c>
      <c r="P151" s="80">
        <f t="shared" si="219"/>
        <v>-368.47218429291246</v>
      </c>
      <c r="Q151" s="80">
        <f t="shared" si="219"/>
        <v>-397.2690187471664</v>
      </c>
      <c r="R151" s="80">
        <f t="shared" si="219"/>
        <v>-432.35954796719045</v>
      </c>
      <c r="S151" s="80">
        <f t="shared" si="219"/>
        <v>-478.54114042983474</v>
      </c>
      <c r="U151" s="1511"/>
      <c r="V151" s="1511"/>
      <c r="W151" s="1511"/>
      <c r="X151" s="1511"/>
      <c r="Y151" s="1511"/>
      <c r="Z151" s="1511"/>
      <c r="AA151" s="1511"/>
      <c r="AI151" s="414"/>
      <c r="AK151" s="1511"/>
      <c r="AL151" s="1511"/>
      <c r="AM151" s="1511"/>
      <c r="AN151" s="1511"/>
      <c r="AO151" s="1511"/>
      <c r="AP151" s="1511"/>
      <c r="AQ151" s="1511"/>
    </row>
    <row r="152" spans="1:43" s="101" customFormat="1">
      <c r="C152" s="1"/>
      <c r="D152" s="18" t="s">
        <v>264</v>
      </c>
      <c r="E152" s="1"/>
      <c r="F152" s="1"/>
      <c r="G152" s="1"/>
      <c r="H152" s="23">
        <f>360/(H144/H148)</f>
        <v>60.005779567303058</v>
      </c>
      <c r="I152" s="23">
        <f>360/(I144/AVERAGE(H148:I148))</f>
        <v>68.170190347034548</v>
      </c>
      <c r="J152" s="23">
        <f t="shared" ref="J152" si="220">360/(J144/AVERAGE(I148:J148))</f>
        <v>74.54299290730583</v>
      </c>
      <c r="K152" s="23">
        <f>360/(K144/AVERAGE(J148,K148))</f>
        <v>66.039334069251396</v>
      </c>
      <c r="L152" s="23">
        <f>360/(L144/AVERAGE(J148,L148))</f>
        <v>70.376250656860549</v>
      </c>
      <c r="M152" s="23">
        <f>360/(M144/AVERAGE(L148,M148))</f>
        <v>68.022727724775095</v>
      </c>
      <c r="N152" s="1417">
        <v>68</v>
      </c>
      <c r="O152" s="1417">
        <f>N152</f>
        <v>68</v>
      </c>
      <c r="P152" s="1417">
        <f t="shared" ref="P152:S152" si="221">O152</f>
        <v>68</v>
      </c>
      <c r="Q152" s="1417">
        <f t="shared" si="221"/>
        <v>68</v>
      </c>
      <c r="R152" s="1417">
        <f t="shared" si="221"/>
        <v>68</v>
      </c>
      <c r="S152" s="1417">
        <f t="shared" si="221"/>
        <v>68</v>
      </c>
      <c r="U152" s="1512"/>
      <c r="V152" s="1512"/>
      <c r="W152" s="1512"/>
      <c r="X152" s="1512"/>
      <c r="Y152" s="1512"/>
      <c r="Z152" s="1512"/>
      <c r="AA152" s="1512"/>
      <c r="AI152" s="473"/>
      <c r="AK152" s="1512"/>
      <c r="AL152" s="1512"/>
      <c r="AM152" s="1512"/>
      <c r="AN152" s="1512"/>
      <c r="AO152" s="1512"/>
      <c r="AP152" s="1512"/>
      <c r="AQ152" s="1512"/>
    </row>
    <row r="153" spans="1:43">
      <c r="C153" s="1"/>
      <c r="D153" s="1"/>
      <c r="E153" s="1"/>
      <c r="F153" s="1"/>
      <c r="G153" s="1"/>
      <c r="H153" s="21"/>
      <c r="I153" s="21"/>
      <c r="J153" s="21"/>
      <c r="K153" s="21"/>
      <c r="L153" s="1"/>
      <c r="M153" s="1"/>
      <c r="N153" s="99"/>
      <c r="O153" s="99"/>
      <c r="P153" s="99"/>
      <c r="Q153" s="99"/>
      <c r="R153" s="99"/>
      <c r="S153" s="99"/>
    </row>
    <row r="154" spans="1:43">
      <c r="C154" s="1"/>
      <c r="D154" s="18" t="s">
        <v>265</v>
      </c>
      <c r="E154" s="1"/>
      <c r="F154" s="1"/>
      <c r="G154" s="1"/>
      <c r="H154" s="394">
        <v>28190</v>
      </c>
      <c r="I154" s="394">
        <v>34392</v>
      </c>
      <c r="J154" s="394">
        <v>41112</v>
      </c>
      <c r="K154" s="394">
        <v>37696</v>
      </c>
      <c r="L154" s="424">
        <v>38259.234830802357</v>
      </c>
      <c r="M154" s="424">
        <v>35169.420018516263</v>
      </c>
      <c r="N154" s="97">
        <f>-N145/(360/N155)</f>
        <v>40853.997427185772</v>
      </c>
      <c r="O154" s="97">
        <f t="shared" ref="O154:S154" si="222">-O145/(360/O155)</f>
        <v>43858.304390130004</v>
      </c>
      <c r="P154" s="97">
        <f t="shared" si="222"/>
        <v>47039.282346081127</v>
      </c>
      <c r="Q154" s="97">
        <f t="shared" si="222"/>
        <v>50720.919789686443</v>
      </c>
      <c r="R154" s="97">
        <f t="shared" si="222"/>
        <v>55227.979705192367</v>
      </c>
      <c r="S154" s="97">
        <f t="shared" si="222"/>
        <v>61220.150317644009</v>
      </c>
    </row>
    <row r="155" spans="1:43">
      <c r="C155" s="1"/>
      <c r="D155" s="18" t="s">
        <v>266</v>
      </c>
      <c r="E155" s="1"/>
      <c r="F155" s="1"/>
      <c r="G155" s="1"/>
      <c r="H155" s="23">
        <f>-360/(H145/H154)</f>
        <v>119.63220558764588</v>
      </c>
      <c r="I155" s="23">
        <f>-360/(I145/AVERAGE(H154:I154))</f>
        <v>134.36501783222204</v>
      </c>
      <c r="J155" s="23">
        <f t="shared" ref="J155" si="223">-360/(J145/AVERAGE(I154:J154))</f>
        <v>141.33003338082213</v>
      </c>
      <c r="K155" s="23">
        <f>-360/(K145/AVERAGE(J154,K154))</f>
        <v>131.32113200211072</v>
      </c>
      <c r="L155" s="23">
        <f>-360/(L145/AVERAGE(J154,L154))</f>
        <v>136.80568099155545</v>
      </c>
      <c r="M155" s="23">
        <f t="shared" ref="M155" si="224">-360/(M145/AVERAGE(L154,M154))</f>
        <v>130.69032039450897</v>
      </c>
      <c r="N155" s="1417">
        <f>M155</f>
        <v>130.69032039450897</v>
      </c>
      <c r="O155" s="1417">
        <f t="shared" ref="O155:S155" si="225">N155</f>
        <v>130.69032039450897</v>
      </c>
      <c r="P155" s="1417">
        <f t="shared" si="225"/>
        <v>130.69032039450897</v>
      </c>
      <c r="Q155" s="1417">
        <f t="shared" si="225"/>
        <v>130.69032039450897</v>
      </c>
      <c r="R155" s="1417">
        <f t="shared" si="225"/>
        <v>130.69032039450897</v>
      </c>
      <c r="S155" s="1417">
        <f t="shared" si="225"/>
        <v>130.69032039450897</v>
      </c>
    </row>
    <row r="156" spans="1:43">
      <c r="C156" s="1"/>
      <c r="D156" s="1"/>
      <c r="E156" s="1"/>
      <c r="F156" s="1"/>
      <c r="G156" s="1"/>
      <c r="H156" s="21"/>
      <c r="I156" s="21"/>
      <c r="J156" s="21"/>
      <c r="K156" s="21"/>
      <c r="L156" s="1"/>
      <c r="M156" s="1"/>
    </row>
    <row r="157" spans="1:43" s="99" customFormat="1">
      <c r="C157" s="18"/>
      <c r="D157" s="18" t="s">
        <v>267</v>
      </c>
      <c r="E157" s="18"/>
      <c r="H157" s="138">
        <f>SUM(H158:H159)</f>
        <v>-7878.6449734650532</v>
      </c>
      <c r="I157" s="138">
        <f t="shared" ref="I157:M157" si="226">SUM(I158:I159)</f>
        <v>-11781.922602047749</v>
      </c>
      <c r="J157" s="138">
        <f t="shared" si="226"/>
        <v>-14759.482695211311</v>
      </c>
      <c r="K157" s="138">
        <f t="shared" si="226"/>
        <v>-14029</v>
      </c>
      <c r="L157" s="138">
        <f t="shared" si="226"/>
        <v>-13110.230137405013</v>
      </c>
      <c r="M157" s="138">
        <f t="shared" si="226"/>
        <v>-13789.927869523293</v>
      </c>
      <c r="N157" s="138">
        <f>-N145/(360/N160)</f>
        <v>-14966.62288395629</v>
      </c>
      <c r="O157" s="138">
        <f t="shared" ref="O157:S157" si="227">-O145/(360/O160)</f>
        <v>-16067.233158928046</v>
      </c>
      <c r="P157" s="138">
        <f t="shared" si="227"/>
        <v>-17232.565818326955</v>
      </c>
      <c r="Q157" s="138">
        <f t="shared" si="227"/>
        <v>-18581.312151218899</v>
      </c>
      <c r="R157" s="138">
        <f t="shared" si="227"/>
        <v>-20232.447176402155</v>
      </c>
      <c r="S157" s="138">
        <f t="shared" si="227"/>
        <v>-22427.643814692707</v>
      </c>
      <c r="U157" s="1511"/>
      <c r="V157" s="1511"/>
      <c r="W157" s="1511"/>
      <c r="X157" s="1511"/>
      <c r="Y157" s="1511"/>
      <c r="Z157" s="1511"/>
      <c r="AA157" s="1511"/>
      <c r="AI157" s="414"/>
      <c r="AK157" s="1511"/>
      <c r="AL157" s="1511"/>
      <c r="AM157" s="1511"/>
      <c r="AN157" s="1511"/>
      <c r="AO157" s="1511"/>
      <c r="AP157" s="1511"/>
      <c r="AQ157" s="1511"/>
    </row>
    <row r="158" spans="1:43">
      <c r="C158" s="1"/>
      <c r="D158" s="1"/>
      <c r="E158" s="1" t="s">
        <v>268</v>
      </c>
      <c r="F158" s="1"/>
      <c r="G158" s="1"/>
      <c r="H158" s="394">
        <v>-8416.7190452221603</v>
      </c>
      <c r="I158" s="394">
        <v>-12496.685712047749</v>
      </c>
      <c r="J158" s="394">
        <v>-15694.898445211311</v>
      </c>
      <c r="K158" s="394">
        <v>-14977</v>
      </c>
      <c r="L158" s="394">
        <v>-14503.393568428201</v>
      </c>
      <c r="M158" s="394">
        <v>-15448.828951799685</v>
      </c>
      <c r="N158" s="80">
        <f>N$157/M$157*M158</f>
        <v>-16767.078052042387</v>
      </c>
      <c r="O158" s="80">
        <f t="shared" ref="O158:S158" si="228">O$157/N$157*N158</f>
        <v>-18000.089568963369</v>
      </c>
      <c r="P158" s="80">
        <f t="shared" si="228"/>
        <v>-19305.609445306418</v>
      </c>
      <c r="Q158" s="80">
        <f t="shared" si="228"/>
        <v>-20816.60729775095</v>
      </c>
      <c r="R158" s="80">
        <f t="shared" si="228"/>
        <v>-22666.37060483512</v>
      </c>
      <c r="S158" s="80">
        <f t="shared" si="228"/>
        <v>-25125.645062351829</v>
      </c>
    </row>
    <row r="159" spans="1:43">
      <c r="C159" s="1"/>
      <c r="D159" s="1"/>
      <c r="E159" s="1" t="s">
        <v>269</v>
      </c>
      <c r="F159" s="1"/>
      <c r="G159" s="1"/>
      <c r="H159" s="394">
        <v>538.07407175710728</v>
      </c>
      <c r="I159" s="394">
        <v>714.76310999999987</v>
      </c>
      <c r="J159" s="394">
        <v>935.41575000000012</v>
      </c>
      <c r="K159" s="394">
        <v>948</v>
      </c>
      <c r="L159" s="394">
        <v>1393.163431023188</v>
      </c>
      <c r="M159" s="394">
        <v>1658.9010822763919</v>
      </c>
      <c r="N159" s="80">
        <f>N$157/M$157*M159</f>
        <v>1800.4551680860961</v>
      </c>
      <c r="O159" s="80">
        <f t="shared" ref="O159:S159" si="229">O$157/N$157*N159</f>
        <v>1932.8564100353246</v>
      </c>
      <c r="P159" s="80">
        <f t="shared" si="229"/>
        <v>2073.0436269794627</v>
      </c>
      <c r="Q159" s="80">
        <f t="shared" si="229"/>
        <v>2235.2951465320525</v>
      </c>
      <c r="R159" s="80">
        <f t="shared" si="229"/>
        <v>2433.9234284329677</v>
      </c>
      <c r="S159" s="80">
        <f t="shared" si="229"/>
        <v>2698.0012476591232</v>
      </c>
    </row>
    <row r="160" spans="1:43" s="99" customFormat="1">
      <c r="C160" s="18"/>
      <c r="D160" s="18" t="s">
        <v>220</v>
      </c>
      <c r="E160" s="18"/>
      <c r="F160" s="18"/>
      <c r="G160" s="18"/>
      <c r="H160" s="138">
        <f>-360/(H145/H157)</f>
        <v>-33.435249209565235</v>
      </c>
      <c r="I160" s="138">
        <f>-360/(I145/AVERAGE(H157:I157))</f>
        <v>-42.211698457629737</v>
      </c>
      <c r="J160" s="138">
        <f t="shared" ref="J160" si="230">-360/(J145/AVERAGE(I157:J157))</f>
        <v>-49.680781106107652</v>
      </c>
      <c r="K160" s="138">
        <f>-360/(K145/AVERAGE(J157,K157))</f>
        <v>-47.971476704881788</v>
      </c>
      <c r="L160" s="138">
        <f>-360/(L145/AVERAGE(J157,L157))</f>
        <v>-48.036735868263477</v>
      </c>
      <c r="M160" s="138">
        <f>-360/(M145/AVERAGE(L157,M157))</f>
        <v>-47.877634089888275</v>
      </c>
      <c r="N160" s="1417">
        <f>M160</f>
        <v>-47.877634089888275</v>
      </c>
      <c r="O160" s="1417">
        <f>N160</f>
        <v>-47.877634089888275</v>
      </c>
      <c r="P160" s="1417">
        <f t="shared" ref="P160:S160" si="231">O160</f>
        <v>-47.877634089888275</v>
      </c>
      <c r="Q160" s="1417">
        <f t="shared" si="231"/>
        <v>-47.877634089888275</v>
      </c>
      <c r="R160" s="1417">
        <f t="shared" si="231"/>
        <v>-47.877634089888275</v>
      </c>
      <c r="S160" s="1417">
        <f t="shared" si="231"/>
        <v>-47.877634089888275</v>
      </c>
      <c r="U160" s="1511"/>
      <c r="V160" s="1511"/>
      <c r="W160" s="1511"/>
      <c r="X160" s="1511"/>
      <c r="Y160" s="1511"/>
      <c r="Z160" s="1511"/>
      <c r="AA160" s="1511"/>
      <c r="AI160" s="414"/>
      <c r="AK160" s="1511"/>
      <c r="AL160" s="1511"/>
      <c r="AM160" s="1511"/>
      <c r="AN160" s="1511"/>
      <c r="AO160" s="1511"/>
      <c r="AP160" s="1511"/>
      <c r="AQ160" s="1511"/>
    </row>
    <row r="161" spans="3:43" ht="15" thickBot="1">
      <c r="C161" s="37"/>
      <c r="D161" s="37"/>
      <c r="E161" s="37"/>
      <c r="F161" s="37"/>
      <c r="G161" s="37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</row>
    <row r="162" spans="3:43" s="1" customFormat="1" ht="15" thickBot="1">
      <c r="C162" s="63" t="s">
        <v>128</v>
      </c>
      <c r="D162" s="37"/>
      <c r="E162" s="37"/>
      <c r="F162" s="37"/>
      <c r="G162" s="37"/>
      <c r="H162" s="64">
        <f>H148+H154+H157</f>
        <v>37615.355026534948</v>
      </c>
      <c r="I162" s="64">
        <f t="shared" ref="I162:K162" si="232">I148+I154+I157</f>
        <v>44124.077397952249</v>
      </c>
      <c r="J162" s="64">
        <f t="shared" si="232"/>
        <v>52249.517304788693</v>
      </c>
      <c r="K162" s="64">
        <f t="shared" si="232"/>
        <v>46627</v>
      </c>
      <c r="L162" s="64">
        <f t="shared" ref="L162:S162" si="233">L148+L154+L157</f>
        <v>49288.341752682034</v>
      </c>
      <c r="M162" s="64">
        <f t="shared" ref="M162" si="234">M148+M154+M157</f>
        <v>43535.384053423782</v>
      </c>
      <c r="N162" s="64">
        <f t="shared" si="233"/>
        <v>51661.643667525314</v>
      </c>
      <c r="O162" s="64">
        <f t="shared" si="233"/>
        <v>55461.442063920033</v>
      </c>
      <c r="P162" s="64">
        <f t="shared" si="233"/>
        <v>59486.673664511269</v>
      </c>
      <c r="Q162" s="64">
        <f t="shared" si="233"/>
        <v>64139.112487941878</v>
      </c>
      <c r="R162" s="64">
        <f t="shared" si="233"/>
        <v>69821.534051697337</v>
      </c>
      <c r="S162" s="64">
        <f t="shared" si="233"/>
        <v>77338.375476446978</v>
      </c>
      <c r="U162" s="1515"/>
      <c r="V162" s="1515"/>
      <c r="W162" s="1515"/>
      <c r="X162" s="1515"/>
      <c r="Y162" s="1515"/>
      <c r="Z162" s="1515"/>
      <c r="AA162" s="1515"/>
      <c r="AI162" s="415"/>
      <c r="AK162" s="1515"/>
      <c r="AL162" s="1515"/>
      <c r="AM162" s="1515"/>
      <c r="AN162" s="1515"/>
      <c r="AO162" s="1515"/>
      <c r="AP162" s="1515"/>
      <c r="AQ162" s="1515"/>
    </row>
    <row r="163" spans="3:43" s="1" customFormat="1">
      <c r="D163" s="18" t="s">
        <v>129</v>
      </c>
      <c r="H163" s="70">
        <f>H152+H155+H160</f>
        <v>146.20273594538372</v>
      </c>
      <c r="I163" s="70">
        <f t="shared" ref="I163:K163" si="235">I152+I155+I160</f>
        <v>160.32350972162686</v>
      </c>
      <c r="J163" s="70">
        <f t="shared" si="235"/>
        <v>166.19224518202032</v>
      </c>
      <c r="K163" s="70">
        <f t="shared" si="235"/>
        <v>149.38898936648033</v>
      </c>
      <c r="L163" s="70">
        <f t="shared" ref="L163:S163" si="236">L152+L155+L160</f>
        <v>159.14519578015251</v>
      </c>
      <c r="M163" s="70">
        <f t="shared" ref="M163" si="237">M152+M155+M160</f>
        <v>150.83541402939579</v>
      </c>
      <c r="N163" s="70">
        <f t="shared" si="236"/>
        <v>150.81268630462068</v>
      </c>
      <c r="O163" s="70">
        <f t="shared" si="236"/>
        <v>150.81268630462068</v>
      </c>
      <c r="P163" s="70">
        <f t="shared" si="236"/>
        <v>150.81268630462068</v>
      </c>
      <c r="Q163" s="70">
        <f t="shared" si="236"/>
        <v>150.81268630462068</v>
      </c>
      <c r="R163" s="70">
        <f t="shared" si="236"/>
        <v>150.81268630462068</v>
      </c>
      <c r="S163" s="70">
        <f t="shared" si="236"/>
        <v>150.81268630462068</v>
      </c>
      <c r="U163" s="1515"/>
      <c r="V163" s="1515"/>
      <c r="W163" s="1515"/>
      <c r="X163" s="1515"/>
      <c r="Y163" s="1515"/>
      <c r="Z163" s="1515"/>
      <c r="AA163" s="1515"/>
      <c r="AI163" s="415"/>
      <c r="AK163" s="1515"/>
      <c r="AL163" s="1515"/>
      <c r="AM163" s="1515"/>
      <c r="AN163" s="1515"/>
      <c r="AO163" s="1515"/>
      <c r="AP163" s="1515"/>
      <c r="AQ163" s="1515"/>
    </row>
    <row r="164" spans="3:43" s="1" customFormat="1">
      <c r="D164" s="22" t="s">
        <v>130</v>
      </c>
      <c r="H164" s="25">
        <f>H162/H$144</f>
        <v>0.362334126674003</v>
      </c>
      <c r="I164" s="25">
        <f t="shared" ref="I164:S164" si="238">I162/I$144</f>
        <v>0.43049140363085991</v>
      </c>
      <c r="J164" s="25">
        <f t="shared" si="238"/>
        <v>0.456391437273232</v>
      </c>
      <c r="K164" s="25">
        <f t="shared" si="238"/>
        <v>0.3501392987752221</v>
      </c>
      <c r="L164" s="25">
        <f t="shared" si="238"/>
        <v>0.38513440625913892</v>
      </c>
      <c r="M164" s="25">
        <f t="shared" si="238"/>
        <v>0.3553756620700344</v>
      </c>
      <c r="N164" s="25">
        <f t="shared" si="238"/>
        <v>0.37860668030869582</v>
      </c>
      <c r="O164" s="25">
        <f t="shared" si="238"/>
        <v>0.3786017264084594</v>
      </c>
      <c r="P164" s="25">
        <f t="shared" si="238"/>
        <v>0.3785844986369537</v>
      </c>
      <c r="Q164" s="25">
        <f t="shared" si="238"/>
        <v>0.37860478620392846</v>
      </c>
      <c r="R164" s="25">
        <f t="shared" si="238"/>
        <v>0.37869727820657106</v>
      </c>
      <c r="S164" s="25">
        <f t="shared" si="238"/>
        <v>0.37898639208944906</v>
      </c>
      <c r="U164" s="1515"/>
      <c r="V164" s="1515"/>
      <c r="W164" s="1515"/>
      <c r="X164" s="1515"/>
      <c r="Y164" s="1515"/>
      <c r="Z164" s="1515"/>
      <c r="AA164" s="1515"/>
      <c r="AI164" s="415"/>
      <c r="AK164" s="1515"/>
      <c r="AL164" s="1515"/>
      <c r="AM164" s="1515"/>
      <c r="AN164" s="1515"/>
      <c r="AO164" s="1515"/>
      <c r="AP164" s="1515"/>
      <c r="AQ164" s="1515"/>
    </row>
    <row r="165" spans="3:43">
      <c r="C165" s="1"/>
      <c r="D165" s="1"/>
      <c r="E165" s="1"/>
      <c r="F165" s="1"/>
      <c r="G165" s="1"/>
      <c r="H165" s="21"/>
      <c r="I165" s="21"/>
      <c r="J165" s="21"/>
      <c r="K165" s="21"/>
      <c r="L165" s="1"/>
      <c r="M165" s="1"/>
    </row>
    <row r="166" spans="3:43">
      <c r="C166" s="1" t="s">
        <v>270</v>
      </c>
      <c r="D166" s="1"/>
      <c r="E166" s="1"/>
      <c r="F166" s="1"/>
      <c r="G166" s="1"/>
      <c r="H166" s="394">
        <v>-1630</v>
      </c>
      <c r="I166" s="394">
        <v>-1481</v>
      </c>
      <c r="J166" s="394">
        <v>-1648</v>
      </c>
      <c r="K166" s="394">
        <v>-1242</v>
      </c>
      <c r="L166" s="394">
        <v>-2545.4746025693003</v>
      </c>
      <c r="M166" s="394">
        <v>-1402.4399119224818</v>
      </c>
      <c r="N166" s="20">
        <f t="shared" ref="N166:S166" si="239">N167*N108</f>
        <v>-1319.1104200550326</v>
      </c>
      <c r="O166" s="20">
        <f t="shared" si="239"/>
        <v>-3544.6259292639556</v>
      </c>
      <c r="P166" s="20">
        <f t="shared" si="239"/>
        <v>-4168.425917149395</v>
      </c>
      <c r="Q166" s="20">
        <f t="shared" si="239"/>
        <v>-4873.3886503909716</v>
      </c>
      <c r="R166" s="20">
        <f t="shared" si="239"/>
        <v>-5683.4238364685352</v>
      </c>
      <c r="S166" s="20">
        <f t="shared" si="239"/>
        <v>-6610.7966016946075</v>
      </c>
    </row>
    <row r="167" spans="3:43">
      <c r="C167" s="22" t="s">
        <v>141</v>
      </c>
      <c r="D167" s="1"/>
      <c r="E167" s="1"/>
      <c r="F167" s="1"/>
      <c r="G167" s="1"/>
      <c r="H167" s="25">
        <f>H166/H108</f>
        <v>-0.26560208570963012</v>
      </c>
      <c r="I167" s="25">
        <f t="shared" ref="I167:L167" si="240">I166/I108</f>
        <v>-0.45290519877675839</v>
      </c>
      <c r="J167" s="25">
        <f>J166/J108</f>
        <v>-2.230040595399188</v>
      </c>
      <c r="K167" s="25">
        <f>K166/(K108/10*12)</f>
        <v>-0.30131004366812225</v>
      </c>
      <c r="L167" s="25">
        <f t="shared" si="240"/>
        <v>-0.57219608188898075</v>
      </c>
      <c r="M167" s="25">
        <f>M166/(M108/7*12)</f>
        <v>-0.92458997631089168</v>
      </c>
      <c r="N167" s="79">
        <f>L167</f>
        <v>-0.57219608188898075</v>
      </c>
      <c r="O167" s="79">
        <f t="shared" ref="O167:S173" si="241">N167</f>
        <v>-0.57219608188898075</v>
      </c>
      <c r="P167" s="79">
        <f t="shared" si="241"/>
        <v>-0.57219608188898075</v>
      </c>
      <c r="Q167" s="79">
        <f t="shared" si="241"/>
        <v>-0.57219608188898075</v>
      </c>
      <c r="R167" s="79">
        <f t="shared" si="241"/>
        <v>-0.57219608188898075</v>
      </c>
      <c r="S167" s="79">
        <f t="shared" si="241"/>
        <v>-0.57219608188898075</v>
      </c>
    </row>
    <row r="168" spans="3:43">
      <c r="C168" s="1" t="s">
        <v>271</v>
      </c>
      <c r="D168" s="1"/>
      <c r="E168" s="1"/>
      <c r="F168" s="1"/>
      <c r="G168" s="1"/>
      <c r="H168" s="394">
        <v>-2404</v>
      </c>
      <c r="I168" s="394">
        <v>-4298</v>
      </c>
      <c r="J168" s="394">
        <v>-4276</v>
      </c>
      <c r="K168" s="394">
        <v>-2873</v>
      </c>
      <c r="L168" s="394">
        <v>-3360.6607049796448</v>
      </c>
      <c r="M168" s="394">
        <v>-3127.7796050579395</v>
      </c>
      <c r="N168" s="20">
        <f t="shared" ref="N168:S168" si="242">N169*N145</f>
        <v>-3621.4858569144694</v>
      </c>
      <c r="O168" s="20">
        <f t="shared" si="242"/>
        <v>-3887.8014162553582</v>
      </c>
      <c r="P168" s="20">
        <f t="shared" si="242"/>
        <v>-4169.7779033583793</v>
      </c>
      <c r="Q168" s="20">
        <f t="shared" si="242"/>
        <v>-4496.1351455368667</v>
      </c>
      <c r="R168" s="20">
        <f t="shared" si="242"/>
        <v>-4895.6616244172274</v>
      </c>
      <c r="S168" s="20">
        <f t="shared" si="242"/>
        <v>-5426.8351323190946</v>
      </c>
    </row>
    <row r="169" spans="3:43">
      <c r="C169" s="22" t="s">
        <v>139</v>
      </c>
      <c r="D169" s="1"/>
      <c r="E169" s="1"/>
      <c r="H169" s="25">
        <f>H168/H25</f>
        <v>2.8339031003182837E-2</v>
      </c>
      <c r="I169" s="25">
        <f>I168/I25</f>
        <v>5.1266147405083673E-2</v>
      </c>
      <c r="J169" s="25">
        <f>J168/J25</f>
        <v>4.4466166820918647E-2</v>
      </c>
      <c r="K169" s="25">
        <f>K168/K145</f>
        <v>2.6596680275131686E-2</v>
      </c>
      <c r="L169" s="25">
        <f t="shared" ref="L169:M169" si="243">L168/L145</f>
        <v>3.2180527457556292E-2</v>
      </c>
      <c r="M169" s="25">
        <f t="shared" si="243"/>
        <v>3.092726308030732E-2</v>
      </c>
      <c r="N169" s="79">
        <f>L169</f>
        <v>3.2180527457556292E-2</v>
      </c>
      <c r="O169" s="79">
        <f t="shared" si="241"/>
        <v>3.2180527457556292E-2</v>
      </c>
      <c r="P169" s="79">
        <f t="shared" si="241"/>
        <v>3.2180527457556292E-2</v>
      </c>
      <c r="Q169" s="79">
        <f t="shared" si="241"/>
        <v>3.2180527457556292E-2</v>
      </c>
      <c r="R169" s="79">
        <f t="shared" si="241"/>
        <v>3.2180527457556292E-2</v>
      </c>
      <c r="S169" s="79">
        <f t="shared" si="241"/>
        <v>3.2180527457556292E-2</v>
      </c>
    </row>
    <row r="170" spans="3:43">
      <c r="C170" s="1" t="s">
        <v>272</v>
      </c>
      <c r="D170" s="1"/>
      <c r="E170" s="1"/>
      <c r="H170" s="394">
        <v>0</v>
      </c>
      <c r="I170" s="394">
        <v>0</v>
      </c>
      <c r="J170" s="394">
        <v>1268</v>
      </c>
      <c r="K170" s="394">
        <v>0</v>
      </c>
      <c r="L170" s="97">
        <v>0</v>
      </c>
      <c r="M170" s="97">
        <v>0</v>
      </c>
      <c r="N170" s="97">
        <f t="shared" ref="N170:S170" si="244">N171*N144</f>
        <v>0</v>
      </c>
      <c r="O170" s="97">
        <f t="shared" si="244"/>
        <v>0</v>
      </c>
      <c r="P170" s="97">
        <f t="shared" si="244"/>
        <v>0</v>
      </c>
      <c r="Q170" s="97">
        <f t="shared" si="244"/>
        <v>0</v>
      </c>
      <c r="R170" s="97">
        <f t="shared" si="244"/>
        <v>0</v>
      </c>
      <c r="S170" s="97">
        <f t="shared" si="244"/>
        <v>0</v>
      </c>
    </row>
    <row r="171" spans="3:43" s="101" customFormat="1">
      <c r="C171" s="22" t="s">
        <v>130</v>
      </c>
      <c r="D171" s="18"/>
      <c r="E171" s="18"/>
      <c r="H171" s="25">
        <f>H170/H144</f>
        <v>0</v>
      </c>
      <c r="I171" s="25">
        <f t="shared" ref="I171:M171" si="245">I170/I144</f>
        <v>0</v>
      </c>
      <c r="J171" s="25">
        <f t="shared" si="245"/>
        <v>1.1075783515600433E-2</v>
      </c>
      <c r="K171" s="25">
        <f t="shared" si="245"/>
        <v>0</v>
      </c>
      <c r="L171" s="25">
        <f t="shared" si="245"/>
        <v>0</v>
      </c>
      <c r="M171" s="25">
        <f t="shared" si="245"/>
        <v>0</v>
      </c>
      <c r="N171" s="79">
        <f>L171</f>
        <v>0</v>
      </c>
      <c r="O171" s="79">
        <f t="shared" si="241"/>
        <v>0</v>
      </c>
      <c r="P171" s="79">
        <f t="shared" si="241"/>
        <v>0</v>
      </c>
      <c r="Q171" s="79">
        <f t="shared" si="241"/>
        <v>0</v>
      </c>
      <c r="R171" s="79">
        <f t="shared" si="241"/>
        <v>0</v>
      </c>
      <c r="S171" s="79">
        <f t="shared" si="241"/>
        <v>0</v>
      </c>
      <c r="U171" s="1512"/>
      <c r="V171" s="1512"/>
      <c r="W171" s="1512"/>
      <c r="X171" s="1512"/>
      <c r="Y171" s="1512"/>
      <c r="Z171" s="1512"/>
      <c r="AA171" s="1512"/>
      <c r="AI171" s="473"/>
      <c r="AK171" s="1512"/>
      <c r="AL171" s="1512"/>
      <c r="AM171" s="1512"/>
      <c r="AN171" s="1512"/>
      <c r="AO171" s="1512"/>
      <c r="AP171" s="1512"/>
      <c r="AQ171" s="1512"/>
    </row>
    <row r="172" spans="3:43" s="101" customFormat="1">
      <c r="C172" s="97" t="s">
        <v>273</v>
      </c>
      <c r="H172" s="394">
        <v>-1489</v>
      </c>
      <c r="I172" s="394">
        <v>-1266</v>
      </c>
      <c r="J172" s="394">
        <v>-2169</v>
      </c>
      <c r="K172" s="394">
        <v>-2030</v>
      </c>
      <c r="L172" s="394">
        <v>-2097.5477973789584</v>
      </c>
      <c r="M172" s="394">
        <v>-1069.5312431423722</v>
      </c>
      <c r="N172" s="20">
        <f t="shared" ref="N172:S172" si="246">N173*N93</f>
        <v>-2282.9748722553445</v>
      </c>
      <c r="O172" s="20">
        <f t="shared" si="246"/>
        <v>-2379.3636436248121</v>
      </c>
      <c r="P172" s="20">
        <f t="shared" si="246"/>
        <v>-2475.4101982157558</v>
      </c>
      <c r="Q172" s="20">
        <f t="shared" si="246"/>
        <v>-2586.1127908599115</v>
      </c>
      <c r="R172" s="20">
        <f t="shared" si="246"/>
        <v>-2724.4771550623473</v>
      </c>
      <c r="S172" s="20">
        <f t="shared" si="246"/>
        <v>-2915.8010127288558</v>
      </c>
      <c r="U172" s="1512"/>
      <c r="V172" s="1512"/>
      <c r="W172" s="1512"/>
      <c r="X172" s="1512"/>
      <c r="Y172" s="1512"/>
      <c r="Z172" s="1512"/>
      <c r="AA172" s="1512"/>
      <c r="AI172" s="473"/>
      <c r="AK172" s="1512"/>
      <c r="AL172" s="1512"/>
      <c r="AM172" s="1512"/>
      <c r="AN172" s="1512"/>
      <c r="AO172" s="1512"/>
      <c r="AP172" s="1512"/>
      <c r="AQ172" s="1512"/>
    </row>
    <row r="173" spans="3:43" s="101" customFormat="1">
      <c r="C173" s="22" t="s">
        <v>140</v>
      </c>
      <c r="D173" s="18"/>
      <c r="E173" s="18"/>
      <c r="H173" s="25">
        <f>H172/H146</f>
        <v>0.11946405648267008</v>
      </c>
      <c r="I173" s="25">
        <f t="shared" ref="I173:M173" si="247">I172/I146</f>
        <v>9.2200131090233783E-2</v>
      </c>
      <c r="J173" s="25">
        <f t="shared" si="247"/>
        <v>0.13977316664518624</v>
      </c>
      <c r="K173" s="25">
        <f t="shared" si="247"/>
        <v>0.11963696369636964</v>
      </c>
      <c r="L173" s="25">
        <f t="shared" si="247"/>
        <v>0.1221239284042837</v>
      </c>
      <c r="M173" s="25">
        <f t="shared" si="247"/>
        <v>6.1625179634514464E-2</v>
      </c>
      <c r="N173" s="79">
        <f>L173</f>
        <v>0.1221239284042837</v>
      </c>
      <c r="O173" s="79">
        <f t="shared" si="241"/>
        <v>0.1221239284042837</v>
      </c>
      <c r="P173" s="79">
        <f t="shared" si="241"/>
        <v>0.1221239284042837</v>
      </c>
      <c r="Q173" s="79">
        <f t="shared" si="241"/>
        <v>0.1221239284042837</v>
      </c>
      <c r="R173" s="79">
        <f t="shared" si="241"/>
        <v>0.1221239284042837</v>
      </c>
      <c r="S173" s="79">
        <f t="shared" si="241"/>
        <v>0.1221239284042837</v>
      </c>
      <c r="U173" s="1512"/>
      <c r="V173" s="1512"/>
      <c r="W173" s="1512"/>
      <c r="X173" s="1512"/>
      <c r="Y173" s="1512"/>
      <c r="Z173" s="1512"/>
      <c r="AA173" s="1512"/>
      <c r="AI173" s="473"/>
      <c r="AK173" s="1512"/>
      <c r="AL173" s="1512"/>
      <c r="AM173" s="1512"/>
      <c r="AN173" s="1512"/>
      <c r="AO173" s="1512"/>
      <c r="AP173" s="1512"/>
      <c r="AQ173" s="1512"/>
    </row>
    <row r="174" spans="3:43" s="1" customFormat="1" ht="15" thickBot="1">
      <c r="C174" s="63" t="s">
        <v>142</v>
      </c>
      <c r="D174" s="37"/>
      <c r="E174" s="37"/>
      <c r="F174" s="37"/>
      <c r="G174" s="37"/>
      <c r="H174" s="64">
        <f>H166+H168+H170+H172</f>
        <v>-5523</v>
      </c>
      <c r="I174" s="64">
        <f t="shared" ref="I174:M174" si="248">I166+I168+I170+I172</f>
        <v>-7045</v>
      </c>
      <c r="J174" s="64">
        <f t="shared" si="248"/>
        <v>-6825</v>
      </c>
      <c r="K174" s="64">
        <f t="shared" si="248"/>
        <v>-6145</v>
      </c>
      <c r="L174" s="64">
        <f t="shared" si="248"/>
        <v>-8003.6831049279035</v>
      </c>
      <c r="M174" s="64">
        <f t="shared" si="248"/>
        <v>-5599.7507601227935</v>
      </c>
      <c r="N174" s="64">
        <f t="shared" ref="N174:S174" si="249">N166+N168+N170+N172</f>
        <v>-7223.5711492248465</v>
      </c>
      <c r="O174" s="64">
        <f t="shared" si="249"/>
        <v>-9811.7909891441268</v>
      </c>
      <c r="P174" s="64">
        <f t="shared" si="249"/>
        <v>-10813.614018723529</v>
      </c>
      <c r="Q174" s="64">
        <f t="shared" si="249"/>
        <v>-11955.63658678775</v>
      </c>
      <c r="R174" s="64">
        <f t="shared" si="249"/>
        <v>-13303.562615948111</v>
      </c>
      <c r="S174" s="64">
        <f t="shared" si="249"/>
        <v>-14953.432746742559</v>
      </c>
      <c r="U174" s="1515"/>
      <c r="V174" s="1515"/>
      <c r="W174" s="1515"/>
      <c r="X174" s="1515"/>
      <c r="Y174" s="1515"/>
      <c r="Z174" s="1515"/>
      <c r="AA174" s="1515"/>
      <c r="AI174" s="415"/>
      <c r="AK174" s="1515"/>
      <c r="AL174" s="1515"/>
      <c r="AM174" s="1515"/>
      <c r="AN174" s="1515"/>
      <c r="AO174" s="1515"/>
      <c r="AP174" s="1515"/>
      <c r="AQ174" s="1515"/>
    </row>
    <row r="175" spans="3:43" ht="15" thickBot="1"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</row>
    <row r="176" spans="3:43" s="1" customFormat="1" ht="15" thickBot="1">
      <c r="C176" s="63" t="s">
        <v>143</v>
      </c>
      <c r="D176" s="37"/>
      <c r="E176" s="37"/>
      <c r="F176" s="37"/>
      <c r="G176" s="37"/>
      <c r="H176" s="64">
        <f>H162+H174</f>
        <v>32092.355026534948</v>
      </c>
      <c r="I176" s="64">
        <f t="shared" ref="I176:M176" si="250">I162+I174</f>
        <v>37079.077397952249</v>
      </c>
      <c r="J176" s="64">
        <f t="shared" si="250"/>
        <v>45424.517304788693</v>
      </c>
      <c r="K176" s="64">
        <f t="shared" si="250"/>
        <v>40482</v>
      </c>
      <c r="L176" s="64">
        <f t="shared" si="250"/>
        <v>41284.658647754128</v>
      </c>
      <c r="M176" s="64">
        <f t="shared" si="250"/>
        <v>37935.633293300991</v>
      </c>
      <c r="N176" s="64">
        <f t="shared" ref="N176:S176" si="251">N162+N174</f>
        <v>44438.072518300469</v>
      </c>
      <c r="O176" s="64">
        <f t="shared" si="251"/>
        <v>45649.651074775902</v>
      </c>
      <c r="P176" s="64">
        <f t="shared" si="251"/>
        <v>48673.05964578774</v>
      </c>
      <c r="Q176" s="64">
        <f t="shared" si="251"/>
        <v>52183.475901154132</v>
      </c>
      <c r="R176" s="64">
        <f t="shared" si="251"/>
        <v>56517.971435749227</v>
      </c>
      <c r="S176" s="64">
        <f t="shared" si="251"/>
        <v>62384.942729704417</v>
      </c>
      <c r="U176" s="1515"/>
      <c r="V176" s="1515"/>
      <c r="W176" s="1515"/>
      <c r="X176" s="1515"/>
      <c r="Y176" s="1515"/>
      <c r="Z176" s="1515"/>
      <c r="AA176" s="1515"/>
      <c r="AI176" s="415"/>
      <c r="AK176" s="1515"/>
      <c r="AL176" s="1515"/>
      <c r="AM176" s="1515"/>
      <c r="AN176" s="1515"/>
      <c r="AO176" s="1515"/>
      <c r="AP176" s="1515"/>
      <c r="AQ176" s="1515"/>
    </row>
    <row r="177" spans="3:43" s="1" customFormat="1">
      <c r="D177" s="22" t="s">
        <v>130</v>
      </c>
      <c r="H177" s="25">
        <f>H176/H$144</f>
        <v>0.30913320964932423</v>
      </c>
      <c r="I177" s="25">
        <f t="shared" ref="I177:S177" si="252">I176/I$144</f>
        <v>0.36175768459518082</v>
      </c>
      <c r="J177" s="25">
        <f t="shared" si="252"/>
        <v>0.3967761198489631</v>
      </c>
      <c r="K177" s="25">
        <f t="shared" si="252"/>
        <v>0.30399423280542476</v>
      </c>
      <c r="L177" s="25">
        <f t="shared" si="252"/>
        <v>0.3225943890686645</v>
      </c>
      <c r="M177" s="25">
        <f t="shared" si="252"/>
        <v>0.30966536969352065</v>
      </c>
      <c r="N177" s="25">
        <f t="shared" si="252"/>
        <v>0.32566813444317094</v>
      </c>
      <c r="O177" s="25">
        <f t="shared" si="252"/>
        <v>0.31162256269743255</v>
      </c>
      <c r="P177" s="25">
        <f t="shared" si="252"/>
        <v>0.30976460353203861</v>
      </c>
      <c r="Q177" s="25">
        <f t="shared" si="252"/>
        <v>0.3080322282390266</v>
      </c>
      <c r="R177" s="25">
        <f t="shared" si="252"/>
        <v>0.30654155975186076</v>
      </c>
      <c r="S177" s="25">
        <f t="shared" si="252"/>
        <v>0.30570908970072636</v>
      </c>
      <c r="U177" s="1515"/>
      <c r="V177" s="1515"/>
      <c r="W177" s="1515"/>
      <c r="X177" s="1515"/>
      <c r="Y177" s="1515"/>
      <c r="Z177" s="1515"/>
      <c r="AA177" s="1515"/>
      <c r="AI177" s="415"/>
      <c r="AK177" s="1515"/>
      <c r="AL177" s="1515"/>
      <c r="AM177" s="1515"/>
      <c r="AN177" s="1515"/>
      <c r="AO177" s="1515"/>
      <c r="AP177" s="1515"/>
      <c r="AQ177" s="1515"/>
    </row>
    <row r="178" spans="3:43" s="99" customFormat="1">
      <c r="C178" s="18"/>
      <c r="D178" s="18"/>
      <c r="E178" s="18"/>
      <c r="U178" s="1511"/>
      <c r="V178" s="1511"/>
      <c r="W178" s="1511"/>
      <c r="X178" s="1511"/>
      <c r="Y178" s="1511"/>
      <c r="Z178" s="1511"/>
      <c r="AA178" s="1511"/>
      <c r="AI178" s="414"/>
      <c r="AK178" s="1511"/>
      <c r="AL178" s="1511"/>
      <c r="AM178" s="1511"/>
      <c r="AN178" s="1511"/>
      <c r="AO178" s="1511"/>
      <c r="AP178" s="1511"/>
      <c r="AQ178" s="1511"/>
    </row>
    <row r="179" spans="3:43" s="101" customFormat="1">
      <c r="C179" s="1"/>
      <c r="D179" s="1"/>
      <c r="E179" s="1"/>
      <c r="F179" s="1"/>
      <c r="G179" s="1"/>
      <c r="H179" s="21"/>
      <c r="I179" s="21"/>
      <c r="J179" s="21"/>
      <c r="K179" s="21"/>
      <c r="L179" s="1"/>
      <c r="M179" s="1"/>
      <c r="U179" s="1512"/>
      <c r="V179" s="1512"/>
      <c r="W179" s="1512"/>
      <c r="X179" s="1512"/>
      <c r="Y179" s="1512"/>
      <c r="Z179" s="1512"/>
      <c r="AA179" s="1512"/>
      <c r="AI179" s="473"/>
      <c r="AK179" s="1512"/>
      <c r="AL179" s="1512"/>
      <c r="AM179" s="1512"/>
      <c r="AN179" s="1512"/>
      <c r="AO179" s="1512"/>
      <c r="AP179" s="1512"/>
      <c r="AQ179" s="1512"/>
    </row>
    <row r="180" spans="3:43">
      <c r="C180" s="1"/>
      <c r="D180" s="1"/>
      <c r="E180" s="1"/>
      <c r="F180" s="1"/>
      <c r="G180" s="1"/>
      <c r="H180" s="21"/>
      <c r="I180" s="21"/>
      <c r="J180" s="21"/>
      <c r="K180" s="21"/>
      <c r="L180" s="1"/>
      <c r="M180" s="1"/>
      <c r="N180" s="99"/>
      <c r="O180" s="99"/>
      <c r="P180" s="99"/>
      <c r="Q180" s="99"/>
      <c r="R180" s="99"/>
      <c r="S180" s="99"/>
    </row>
    <row r="181" spans="3:43">
      <c r="C181" s="1"/>
      <c r="D181" s="1"/>
      <c r="E181" s="1"/>
      <c r="F181" s="1"/>
      <c r="G181" s="1"/>
      <c r="H181" s="21"/>
      <c r="I181" s="21"/>
      <c r="J181" s="21"/>
      <c r="K181" s="21"/>
      <c r="L181" s="1"/>
      <c r="M181" s="1"/>
    </row>
    <row r="182" spans="3:43">
      <c r="C182" s="1"/>
      <c r="D182" s="1"/>
      <c r="E182" s="1"/>
      <c r="F182" s="1"/>
      <c r="G182" s="1"/>
      <c r="H182" s="21"/>
      <c r="I182" s="21"/>
      <c r="J182" s="21"/>
      <c r="K182" s="21"/>
      <c r="L182" s="1"/>
      <c r="M182" s="1"/>
    </row>
    <row r="183" spans="3:43">
      <c r="C183" s="1"/>
      <c r="D183" s="1"/>
      <c r="E183" s="1"/>
      <c r="F183" s="1"/>
      <c r="G183" s="1"/>
      <c r="H183" s="21"/>
      <c r="I183" s="21"/>
      <c r="J183" s="21"/>
      <c r="K183" s="21"/>
      <c r="L183" s="1"/>
      <c r="M183" s="1"/>
    </row>
    <row r="184" spans="3:43">
      <c r="C184" s="1"/>
      <c r="D184" s="1"/>
      <c r="E184" s="1"/>
      <c r="H184" s="52"/>
      <c r="I184" s="52"/>
      <c r="J184" s="52"/>
      <c r="K184" s="52"/>
    </row>
    <row r="185" spans="3:43">
      <c r="C185" s="1"/>
      <c r="D185" s="1"/>
      <c r="E185" s="1"/>
      <c r="F185" s="1"/>
      <c r="G185" s="1"/>
      <c r="H185" s="52"/>
      <c r="I185" s="52"/>
      <c r="J185" s="52"/>
      <c r="K185" s="52"/>
      <c r="L185" s="1"/>
      <c r="M185" s="1"/>
    </row>
    <row r="186" spans="3:43">
      <c r="C186" s="1"/>
      <c r="D186" s="1"/>
      <c r="E186" s="1"/>
      <c r="F186" s="1"/>
      <c r="G186" s="1"/>
      <c r="H186" s="52"/>
      <c r="I186" s="52"/>
      <c r="J186" s="52"/>
      <c r="K186" s="52"/>
      <c r="L186" s="1"/>
      <c r="M186" s="1"/>
    </row>
    <row r="187" spans="3:43">
      <c r="C187" s="1"/>
      <c r="D187" s="1"/>
      <c r="E187" s="1"/>
      <c r="F187" s="1"/>
      <c r="G187" s="1"/>
      <c r="H187" s="52"/>
      <c r="I187" s="52"/>
      <c r="J187" s="52"/>
      <c r="K187" s="52"/>
      <c r="L187" s="1"/>
      <c r="M187" s="1"/>
    </row>
    <row r="188" spans="3:43">
      <c r="C188" s="1"/>
      <c r="D188" s="1"/>
      <c r="E188" s="1"/>
      <c r="F188" s="1"/>
      <c r="G188" s="1"/>
      <c r="H188" s="52"/>
      <c r="I188" s="52"/>
      <c r="J188" s="52"/>
      <c r="K188" s="52"/>
      <c r="L188" s="1"/>
      <c r="M188" s="1"/>
    </row>
    <row r="189" spans="3:43">
      <c r="C189" s="1"/>
      <c r="D189" s="1"/>
      <c r="E189" s="1"/>
      <c r="F189" s="1"/>
      <c r="G189" s="1"/>
      <c r="H189" s="52"/>
      <c r="I189" s="52"/>
      <c r="J189" s="52"/>
      <c r="K189" s="52"/>
      <c r="L189" s="1"/>
      <c r="M189" s="1"/>
    </row>
    <row r="190" spans="3:43">
      <c r="C190" s="18"/>
      <c r="D190" s="1"/>
      <c r="E190" s="1"/>
      <c r="H190" s="99"/>
      <c r="I190" s="100"/>
      <c r="J190" s="99"/>
      <c r="K190" s="99"/>
    </row>
    <row r="191" spans="3:43">
      <c r="C191" s="1"/>
      <c r="D191" s="1"/>
      <c r="E191" s="1"/>
      <c r="F191" s="1"/>
      <c r="G191" s="1"/>
      <c r="H191" s="21"/>
      <c r="I191" s="21"/>
      <c r="J191" s="21"/>
      <c r="K191" s="21"/>
      <c r="L191" s="1"/>
      <c r="M191" s="1"/>
    </row>
    <row r="192" spans="3:43">
      <c r="C192" s="1"/>
      <c r="D192" s="1"/>
      <c r="E192" s="1"/>
      <c r="F192" s="1"/>
      <c r="G192" s="1"/>
      <c r="H192" s="21"/>
      <c r="I192" s="21"/>
      <c r="J192" s="21"/>
      <c r="K192" s="21"/>
      <c r="L192" s="1"/>
      <c r="M192" s="1"/>
    </row>
    <row r="193" spans="1:43">
      <c r="C193" s="1"/>
      <c r="D193" s="1"/>
      <c r="E193" s="1"/>
      <c r="F193" s="1"/>
      <c r="G193" s="1"/>
      <c r="H193" s="21"/>
      <c r="I193" s="21"/>
      <c r="J193" s="21"/>
      <c r="K193" s="21"/>
      <c r="L193" s="1"/>
      <c r="M193" s="1"/>
    </row>
    <row r="194" spans="1:43">
      <c r="C194" s="1"/>
      <c r="D194" s="1"/>
      <c r="E194" s="1"/>
      <c r="F194" s="1"/>
      <c r="G194" s="1"/>
      <c r="H194" s="21"/>
      <c r="I194" s="21"/>
      <c r="J194" s="21"/>
      <c r="K194" s="21"/>
      <c r="L194" s="1"/>
      <c r="M194" s="1"/>
    </row>
    <row r="195" spans="1:43">
      <c r="C195" s="1"/>
      <c r="D195" s="1"/>
      <c r="E195" s="1"/>
      <c r="F195" s="1"/>
      <c r="G195" s="1"/>
      <c r="H195" s="21"/>
      <c r="I195" s="21"/>
      <c r="J195" s="21"/>
      <c r="K195" s="21"/>
      <c r="L195" s="1"/>
      <c r="M195" s="1"/>
    </row>
    <row r="196" spans="1:43">
      <c r="C196" s="1"/>
      <c r="D196" s="1"/>
      <c r="E196" s="1"/>
    </row>
    <row r="197" spans="1:43">
      <c r="C197" s="1"/>
      <c r="D197" s="1"/>
      <c r="E197" s="1"/>
      <c r="H197" s="127"/>
      <c r="I197" s="127"/>
      <c r="J197" s="127"/>
      <c r="K197" s="127"/>
    </row>
    <row r="198" spans="1:43" s="101" customFormat="1">
      <c r="C198" s="18"/>
      <c r="D198" s="18"/>
      <c r="E198" s="18"/>
      <c r="H198" s="100"/>
      <c r="I198" s="100"/>
      <c r="J198" s="100"/>
      <c r="K198" s="100"/>
      <c r="U198" s="1512"/>
      <c r="V198" s="1512"/>
      <c r="W198" s="1512"/>
      <c r="X198" s="1512"/>
      <c r="Y198" s="1512"/>
      <c r="Z198" s="1512"/>
      <c r="AA198" s="1512"/>
      <c r="AI198" s="473"/>
      <c r="AK198" s="1512"/>
      <c r="AL198" s="1512"/>
      <c r="AM198" s="1512"/>
      <c r="AN198" s="1512"/>
      <c r="AO198" s="1512"/>
      <c r="AP198" s="1512"/>
      <c r="AQ198" s="1512"/>
    </row>
    <row r="199" spans="1:43" s="101" customFormat="1">
      <c r="C199" s="97"/>
      <c r="H199" s="21"/>
      <c r="I199" s="21"/>
      <c r="J199" s="21"/>
      <c r="K199" s="21"/>
      <c r="U199" s="1512"/>
      <c r="V199" s="1512"/>
      <c r="W199" s="1512"/>
      <c r="X199" s="1512"/>
      <c r="Y199" s="1512"/>
      <c r="Z199" s="1512"/>
      <c r="AA199" s="1512"/>
      <c r="AI199" s="473"/>
      <c r="AK199" s="1512"/>
      <c r="AL199" s="1512"/>
      <c r="AM199" s="1512"/>
      <c r="AN199" s="1512"/>
      <c r="AO199" s="1512"/>
      <c r="AP199" s="1512"/>
      <c r="AQ199" s="1512"/>
    </row>
    <row r="200" spans="1:43" s="101" customFormat="1">
      <c r="C200" s="18"/>
      <c r="D200" s="18"/>
      <c r="E200" s="18"/>
      <c r="H200" s="23"/>
      <c r="I200" s="23"/>
      <c r="J200" s="23"/>
      <c r="K200" s="23"/>
      <c r="U200" s="1512"/>
      <c r="V200" s="1512"/>
      <c r="W200" s="1512"/>
      <c r="X200" s="1512"/>
      <c r="Y200" s="1512"/>
      <c r="Z200" s="1512"/>
      <c r="AA200" s="1512"/>
      <c r="AI200" s="473"/>
      <c r="AK200" s="1512"/>
      <c r="AL200" s="1512"/>
      <c r="AM200" s="1512"/>
      <c r="AN200" s="1512"/>
      <c r="AO200" s="1512"/>
      <c r="AP200" s="1512"/>
      <c r="AQ200" s="1512"/>
    </row>
    <row r="201" spans="1:43" s="101" customFormat="1">
      <c r="C201" s="22"/>
      <c r="D201" s="18"/>
      <c r="E201" s="18"/>
      <c r="H201" s="94"/>
      <c r="I201" s="94"/>
      <c r="J201" s="94"/>
      <c r="K201" s="94"/>
      <c r="U201" s="1512"/>
      <c r="V201" s="1512"/>
      <c r="W201" s="1512"/>
      <c r="X201" s="1512"/>
      <c r="Y201" s="1512"/>
      <c r="Z201" s="1512"/>
      <c r="AA201" s="1512"/>
      <c r="AI201" s="473"/>
      <c r="AK201" s="1512"/>
      <c r="AL201" s="1512"/>
      <c r="AM201" s="1512"/>
      <c r="AN201" s="1512"/>
      <c r="AO201" s="1512"/>
      <c r="AP201" s="1512"/>
      <c r="AQ201" s="1512"/>
    </row>
    <row r="203" spans="1:43" s="18" customFormat="1">
      <c r="U203" s="1518"/>
      <c r="V203" s="1518"/>
      <c r="W203" s="1518"/>
      <c r="X203" s="1518"/>
      <c r="Y203" s="1518"/>
      <c r="Z203" s="1518"/>
      <c r="AA203" s="1518"/>
      <c r="AI203" s="478"/>
      <c r="AK203" s="1518"/>
      <c r="AL203" s="1518"/>
      <c r="AM203" s="1518"/>
      <c r="AN203" s="1518"/>
      <c r="AO203" s="1518"/>
      <c r="AP203" s="1518"/>
      <c r="AQ203" s="1518"/>
    </row>
    <row r="204" spans="1:43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</row>
    <row r="205" spans="1:43" s="99" customFormat="1">
      <c r="C205" s="18"/>
      <c r="D205" s="18"/>
      <c r="E205" s="18"/>
      <c r="U205" s="1511"/>
      <c r="V205" s="1511"/>
      <c r="W205" s="1511"/>
      <c r="X205" s="1511"/>
      <c r="Y205" s="1511"/>
      <c r="Z205" s="1511"/>
      <c r="AA205" s="1511"/>
      <c r="AI205" s="414"/>
      <c r="AK205" s="1511"/>
      <c r="AL205" s="1511"/>
      <c r="AM205" s="1511"/>
      <c r="AN205" s="1511"/>
      <c r="AO205" s="1511"/>
      <c r="AP205" s="1511"/>
      <c r="AQ205" s="1511"/>
    </row>
    <row r="206" spans="1:43" s="101" customFormat="1">
      <c r="C206" s="1"/>
      <c r="D206" s="1"/>
      <c r="E206" s="1"/>
      <c r="F206" s="1"/>
      <c r="G206" s="1"/>
      <c r="H206" s="21"/>
      <c r="I206" s="21"/>
      <c r="J206" s="21"/>
      <c r="K206" s="21"/>
      <c r="L206" s="1"/>
      <c r="M206" s="1"/>
      <c r="U206" s="1512"/>
      <c r="V206" s="1512"/>
      <c r="W206" s="1512"/>
      <c r="X206" s="1512"/>
      <c r="Y206" s="1512"/>
      <c r="Z206" s="1512"/>
      <c r="AA206" s="1512"/>
      <c r="AI206" s="473"/>
      <c r="AK206" s="1512"/>
      <c r="AL206" s="1512"/>
      <c r="AM206" s="1512"/>
      <c r="AN206" s="1512"/>
      <c r="AO206" s="1512"/>
      <c r="AP206" s="1512"/>
      <c r="AQ206" s="1512"/>
    </row>
    <row r="207" spans="1:43">
      <c r="C207" s="1"/>
      <c r="D207" s="1"/>
      <c r="E207" s="1"/>
      <c r="F207" s="1"/>
      <c r="G207" s="1"/>
      <c r="H207" s="21"/>
      <c r="I207" s="21"/>
      <c r="J207" s="21"/>
      <c r="K207" s="21"/>
      <c r="L207" s="1"/>
      <c r="M207" s="1"/>
      <c r="N207" s="99"/>
      <c r="O207" s="99"/>
      <c r="P207" s="99"/>
      <c r="Q207" s="99"/>
      <c r="R207" s="99"/>
      <c r="S207" s="99"/>
    </row>
    <row r="208" spans="1:43">
      <c r="C208" s="1"/>
      <c r="D208" s="1"/>
      <c r="E208" s="1"/>
      <c r="F208" s="1"/>
      <c r="G208" s="1"/>
      <c r="H208" s="21"/>
      <c r="I208" s="21"/>
      <c r="J208" s="21"/>
      <c r="K208" s="21"/>
      <c r="L208" s="1"/>
      <c r="M208" s="1"/>
    </row>
    <row r="209" spans="3:13">
      <c r="C209" s="1"/>
      <c r="D209" s="1"/>
      <c r="E209" s="1"/>
      <c r="F209" s="1"/>
      <c r="G209" s="1"/>
      <c r="H209" s="21"/>
      <c r="I209" s="21"/>
      <c r="J209" s="21"/>
      <c r="K209" s="21"/>
      <c r="L209" s="1"/>
      <c r="M209" s="1"/>
    </row>
    <row r="210" spans="3:13">
      <c r="C210" s="1"/>
      <c r="D210" s="1"/>
      <c r="E210" s="1"/>
      <c r="F210" s="1"/>
      <c r="G210" s="1"/>
      <c r="H210" s="21"/>
      <c r="I210" s="21"/>
      <c r="J210" s="21"/>
      <c r="K210" s="21"/>
      <c r="L210" s="1"/>
      <c r="M210" s="1"/>
    </row>
    <row r="211" spans="3:13">
      <c r="C211" s="1"/>
      <c r="D211" s="1"/>
      <c r="E211" s="1"/>
      <c r="H211" s="52"/>
      <c r="I211" s="52"/>
      <c r="J211" s="52"/>
      <c r="K211" s="52"/>
    </row>
    <row r="212" spans="3:13">
      <c r="C212" s="1"/>
      <c r="D212" s="1"/>
      <c r="E212" s="1"/>
      <c r="F212" s="1"/>
      <c r="G212" s="1"/>
      <c r="H212" s="52"/>
      <c r="I212" s="52"/>
      <c r="J212" s="52"/>
      <c r="K212" s="52"/>
      <c r="L212" s="1"/>
      <c r="M212" s="1"/>
    </row>
    <row r="213" spans="3:13">
      <c r="C213" s="1"/>
      <c r="D213" s="1"/>
      <c r="E213" s="1"/>
      <c r="F213" s="1"/>
      <c r="G213" s="1"/>
      <c r="H213" s="52"/>
      <c r="I213" s="52"/>
      <c r="J213" s="52"/>
      <c r="K213" s="52"/>
      <c r="L213" s="1"/>
      <c r="M213" s="1"/>
    </row>
    <row r="214" spans="3:13">
      <c r="C214" s="1"/>
      <c r="D214" s="1"/>
      <c r="E214" s="1"/>
      <c r="F214" s="1"/>
      <c r="G214" s="1"/>
      <c r="H214" s="52"/>
      <c r="I214" s="52"/>
      <c r="J214" s="52"/>
      <c r="K214" s="52"/>
      <c r="L214" s="1"/>
      <c r="M214" s="1"/>
    </row>
    <row r="215" spans="3:13">
      <c r="C215" s="1"/>
      <c r="D215" s="1"/>
      <c r="E215" s="1"/>
      <c r="F215" s="1"/>
      <c r="G215" s="1"/>
      <c r="H215" s="52"/>
      <c r="I215" s="52"/>
      <c r="J215" s="52"/>
      <c r="K215" s="52"/>
      <c r="L215" s="1"/>
      <c r="M215" s="1"/>
    </row>
    <row r="216" spans="3:13">
      <c r="C216" s="1"/>
      <c r="D216" s="1"/>
      <c r="E216" s="1"/>
      <c r="F216" s="1"/>
      <c r="G216" s="1"/>
      <c r="H216" s="52"/>
      <c r="I216" s="52"/>
      <c r="J216" s="52"/>
      <c r="K216" s="52"/>
      <c r="L216" s="1"/>
      <c r="M216" s="1"/>
    </row>
    <row r="217" spans="3:13">
      <c r="C217" s="18"/>
      <c r="D217" s="1"/>
      <c r="E217" s="1"/>
      <c r="H217" s="100"/>
      <c r="I217" s="100"/>
      <c r="J217" s="100"/>
      <c r="K217" s="99"/>
    </row>
    <row r="218" spans="3:13">
      <c r="C218" s="1"/>
      <c r="D218" s="1"/>
      <c r="E218" s="1"/>
      <c r="F218" s="1"/>
      <c r="G218" s="1"/>
      <c r="H218" s="21"/>
      <c r="I218" s="21"/>
      <c r="J218" s="21"/>
      <c r="K218" s="21"/>
      <c r="L218" s="1"/>
      <c r="M218" s="1"/>
    </row>
    <row r="219" spans="3:13">
      <c r="C219" s="1"/>
      <c r="D219" s="1"/>
      <c r="E219" s="1"/>
      <c r="F219" s="1"/>
      <c r="G219" s="1"/>
      <c r="H219" s="21"/>
      <c r="I219" s="21"/>
      <c r="J219" s="21"/>
      <c r="K219" s="21"/>
      <c r="L219" s="1"/>
      <c r="M219" s="1"/>
    </row>
    <row r="220" spans="3:13">
      <c r="C220" s="1"/>
      <c r="D220" s="1"/>
      <c r="E220" s="1"/>
      <c r="F220" s="1"/>
      <c r="G220" s="1"/>
      <c r="H220" s="21"/>
      <c r="I220" s="21"/>
      <c r="J220" s="21"/>
      <c r="K220" s="21"/>
      <c r="L220" s="1"/>
      <c r="M220" s="1"/>
    </row>
    <row r="221" spans="3:13">
      <c r="C221" s="1"/>
      <c r="D221" s="1"/>
      <c r="E221" s="1"/>
      <c r="F221" s="1"/>
      <c r="G221" s="1"/>
      <c r="H221" s="21"/>
      <c r="I221" s="21"/>
      <c r="J221" s="21"/>
      <c r="K221" s="21"/>
      <c r="L221" s="1"/>
      <c r="M221" s="1"/>
    </row>
    <row r="222" spans="3:13">
      <c r="C222" s="1"/>
      <c r="D222" s="1"/>
      <c r="E222" s="1"/>
      <c r="F222" s="1"/>
      <c r="G222" s="1"/>
      <c r="H222" s="21"/>
      <c r="I222" s="21"/>
      <c r="J222" s="21"/>
      <c r="K222" s="21"/>
      <c r="L222" s="1"/>
      <c r="M222" s="1"/>
    </row>
    <row r="223" spans="3:13">
      <c r="C223" s="1"/>
      <c r="D223" s="1"/>
      <c r="E223" s="1"/>
    </row>
    <row r="224" spans="3:13">
      <c r="C224" s="1"/>
      <c r="D224" s="1"/>
      <c r="E224" s="1"/>
      <c r="H224" s="127"/>
      <c r="I224" s="127"/>
      <c r="J224" s="127"/>
      <c r="K224" s="127"/>
    </row>
    <row r="225" spans="1:43" s="101" customFormat="1">
      <c r="C225" s="18"/>
      <c r="D225" s="18"/>
      <c r="E225" s="18"/>
      <c r="H225" s="100"/>
      <c r="I225" s="100"/>
      <c r="J225" s="100"/>
      <c r="K225" s="100"/>
      <c r="U225" s="1512"/>
      <c r="V225" s="1512"/>
      <c r="W225" s="1512"/>
      <c r="X225" s="1512"/>
      <c r="Y225" s="1512"/>
      <c r="Z225" s="1512"/>
      <c r="AA225" s="1512"/>
      <c r="AI225" s="473"/>
      <c r="AK225" s="1512"/>
      <c r="AL225" s="1512"/>
      <c r="AM225" s="1512"/>
      <c r="AN225" s="1512"/>
      <c r="AO225" s="1512"/>
      <c r="AP225" s="1512"/>
      <c r="AQ225" s="1512"/>
    </row>
    <row r="226" spans="1:43" s="101" customFormat="1">
      <c r="C226" s="97"/>
      <c r="H226" s="21"/>
      <c r="I226" s="21"/>
      <c r="J226" s="21"/>
      <c r="K226" s="21"/>
      <c r="U226" s="1512"/>
      <c r="V226" s="1512"/>
      <c r="W226" s="1512"/>
      <c r="X226" s="1512"/>
      <c r="Y226" s="1512"/>
      <c r="Z226" s="1512"/>
      <c r="AA226" s="1512"/>
      <c r="AI226" s="473"/>
      <c r="AK226" s="1512"/>
      <c r="AL226" s="1512"/>
      <c r="AM226" s="1512"/>
      <c r="AN226" s="1512"/>
      <c r="AO226" s="1512"/>
      <c r="AP226" s="1512"/>
      <c r="AQ226" s="1512"/>
    </row>
    <row r="227" spans="1:43" s="101" customFormat="1">
      <c r="C227" s="18"/>
      <c r="D227" s="18"/>
      <c r="E227" s="18"/>
      <c r="H227" s="23"/>
      <c r="I227" s="23"/>
      <c r="J227" s="23"/>
      <c r="K227" s="23"/>
      <c r="U227" s="1512"/>
      <c r="V227" s="1512"/>
      <c r="W227" s="1512"/>
      <c r="X227" s="1512"/>
      <c r="Y227" s="1512"/>
      <c r="Z227" s="1512"/>
      <c r="AA227" s="1512"/>
      <c r="AI227" s="473"/>
      <c r="AK227" s="1512"/>
      <c r="AL227" s="1512"/>
      <c r="AM227" s="1512"/>
      <c r="AN227" s="1512"/>
      <c r="AO227" s="1512"/>
      <c r="AP227" s="1512"/>
      <c r="AQ227" s="1512"/>
    </row>
    <row r="228" spans="1:43" s="101" customFormat="1">
      <c r="C228" s="22"/>
      <c r="D228" s="18"/>
      <c r="E228" s="18"/>
      <c r="H228" s="94"/>
      <c r="I228" s="94"/>
      <c r="J228" s="94"/>
      <c r="K228" s="94"/>
      <c r="U228" s="1512"/>
      <c r="V228" s="1512"/>
      <c r="W228" s="1512"/>
      <c r="X228" s="1512"/>
      <c r="Y228" s="1512"/>
      <c r="Z228" s="1512"/>
      <c r="AA228" s="1512"/>
      <c r="AI228" s="473"/>
      <c r="AK228" s="1512"/>
      <c r="AL228" s="1512"/>
      <c r="AM228" s="1512"/>
      <c r="AN228" s="1512"/>
      <c r="AO228" s="1512"/>
      <c r="AP228" s="1512"/>
      <c r="AQ228" s="1512"/>
    </row>
    <row r="229" spans="1:43" collapsed="1"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</row>
    <row r="230" spans="1:43" s="96" customForma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U230" s="1515"/>
      <c r="V230" s="1515"/>
      <c r="W230" s="1515"/>
      <c r="X230" s="1515"/>
      <c r="Y230" s="1515"/>
      <c r="Z230" s="1515"/>
      <c r="AA230" s="1515"/>
      <c r="AI230" s="415"/>
      <c r="AK230" s="1515"/>
      <c r="AL230" s="1515"/>
      <c r="AM230" s="1515"/>
      <c r="AN230" s="1515"/>
      <c r="AO230" s="1515"/>
      <c r="AP230" s="1515"/>
      <c r="AQ230" s="1515"/>
    </row>
    <row r="231" spans="1:43"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</row>
    <row r="232" spans="1:43" s="18" customFormat="1">
      <c r="U232" s="1518"/>
      <c r="V232" s="1518"/>
      <c r="W232" s="1518"/>
      <c r="X232" s="1518"/>
      <c r="Y232" s="1518"/>
      <c r="Z232" s="1518"/>
      <c r="AA232" s="1518"/>
      <c r="AI232" s="478"/>
      <c r="AK232" s="1518"/>
      <c r="AL232" s="1518"/>
      <c r="AM232" s="1518"/>
      <c r="AN232" s="1518"/>
      <c r="AO232" s="1518"/>
      <c r="AP232" s="1518"/>
      <c r="AQ232" s="1518"/>
    </row>
    <row r="233" spans="1:4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</row>
    <row r="234" spans="1:43" s="99" customFormat="1">
      <c r="C234" s="18"/>
      <c r="D234" s="18"/>
      <c r="E234" s="18"/>
      <c r="U234" s="1511"/>
      <c r="V234" s="1511"/>
      <c r="W234" s="1511"/>
      <c r="X234" s="1511"/>
      <c r="Y234" s="1511"/>
      <c r="Z234" s="1511"/>
      <c r="AA234" s="1511"/>
      <c r="AI234" s="414"/>
      <c r="AK234" s="1511"/>
      <c r="AL234" s="1511"/>
      <c r="AM234" s="1511"/>
      <c r="AN234" s="1511"/>
      <c r="AO234" s="1511"/>
      <c r="AP234" s="1511"/>
      <c r="AQ234" s="1511"/>
    </row>
    <row r="235" spans="1:43" s="101" customFormat="1">
      <c r="C235" s="1"/>
      <c r="D235" s="1"/>
      <c r="E235" s="1"/>
      <c r="F235" s="1"/>
      <c r="G235" s="1"/>
      <c r="H235" s="20"/>
      <c r="I235" s="20"/>
      <c r="J235" s="20"/>
      <c r="K235" s="20"/>
      <c r="L235" s="20"/>
      <c r="M235" s="20"/>
      <c r="U235" s="1512"/>
      <c r="V235" s="1512"/>
      <c r="W235" s="1512"/>
      <c r="X235" s="1512"/>
      <c r="Y235" s="1512"/>
      <c r="Z235" s="1512"/>
      <c r="AA235" s="1512"/>
      <c r="AI235" s="473"/>
      <c r="AK235" s="1512"/>
      <c r="AL235" s="1512"/>
      <c r="AM235" s="1512"/>
      <c r="AN235" s="1512"/>
      <c r="AO235" s="1512"/>
      <c r="AP235" s="1512"/>
      <c r="AQ235" s="1512"/>
    </row>
    <row r="236" spans="1:43">
      <c r="C236" s="1"/>
      <c r="D236" s="1"/>
      <c r="E236" s="1"/>
      <c r="F236" s="1"/>
      <c r="G236" s="1"/>
      <c r="H236" s="20"/>
      <c r="I236" s="20"/>
      <c r="J236" s="20"/>
      <c r="K236" s="20"/>
      <c r="L236" s="20"/>
      <c r="M236" s="20"/>
      <c r="N236" s="99"/>
      <c r="O236" s="99"/>
      <c r="P236" s="99"/>
      <c r="Q236" s="99"/>
      <c r="R236" s="99"/>
      <c r="S236" s="99"/>
    </row>
    <row r="237" spans="1:43">
      <c r="C237" s="1"/>
      <c r="D237" s="1"/>
      <c r="E237" s="1"/>
      <c r="F237" s="1"/>
      <c r="G237" s="1"/>
      <c r="H237" s="20"/>
      <c r="I237" s="20"/>
      <c r="J237" s="20"/>
      <c r="K237" s="20"/>
      <c r="L237" s="20"/>
      <c r="M237" s="20"/>
    </row>
    <row r="238" spans="1:43">
      <c r="C238" s="1"/>
      <c r="D238" s="1"/>
      <c r="E238" s="1"/>
      <c r="F238" s="1"/>
      <c r="G238" s="1"/>
      <c r="H238" s="20"/>
      <c r="I238" s="20"/>
      <c r="J238" s="20"/>
      <c r="K238" s="20"/>
      <c r="L238" s="20"/>
      <c r="M238" s="20"/>
    </row>
    <row r="239" spans="1:43">
      <c r="C239" s="1"/>
      <c r="D239" s="1"/>
      <c r="E239" s="1"/>
      <c r="F239" s="1"/>
      <c r="G239" s="1"/>
      <c r="H239" s="20"/>
      <c r="I239" s="20"/>
      <c r="J239" s="20"/>
      <c r="K239" s="20"/>
      <c r="L239" s="20"/>
      <c r="M239" s="20"/>
    </row>
    <row r="240" spans="1:43">
      <c r="C240" s="1"/>
      <c r="D240" s="1"/>
      <c r="E240" s="1"/>
      <c r="H240" s="52"/>
      <c r="I240" s="52"/>
      <c r="J240" s="52"/>
      <c r="K240" s="52"/>
    </row>
    <row r="241" spans="3:43">
      <c r="C241" s="1"/>
      <c r="D241" s="1"/>
      <c r="E241" s="1"/>
      <c r="F241" s="1"/>
      <c r="G241" s="1"/>
      <c r="H241" s="52"/>
      <c r="I241" s="52"/>
      <c r="J241" s="52"/>
      <c r="K241" s="52"/>
      <c r="L241" s="1"/>
      <c r="M241" s="1"/>
    </row>
    <row r="242" spans="3:43">
      <c r="C242" s="1"/>
      <c r="D242" s="1"/>
      <c r="E242" s="1"/>
      <c r="F242" s="1"/>
      <c r="G242" s="1"/>
      <c r="H242" s="52"/>
      <c r="I242" s="52"/>
      <c r="J242" s="52"/>
      <c r="K242" s="52"/>
      <c r="L242" s="1"/>
      <c r="M242" s="1"/>
    </row>
    <row r="243" spans="3:43">
      <c r="C243" s="1"/>
      <c r="D243" s="1"/>
      <c r="E243" s="1"/>
      <c r="F243" s="1"/>
      <c r="G243" s="1"/>
      <c r="H243" s="52"/>
      <c r="I243" s="52"/>
      <c r="J243" s="52"/>
      <c r="K243" s="52"/>
      <c r="L243" s="1"/>
      <c r="M243" s="1"/>
    </row>
    <row r="244" spans="3:43">
      <c r="C244" s="1"/>
      <c r="D244" s="1"/>
      <c r="E244" s="1"/>
      <c r="F244" s="1"/>
      <c r="G244" s="1"/>
      <c r="H244" s="52"/>
      <c r="I244" s="52"/>
      <c r="J244" s="52"/>
      <c r="K244" s="52"/>
      <c r="L244" s="1"/>
      <c r="M244" s="1"/>
    </row>
    <row r="245" spans="3:43">
      <c r="C245" s="1"/>
      <c r="D245" s="1"/>
      <c r="E245" s="1"/>
      <c r="F245" s="1"/>
      <c r="G245" s="1"/>
      <c r="H245" s="52"/>
      <c r="I245" s="52"/>
      <c r="J245" s="52"/>
      <c r="K245" s="52"/>
      <c r="L245" s="1"/>
      <c r="M245" s="1"/>
    </row>
    <row r="246" spans="3:43">
      <c r="C246" s="18"/>
      <c r="D246" s="1"/>
      <c r="E246" s="1"/>
      <c r="H246" s="99"/>
      <c r="I246" s="99"/>
      <c r="J246" s="99"/>
      <c r="K246" s="99"/>
    </row>
    <row r="247" spans="3:43">
      <c r="C247" s="1"/>
      <c r="D247" s="1"/>
      <c r="E247" s="1"/>
      <c r="F247" s="1"/>
      <c r="G247" s="1"/>
      <c r="H247" s="20"/>
      <c r="I247" s="20"/>
      <c r="J247" s="20"/>
      <c r="K247" s="20"/>
      <c r="L247" s="1"/>
      <c r="M247" s="1"/>
    </row>
    <row r="248" spans="3:43">
      <c r="C248" s="1"/>
      <c r="D248" s="1"/>
      <c r="E248" s="1"/>
      <c r="F248" s="1"/>
      <c r="G248" s="1"/>
      <c r="H248" s="20"/>
      <c r="I248" s="20"/>
      <c r="J248" s="20"/>
      <c r="K248" s="20"/>
      <c r="L248" s="1"/>
      <c r="M248" s="1"/>
    </row>
    <row r="249" spans="3:43">
      <c r="C249" s="1"/>
      <c r="D249" s="1"/>
      <c r="E249" s="1"/>
      <c r="F249" s="1"/>
      <c r="G249" s="1"/>
      <c r="H249" s="20"/>
      <c r="I249" s="20"/>
      <c r="J249" s="20"/>
      <c r="K249" s="20"/>
      <c r="L249" s="1"/>
      <c r="M249" s="1"/>
    </row>
    <row r="250" spans="3:43">
      <c r="C250" s="1"/>
      <c r="D250" s="1"/>
      <c r="E250" s="1"/>
      <c r="F250" s="1"/>
      <c r="G250" s="1"/>
      <c r="H250" s="20"/>
      <c r="I250" s="20"/>
      <c r="J250" s="20"/>
      <c r="K250" s="20"/>
      <c r="L250" s="1"/>
      <c r="M250" s="1"/>
    </row>
    <row r="251" spans="3:43">
      <c r="C251" s="1"/>
      <c r="D251" s="1"/>
      <c r="E251" s="1"/>
      <c r="F251" s="1"/>
      <c r="G251" s="1"/>
      <c r="H251" s="20"/>
      <c r="I251" s="20"/>
      <c r="J251" s="20"/>
      <c r="K251" s="20"/>
      <c r="L251" s="1"/>
      <c r="M251" s="1"/>
    </row>
    <row r="252" spans="3:43">
      <c r="C252" s="1"/>
      <c r="D252" s="1"/>
      <c r="E252" s="1"/>
    </row>
    <row r="253" spans="3:43">
      <c r="C253" s="1"/>
      <c r="D253" s="1"/>
      <c r="E253" s="1"/>
      <c r="H253" s="127"/>
      <c r="I253" s="127"/>
      <c r="J253" s="127"/>
      <c r="K253" s="127"/>
    </row>
    <row r="254" spans="3:43" s="101" customFormat="1">
      <c r="C254" s="18"/>
      <c r="D254" s="18"/>
      <c r="E254" s="18"/>
      <c r="H254" s="23"/>
      <c r="I254" s="23"/>
      <c r="J254" s="23"/>
      <c r="K254" s="23"/>
      <c r="U254" s="1512"/>
      <c r="V254" s="1512"/>
      <c r="W254" s="1512"/>
      <c r="X254" s="1512"/>
      <c r="Y254" s="1512"/>
      <c r="Z254" s="1512"/>
      <c r="AA254" s="1512"/>
      <c r="AI254" s="473"/>
      <c r="AK254" s="1512"/>
      <c r="AL254" s="1512"/>
      <c r="AM254" s="1512"/>
      <c r="AN254" s="1512"/>
      <c r="AO254" s="1512"/>
      <c r="AP254" s="1512"/>
      <c r="AQ254" s="1512"/>
    </row>
    <row r="255" spans="3:43" s="101" customFormat="1">
      <c r="C255" s="97"/>
      <c r="H255" s="20"/>
      <c r="I255" s="20"/>
      <c r="J255" s="20"/>
      <c r="K255" s="20"/>
      <c r="U255" s="1512"/>
      <c r="V255" s="1512"/>
      <c r="W255" s="1512"/>
      <c r="X255" s="1512"/>
      <c r="Y255" s="1512"/>
      <c r="Z255" s="1512"/>
      <c r="AA255" s="1512"/>
      <c r="AI255" s="473"/>
      <c r="AK255" s="1512"/>
      <c r="AL255" s="1512"/>
      <c r="AM255" s="1512"/>
      <c r="AN255" s="1512"/>
      <c r="AO255" s="1512"/>
      <c r="AP255" s="1512"/>
      <c r="AQ255" s="1512"/>
    </row>
    <row r="256" spans="3:43" s="101" customFormat="1">
      <c r="C256" s="18"/>
      <c r="D256" s="18"/>
      <c r="E256" s="18"/>
      <c r="H256" s="23"/>
      <c r="I256" s="23"/>
      <c r="J256" s="23"/>
      <c r="K256" s="23"/>
      <c r="U256" s="1512"/>
      <c r="V256" s="1512"/>
      <c r="W256" s="1512"/>
      <c r="X256" s="1512"/>
      <c r="Y256" s="1512"/>
      <c r="Z256" s="1512"/>
      <c r="AA256" s="1512"/>
      <c r="AI256" s="473"/>
      <c r="AK256" s="1512"/>
      <c r="AL256" s="1512"/>
      <c r="AM256" s="1512"/>
      <c r="AN256" s="1512"/>
      <c r="AO256" s="1512"/>
      <c r="AP256" s="1512"/>
      <c r="AQ256" s="1512"/>
    </row>
    <row r="257" spans="1:43" s="101" customFormat="1">
      <c r="C257" s="22"/>
      <c r="D257" s="18"/>
      <c r="E257" s="18"/>
      <c r="H257" s="94"/>
      <c r="I257" s="94"/>
      <c r="J257" s="94"/>
      <c r="K257" s="94"/>
      <c r="U257" s="1512"/>
      <c r="V257" s="1512"/>
      <c r="W257" s="1512"/>
      <c r="X257" s="1512"/>
      <c r="Y257" s="1512"/>
      <c r="Z257" s="1512"/>
      <c r="AA257" s="1512"/>
      <c r="AI257" s="473"/>
      <c r="AK257" s="1512"/>
      <c r="AL257" s="1512"/>
      <c r="AM257" s="1512"/>
      <c r="AN257" s="1512"/>
      <c r="AO257" s="1512"/>
      <c r="AP257" s="1512"/>
      <c r="AQ257" s="1512"/>
    </row>
    <row r="258" spans="1:43" s="101" customFormat="1">
      <c r="U258" s="1512"/>
      <c r="V258" s="1512"/>
      <c r="W258" s="1512"/>
      <c r="X258" s="1512"/>
      <c r="Y258" s="1512"/>
      <c r="Z258" s="1512"/>
      <c r="AA258" s="1512"/>
      <c r="AI258" s="473"/>
      <c r="AK258" s="1512"/>
      <c r="AL258" s="1512"/>
      <c r="AM258" s="1512"/>
      <c r="AN258" s="1512"/>
      <c r="AO258" s="1512"/>
      <c r="AP258" s="1512"/>
      <c r="AQ258" s="1512"/>
    </row>
    <row r="259" spans="1:43" s="18" customFormat="1">
      <c r="U259" s="1518"/>
      <c r="V259" s="1518"/>
      <c r="W259" s="1518"/>
      <c r="X259" s="1518"/>
      <c r="Y259" s="1518"/>
      <c r="Z259" s="1518"/>
      <c r="AA259" s="1518"/>
      <c r="AI259" s="478"/>
      <c r="AK259" s="1518"/>
      <c r="AL259" s="1518"/>
      <c r="AM259" s="1518"/>
      <c r="AN259" s="1518"/>
      <c r="AO259" s="1518"/>
      <c r="AP259" s="1518"/>
      <c r="AQ259" s="1518"/>
    </row>
    <row r="260" spans="1:43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</row>
    <row r="261" spans="1:43" s="99" customFormat="1">
      <c r="C261" s="18"/>
      <c r="D261" s="18"/>
      <c r="E261" s="18"/>
      <c r="U261" s="1511"/>
      <c r="V261" s="1511"/>
      <c r="W261" s="1511"/>
      <c r="X261" s="1511"/>
      <c r="Y261" s="1511"/>
      <c r="Z261" s="1511"/>
      <c r="AA261" s="1511"/>
      <c r="AI261" s="414"/>
      <c r="AK261" s="1511"/>
      <c r="AL261" s="1511"/>
      <c r="AM261" s="1511"/>
      <c r="AN261" s="1511"/>
      <c r="AO261" s="1511"/>
      <c r="AP261" s="1511"/>
      <c r="AQ261" s="1511"/>
    </row>
    <row r="262" spans="1:43" s="101" customFormat="1">
      <c r="C262" s="1"/>
      <c r="D262" s="1"/>
      <c r="E262" s="1"/>
      <c r="F262" s="1"/>
      <c r="G262" s="1"/>
      <c r="H262" s="21"/>
      <c r="I262" s="21"/>
      <c r="J262" s="21"/>
      <c r="K262" s="21"/>
      <c r="L262" s="1"/>
      <c r="M262" s="1"/>
      <c r="U262" s="1512"/>
      <c r="V262" s="1512"/>
      <c r="W262" s="1512"/>
      <c r="X262" s="1512"/>
      <c r="Y262" s="1512"/>
      <c r="Z262" s="1512"/>
      <c r="AA262" s="1512"/>
      <c r="AI262" s="473"/>
      <c r="AK262" s="1512"/>
      <c r="AL262" s="1512"/>
      <c r="AM262" s="1512"/>
      <c r="AN262" s="1512"/>
      <c r="AO262" s="1512"/>
      <c r="AP262" s="1512"/>
      <c r="AQ262" s="1512"/>
    </row>
    <row r="263" spans="1:43">
      <c r="C263" s="1"/>
      <c r="D263" s="1"/>
      <c r="E263" s="1"/>
      <c r="F263" s="1"/>
      <c r="G263" s="1"/>
      <c r="H263" s="21"/>
      <c r="I263" s="21"/>
      <c r="J263" s="21"/>
      <c r="K263" s="21"/>
      <c r="L263" s="1"/>
      <c r="M263" s="1"/>
      <c r="N263" s="99"/>
      <c r="O263" s="99"/>
      <c r="P263" s="99"/>
      <c r="Q263" s="99"/>
      <c r="R263" s="99"/>
      <c r="S263" s="99"/>
    </row>
    <row r="264" spans="1:43">
      <c r="C264" s="1"/>
      <c r="D264" s="1"/>
      <c r="E264" s="1"/>
      <c r="F264" s="1"/>
      <c r="G264" s="1"/>
      <c r="H264" s="21"/>
      <c r="I264" s="21"/>
      <c r="J264" s="21"/>
      <c r="K264" s="21"/>
      <c r="L264" s="1"/>
      <c r="M264" s="1"/>
    </row>
    <row r="265" spans="1:43">
      <c r="C265" s="1"/>
      <c r="D265" s="1"/>
      <c r="E265" s="1"/>
      <c r="F265" s="1"/>
      <c r="G265" s="1"/>
      <c r="H265" s="21"/>
      <c r="I265" s="21"/>
      <c r="J265" s="21"/>
      <c r="K265" s="21"/>
      <c r="L265" s="1"/>
      <c r="M265" s="1"/>
    </row>
    <row r="266" spans="1:43">
      <c r="C266" s="1"/>
      <c r="D266" s="1"/>
      <c r="E266" s="1"/>
      <c r="F266" s="1"/>
      <c r="G266" s="1"/>
      <c r="H266" s="21"/>
      <c r="I266" s="21"/>
      <c r="J266" s="21"/>
      <c r="K266" s="21"/>
      <c r="L266" s="1"/>
      <c r="M266" s="1"/>
    </row>
    <row r="267" spans="1:43">
      <c r="C267" s="1"/>
      <c r="D267" s="1"/>
      <c r="E267" s="1"/>
      <c r="H267" s="52"/>
      <c r="I267" s="52"/>
      <c r="J267" s="52"/>
      <c r="K267" s="52"/>
    </row>
    <row r="268" spans="1:43">
      <c r="C268" s="1"/>
      <c r="D268" s="1"/>
      <c r="E268" s="1"/>
      <c r="F268" s="1"/>
      <c r="G268" s="1"/>
      <c r="H268" s="52"/>
      <c r="I268" s="52"/>
      <c r="J268" s="52"/>
      <c r="K268" s="52"/>
      <c r="L268" s="1"/>
      <c r="M268" s="1"/>
    </row>
    <row r="269" spans="1:43">
      <c r="C269" s="1"/>
      <c r="D269" s="1"/>
      <c r="E269" s="1"/>
      <c r="F269" s="1"/>
      <c r="G269" s="1"/>
      <c r="H269" s="52"/>
      <c r="I269" s="52"/>
      <c r="J269" s="52"/>
      <c r="K269" s="52"/>
      <c r="L269" s="1"/>
      <c r="M269" s="1"/>
    </row>
    <row r="270" spans="1:43">
      <c r="C270" s="1"/>
      <c r="D270" s="1"/>
      <c r="E270" s="1"/>
      <c r="F270" s="1"/>
      <c r="G270" s="1"/>
      <c r="H270" s="52"/>
      <c r="I270" s="52"/>
      <c r="J270" s="52"/>
      <c r="K270" s="52"/>
      <c r="L270" s="1"/>
      <c r="M270" s="1"/>
    </row>
    <row r="271" spans="1:43">
      <c r="C271" s="1"/>
      <c r="D271" s="1"/>
      <c r="E271" s="1"/>
      <c r="F271" s="1"/>
      <c r="G271" s="1"/>
      <c r="H271" s="52"/>
      <c r="I271" s="52"/>
      <c r="J271" s="52"/>
      <c r="K271" s="52"/>
      <c r="L271" s="1"/>
      <c r="M271" s="1"/>
    </row>
    <row r="272" spans="1:43">
      <c r="C272" s="1"/>
      <c r="D272" s="1"/>
      <c r="E272" s="1"/>
      <c r="F272" s="1"/>
      <c r="G272" s="1"/>
      <c r="H272" s="52"/>
      <c r="I272" s="52"/>
      <c r="J272" s="52"/>
      <c r="K272" s="52"/>
      <c r="L272" s="1"/>
      <c r="M272" s="1"/>
    </row>
    <row r="273" spans="1:43">
      <c r="C273" s="18"/>
      <c r="D273" s="1"/>
      <c r="E273" s="1"/>
      <c r="H273" s="100"/>
      <c r="I273" s="100"/>
      <c r="J273" s="99"/>
      <c r="K273" s="99"/>
    </row>
    <row r="274" spans="1:43">
      <c r="C274" s="1"/>
      <c r="D274" s="1"/>
      <c r="E274" s="1"/>
      <c r="F274" s="1"/>
      <c r="G274" s="1"/>
      <c r="H274" s="21"/>
      <c r="I274" s="21"/>
      <c r="J274" s="21"/>
      <c r="K274" s="21"/>
      <c r="L274" s="1"/>
      <c r="M274" s="1"/>
    </row>
    <row r="275" spans="1:43">
      <c r="C275" s="1"/>
      <c r="D275" s="1"/>
      <c r="E275" s="1"/>
      <c r="F275" s="1"/>
      <c r="G275" s="1"/>
      <c r="H275" s="21"/>
      <c r="I275" s="21"/>
      <c r="J275" s="21"/>
      <c r="K275" s="21"/>
      <c r="L275" s="1"/>
      <c r="M275" s="1"/>
    </row>
    <row r="276" spans="1:43">
      <c r="C276" s="1"/>
      <c r="D276" s="1"/>
      <c r="E276" s="1"/>
      <c r="F276" s="1"/>
      <c r="G276" s="1"/>
      <c r="H276" s="21"/>
      <c r="I276" s="21"/>
      <c r="J276" s="21"/>
      <c r="K276" s="21"/>
      <c r="L276" s="1"/>
      <c r="M276" s="1"/>
    </row>
    <row r="277" spans="1:43">
      <c r="C277" s="1"/>
      <c r="D277" s="1"/>
      <c r="E277" s="1"/>
      <c r="F277" s="1"/>
      <c r="G277" s="1"/>
      <c r="H277" s="21"/>
      <c r="I277" s="21"/>
      <c r="J277" s="21"/>
      <c r="K277" s="21"/>
      <c r="L277" s="1"/>
      <c r="M277" s="1"/>
    </row>
    <row r="278" spans="1:43">
      <c r="C278" s="1"/>
      <c r="D278" s="1"/>
      <c r="E278" s="1"/>
      <c r="F278" s="1"/>
      <c r="G278" s="1"/>
      <c r="H278" s="21"/>
      <c r="I278" s="21"/>
      <c r="J278" s="21"/>
      <c r="K278" s="21"/>
      <c r="L278" s="1"/>
      <c r="M278" s="1"/>
    </row>
    <row r="279" spans="1:43">
      <c r="C279" s="1"/>
      <c r="D279" s="1"/>
      <c r="E279" s="1"/>
    </row>
    <row r="280" spans="1:43">
      <c r="C280" s="1"/>
      <c r="D280" s="1"/>
      <c r="E280" s="1"/>
      <c r="H280" s="127"/>
      <c r="I280" s="127"/>
      <c r="J280" s="127"/>
      <c r="K280" s="127"/>
    </row>
    <row r="281" spans="1:43" s="101" customFormat="1">
      <c r="C281" s="18"/>
      <c r="D281" s="18"/>
      <c r="E281" s="18"/>
      <c r="H281" s="100"/>
      <c r="I281" s="100"/>
      <c r="J281" s="100"/>
      <c r="K281" s="100"/>
      <c r="U281" s="1512"/>
      <c r="V281" s="1512"/>
      <c r="W281" s="1512"/>
      <c r="X281" s="1512"/>
      <c r="Y281" s="1512"/>
      <c r="Z281" s="1512"/>
      <c r="AA281" s="1512"/>
      <c r="AI281" s="473"/>
      <c r="AK281" s="1512"/>
      <c r="AL281" s="1512"/>
      <c r="AM281" s="1512"/>
      <c r="AN281" s="1512"/>
      <c r="AO281" s="1512"/>
      <c r="AP281" s="1512"/>
      <c r="AQ281" s="1512"/>
    </row>
    <row r="282" spans="1:43" s="101" customFormat="1">
      <c r="C282" s="97"/>
      <c r="H282" s="21"/>
      <c r="I282" s="21"/>
      <c r="J282" s="21"/>
      <c r="K282" s="21"/>
      <c r="U282" s="1512"/>
      <c r="V282" s="1512"/>
      <c r="W282" s="1512"/>
      <c r="X282" s="1512"/>
      <c r="Y282" s="1512"/>
      <c r="Z282" s="1512"/>
      <c r="AA282" s="1512"/>
      <c r="AI282" s="473"/>
      <c r="AK282" s="1512"/>
      <c r="AL282" s="1512"/>
      <c r="AM282" s="1512"/>
      <c r="AN282" s="1512"/>
      <c r="AO282" s="1512"/>
      <c r="AP282" s="1512"/>
      <c r="AQ282" s="1512"/>
    </row>
    <row r="283" spans="1:43" s="101" customFormat="1">
      <c r="C283" s="18"/>
      <c r="D283" s="18"/>
      <c r="E283" s="18"/>
      <c r="H283" s="99"/>
      <c r="I283" s="99"/>
      <c r="J283" s="99"/>
      <c r="K283" s="99"/>
      <c r="U283" s="1512"/>
      <c r="V283" s="1512"/>
      <c r="W283" s="1512"/>
      <c r="X283" s="1512"/>
      <c r="Y283" s="1512"/>
      <c r="Z283" s="1512"/>
      <c r="AA283" s="1512"/>
      <c r="AI283" s="473"/>
      <c r="AK283" s="1512"/>
      <c r="AL283" s="1512"/>
      <c r="AM283" s="1512"/>
      <c r="AN283" s="1512"/>
      <c r="AO283" s="1512"/>
      <c r="AP283" s="1512"/>
      <c r="AQ283" s="1512"/>
    </row>
    <row r="284" spans="1:43" s="101" customFormat="1">
      <c r="C284" s="22"/>
      <c r="D284" s="18"/>
      <c r="E284" s="18"/>
      <c r="H284" s="94"/>
      <c r="I284" s="94"/>
      <c r="J284" s="94"/>
      <c r="K284" s="94"/>
      <c r="U284" s="1512"/>
      <c r="V284" s="1512"/>
      <c r="W284" s="1512"/>
      <c r="X284" s="1512"/>
      <c r="Y284" s="1512"/>
      <c r="Z284" s="1512"/>
      <c r="AA284" s="1512"/>
      <c r="AI284" s="473"/>
      <c r="AK284" s="1512"/>
      <c r="AL284" s="1512"/>
      <c r="AM284" s="1512"/>
      <c r="AN284" s="1512"/>
      <c r="AO284" s="1512"/>
      <c r="AP284" s="1512"/>
      <c r="AQ284" s="1512"/>
    </row>
    <row r="285" spans="1:43"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</row>
    <row r="286" spans="1:43" s="18" customFormat="1">
      <c r="U286" s="1518"/>
      <c r="V286" s="1518"/>
      <c r="W286" s="1518"/>
      <c r="X286" s="1518"/>
      <c r="Y286" s="1518"/>
      <c r="Z286" s="1518"/>
      <c r="AA286" s="1518"/>
      <c r="AI286" s="478"/>
      <c r="AK286" s="1518"/>
      <c r="AL286" s="1518"/>
      <c r="AM286" s="1518"/>
      <c r="AN286" s="1518"/>
      <c r="AO286" s="1518"/>
      <c r="AP286" s="1518"/>
      <c r="AQ286" s="1518"/>
    </row>
    <row r="287" spans="1:43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</row>
    <row r="288" spans="1:43" s="99" customFormat="1">
      <c r="C288" s="18"/>
      <c r="D288" s="18"/>
      <c r="E288" s="18"/>
      <c r="U288" s="1511"/>
      <c r="V288" s="1511"/>
      <c r="W288" s="1511"/>
      <c r="X288" s="1511"/>
      <c r="Y288" s="1511"/>
      <c r="Z288" s="1511"/>
      <c r="AA288" s="1511"/>
      <c r="AI288" s="414"/>
      <c r="AK288" s="1511"/>
      <c r="AL288" s="1511"/>
      <c r="AM288" s="1511"/>
      <c r="AN288" s="1511"/>
      <c r="AO288" s="1511"/>
      <c r="AP288" s="1511"/>
      <c r="AQ288" s="1511"/>
    </row>
    <row r="289" spans="3:43" s="101" customFormat="1">
      <c r="C289" s="1"/>
      <c r="D289" s="1"/>
      <c r="E289" s="1"/>
      <c r="F289" s="1"/>
      <c r="G289" s="1"/>
      <c r="H289" s="21"/>
      <c r="I289" s="21"/>
      <c r="J289" s="21"/>
      <c r="K289" s="21"/>
      <c r="L289" s="1"/>
      <c r="M289" s="1"/>
      <c r="U289" s="1512"/>
      <c r="V289" s="1512"/>
      <c r="W289" s="1512"/>
      <c r="X289" s="1512"/>
      <c r="Y289" s="1512"/>
      <c r="Z289" s="1512"/>
      <c r="AA289" s="1512"/>
      <c r="AI289" s="473"/>
      <c r="AK289" s="1512"/>
      <c r="AL289" s="1512"/>
      <c r="AM289" s="1512"/>
      <c r="AN289" s="1512"/>
      <c r="AO289" s="1512"/>
      <c r="AP289" s="1512"/>
      <c r="AQ289" s="1512"/>
    </row>
    <row r="290" spans="3:43">
      <c r="C290" s="1"/>
      <c r="D290" s="1"/>
      <c r="E290" s="1"/>
      <c r="F290" s="1"/>
      <c r="G290" s="1"/>
      <c r="H290" s="21"/>
      <c r="I290" s="21"/>
      <c r="J290" s="21"/>
      <c r="K290" s="21"/>
      <c r="L290" s="1"/>
      <c r="M290" s="1"/>
      <c r="N290" s="99"/>
      <c r="O290" s="99"/>
      <c r="P290" s="99"/>
      <c r="Q290" s="99"/>
      <c r="R290" s="99"/>
      <c r="S290" s="99"/>
    </row>
    <row r="291" spans="3:43">
      <c r="C291" s="1"/>
      <c r="D291" s="1"/>
      <c r="E291" s="1"/>
      <c r="F291" s="1"/>
      <c r="G291" s="1"/>
      <c r="H291" s="21"/>
      <c r="I291" s="21"/>
      <c r="J291" s="21"/>
      <c r="K291" s="21"/>
      <c r="L291" s="1"/>
      <c r="M291" s="1"/>
    </row>
    <row r="292" spans="3:43">
      <c r="C292" s="1"/>
      <c r="D292" s="1"/>
      <c r="E292" s="1"/>
      <c r="F292" s="1"/>
      <c r="G292" s="1"/>
      <c r="H292" s="21"/>
      <c r="I292" s="21"/>
      <c r="J292" s="21"/>
      <c r="K292" s="21"/>
      <c r="L292" s="1"/>
      <c r="M292" s="1"/>
    </row>
    <row r="293" spans="3:43">
      <c r="C293" s="1"/>
      <c r="D293" s="1"/>
      <c r="E293" s="1"/>
      <c r="F293" s="1"/>
      <c r="G293" s="1"/>
      <c r="H293" s="21"/>
      <c r="I293" s="21"/>
      <c r="J293" s="21"/>
      <c r="K293" s="21"/>
      <c r="L293" s="1"/>
      <c r="M293" s="1"/>
    </row>
    <row r="294" spans="3:43">
      <c r="C294" s="1"/>
      <c r="D294" s="1"/>
      <c r="E294" s="1"/>
      <c r="H294" s="52"/>
      <c r="I294" s="52"/>
      <c r="J294" s="52"/>
      <c r="K294" s="52"/>
    </row>
    <row r="295" spans="3:43">
      <c r="C295" s="1"/>
      <c r="D295" s="1"/>
      <c r="E295" s="1"/>
      <c r="F295" s="1"/>
      <c r="G295" s="1"/>
      <c r="H295" s="52"/>
      <c r="I295" s="52"/>
      <c r="J295" s="52"/>
      <c r="K295" s="52"/>
      <c r="L295" s="1"/>
      <c r="M295" s="1"/>
    </row>
    <row r="296" spans="3:43">
      <c r="C296" s="1"/>
      <c r="D296" s="1"/>
      <c r="E296" s="1"/>
      <c r="F296" s="1"/>
      <c r="G296" s="1"/>
      <c r="H296" s="52"/>
      <c r="I296" s="52"/>
      <c r="J296" s="52"/>
      <c r="K296" s="52"/>
      <c r="L296" s="1"/>
      <c r="M296" s="1"/>
    </row>
    <row r="297" spans="3:43">
      <c r="C297" s="1"/>
      <c r="D297" s="1"/>
      <c r="E297" s="1"/>
      <c r="F297" s="1"/>
      <c r="G297" s="1"/>
      <c r="H297" s="52"/>
      <c r="I297" s="52"/>
      <c r="J297" s="52"/>
      <c r="K297" s="52"/>
      <c r="L297" s="1"/>
      <c r="M297" s="1"/>
    </row>
    <row r="298" spans="3:43">
      <c r="C298" s="1"/>
      <c r="D298" s="1"/>
      <c r="E298" s="1"/>
      <c r="F298" s="1"/>
      <c r="G298" s="1"/>
      <c r="H298" s="52"/>
      <c r="I298" s="52"/>
      <c r="J298" s="52"/>
      <c r="K298" s="52"/>
      <c r="L298" s="1"/>
      <c r="M298" s="1"/>
    </row>
    <row r="299" spans="3:43">
      <c r="C299" s="1"/>
      <c r="D299" s="1"/>
      <c r="E299" s="1"/>
      <c r="F299" s="1"/>
      <c r="G299" s="1"/>
      <c r="H299" s="52"/>
      <c r="I299" s="52"/>
      <c r="J299" s="52"/>
      <c r="K299" s="52"/>
      <c r="L299" s="1"/>
      <c r="M299" s="1"/>
    </row>
    <row r="300" spans="3:43">
      <c r="C300" s="18"/>
      <c r="D300" s="1"/>
      <c r="E300" s="1"/>
      <c r="H300" s="100"/>
      <c r="I300" s="100"/>
      <c r="J300" s="99"/>
      <c r="K300" s="99"/>
    </row>
    <row r="301" spans="3:43">
      <c r="C301" s="1"/>
      <c r="D301" s="1"/>
      <c r="E301" s="1"/>
      <c r="F301" s="1"/>
      <c r="G301" s="1"/>
      <c r="H301" s="21"/>
      <c r="I301" s="21"/>
      <c r="J301" s="21"/>
      <c r="K301" s="21"/>
      <c r="L301" s="1"/>
      <c r="M301" s="1"/>
    </row>
    <row r="302" spans="3:43">
      <c r="C302" s="1"/>
      <c r="D302" s="1"/>
      <c r="E302" s="1"/>
      <c r="F302" s="1"/>
      <c r="G302" s="1"/>
      <c r="H302" s="21"/>
      <c r="I302" s="21"/>
      <c r="J302" s="21"/>
      <c r="K302" s="21"/>
      <c r="L302" s="1"/>
      <c r="M302" s="1"/>
    </row>
    <row r="303" spans="3:43">
      <c r="C303" s="1"/>
      <c r="D303" s="1"/>
      <c r="E303" s="1"/>
      <c r="F303" s="1"/>
      <c r="G303" s="1"/>
      <c r="H303" s="21"/>
      <c r="I303" s="21"/>
      <c r="J303" s="21"/>
      <c r="K303" s="21"/>
      <c r="L303" s="1"/>
      <c r="M303" s="1"/>
    </row>
    <row r="304" spans="3:43">
      <c r="C304" s="1"/>
      <c r="D304" s="1"/>
      <c r="E304" s="1"/>
      <c r="F304" s="1"/>
      <c r="G304" s="1"/>
      <c r="H304" s="21"/>
      <c r="I304" s="21"/>
      <c r="J304" s="21"/>
      <c r="K304" s="21"/>
      <c r="L304" s="1"/>
      <c r="M304" s="1"/>
    </row>
    <row r="305" spans="1:43">
      <c r="C305" s="1"/>
      <c r="D305" s="1"/>
      <c r="E305" s="1"/>
      <c r="F305" s="1"/>
      <c r="G305" s="1"/>
      <c r="H305" s="21"/>
      <c r="I305" s="21"/>
      <c r="J305" s="21"/>
      <c r="K305" s="21"/>
      <c r="L305" s="1"/>
      <c r="M305" s="1"/>
    </row>
    <row r="306" spans="1:43">
      <c r="C306" s="1"/>
      <c r="D306" s="1"/>
      <c r="E306" s="1"/>
    </row>
    <row r="307" spans="1:43">
      <c r="C307" s="1"/>
      <c r="D307" s="1"/>
      <c r="E307" s="1"/>
      <c r="H307" s="127"/>
      <c r="I307" s="127"/>
      <c r="J307" s="127"/>
      <c r="K307" s="127"/>
    </row>
    <row r="308" spans="1:43" s="101" customFormat="1">
      <c r="C308" s="18"/>
      <c r="D308" s="18"/>
      <c r="E308" s="18"/>
      <c r="H308" s="100"/>
      <c r="I308" s="100"/>
      <c r="J308" s="100"/>
      <c r="K308" s="100"/>
      <c r="U308" s="1512"/>
      <c r="V308" s="1512"/>
      <c r="W308" s="1512"/>
      <c r="X308" s="1512"/>
      <c r="Y308" s="1512"/>
      <c r="Z308" s="1512"/>
      <c r="AA308" s="1512"/>
      <c r="AI308" s="473"/>
      <c r="AK308" s="1512"/>
      <c r="AL308" s="1512"/>
      <c r="AM308" s="1512"/>
      <c r="AN308" s="1512"/>
      <c r="AO308" s="1512"/>
      <c r="AP308" s="1512"/>
      <c r="AQ308" s="1512"/>
    </row>
    <row r="309" spans="1:43" s="101" customFormat="1">
      <c r="C309" s="97"/>
      <c r="H309" s="21"/>
      <c r="I309" s="21"/>
      <c r="J309" s="21"/>
      <c r="K309" s="21"/>
      <c r="U309" s="1512"/>
      <c r="V309" s="1512"/>
      <c r="W309" s="1512"/>
      <c r="X309" s="1512"/>
      <c r="Y309" s="1512"/>
      <c r="Z309" s="1512"/>
      <c r="AA309" s="1512"/>
      <c r="AI309" s="473"/>
      <c r="AK309" s="1512"/>
      <c r="AL309" s="1512"/>
      <c r="AM309" s="1512"/>
      <c r="AN309" s="1512"/>
      <c r="AO309" s="1512"/>
      <c r="AP309" s="1512"/>
      <c r="AQ309" s="1512"/>
    </row>
    <row r="310" spans="1:43" s="101" customFormat="1">
      <c r="C310" s="18"/>
      <c r="D310" s="18"/>
      <c r="E310" s="18"/>
      <c r="H310" s="23"/>
      <c r="I310" s="23"/>
      <c r="J310" s="23"/>
      <c r="K310" s="23"/>
      <c r="U310" s="1512"/>
      <c r="V310" s="1512"/>
      <c r="W310" s="1512"/>
      <c r="X310" s="1512"/>
      <c r="Y310" s="1512"/>
      <c r="Z310" s="1512"/>
      <c r="AA310" s="1512"/>
      <c r="AI310" s="473"/>
      <c r="AK310" s="1512"/>
      <c r="AL310" s="1512"/>
      <c r="AM310" s="1512"/>
      <c r="AN310" s="1512"/>
      <c r="AO310" s="1512"/>
      <c r="AP310" s="1512"/>
      <c r="AQ310" s="1512"/>
    </row>
    <row r="311" spans="1:43" s="101" customFormat="1">
      <c r="C311" s="22"/>
      <c r="D311" s="18"/>
      <c r="E311" s="18"/>
      <c r="H311" s="94"/>
      <c r="I311" s="94"/>
      <c r="J311" s="94"/>
      <c r="K311" s="94"/>
      <c r="U311" s="1512"/>
      <c r="V311" s="1512"/>
      <c r="W311" s="1512"/>
      <c r="X311" s="1512"/>
      <c r="Y311" s="1512"/>
      <c r="Z311" s="1512"/>
      <c r="AA311" s="1512"/>
      <c r="AI311" s="473"/>
      <c r="AK311" s="1512"/>
      <c r="AL311" s="1512"/>
      <c r="AM311" s="1512"/>
      <c r="AN311" s="1512"/>
      <c r="AO311" s="1512"/>
      <c r="AP311" s="1512"/>
      <c r="AQ311" s="1512"/>
    </row>
    <row r="312" spans="1:43">
      <c r="C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</row>
    <row r="313" spans="1:43" s="18" customFormat="1">
      <c r="U313" s="1518"/>
      <c r="V313" s="1518"/>
      <c r="W313" s="1518"/>
      <c r="X313" s="1518"/>
      <c r="Y313" s="1518"/>
      <c r="Z313" s="1518"/>
      <c r="AA313" s="1518"/>
      <c r="AI313" s="478"/>
      <c r="AK313" s="1518"/>
      <c r="AL313" s="1518"/>
      <c r="AM313" s="1518"/>
      <c r="AN313" s="1518"/>
      <c r="AO313" s="1518"/>
      <c r="AP313" s="1518"/>
      <c r="AQ313" s="1518"/>
    </row>
    <row r="314" spans="1:43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</row>
    <row r="315" spans="1:43" s="99" customFormat="1">
      <c r="C315" s="18"/>
      <c r="D315" s="18"/>
      <c r="E315" s="18"/>
      <c r="U315" s="1511"/>
      <c r="V315" s="1511"/>
      <c r="W315" s="1511"/>
      <c r="X315" s="1511"/>
      <c r="Y315" s="1511"/>
      <c r="Z315" s="1511"/>
      <c r="AA315" s="1511"/>
      <c r="AI315" s="414"/>
      <c r="AK315" s="1511"/>
      <c r="AL315" s="1511"/>
      <c r="AM315" s="1511"/>
      <c r="AN315" s="1511"/>
      <c r="AO315" s="1511"/>
      <c r="AP315" s="1511"/>
      <c r="AQ315" s="1511"/>
    </row>
    <row r="316" spans="1:43" s="101" customFormat="1">
      <c r="C316" s="1"/>
      <c r="D316" s="1"/>
      <c r="E316" s="1"/>
      <c r="F316" s="1"/>
      <c r="G316" s="1"/>
      <c r="H316" s="21"/>
      <c r="I316" s="21"/>
      <c r="J316" s="21"/>
      <c r="K316" s="21"/>
      <c r="L316" s="1"/>
      <c r="M316" s="1"/>
      <c r="U316" s="1512"/>
      <c r="V316" s="1512"/>
      <c r="W316" s="1512"/>
      <c r="X316" s="1512"/>
      <c r="Y316" s="1512"/>
      <c r="Z316" s="1512"/>
      <c r="AA316" s="1512"/>
      <c r="AI316" s="473"/>
      <c r="AK316" s="1512"/>
      <c r="AL316" s="1512"/>
      <c r="AM316" s="1512"/>
      <c r="AN316" s="1512"/>
      <c r="AO316" s="1512"/>
      <c r="AP316" s="1512"/>
      <c r="AQ316" s="1512"/>
    </row>
    <row r="317" spans="1:43">
      <c r="C317" s="1"/>
      <c r="D317" s="1"/>
      <c r="E317" s="1"/>
      <c r="F317" s="1"/>
      <c r="G317" s="1"/>
      <c r="H317" s="21"/>
      <c r="I317" s="21"/>
      <c r="J317" s="21"/>
      <c r="K317" s="21"/>
      <c r="L317" s="1"/>
      <c r="M317" s="1"/>
      <c r="N317" s="99"/>
      <c r="O317" s="99"/>
      <c r="P317" s="99"/>
      <c r="Q317" s="99"/>
      <c r="R317" s="99"/>
      <c r="S317" s="99"/>
    </row>
    <row r="318" spans="1:43">
      <c r="C318" s="1"/>
      <c r="D318" s="1"/>
      <c r="E318" s="1"/>
      <c r="F318" s="1"/>
      <c r="G318" s="1"/>
      <c r="H318" s="21"/>
      <c r="I318" s="21"/>
      <c r="J318" s="21"/>
      <c r="K318" s="21"/>
      <c r="L318" s="1"/>
      <c r="M318" s="1"/>
    </row>
    <row r="319" spans="1:43">
      <c r="C319" s="1"/>
      <c r="D319" s="1"/>
      <c r="E319" s="1"/>
      <c r="F319" s="1"/>
      <c r="G319" s="1"/>
      <c r="H319" s="21"/>
      <c r="I319" s="21"/>
      <c r="J319" s="21"/>
      <c r="K319" s="21"/>
      <c r="L319" s="1"/>
      <c r="M319" s="1"/>
    </row>
    <row r="320" spans="1:43">
      <c r="C320" s="1"/>
      <c r="D320" s="1"/>
      <c r="E320" s="1"/>
      <c r="F320" s="1"/>
      <c r="G320" s="1"/>
      <c r="H320" s="21"/>
      <c r="I320" s="21"/>
      <c r="J320" s="21"/>
      <c r="K320" s="21"/>
      <c r="L320" s="1"/>
      <c r="M320" s="1"/>
    </row>
    <row r="321" spans="3:43">
      <c r="C321" s="1"/>
      <c r="D321" s="1"/>
      <c r="E321" s="1"/>
      <c r="H321" s="52"/>
      <c r="I321" s="52"/>
      <c r="J321" s="52"/>
      <c r="K321" s="52"/>
    </row>
    <row r="322" spans="3:43">
      <c r="C322" s="1"/>
      <c r="D322" s="1"/>
      <c r="E322" s="1"/>
      <c r="F322" s="1"/>
      <c r="G322" s="1"/>
      <c r="H322" s="52"/>
      <c r="I322" s="52"/>
      <c r="J322" s="52"/>
      <c r="K322" s="52"/>
      <c r="L322" s="1"/>
      <c r="M322" s="1"/>
    </row>
    <row r="323" spans="3:43">
      <c r="C323" s="1"/>
      <c r="D323" s="1"/>
      <c r="E323" s="1"/>
      <c r="F323" s="1"/>
      <c r="G323" s="1"/>
      <c r="H323" s="52"/>
      <c r="I323" s="52"/>
      <c r="J323" s="52"/>
      <c r="K323" s="52"/>
      <c r="L323" s="1"/>
      <c r="M323" s="1"/>
    </row>
    <row r="324" spans="3:43">
      <c r="C324" s="1"/>
      <c r="D324" s="1"/>
      <c r="E324" s="1"/>
      <c r="F324" s="1"/>
      <c r="G324" s="1"/>
      <c r="H324" s="52"/>
      <c r="I324" s="52"/>
      <c r="J324" s="52"/>
      <c r="K324" s="52"/>
      <c r="L324" s="1"/>
      <c r="M324" s="1"/>
    </row>
    <row r="325" spans="3:43">
      <c r="C325" s="1"/>
      <c r="D325" s="1"/>
      <c r="E325" s="1"/>
      <c r="F325" s="1"/>
      <c r="G325" s="1"/>
      <c r="H325" s="52"/>
      <c r="I325" s="52"/>
      <c r="J325" s="52"/>
      <c r="K325" s="52"/>
      <c r="L325" s="1"/>
      <c r="M325" s="1"/>
    </row>
    <row r="326" spans="3:43">
      <c r="C326" s="1"/>
      <c r="D326" s="1"/>
      <c r="E326" s="1"/>
      <c r="F326" s="1"/>
      <c r="G326" s="1"/>
      <c r="H326" s="52"/>
      <c r="I326" s="52"/>
      <c r="J326" s="52"/>
      <c r="K326" s="52"/>
      <c r="L326" s="1"/>
      <c r="M326" s="1"/>
    </row>
    <row r="327" spans="3:43">
      <c r="C327" s="18"/>
      <c r="D327" s="1"/>
      <c r="E327" s="1"/>
      <c r="H327" s="100"/>
      <c r="I327" s="100"/>
      <c r="J327" s="99"/>
      <c r="K327" s="99"/>
    </row>
    <row r="328" spans="3:43">
      <c r="C328" s="1"/>
      <c r="D328" s="1"/>
      <c r="E328" s="1"/>
      <c r="F328" s="1"/>
      <c r="G328" s="1"/>
      <c r="H328" s="21"/>
      <c r="I328" s="21"/>
      <c r="J328" s="21"/>
      <c r="K328" s="21"/>
      <c r="L328" s="1"/>
      <c r="M328" s="1"/>
    </row>
    <row r="329" spans="3:43">
      <c r="C329" s="1"/>
      <c r="D329" s="1"/>
      <c r="E329" s="1"/>
      <c r="F329" s="1"/>
      <c r="G329" s="1"/>
      <c r="H329" s="21"/>
      <c r="I329" s="21"/>
      <c r="J329" s="21"/>
      <c r="K329" s="21"/>
      <c r="L329" s="1"/>
      <c r="M329" s="1"/>
    </row>
    <row r="330" spans="3:43">
      <c r="C330" s="1"/>
      <c r="D330" s="1"/>
      <c r="E330" s="1"/>
      <c r="F330" s="1"/>
      <c r="G330" s="1"/>
      <c r="H330" s="21"/>
      <c r="I330" s="21"/>
      <c r="J330" s="21"/>
      <c r="K330" s="21"/>
      <c r="L330" s="1"/>
      <c r="M330" s="1"/>
    </row>
    <row r="331" spans="3:43">
      <c r="C331" s="1"/>
      <c r="D331" s="1"/>
      <c r="E331" s="1"/>
      <c r="F331" s="1"/>
      <c r="G331" s="1"/>
      <c r="H331" s="21"/>
      <c r="I331" s="21"/>
      <c r="J331" s="21"/>
      <c r="K331" s="21"/>
      <c r="L331" s="1"/>
      <c r="M331" s="1"/>
    </row>
    <row r="332" spans="3:43">
      <c r="C332" s="1"/>
      <c r="D332" s="1"/>
      <c r="E332" s="1"/>
      <c r="F332" s="1"/>
      <c r="G332" s="1"/>
      <c r="H332" s="21"/>
      <c r="I332" s="21"/>
      <c r="J332" s="21"/>
      <c r="K332" s="21"/>
      <c r="L332" s="1"/>
      <c r="M332" s="1"/>
    </row>
    <row r="333" spans="3:43">
      <c r="C333" s="1"/>
      <c r="D333" s="1"/>
      <c r="E333" s="1"/>
    </row>
    <row r="334" spans="3:43">
      <c r="C334" s="1"/>
      <c r="D334" s="1"/>
      <c r="E334" s="1"/>
      <c r="H334" s="127"/>
      <c r="I334" s="127"/>
      <c r="J334" s="127"/>
      <c r="K334" s="127"/>
    </row>
    <row r="335" spans="3:43" s="101" customFormat="1">
      <c r="C335" s="18"/>
      <c r="D335" s="18"/>
      <c r="E335" s="18"/>
      <c r="H335" s="100"/>
      <c r="I335" s="100"/>
      <c r="J335" s="100"/>
      <c r="K335" s="100"/>
      <c r="U335" s="1512"/>
      <c r="V335" s="1512"/>
      <c r="W335" s="1512"/>
      <c r="X335" s="1512"/>
      <c r="Y335" s="1512"/>
      <c r="Z335" s="1512"/>
      <c r="AA335" s="1512"/>
      <c r="AI335" s="473"/>
      <c r="AK335" s="1512"/>
      <c r="AL335" s="1512"/>
      <c r="AM335" s="1512"/>
      <c r="AN335" s="1512"/>
      <c r="AO335" s="1512"/>
      <c r="AP335" s="1512"/>
      <c r="AQ335" s="1512"/>
    </row>
    <row r="336" spans="3:43" s="101" customFormat="1">
      <c r="C336" s="97"/>
      <c r="H336" s="21"/>
      <c r="I336" s="21"/>
      <c r="J336" s="21"/>
      <c r="K336" s="21"/>
      <c r="U336" s="1512"/>
      <c r="V336" s="1512"/>
      <c r="W336" s="1512"/>
      <c r="X336" s="1512"/>
      <c r="Y336" s="1512"/>
      <c r="Z336" s="1512"/>
      <c r="AA336" s="1512"/>
      <c r="AI336" s="473"/>
      <c r="AK336" s="1512"/>
      <c r="AL336" s="1512"/>
      <c r="AM336" s="1512"/>
      <c r="AN336" s="1512"/>
      <c r="AO336" s="1512"/>
      <c r="AP336" s="1512"/>
      <c r="AQ336" s="1512"/>
    </row>
    <row r="337" spans="1:43" s="101" customFormat="1">
      <c r="C337" s="18"/>
      <c r="D337" s="18"/>
      <c r="E337" s="18"/>
      <c r="H337" s="99"/>
      <c r="I337" s="99"/>
      <c r="J337" s="99"/>
      <c r="K337" s="99"/>
      <c r="U337" s="1512"/>
      <c r="V337" s="1512"/>
      <c r="W337" s="1512"/>
      <c r="X337" s="1512"/>
      <c r="Y337" s="1512"/>
      <c r="Z337" s="1512"/>
      <c r="AA337" s="1512"/>
      <c r="AI337" s="473"/>
      <c r="AK337" s="1512"/>
      <c r="AL337" s="1512"/>
      <c r="AM337" s="1512"/>
      <c r="AN337" s="1512"/>
      <c r="AO337" s="1512"/>
      <c r="AP337" s="1512"/>
      <c r="AQ337" s="1512"/>
    </row>
    <row r="338" spans="1:43" s="101" customFormat="1">
      <c r="C338" s="22"/>
      <c r="D338" s="18"/>
      <c r="E338" s="18"/>
      <c r="H338" s="94"/>
      <c r="I338" s="94"/>
      <c r="J338" s="94"/>
      <c r="K338" s="94"/>
      <c r="U338" s="1512"/>
      <c r="V338" s="1512"/>
      <c r="W338" s="1512"/>
      <c r="X338" s="1512"/>
      <c r="Y338" s="1512"/>
      <c r="Z338" s="1512"/>
      <c r="AA338" s="1512"/>
      <c r="AI338" s="473"/>
      <c r="AK338" s="1512"/>
      <c r="AL338" s="1512"/>
      <c r="AM338" s="1512"/>
      <c r="AN338" s="1512"/>
      <c r="AO338" s="1512"/>
      <c r="AP338" s="1512"/>
      <c r="AQ338" s="1512"/>
    </row>
    <row r="340" spans="1:43" s="18" customFormat="1">
      <c r="U340" s="1518"/>
      <c r="V340" s="1518"/>
      <c r="W340" s="1518"/>
      <c r="X340" s="1518"/>
      <c r="Y340" s="1518"/>
      <c r="Z340" s="1518"/>
      <c r="AA340" s="1518"/>
      <c r="AI340" s="478"/>
      <c r="AK340" s="1518"/>
      <c r="AL340" s="1518"/>
      <c r="AM340" s="1518"/>
      <c r="AN340" s="1518"/>
      <c r="AO340" s="1518"/>
      <c r="AP340" s="1518"/>
      <c r="AQ340" s="1518"/>
    </row>
    <row r="341" spans="1:43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</row>
    <row r="342" spans="1:43" s="99" customFormat="1">
      <c r="C342" s="18"/>
      <c r="D342" s="18"/>
      <c r="E342" s="18"/>
      <c r="U342" s="1511"/>
      <c r="V342" s="1511"/>
      <c r="W342" s="1511"/>
      <c r="X342" s="1511"/>
      <c r="Y342" s="1511"/>
      <c r="Z342" s="1511"/>
      <c r="AA342" s="1511"/>
      <c r="AI342" s="414"/>
      <c r="AK342" s="1511"/>
      <c r="AL342" s="1511"/>
      <c r="AM342" s="1511"/>
      <c r="AN342" s="1511"/>
      <c r="AO342" s="1511"/>
      <c r="AP342" s="1511"/>
      <c r="AQ342" s="1511"/>
    </row>
    <row r="343" spans="1:43" s="101" customFormat="1">
      <c r="C343" s="1"/>
      <c r="D343" s="1"/>
      <c r="E343" s="1"/>
      <c r="F343" s="1"/>
      <c r="G343" s="1"/>
      <c r="H343" s="21"/>
      <c r="I343" s="21"/>
      <c r="J343" s="21"/>
      <c r="K343" s="21"/>
      <c r="L343" s="1"/>
      <c r="M343" s="1"/>
      <c r="U343" s="1512"/>
      <c r="V343" s="1512"/>
      <c r="W343" s="1512"/>
      <c r="X343" s="1512"/>
      <c r="Y343" s="1512"/>
      <c r="Z343" s="1512"/>
      <c r="AA343" s="1512"/>
      <c r="AI343" s="473"/>
      <c r="AK343" s="1512"/>
      <c r="AL343" s="1512"/>
      <c r="AM343" s="1512"/>
      <c r="AN343" s="1512"/>
      <c r="AO343" s="1512"/>
      <c r="AP343" s="1512"/>
      <c r="AQ343" s="1512"/>
    </row>
    <row r="344" spans="1:43">
      <c r="C344" s="1"/>
      <c r="D344" s="1"/>
      <c r="E344" s="1"/>
      <c r="F344" s="1"/>
      <c r="G344" s="1"/>
      <c r="H344" s="21"/>
      <c r="I344" s="21"/>
      <c r="J344" s="21"/>
      <c r="K344" s="21"/>
      <c r="L344" s="1"/>
      <c r="M344" s="1"/>
      <c r="N344" s="99"/>
      <c r="O344" s="99"/>
      <c r="P344" s="99"/>
      <c r="Q344" s="99"/>
      <c r="R344" s="99"/>
      <c r="S344" s="99"/>
    </row>
    <row r="345" spans="1:43">
      <c r="C345" s="1"/>
      <c r="D345" s="1"/>
      <c r="E345" s="1"/>
      <c r="F345" s="1"/>
      <c r="G345" s="1"/>
      <c r="H345" s="21"/>
      <c r="I345" s="21"/>
      <c r="J345" s="21"/>
      <c r="K345" s="21"/>
      <c r="L345" s="1"/>
      <c r="M345" s="1"/>
    </row>
    <row r="346" spans="1:43">
      <c r="C346" s="1"/>
      <c r="D346" s="1"/>
      <c r="E346" s="1"/>
      <c r="F346" s="1"/>
      <c r="G346" s="1"/>
      <c r="H346" s="21"/>
      <c r="I346" s="21"/>
      <c r="J346" s="21"/>
      <c r="K346" s="21"/>
      <c r="L346" s="1"/>
      <c r="M346" s="1"/>
    </row>
    <row r="347" spans="1:43">
      <c r="C347" s="1"/>
      <c r="D347" s="1"/>
      <c r="E347" s="1"/>
      <c r="F347" s="1"/>
      <c r="G347" s="1"/>
      <c r="H347" s="21"/>
      <c r="I347" s="21"/>
      <c r="J347" s="21"/>
      <c r="K347" s="21"/>
      <c r="L347" s="1"/>
      <c r="M347" s="1"/>
    </row>
    <row r="348" spans="1:43">
      <c r="C348" s="1"/>
      <c r="D348" s="1"/>
      <c r="E348" s="1"/>
      <c r="H348" s="52"/>
      <c r="I348" s="52"/>
      <c r="J348" s="52"/>
      <c r="K348" s="52"/>
    </row>
    <row r="349" spans="1:43">
      <c r="C349" s="1"/>
      <c r="D349" s="1"/>
      <c r="E349" s="1"/>
      <c r="F349" s="1"/>
      <c r="G349" s="1"/>
      <c r="H349" s="52"/>
      <c r="I349" s="52"/>
      <c r="J349" s="52"/>
      <c r="K349" s="52"/>
      <c r="L349" s="1"/>
      <c r="M349" s="1"/>
    </row>
    <row r="350" spans="1:43">
      <c r="C350" s="1"/>
      <c r="D350" s="1"/>
      <c r="E350" s="1"/>
      <c r="F350" s="1"/>
      <c r="G350" s="1"/>
      <c r="H350" s="52"/>
      <c r="I350" s="52"/>
      <c r="J350" s="52"/>
      <c r="K350" s="52"/>
      <c r="L350" s="1"/>
      <c r="M350" s="1"/>
    </row>
    <row r="351" spans="1:43">
      <c r="C351" s="1"/>
      <c r="D351" s="1"/>
      <c r="E351" s="1"/>
      <c r="F351" s="1"/>
      <c r="G351" s="1"/>
      <c r="H351" s="52"/>
      <c r="I351" s="52"/>
      <c r="J351" s="52"/>
      <c r="K351" s="52"/>
      <c r="L351" s="1"/>
      <c r="M351" s="1"/>
    </row>
    <row r="352" spans="1:43">
      <c r="C352" s="1"/>
      <c r="D352" s="1"/>
      <c r="E352" s="1"/>
      <c r="F352" s="1"/>
      <c r="G352" s="1"/>
      <c r="H352" s="52"/>
      <c r="I352" s="52"/>
      <c r="J352" s="52"/>
      <c r="K352" s="52"/>
      <c r="L352" s="1"/>
      <c r="M352" s="1"/>
    </row>
    <row r="353" spans="1:43">
      <c r="C353" s="1"/>
      <c r="D353" s="1"/>
      <c r="E353" s="1"/>
      <c r="F353" s="1"/>
      <c r="G353" s="1"/>
      <c r="H353" s="52"/>
      <c r="I353" s="52"/>
      <c r="J353" s="52"/>
      <c r="K353" s="52"/>
      <c r="L353" s="1"/>
      <c r="M353" s="1"/>
    </row>
    <row r="354" spans="1:43">
      <c r="C354" s="18"/>
      <c r="D354" s="1"/>
      <c r="E354" s="1"/>
      <c r="H354" s="100"/>
      <c r="I354" s="100"/>
      <c r="J354" s="99"/>
      <c r="K354" s="99"/>
    </row>
    <row r="355" spans="1:43">
      <c r="C355" s="1"/>
      <c r="D355" s="1"/>
      <c r="E355" s="1"/>
      <c r="F355" s="1"/>
      <c r="G355" s="1"/>
      <c r="H355" s="21"/>
      <c r="I355" s="21"/>
      <c r="J355" s="21"/>
      <c r="K355" s="21"/>
      <c r="L355" s="1"/>
      <c r="M355" s="1"/>
    </row>
    <row r="356" spans="1:43">
      <c r="C356" s="1"/>
      <c r="D356" s="1"/>
      <c r="E356" s="1"/>
      <c r="F356" s="1"/>
      <c r="G356" s="1"/>
      <c r="H356" s="21"/>
      <c r="I356" s="21"/>
      <c r="J356" s="21"/>
      <c r="K356" s="21"/>
      <c r="L356" s="1"/>
      <c r="M356" s="1"/>
    </row>
    <row r="357" spans="1:43">
      <c r="C357" s="1"/>
      <c r="D357" s="1"/>
      <c r="E357" s="1"/>
      <c r="F357" s="1"/>
      <c r="G357" s="1"/>
      <c r="H357" s="21"/>
      <c r="I357" s="21"/>
      <c r="J357" s="21"/>
      <c r="K357" s="21"/>
      <c r="L357" s="1"/>
      <c r="M357" s="1"/>
    </row>
    <row r="358" spans="1:43">
      <c r="C358" s="1"/>
      <c r="D358" s="1"/>
      <c r="E358" s="1"/>
      <c r="F358" s="1"/>
      <c r="G358" s="1"/>
      <c r="H358" s="21"/>
      <c r="I358" s="21"/>
      <c r="J358" s="21"/>
      <c r="K358" s="21"/>
      <c r="L358" s="1"/>
      <c r="M358" s="1"/>
    </row>
    <row r="359" spans="1:43">
      <c r="C359" s="1"/>
      <c r="D359" s="1"/>
      <c r="E359" s="1"/>
      <c r="F359" s="1"/>
      <c r="G359" s="1"/>
      <c r="H359" s="21"/>
      <c r="I359" s="21"/>
      <c r="J359" s="21"/>
      <c r="K359" s="21"/>
      <c r="L359" s="1"/>
      <c r="M359" s="1"/>
    </row>
    <row r="360" spans="1:43">
      <c r="C360" s="1"/>
      <c r="D360" s="1"/>
      <c r="E360" s="1"/>
    </row>
    <row r="361" spans="1:43">
      <c r="C361" s="1"/>
      <c r="D361" s="1"/>
      <c r="E361" s="1"/>
      <c r="H361" s="127"/>
      <c r="I361" s="127"/>
      <c r="J361" s="127"/>
      <c r="K361" s="127"/>
    </row>
    <row r="362" spans="1:43" s="101" customFormat="1">
      <c r="C362" s="18"/>
      <c r="D362" s="18"/>
      <c r="E362" s="18"/>
      <c r="H362" s="100"/>
      <c r="I362" s="100"/>
      <c r="J362" s="100"/>
      <c r="K362" s="100"/>
      <c r="U362" s="1512"/>
      <c r="V362" s="1512"/>
      <c r="W362" s="1512"/>
      <c r="X362" s="1512"/>
      <c r="Y362" s="1512"/>
      <c r="Z362" s="1512"/>
      <c r="AA362" s="1512"/>
      <c r="AI362" s="473"/>
      <c r="AK362" s="1512"/>
      <c r="AL362" s="1512"/>
      <c r="AM362" s="1512"/>
      <c r="AN362" s="1512"/>
      <c r="AO362" s="1512"/>
      <c r="AP362" s="1512"/>
      <c r="AQ362" s="1512"/>
    </row>
    <row r="363" spans="1:43" s="101" customFormat="1">
      <c r="C363" s="97"/>
      <c r="H363" s="21"/>
      <c r="I363" s="21"/>
      <c r="J363" s="21"/>
      <c r="K363" s="21"/>
      <c r="U363" s="1512"/>
      <c r="V363" s="1512"/>
      <c r="W363" s="1512"/>
      <c r="X363" s="1512"/>
      <c r="Y363" s="1512"/>
      <c r="Z363" s="1512"/>
      <c r="AA363" s="1512"/>
      <c r="AI363" s="473"/>
      <c r="AK363" s="1512"/>
      <c r="AL363" s="1512"/>
      <c r="AM363" s="1512"/>
      <c r="AN363" s="1512"/>
      <c r="AO363" s="1512"/>
      <c r="AP363" s="1512"/>
      <c r="AQ363" s="1512"/>
    </row>
    <row r="364" spans="1:43" s="101" customFormat="1">
      <c r="C364" s="18"/>
      <c r="D364" s="18"/>
      <c r="E364" s="18"/>
      <c r="H364" s="23"/>
      <c r="I364" s="23"/>
      <c r="J364" s="23"/>
      <c r="K364" s="23"/>
      <c r="U364" s="1512"/>
      <c r="V364" s="1512"/>
      <c r="W364" s="1512"/>
      <c r="X364" s="1512"/>
      <c r="Y364" s="1512"/>
      <c r="Z364" s="1512"/>
      <c r="AA364" s="1512"/>
      <c r="AI364" s="473"/>
      <c r="AK364" s="1512"/>
      <c r="AL364" s="1512"/>
      <c r="AM364" s="1512"/>
      <c r="AN364" s="1512"/>
      <c r="AO364" s="1512"/>
      <c r="AP364" s="1512"/>
      <c r="AQ364" s="1512"/>
    </row>
    <row r="365" spans="1:43" s="101" customFormat="1">
      <c r="C365" s="22"/>
      <c r="D365" s="18"/>
      <c r="E365" s="18"/>
      <c r="H365" s="94"/>
      <c r="I365" s="94"/>
      <c r="J365" s="94"/>
      <c r="K365" s="94"/>
      <c r="U365" s="1512"/>
      <c r="V365" s="1512"/>
      <c r="W365" s="1512"/>
      <c r="X365" s="1512"/>
      <c r="Y365" s="1512"/>
      <c r="Z365" s="1512"/>
      <c r="AA365" s="1512"/>
      <c r="AI365" s="473"/>
      <c r="AK365" s="1512"/>
      <c r="AL365" s="1512"/>
      <c r="AM365" s="1512"/>
      <c r="AN365" s="1512"/>
      <c r="AO365" s="1512"/>
      <c r="AP365" s="1512"/>
      <c r="AQ365" s="1512"/>
    </row>
    <row r="367" spans="1:43" s="18" customFormat="1">
      <c r="U367" s="1518"/>
      <c r="V367" s="1518"/>
      <c r="W367" s="1518"/>
      <c r="X367" s="1518"/>
      <c r="Y367" s="1518"/>
      <c r="Z367" s="1518"/>
      <c r="AA367" s="1518"/>
      <c r="AI367" s="478"/>
      <c r="AK367" s="1518"/>
      <c r="AL367" s="1518"/>
      <c r="AM367" s="1518"/>
      <c r="AN367" s="1518"/>
      <c r="AO367" s="1518"/>
      <c r="AP367" s="1518"/>
      <c r="AQ367" s="1518"/>
    </row>
    <row r="368" spans="1:43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</row>
    <row r="369" spans="3:43" s="99" customFormat="1">
      <c r="C369" s="18"/>
      <c r="D369" s="18"/>
      <c r="E369" s="18"/>
      <c r="U369" s="1511"/>
      <c r="V369" s="1511"/>
      <c r="W369" s="1511"/>
      <c r="X369" s="1511"/>
      <c r="Y369" s="1511"/>
      <c r="Z369" s="1511"/>
      <c r="AA369" s="1511"/>
      <c r="AI369" s="414"/>
      <c r="AK369" s="1511"/>
      <c r="AL369" s="1511"/>
      <c r="AM369" s="1511"/>
      <c r="AN369" s="1511"/>
      <c r="AO369" s="1511"/>
      <c r="AP369" s="1511"/>
      <c r="AQ369" s="1511"/>
    </row>
    <row r="370" spans="3:43" s="101" customFormat="1">
      <c r="C370" s="1"/>
      <c r="D370" s="1"/>
      <c r="E370" s="1"/>
      <c r="F370" s="1"/>
      <c r="G370" s="1"/>
      <c r="H370" s="21"/>
      <c r="I370" s="21"/>
      <c r="J370" s="21"/>
      <c r="K370" s="21"/>
      <c r="L370" s="1"/>
      <c r="M370" s="1"/>
      <c r="U370" s="1512"/>
      <c r="V370" s="1512"/>
      <c r="W370" s="1512"/>
      <c r="X370" s="1512"/>
      <c r="Y370" s="1512"/>
      <c r="Z370" s="1512"/>
      <c r="AA370" s="1512"/>
      <c r="AI370" s="473"/>
      <c r="AK370" s="1512"/>
      <c r="AL370" s="1512"/>
      <c r="AM370" s="1512"/>
      <c r="AN370" s="1512"/>
      <c r="AO370" s="1512"/>
      <c r="AP370" s="1512"/>
      <c r="AQ370" s="1512"/>
    </row>
    <row r="371" spans="3:43">
      <c r="C371" s="1"/>
      <c r="D371" s="1"/>
      <c r="E371" s="1"/>
      <c r="F371" s="1"/>
      <c r="G371" s="1"/>
      <c r="H371" s="21"/>
      <c r="I371" s="21"/>
      <c r="J371" s="21"/>
      <c r="K371" s="21"/>
      <c r="L371" s="1"/>
      <c r="M371" s="1"/>
      <c r="N371" s="99"/>
      <c r="O371" s="99"/>
      <c r="P371" s="99"/>
      <c r="Q371" s="99"/>
      <c r="R371" s="99"/>
      <c r="S371" s="99"/>
    </row>
    <row r="372" spans="3:43">
      <c r="C372" s="1"/>
      <c r="D372" s="1"/>
      <c r="E372" s="1"/>
      <c r="F372" s="1"/>
      <c r="G372" s="1"/>
      <c r="H372" s="21"/>
      <c r="I372" s="21"/>
      <c r="J372" s="21"/>
      <c r="K372" s="21"/>
      <c r="L372" s="1"/>
      <c r="M372" s="1"/>
    </row>
    <row r="373" spans="3:43">
      <c r="C373" s="1"/>
      <c r="D373" s="1"/>
      <c r="E373" s="1"/>
      <c r="F373" s="1"/>
      <c r="G373" s="1"/>
      <c r="H373" s="21"/>
      <c r="I373" s="21"/>
      <c r="J373" s="21"/>
      <c r="K373" s="21"/>
      <c r="L373" s="1"/>
      <c r="M373" s="1"/>
    </row>
    <row r="374" spans="3:43">
      <c r="C374" s="1"/>
      <c r="D374" s="1"/>
      <c r="E374" s="1"/>
      <c r="F374" s="1"/>
      <c r="G374" s="1"/>
      <c r="H374" s="21"/>
      <c r="I374" s="21"/>
      <c r="J374" s="21"/>
      <c r="K374" s="21"/>
      <c r="L374" s="1"/>
      <c r="M374" s="1"/>
    </row>
    <row r="375" spans="3:43">
      <c r="C375" s="1"/>
      <c r="D375" s="1"/>
      <c r="E375" s="1"/>
      <c r="H375" s="52"/>
      <c r="I375" s="52"/>
      <c r="J375" s="52"/>
      <c r="K375" s="52"/>
    </row>
    <row r="376" spans="3:43">
      <c r="C376" s="1"/>
      <c r="D376" s="1"/>
      <c r="E376" s="1"/>
      <c r="F376" s="1"/>
      <c r="G376" s="1"/>
      <c r="H376" s="52"/>
      <c r="I376" s="52"/>
      <c r="J376" s="52"/>
      <c r="K376" s="52"/>
      <c r="L376" s="1"/>
      <c r="M376" s="1"/>
    </row>
    <row r="377" spans="3:43">
      <c r="C377" s="1"/>
      <c r="D377" s="1"/>
      <c r="E377" s="1"/>
      <c r="F377" s="1"/>
      <c r="G377" s="1"/>
      <c r="H377" s="52"/>
      <c r="I377" s="52"/>
      <c r="J377" s="52"/>
      <c r="K377" s="52"/>
      <c r="L377" s="1"/>
      <c r="M377" s="1"/>
    </row>
    <row r="378" spans="3:43">
      <c r="C378" s="1"/>
      <c r="D378" s="1"/>
      <c r="E378" s="1"/>
      <c r="F378" s="1"/>
      <c r="G378" s="1"/>
      <c r="H378" s="52"/>
      <c r="I378" s="52"/>
      <c r="J378" s="52"/>
      <c r="K378" s="52"/>
      <c r="L378" s="1"/>
      <c r="M378" s="1"/>
    </row>
    <row r="379" spans="3:43">
      <c r="C379" s="1"/>
      <c r="D379" s="1"/>
      <c r="E379" s="1"/>
      <c r="F379" s="1"/>
      <c r="G379" s="1"/>
      <c r="H379" s="52"/>
      <c r="I379" s="52"/>
      <c r="J379" s="52"/>
      <c r="K379" s="52"/>
      <c r="L379" s="1"/>
      <c r="M379" s="1"/>
    </row>
    <row r="380" spans="3:43">
      <c r="C380" s="1"/>
      <c r="D380" s="1"/>
      <c r="E380" s="1"/>
      <c r="F380" s="1"/>
      <c r="G380" s="1"/>
      <c r="H380" s="52"/>
      <c r="I380" s="52"/>
      <c r="J380" s="52"/>
      <c r="K380" s="52"/>
      <c r="L380" s="1"/>
      <c r="M380" s="1"/>
    </row>
    <row r="381" spans="3:43">
      <c r="C381" s="18"/>
      <c r="D381" s="1"/>
      <c r="E381" s="1"/>
      <c r="H381" s="100"/>
      <c r="I381" s="100"/>
      <c r="J381" s="99"/>
      <c r="K381" s="99"/>
    </row>
    <row r="382" spans="3:43">
      <c r="C382" s="1"/>
      <c r="D382" s="1"/>
      <c r="E382" s="1"/>
      <c r="F382" s="1"/>
      <c r="G382" s="1"/>
      <c r="H382" s="21"/>
      <c r="I382" s="21"/>
      <c r="J382" s="21"/>
      <c r="K382" s="21"/>
      <c r="L382" s="1"/>
      <c r="M382" s="1"/>
    </row>
    <row r="383" spans="3:43">
      <c r="C383" s="1"/>
      <c r="D383" s="1"/>
      <c r="E383" s="1"/>
      <c r="F383" s="1"/>
      <c r="G383" s="1"/>
      <c r="H383" s="21"/>
      <c r="I383" s="21"/>
      <c r="J383" s="21"/>
      <c r="K383" s="21"/>
      <c r="L383" s="1"/>
      <c r="M383" s="1"/>
    </row>
    <row r="384" spans="3:43">
      <c r="C384" s="1"/>
      <c r="D384" s="1"/>
      <c r="E384" s="1"/>
      <c r="F384" s="1"/>
      <c r="G384" s="1"/>
      <c r="H384" s="21"/>
      <c r="I384" s="21"/>
      <c r="J384" s="21"/>
      <c r="K384" s="21"/>
      <c r="L384" s="1"/>
      <c r="M384" s="1"/>
    </row>
    <row r="385" spans="1:43">
      <c r="C385" s="1"/>
      <c r="D385" s="1"/>
      <c r="E385" s="1"/>
      <c r="F385" s="1"/>
      <c r="G385" s="1"/>
      <c r="H385" s="21"/>
      <c r="I385" s="21"/>
      <c r="J385" s="21"/>
      <c r="K385" s="21"/>
      <c r="L385" s="1"/>
      <c r="M385" s="1"/>
    </row>
    <row r="386" spans="1:43">
      <c r="C386" s="1"/>
      <c r="D386" s="1"/>
      <c r="E386" s="1"/>
      <c r="F386" s="1"/>
      <c r="G386" s="1"/>
      <c r="H386" s="21"/>
      <c r="I386" s="21"/>
      <c r="J386" s="21"/>
      <c r="K386" s="21"/>
      <c r="L386" s="1"/>
      <c r="M386" s="1"/>
    </row>
    <row r="387" spans="1:43">
      <c r="C387" s="1"/>
      <c r="D387" s="1"/>
      <c r="E387" s="1"/>
    </row>
    <row r="388" spans="1:43">
      <c r="C388" s="1"/>
      <c r="D388" s="1"/>
      <c r="E388" s="1"/>
      <c r="H388" s="127"/>
      <c r="I388" s="127"/>
      <c r="J388" s="127"/>
      <c r="K388" s="127"/>
    </row>
    <row r="389" spans="1:43" s="101" customFormat="1">
      <c r="C389" s="18"/>
      <c r="D389" s="18"/>
      <c r="E389" s="18"/>
      <c r="H389" s="100"/>
      <c r="I389" s="100"/>
      <c r="J389" s="100"/>
      <c r="K389" s="100"/>
      <c r="U389" s="1512"/>
      <c r="V389" s="1512"/>
      <c r="W389" s="1512"/>
      <c r="X389" s="1512"/>
      <c r="Y389" s="1512"/>
      <c r="Z389" s="1512"/>
      <c r="AA389" s="1512"/>
      <c r="AI389" s="473"/>
      <c r="AK389" s="1512"/>
      <c r="AL389" s="1512"/>
      <c r="AM389" s="1512"/>
      <c r="AN389" s="1512"/>
      <c r="AO389" s="1512"/>
      <c r="AP389" s="1512"/>
      <c r="AQ389" s="1512"/>
    </row>
    <row r="390" spans="1:43" s="101" customFormat="1">
      <c r="C390" s="97"/>
      <c r="H390" s="21"/>
      <c r="I390" s="21"/>
      <c r="J390" s="21"/>
      <c r="K390" s="21"/>
      <c r="U390" s="1512"/>
      <c r="V390" s="1512"/>
      <c r="W390" s="1512"/>
      <c r="X390" s="1512"/>
      <c r="Y390" s="1512"/>
      <c r="Z390" s="1512"/>
      <c r="AA390" s="1512"/>
      <c r="AI390" s="473"/>
      <c r="AK390" s="1512"/>
      <c r="AL390" s="1512"/>
      <c r="AM390" s="1512"/>
      <c r="AN390" s="1512"/>
      <c r="AO390" s="1512"/>
      <c r="AP390" s="1512"/>
      <c r="AQ390" s="1512"/>
    </row>
    <row r="391" spans="1:43" s="101" customFormat="1">
      <c r="C391" s="18"/>
      <c r="D391" s="18"/>
      <c r="E391" s="18"/>
      <c r="H391" s="23"/>
      <c r="I391" s="23"/>
      <c r="J391" s="23"/>
      <c r="K391" s="23"/>
      <c r="U391" s="1512"/>
      <c r="V391" s="1512"/>
      <c r="W391" s="1512"/>
      <c r="X391" s="1512"/>
      <c r="Y391" s="1512"/>
      <c r="Z391" s="1512"/>
      <c r="AA391" s="1512"/>
      <c r="AI391" s="473"/>
      <c r="AK391" s="1512"/>
      <c r="AL391" s="1512"/>
      <c r="AM391" s="1512"/>
      <c r="AN391" s="1512"/>
      <c r="AO391" s="1512"/>
      <c r="AP391" s="1512"/>
      <c r="AQ391" s="1512"/>
    </row>
    <row r="392" spans="1:43" s="101" customFormat="1">
      <c r="C392" s="22"/>
      <c r="D392" s="18"/>
      <c r="E392" s="18"/>
      <c r="H392" s="94"/>
      <c r="I392" s="94"/>
      <c r="J392" s="94"/>
      <c r="K392" s="94"/>
      <c r="U392" s="1512"/>
      <c r="V392" s="1512"/>
      <c r="W392" s="1512"/>
      <c r="X392" s="1512"/>
      <c r="Y392" s="1512"/>
      <c r="Z392" s="1512"/>
      <c r="AA392" s="1512"/>
      <c r="AI392" s="473"/>
      <c r="AK392" s="1512"/>
      <c r="AL392" s="1512"/>
      <c r="AM392" s="1512"/>
      <c r="AN392" s="1512"/>
      <c r="AO392" s="1512"/>
      <c r="AP392" s="1512"/>
      <c r="AQ392" s="1512"/>
    </row>
    <row r="394" spans="1:43" s="18" customFormat="1">
      <c r="U394" s="1518"/>
      <c r="V394" s="1518"/>
      <c r="W394" s="1518"/>
      <c r="X394" s="1518"/>
      <c r="Y394" s="1518"/>
      <c r="Z394" s="1518"/>
      <c r="AA394" s="1518"/>
      <c r="AI394" s="478"/>
      <c r="AK394" s="1518"/>
      <c r="AL394" s="1518"/>
      <c r="AM394" s="1518"/>
      <c r="AN394" s="1518"/>
      <c r="AO394" s="1518"/>
      <c r="AP394" s="1518"/>
      <c r="AQ394" s="1518"/>
    </row>
    <row r="395" spans="1:43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</row>
    <row r="396" spans="1:43" s="99" customFormat="1">
      <c r="C396" s="18"/>
      <c r="D396" s="18"/>
      <c r="E396" s="18"/>
      <c r="U396" s="1511"/>
      <c r="V396" s="1511"/>
      <c r="W396" s="1511"/>
      <c r="X396" s="1511"/>
      <c r="Y396" s="1511"/>
      <c r="Z396" s="1511"/>
      <c r="AA396" s="1511"/>
      <c r="AI396" s="414"/>
      <c r="AK396" s="1511"/>
      <c r="AL396" s="1511"/>
      <c r="AM396" s="1511"/>
      <c r="AN396" s="1511"/>
      <c r="AO396" s="1511"/>
      <c r="AP396" s="1511"/>
      <c r="AQ396" s="1511"/>
    </row>
    <row r="397" spans="1:43" s="101" customFormat="1">
      <c r="C397" s="1"/>
      <c r="D397" s="1"/>
      <c r="E397" s="1"/>
      <c r="F397" s="1"/>
      <c r="G397" s="1"/>
      <c r="H397" s="21"/>
      <c r="I397" s="21"/>
      <c r="J397" s="21"/>
      <c r="K397" s="21"/>
      <c r="L397" s="1"/>
      <c r="M397" s="1"/>
      <c r="U397" s="1512"/>
      <c r="V397" s="1512"/>
      <c r="W397" s="1512"/>
      <c r="X397" s="1512"/>
      <c r="Y397" s="1512"/>
      <c r="Z397" s="1512"/>
      <c r="AA397" s="1512"/>
      <c r="AI397" s="473"/>
      <c r="AK397" s="1512"/>
      <c r="AL397" s="1512"/>
      <c r="AM397" s="1512"/>
      <c r="AN397" s="1512"/>
      <c r="AO397" s="1512"/>
      <c r="AP397" s="1512"/>
      <c r="AQ397" s="1512"/>
    </row>
    <row r="398" spans="1:43">
      <c r="C398" s="1"/>
      <c r="D398" s="1"/>
      <c r="E398" s="1"/>
      <c r="F398" s="1"/>
      <c r="G398" s="1"/>
      <c r="H398" s="21"/>
      <c r="I398" s="21"/>
      <c r="J398" s="21"/>
      <c r="K398" s="21"/>
      <c r="L398" s="1"/>
      <c r="M398" s="1"/>
      <c r="N398" s="99"/>
      <c r="O398" s="99"/>
      <c r="P398" s="99"/>
      <c r="Q398" s="99"/>
      <c r="R398" s="99"/>
      <c r="S398" s="99"/>
    </row>
    <row r="399" spans="1:43">
      <c r="C399" s="1"/>
      <c r="D399" s="1"/>
      <c r="E399" s="1"/>
      <c r="F399" s="1"/>
      <c r="G399" s="1"/>
      <c r="H399" s="21"/>
      <c r="I399" s="21"/>
      <c r="J399" s="21"/>
      <c r="K399" s="21"/>
      <c r="L399" s="1"/>
      <c r="M399" s="1"/>
    </row>
    <row r="400" spans="1:43">
      <c r="C400" s="1"/>
      <c r="D400" s="1"/>
      <c r="E400" s="1"/>
      <c r="F400" s="1"/>
      <c r="G400" s="1"/>
      <c r="H400" s="21"/>
      <c r="I400" s="21"/>
      <c r="J400" s="21"/>
      <c r="K400" s="21"/>
      <c r="L400" s="1"/>
      <c r="M400" s="1"/>
    </row>
    <row r="401" spans="3:43">
      <c r="C401" s="1"/>
      <c r="D401" s="1"/>
      <c r="E401" s="1"/>
      <c r="F401" s="1"/>
      <c r="G401" s="1"/>
      <c r="H401" s="21"/>
      <c r="I401" s="21"/>
      <c r="J401" s="21"/>
      <c r="K401" s="21"/>
      <c r="L401" s="1"/>
      <c r="M401" s="1"/>
    </row>
    <row r="402" spans="3:43">
      <c r="C402" s="1"/>
      <c r="D402" s="1"/>
      <c r="E402" s="1"/>
      <c r="H402" s="52"/>
      <c r="I402" s="52"/>
      <c r="J402" s="52"/>
      <c r="K402" s="52"/>
    </row>
    <row r="403" spans="3:43">
      <c r="C403" s="1"/>
      <c r="D403" s="1"/>
      <c r="E403" s="1"/>
      <c r="F403" s="1"/>
      <c r="G403" s="1"/>
      <c r="H403" s="52"/>
      <c r="I403" s="52"/>
      <c r="J403" s="52"/>
      <c r="K403" s="52"/>
      <c r="L403" s="1"/>
      <c r="M403" s="1"/>
    </row>
    <row r="404" spans="3:43">
      <c r="C404" s="1"/>
      <c r="D404" s="1"/>
      <c r="E404" s="1"/>
      <c r="F404" s="1"/>
      <c r="G404" s="1"/>
      <c r="H404" s="52"/>
      <c r="I404" s="52"/>
      <c r="J404" s="52"/>
      <c r="K404" s="52"/>
      <c r="L404" s="1"/>
      <c r="M404" s="1"/>
    </row>
    <row r="405" spans="3:43">
      <c r="C405" s="1"/>
      <c r="D405" s="1"/>
      <c r="E405" s="1"/>
      <c r="F405" s="1"/>
      <c r="G405" s="1"/>
      <c r="H405" s="52"/>
      <c r="I405" s="52"/>
      <c r="J405" s="52"/>
      <c r="K405" s="52"/>
      <c r="L405" s="1"/>
      <c r="M405" s="1"/>
    </row>
    <row r="406" spans="3:43">
      <c r="C406" s="1"/>
      <c r="D406" s="1"/>
      <c r="E406" s="1"/>
      <c r="F406" s="1"/>
      <c r="G406" s="1"/>
      <c r="H406" s="52"/>
      <c r="I406" s="52"/>
      <c r="J406" s="52"/>
      <c r="K406" s="52"/>
      <c r="L406" s="1"/>
      <c r="M406" s="1"/>
    </row>
    <row r="407" spans="3:43">
      <c r="C407" s="1"/>
      <c r="D407" s="1"/>
      <c r="E407" s="1"/>
      <c r="F407" s="1"/>
      <c r="G407" s="1"/>
      <c r="H407" s="52"/>
      <c r="I407" s="52"/>
      <c r="J407" s="52"/>
      <c r="K407" s="52"/>
      <c r="L407" s="1"/>
      <c r="M407" s="1"/>
    </row>
    <row r="408" spans="3:43">
      <c r="C408" s="18"/>
      <c r="D408" s="1"/>
      <c r="E408" s="1"/>
      <c r="H408" s="100"/>
      <c r="I408" s="100"/>
      <c r="J408" s="100"/>
      <c r="K408" s="99"/>
    </row>
    <row r="409" spans="3:43">
      <c r="C409" s="1"/>
      <c r="D409" s="1"/>
      <c r="E409" s="1"/>
      <c r="F409" s="1"/>
      <c r="G409" s="1"/>
      <c r="H409" s="21"/>
      <c r="I409" s="21"/>
      <c r="J409" s="21"/>
      <c r="K409" s="21"/>
      <c r="L409" s="1"/>
      <c r="M409" s="1"/>
    </row>
    <row r="410" spans="3:43">
      <c r="C410" s="1"/>
      <c r="D410" s="1"/>
      <c r="E410" s="1"/>
      <c r="F410" s="1"/>
      <c r="G410" s="1"/>
      <c r="H410" s="21"/>
      <c r="I410" s="21"/>
      <c r="J410" s="21"/>
      <c r="K410" s="21"/>
      <c r="L410" s="1"/>
      <c r="M410" s="1"/>
    </row>
    <row r="411" spans="3:43">
      <c r="C411" s="1"/>
      <c r="D411" s="1"/>
      <c r="E411" s="1"/>
      <c r="F411" s="1"/>
      <c r="G411" s="1"/>
      <c r="H411" s="21"/>
      <c r="I411" s="21"/>
      <c r="J411" s="21"/>
      <c r="K411" s="21"/>
      <c r="L411" s="1"/>
      <c r="M411" s="1"/>
    </row>
    <row r="412" spans="3:43">
      <c r="C412" s="1"/>
      <c r="D412" s="1"/>
      <c r="E412" s="1"/>
      <c r="F412" s="1"/>
      <c r="G412" s="1"/>
      <c r="H412" s="21"/>
      <c r="I412" s="21"/>
      <c r="J412" s="21"/>
      <c r="K412" s="21"/>
      <c r="L412" s="1"/>
      <c r="M412" s="1"/>
    </row>
    <row r="413" spans="3:43">
      <c r="C413" s="1"/>
      <c r="D413" s="1"/>
      <c r="E413" s="1"/>
      <c r="F413" s="1"/>
      <c r="G413" s="1"/>
      <c r="H413" s="21"/>
      <c r="I413" s="21"/>
      <c r="J413" s="21"/>
      <c r="K413" s="21"/>
      <c r="L413" s="1"/>
      <c r="M413" s="1"/>
    </row>
    <row r="414" spans="3:43">
      <c r="C414" s="1"/>
      <c r="D414" s="1"/>
      <c r="E414" s="1"/>
    </row>
    <row r="415" spans="3:43">
      <c r="C415" s="1"/>
      <c r="D415" s="1"/>
      <c r="E415" s="1"/>
      <c r="H415" s="127"/>
      <c r="I415" s="127"/>
      <c r="J415" s="127"/>
      <c r="K415" s="127"/>
    </row>
    <row r="416" spans="3:43" s="101" customFormat="1">
      <c r="C416" s="18"/>
      <c r="D416" s="18"/>
      <c r="E416" s="18"/>
      <c r="H416" s="100"/>
      <c r="I416" s="100"/>
      <c r="J416" s="100"/>
      <c r="K416" s="100"/>
      <c r="U416" s="1512"/>
      <c r="V416" s="1512"/>
      <c r="W416" s="1512"/>
      <c r="X416" s="1512"/>
      <c r="Y416" s="1512"/>
      <c r="Z416" s="1512"/>
      <c r="AA416" s="1512"/>
      <c r="AI416" s="473"/>
      <c r="AK416" s="1512"/>
      <c r="AL416" s="1512"/>
      <c r="AM416" s="1512"/>
      <c r="AN416" s="1512"/>
      <c r="AO416" s="1512"/>
      <c r="AP416" s="1512"/>
      <c r="AQ416" s="1512"/>
    </row>
    <row r="417" spans="1:43" s="101" customFormat="1">
      <c r="C417" s="97"/>
      <c r="H417" s="21"/>
      <c r="I417" s="21"/>
      <c r="J417" s="21"/>
      <c r="K417" s="21"/>
      <c r="U417" s="1512"/>
      <c r="V417" s="1512"/>
      <c r="W417" s="1512"/>
      <c r="X417" s="1512"/>
      <c r="Y417" s="1512"/>
      <c r="Z417" s="1512"/>
      <c r="AA417" s="1512"/>
      <c r="AI417" s="473"/>
      <c r="AK417" s="1512"/>
      <c r="AL417" s="1512"/>
      <c r="AM417" s="1512"/>
      <c r="AN417" s="1512"/>
      <c r="AO417" s="1512"/>
      <c r="AP417" s="1512"/>
      <c r="AQ417" s="1512"/>
    </row>
    <row r="418" spans="1:43" s="101" customFormat="1">
      <c r="C418" s="18"/>
      <c r="D418" s="18"/>
      <c r="E418" s="18"/>
      <c r="H418" s="23"/>
      <c r="I418" s="23"/>
      <c r="J418" s="23"/>
      <c r="K418" s="23"/>
      <c r="U418" s="1512"/>
      <c r="V418" s="1512"/>
      <c r="W418" s="1512"/>
      <c r="X418" s="1512"/>
      <c r="Y418" s="1512"/>
      <c r="Z418" s="1512"/>
      <c r="AA418" s="1512"/>
      <c r="AI418" s="473"/>
      <c r="AK418" s="1512"/>
      <c r="AL418" s="1512"/>
      <c r="AM418" s="1512"/>
      <c r="AN418" s="1512"/>
      <c r="AO418" s="1512"/>
      <c r="AP418" s="1512"/>
      <c r="AQ418" s="1512"/>
    </row>
    <row r="419" spans="1:43" s="101" customFormat="1">
      <c r="C419" s="22"/>
      <c r="D419" s="18"/>
      <c r="E419" s="18"/>
      <c r="H419" s="94"/>
      <c r="I419" s="94"/>
      <c r="J419" s="94"/>
      <c r="K419" s="94"/>
      <c r="U419" s="1512"/>
      <c r="V419" s="1512"/>
      <c r="W419" s="1512"/>
      <c r="X419" s="1512"/>
      <c r="Y419" s="1512"/>
      <c r="Z419" s="1512"/>
      <c r="AA419" s="1512"/>
      <c r="AI419" s="473"/>
      <c r="AK419" s="1512"/>
      <c r="AL419" s="1512"/>
      <c r="AM419" s="1512"/>
      <c r="AN419" s="1512"/>
      <c r="AO419" s="1512"/>
      <c r="AP419" s="1512"/>
      <c r="AQ419" s="1512"/>
    </row>
    <row r="420" spans="1:43" collapsed="1"/>
    <row r="421" spans="1:43" s="96" customForma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U421" s="1515"/>
      <c r="V421" s="1515"/>
      <c r="W421" s="1515"/>
      <c r="X421" s="1515"/>
      <c r="Y421" s="1515"/>
      <c r="Z421" s="1515"/>
      <c r="AA421" s="1515"/>
      <c r="AI421" s="415"/>
      <c r="AK421" s="1515"/>
      <c r="AL421" s="1515"/>
      <c r="AM421" s="1515"/>
      <c r="AN421" s="1515"/>
      <c r="AO421" s="1515"/>
      <c r="AP421" s="1515"/>
      <c r="AQ421" s="1515"/>
    </row>
    <row r="422" spans="1:43"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</row>
    <row r="423" spans="1:43" s="18" customFormat="1">
      <c r="U423" s="1518"/>
      <c r="V423" s="1518"/>
      <c r="W423" s="1518"/>
      <c r="X423" s="1518"/>
      <c r="Y423" s="1518"/>
      <c r="Z423" s="1518"/>
      <c r="AA423" s="1518"/>
      <c r="AI423" s="478"/>
      <c r="AK423" s="1518"/>
      <c r="AL423" s="1518"/>
      <c r="AM423" s="1518"/>
      <c r="AN423" s="1518"/>
      <c r="AO423" s="1518"/>
      <c r="AP423" s="1518"/>
      <c r="AQ423" s="1518"/>
    </row>
    <row r="424" spans="1:43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</row>
    <row r="425" spans="1:43" s="99" customFormat="1">
      <c r="C425" s="18"/>
      <c r="D425" s="18"/>
      <c r="E425" s="18"/>
      <c r="U425" s="1511"/>
      <c r="V425" s="1511"/>
      <c r="W425" s="1511"/>
      <c r="X425" s="1511"/>
      <c r="Y425" s="1511"/>
      <c r="Z425" s="1511"/>
      <c r="AA425" s="1511"/>
      <c r="AI425" s="414"/>
      <c r="AK425" s="1511"/>
      <c r="AL425" s="1511"/>
      <c r="AM425" s="1511"/>
      <c r="AN425" s="1511"/>
      <c r="AO425" s="1511"/>
      <c r="AP425" s="1511"/>
      <c r="AQ425" s="1511"/>
    </row>
    <row r="426" spans="1:43" s="101" customFormat="1">
      <c r="C426" s="1"/>
      <c r="D426" s="1"/>
      <c r="E426" s="1"/>
      <c r="F426" s="1"/>
      <c r="G426" s="1"/>
      <c r="H426" s="20"/>
      <c r="I426" s="20"/>
      <c r="J426" s="20"/>
      <c r="K426" s="20"/>
      <c r="L426" s="20"/>
      <c r="M426" s="20"/>
      <c r="U426" s="1512"/>
      <c r="V426" s="1512"/>
      <c r="W426" s="1512"/>
      <c r="X426" s="1512"/>
      <c r="Y426" s="1512"/>
      <c r="Z426" s="1512"/>
      <c r="AA426" s="1512"/>
      <c r="AI426" s="473"/>
      <c r="AK426" s="1512"/>
      <c r="AL426" s="1512"/>
      <c r="AM426" s="1512"/>
      <c r="AN426" s="1512"/>
      <c r="AO426" s="1512"/>
      <c r="AP426" s="1512"/>
      <c r="AQ426" s="1512"/>
    </row>
    <row r="427" spans="1:43">
      <c r="C427" s="1"/>
      <c r="D427" s="1"/>
      <c r="E427" s="1"/>
      <c r="F427" s="1"/>
      <c r="G427" s="1"/>
      <c r="H427" s="20"/>
      <c r="I427" s="20"/>
      <c r="J427" s="20"/>
      <c r="K427" s="20"/>
      <c r="L427" s="20"/>
      <c r="M427" s="20"/>
      <c r="N427" s="99"/>
      <c r="O427" s="99"/>
      <c r="P427" s="99"/>
      <c r="Q427" s="99"/>
      <c r="R427" s="99"/>
      <c r="S427" s="99"/>
    </row>
    <row r="428" spans="1:43">
      <c r="C428" s="1"/>
      <c r="D428" s="1"/>
      <c r="E428" s="1"/>
      <c r="F428" s="1"/>
      <c r="G428" s="1"/>
      <c r="H428" s="20"/>
      <c r="I428" s="20"/>
      <c r="J428" s="20"/>
      <c r="K428" s="20"/>
      <c r="L428" s="20"/>
      <c r="M428" s="20"/>
    </row>
    <row r="429" spans="1:43">
      <c r="C429" s="1"/>
      <c r="D429" s="1"/>
      <c r="E429" s="1"/>
      <c r="F429" s="1"/>
      <c r="G429" s="1"/>
      <c r="H429" s="20"/>
      <c r="I429" s="20"/>
      <c r="J429" s="20"/>
      <c r="K429" s="20"/>
      <c r="L429" s="20"/>
      <c r="M429" s="20"/>
    </row>
    <row r="430" spans="1:43">
      <c r="C430" s="1"/>
      <c r="D430" s="1"/>
      <c r="E430" s="1"/>
      <c r="F430" s="1"/>
      <c r="G430" s="1"/>
      <c r="H430" s="20"/>
      <c r="I430" s="20"/>
      <c r="J430" s="20"/>
      <c r="K430" s="20"/>
      <c r="L430" s="20"/>
      <c r="M430" s="20"/>
    </row>
    <row r="431" spans="1:43">
      <c r="C431" s="1"/>
      <c r="D431" s="1"/>
      <c r="E431" s="1"/>
      <c r="H431" s="52"/>
      <c r="I431" s="52"/>
      <c r="J431" s="52"/>
      <c r="K431" s="52"/>
    </row>
    <row r="432" spans="1:43">
      <c r="C432" s="1"/>
      <c r="D432" s="1"/>
      <c r="E432" s="1"/>
      <c r="F432" s="1"/>
      <c r="G432" s="1"/>
      <c r="H432" s="52"/>
      <c r="I432" s="52"/>
      <c r="J432" s="52"/>
      <c r="K432" s="52"/>
      <c r="L432" s="1"/>
      <c r="M432" s="1"/>
    </row>
    <row r="433" spans="3:43">
      <c r="C433" s="1"/>
      <c r="D433" s="1"/>
      <c r="E433" s="1"/>
      <c r="F433" s="1"/>
      <c r="G433" s="1"/>
      <c r="H433" s="52"/>
      <c r="I433" s="52"/>
      <c r="J433" s="52"/>
      <c r="K433" s="52"/>
      <c r="L433" s="1"/>
      <c r="M433" s="1"/>
    </row>
    <row r="434" spans="3:43">
      <c r="C434" s="1"/>
      <c r="D434" s="1"/>
      <c r="E434" s="1"/>
      <c r="F434" s="1"/>
      <c r="G434" s="1"/>
      <c r="H434" s="52"/>
      <c r="I434" s="52"/>
      <c r="J434" s="52"/>
      <c r="K434" s="52"/>
      <c r="L434" s="1"/>
      <c r="M434" s="1"/>
    </row>
    <row r="435" spans="3:43">
      <c r="C435" s="1"/>
      <c r="D435" s="1"/>
      <c r="E435" s="1"/>
      <c r="F435" s="1"/>
      <c r="G435" s="1"/>
      <c r="H435" s="52"/>
      <c r="I435" s="52"/>
      <c r="J435" s="52"/>
      <c r="K435" s="52"/>
      <c r="L435" s="1"/>
      <c r="M435" s="1"/>
    </row>
    <row r="436" spans="3:43">
      <c r="C436" s="1"/>
      <c r="D436" s="1"/>
      <c r="E436" s="1"/>
      <c r="F436" s="1"/>
      <c r="G436" s="1"/>
      <c r="H436" s="52"/>
      <c r="I436" s="52"/>
      <c r="J436" s="52"/>
      <c r="K436" s="52"/>
      <c r="L436" s="1"/>
      <c r="M436" s="1"/>
    </row>
    <row r="437" spans="3:43">
      <c r="C437" s="18"/>
      <c r="D437" s="1"/>
      <c r="E437" s="1"/>
      <c r="H437" s="99"/>
      <c r="I437" s="99"/>
      <c r="J437" s="99"/>
      <c r="K437" s="99"/>
    </row>
    <row r="438" spans="3:43">
      <c r="C438" s="1"/>
      <c r="D438" s="1"/>
      <c r="E438" s="1"/>
      <c r="F438" s="1"/>
      <c r="G438" s="1"/>
      <c r="H438" s="20"/>
      <c r="I438" s="20"/>
      <c r="J438" s="20"/>
      <c r="K438" s="20"/>
      <c r="L438" s="1"/>
      <c r="M438" s="1"/>
    </row>
    <row r="439" spans="3:43">
      <c r="C439" s="1"/>
      <c r="D439" s="1"/>
      <c r="E439" s="1"/>
      <c r="F439" s="1"/>
      <c r="G439" s="1"/>
      <c r="H439" s="20"/>
      <c r="I439" s="20"/>
      <c r="J439" s="20"/>
      <c r="K439" s="20"/>
      <c r="L439" s="1"/>
      <c r="M439" s="1"/>
    </row>
    <row r="440" spans="3:43">
      <c r="C440" s="1"/>
      <c r="D440" s="1"/>
      <c r="E440" s="1"/>
      <c r="F440" s="1"/>
      <c r="G440" s="1"/>
      <c r="H440" s="20"/>
      <c r="I440" s="20"/>
      <c r="J440" s="20"/>
      <c r="K440" s="20"/>
      <c r="L440" s="1"/>
      <c r="M440" s="1"/>
    </row>
    <row r="441" spans="3:43">
      <c r="C441" s="1"/>
      <c r="D441" s="1"/>
      <c r="E441" s="1"/>
      <c r="F441" s="1"/>
      <c r="G441" s="1"/>
      <c r="H441" s="20"/>
      <c r="I441" s="20"/>
      <c r="J441" s="20"/>
      <c r="K441" s="20"/>
      <c r="L441" s="1"/>
      <c r="M441" s="1"/>
    </row>
    <row r="442" spans="3:43">
      <c r="C442" s="1"/>
      <c r="D442" s="1"/>
      <c r="E442" s="1"/>
      <c r="F442" s="1"/>
      <c r="G442" s="1"/>
      <c r="H442" s="20"/>
      <c r="I442" s="20"/>
      <c r="J442" s="20"/>
      <c r="K442" s="20"/>
      <c r="L442" s="1"/>
      <c r="M442" s="1"/>
    </row>
    <row r="443" spans="3:43">
      <c r="C443" s="1"/>
      <c r="D443" s="1"/>
      <c r="E443" s="1"/>
    </row>
    <row r="444" spans="3:43">
      <c r="C444" s="1"/>
      <c r="D444" s="1"/>
      <c r="E444" s="1"/>
      <c r="H444" s="127"/>
      <c r="I444" s="127"/>
      <c r="J444" s="127"/>
      <c r="K444" s="127"/>
    </row>
    <row r="445" spans="3:43" s="101" customFormat="1">
      <c r="C445" s="18"/>
      <c r="D445" s="18"/>
      <c r="E445" s="18"/>
      <c r="H445" s="23"/>
      <c r="I445" s="23"/>
      <c r="J445" s="23"/>
      <c r="K445" s="23"/>
      <c r="U445" s="1512"/>
      <c r="V445" s="1512"/>
      <c r="W445" s="1512"/>
      <c r="X445" s="1512"/>
      <c r="Y445" s="1512"/>
      <c r="Z445" s="1512"/>
      <c r="AA445" s="1512"/>
      <c r="AI445" s="473"/>
      <c r="AK445" s="1512"/>
      <c r="AL445" s="1512"/>
      <c r="AM445" s="1512"/>
      <c r="AN445" s="1512"/>
      <c r="AO445" s="1512"/>
      <c r="AP445" s="1512"/>
      <c r="AQ445" s="1512"/>
    </row>
    <row r="446" spans="3:43" s="101" customFormat="1">
      <c r="C446" s="97"/>
      <c r="H446" s="20"/>
      <c r="I446" s="20"/>
      <c r="J446" s="20"/>
      <c r="K446" s="20"/>
      <c r="U446" s="1512"/>
      <c r="V446" s="1512"/>
      <c r="W446" s="1512"/>
      <c r="X446" s="1512"/>
      <c r="Y446" s="1512"/>
      <c r="Z446" s="1512"/>
      <c r="AA446" s="1512"/>
      <c r="AI446" s="473"/>
      <c r="AK446" s="1512"/>
      <c r="AL446" s="1512"/>
      <c r="AM446" s="1512"/>
      <c r="AN446" s="1512"/>
      <c r="AO446" s="1512"/>
      <c r="AP446" s="1512"/>
      <c r="AQ446" s="1512"/>
    </row>
    <row r="447" spans="3:43" s="101" customFormat="1">
      <c r="C447" s="18"/>
      <c r="D447" s="18"/>
      <c r="E447" s="18"/>
      <c r="H447" s="23"/>
      <c r="I447" s="23"/>
      <c r="J447" s="23"/>
      <c r="K447" s="23"/>
      <c r="U447" s="1512"/>
      <c r="V447" s="1512"/>
      <c r="W447" s="1512"/>
      <c r="X447" s="1512"/>
      <c r="Y447" s="1512"/>
      <c r="Z447" s="1512"/>
      <c r="AA447" s="1512"/>
      <c r="AI447" s="473"/>
      <c r="AK447" s="1512"/>
      <c r="AL447" s="1512"/>
      <c r="AM447" s="1512"/>
      <c r="AN447" s="1512"/>
      <c r="AO447" s="1512"/>
      <c r="AP447" s="1512"/>
      <c r="AQ447" s="1512"/>
    </row>
    <row r="448" spans="3:43" s="101" customFormat="1">
      <c r="C448" s="22"/>
      <c r="D448" s="18"/>
      <c r="E448" s="18"/>
      <c r="H448" s="94"/>
      <c r="I448" s="94"/>
      <c r="J448" s="94"/>
      <c r="K448" s="94"/>
      <c r="U448" s="1512"/>
      <c r="V448" s="1512"/>
      <c r="W448" s="1512"/>
      <c r="X448" s="1512"/>
      <c r="Y448" s="1512"/>
      <c r="Z448" s="1512"/>
      <c r="AA448" s="1512"/>
      <c r="AI448" s="473"/>
      <c r="AK448" s="1512"/>
      <c r="AL448" s="1512"/>
      <c r="AM448" s="1512"/>
      <c r="AN448" s="1512"/>
      <c r="AO448" s="1512"/>
      <c r="AP448" s="1512"/>
      <c r="AQ448" s="1512"/>
    </row>
    <row r="449" spans="1:43" collapsed="1"/>
    <row r="450" spans="1:43" s="96" customForma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U450" s="1515"/>
      <c r="V450" s="1515"/>
      <c r="W450" s="1515"/>
      <c r="X450" s="1515"/>
      <c r="Y450" s="1515"/>
      <c r="Z450" s="1515"/>
      <c r="AA450" s="1515"/>
      <c r="AI450" s="415"/>
      <c r="AK450" s="1515"/>
      <c r="AL450" s="1515"/>
      <c r="AM450" s="1515"/>
      <c r="AN450" s="1515"/>
      <c r="AO450" s="1515"/>
      <c r="AP450" s="1515"/>
      <c r="AQ450" s="1515"/>
    </row>
    <row r="452" spans="1:43" s="99" customFormat="1">
      <c r="B452" s="1"/>
      <c r="C452" s="18"/>
      <c r="D452" s="1"/>
      <c r="H452" s="23"/>
      <c r="I452" s="23"/>
      <c r="J452" s="23"/>
      <c r="K452" s="23"/>
      <c r="U452" s="1511"/>
      <c r="V452" s="1511"/>
      <c r="W452" s="1511"/>
      <c r="X452" s="1511"/>
      <c r="Y452" s="1511"/>
      <c r="Z452" s="1511"/>
      <c r="AA452" s="1511"/>
      <c r="AI452" s="414"/>
      <c r="AK452" s="1511"/>
      <c r="AL452" s="1511"/>
      <c r="AM452" s="1511"/>
      <c r="AN452" s="1511"/>
      <c r="AO452" s="1511"/>
      <c r="AP452" s="1511"/>
      <c r="AQ452" s="1511"/>
    </row>
    <row r="453" spans="1:43">
      <c r="B453" s="1"/>
      <c r="C453" s="1"/>
      <c r="D453" s="1"/>
      <c r="H453" s="21"/>
      <c r="I453" s="21"/>
      <c r="J453" s="21"/>
      <c r="K453" s="21"/>
    </row>
    <row r="454" spans="1:43">
      <c r="B454" s="1"/>
      <c r="C454" s="1"/>
      <c r="D454" s="1"/>
      <c r="H454" s="21"/>
      <c r="I454" s="21"/>
      <c r="J454" s="21"/>
      <c r="K454" s="21"/>
    </row>
    <row r="455" spans="1:43">
      <c r="B455" s="1"/>
      <c r="C455" s="1"/>
      <c r="D455" s="1"/>
      <c r="H455" s="21"/>
      <c r="I455" s="21"/>
      <c r="J455" s="21"/>
      <c r="K455" s="21"/>
    </row>
    <row r="456" spans="1:43">
      <c r="B456" s="1"/>
      <c r="C456" s="1"/>
      <c r="D456" s="1"/>
      <c r="H456" s="21"/>
      <c r="I456" s="21"/>
      <c r="J456" s="21"/>
      <c r="K456" s="21"/>
    </row>
    <row r="457" spans="1:43">
      <c r="B457" s="1"/>
      <c r="C457" s="18"/>
      <c r="D457" s="1"/>
      <c r="H457" s="23"/>
      <c r="I457" s="23"/>
      <c r="J457" s="23"/>
      <c r="K457" s="23"/>
    </row>
    <row r="458" spans="1:43">
      <c r="B458" s="1"/>
      <c r="C458" s="1"/>
      <c r="D458" s="1"/>
      <c r="H458" s="21"/>
      <c r="I458" s="21"/>
      <c r="J458" s="21"/>
      <c r="K458" s="21"/>
      <c r="L458" s="102"/>
      <c r="M458" s="102"/>
      <c r="N458" s="102"/>
      <c r="O458" s="102"/>
      <c r="P458" s="102"/>
      <c r="Q458" s="102"/>
      <c r="R458" s="102"/>
      <c r="S458" s="102"/>
    </row>
    <row r="459" spans="1:43">
      <c r="B459" s="1"/>
      <c r="C459" s="1"/>
      <c r="D459" s="1"/>
      <c r="H459" s="21"/>
      <c r="I459" s="21"/>
      <c r="J459" s="21"/>
      <c r="K459" s="21"/>
      <c r="L459" s="102"/>
      <c r="M459" s="102"/>
      <c r="N459" s="102"/>
      <c r="O459" s="102"/>
      <c r="P459" s="102"/>
      <c r="Q459" s="102"/>
      <c r="R459" s="102"/>
      <c r="S459" s="102"/>
    </row>
    <row r="460" spans="1:43">
      <c r="B460" s="1"/>
      <c r="C460" s="1"/>
      <c r="D460" s="1"/>
      <c r="H460" s="21"/>
      <c r="I460" s="21"/>
      <c r="J460" s="21"/>
      <c r="K460" s="21"/>
      <c r="L460" s="102"/>
      <c r="M460" s="102"/>
      <c r="N460" s="102"/>
      <c r="O460" s="102"/>
      <c r="P460" s="102"/>
      <c r="Q460" s="102"/>
      <c r="R460" s="102"/>
      <c r="S460" s="102"/>
    </row>
    <row r="461" spans="1:43">
      <c r="B461" s="1"/>
      <c r="C461" s="1"/>
      <c r="D461" s="1"/>
      <c r="H461" s="21"/>
      <c r="I461" s="21"/>
      <c r="J461" s="21"/>
      <c r="K461" s="21"/>
      <c r="L461" s="102"/>
      <c r="M461" s="102"/>
      <c r="N461" s="102"/>
      <c r="O461" s="102"/>
      <c r="P461" s="102"/>
      <c r="Q461" s="102"/>
      <c r="R461" s="102"/>
      <c r="S461" s="102"/>
    </row>
    <row r="462" spans="1:43">
      <c r="B462" s="1"/>
      <c r="C462" s="1"/>
      <c r="D462" s="1"/>
      <c r="H462" s="21"/>
      <c r="I462" s="21"/>
      <c r="J462" s="21"/>
      <c r="K462" s="21"/>
      <c r="L462" s="102"/>
      <c r="M462" s="102"/>
      <c r="N462" s="102"/>
      <c r="O462" s="102"/>
      <c r="P462" s="102"/>
      <c r="Q462" s="102"/>
      <c r="R462" s="102"/>
      <c r="S462" s="102"/>
    </row>
    <row r="463" spans="1:43">
      <c r="D463" s="1"/>
      <c r="H463" s="21"/>
      <c r="I463" s="21"/>
      <c r="J463" s="21"/>
      <c r="K463" s="21"/>
      <c r="L463" s="102"/>
      <c r="M463" s="102"/>
      <c r="N463" s="102"/>
      <c r="O463" s="102"/>
      <c r="P463" s="102"/>
      <c r="Q463" s="102"/>
      <c r="R463" s="102"/>
      <c r="S463" s="102"/>
    </row>
    <row r="464" spans="1:43">
      <c r="C464" s="99"/>
      <c r="D464" s="1"/>
      <c r="H464" s="21"/>
      <c r="I464" s="21"/>
      <c r="J464" s="21"/>
      <c r="K464" s="21"/>
      <c r="L464" s="99"/>
      <c r="M464" s="99"/>
      <c r="N464" s="99"/>
      <c r="O464" s="99"/>
      <c r="P464" s="99"/>
      <c r="Q464" s="99"/>
      <c r="R464" s="99"/>
      <c r="S464" s="99"/>
    </row>
    <row r="465" spans="1:43">
      <c r="C465" s="99"/>
      <c r="D465" s="1"/>
      <c r="H465" s="21"/>
      <c r="I465" s="21"/>
      <c r="J465" s="21"/>
      <c r="K465" s="21"/>
      <c r="L465" s="99"/>
      <c r="M465" s="99"/>
      <c r="N465" s="99"/>
      <c r="O465" s="99"/>
      <c r="P465" s="99"/>
      <c r="Q465" s="99"/>
      <c r="R465" s="99"/>
      <c r="S465" s="99"/>
    </row>
    <row r="466" spans="1:43">
      <c r="C466" s="99"/>
      <c r="H466" s="23"/>
      <c r="I466" s="23"/>
      <c r="J466" s="23"/>
      <c r="K466" s="23"/>
    </row>
    <row r="467" spans="1:43">
      <c r="H467" s="21"/>
      <c r="I467" s="21"/>
      <c r="J467" s="21"/>
      <c r="K467" s="21"/>
    </row>
    <row r="469" spans="1:43">
      <c r="C469" s="99"/>
      <c r="H469" s="23"/>
      <c r="I469" s="23"/>
      <c r="J469" s="23"/>
      <c r="K469" s="23"/>
    </row>
    <row r="470" spans="1:43">
      <c r="H470" s="21"/>
      <c r="I470" s="21"/>
      <c r="J470" s="21"/>
      <c r="K470" s="21"/>
    </row>
    <row r="472" spans="1:43" s="101" customFormat="1">
      <c r="C472" s="18"/>
      <c r="D472" s="18"/>
      <c r="E472" s="18"/>
      <c r="H472" s="23"/>
      <c r="I472" s="23"/>
      <c r="J472" s="23"/>
      <c r="K472" s="23"/>
      <c r="U472" s="1512"/>
      <c r="V472" s="1512"/>
      <c r="W472" s="1512"/>
      <c r="X472" s="1512"/>
      <c r="Y472" s="1512"/>
      <c r="Z472" s="1512"/>
      <c r="AA472" s="1512"/>
      <c r="AI472" s="473"/>
      <c r="AK472" s="1512"/>
      <c r="AL472" s="1512"/>
      <c r="AM472" s="1512"/>
      <c r="AN472" s="1512"/>
      <c r="AO472" s="1512"/>
      <c r="AP472" s="1512"/>
      <c r="AQ472" s="1512"/>
    </row>
    <row r="473" spans="1:43">
      <c r="C473" s="101"/>
      <c r="H473" s="94"/>
      <c r="I473" s="94"/>
      <c r="J473" s="94"/>
      <c r="K473" s="94"/>
    </row>
    <row r="474" spans="1:43"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</row>
    <row r="475" spans="1:43" s="96" customForma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U475" s="1515"/>
      <c r="V475" s="1515"/>
      <c r="W475" s="1515"/>
      <c r="X475" s="1515"/>
      <c r="Y475" s="1515"/>
      <c r="Z475" s="1515"/>
      <c r="AA475" s="1515"/>
      <c r="AI475" s="415"/>
      <c r="AK475" s="1515"/>
      <c r="AL475" s="1515"/>
      <c r="AM475" s="1515"/>
      <c r="AN475" s="1515"/>
      <c r="AO475" s="1515"/>
      <c r="AP475" s="1515"/>
      <c r="AQ475" s="1515"/>
    </row>
    <row r="477" spans="1:43" s="99" customFormat="1">
      <c r="C477" s="97"/>
      <c r="H477" s="21"/>
      <c r="I477" s="21"/>
      <c r="J477" s="21"/>
      <c r="K477" s="21"/>
      <c r="U477" s="1511"/>
      <c r="V477" s="1511"/>
      <c r="W477" s="1511"/>
      <c r="X477" s="1511"/>
      <c r="Y477" s="1511"/>
      <c r="Z477" s="1511"/>
      <c r="AA477" s="1511"/>
      <c r="AI477" s="414"/>
      <c r="AK477" s="1511"/>
      <c r="AL477" s="1511"/>
      <c r="AM477" s="1511"/>
      <c r="AN477" s="1511"/>
      <c r="AO477" s="1511"/>
      <c r="AP477" s="1511"/>
      <c r="AQ477" s="1511"/>
    </row>
    <row r="478" spans="1:43">
      <c r="H478" s="21"/>
      <c r="I478" s="21"/>
      <c r="J478" s="21"/>
      <c r="K478" s="21"/>
    </row>
    <row r="479" spans="1:43" s="104" customFormat="1">
      <c r="D479" s="101"/>
      <c r="H479" s="94"/>
      <c r="I479" s="94"/>
      <c r="J479" s="94"/>
      <c r="K479" s="94"/>
      <c r="U479" s="1514"/>
      <c r="V479" s="1514"/>
      <c r="W479" s="1514"/>
      <c r="X479" s="1514"/>
      <c r="Y479" s="1514"/>
      <c r="Z479" s="1514"/>
      <c r="AA479" s="1514"/>
      <c r="AI479" s="477"/>
      <c r="AK479" s="1514"/>
      <c r="AL479" s="1514"/>
      <c r="AM479" s="1514"/>
      <c r="AN479" s="1514"/>
      <c r="AO479" s="1514"/>
      <c r="AP479" s="1514"/>
      <c r="AQ479" s="1514"/>
    </row>
    <row r="481" spans="3:43" s="1" customFormat="1">
      <c r="C481" s="18"/>
      <c r="H481" s="98"/>
      <c r="I481" s="98"/>
      <c r="J481" s="98"/>
      <c r="K481" s="98"/>
      <c r="U481" s="1515"/>
      <c r="V481" s="1515"/>
      <c r="W481" s="1515"/>
      <c r="X481" s="1515"/>
      <c r="Y481" s="1515"/>
      <c r="Z481" s="1515"/>
      <c r="AA481" s="1515"/>
      <c r="AI481" s="415"/>
      <c r="AK481" s="1515"/>
      <c r="AL481" s="1515"/>
      <c r="AM481" s="1515"/>
      <c r="AN481" s="1515"/>
      <c r="AO481" s="1515"/>
      <c r="AP481" s="1515"/>
      <c r="AQ481" s="1515"/>
    </row>
    <row r="483" spans="3:43" ht="16">
      <c r="C483" s="67"/>
      <c r="D483" s="128"/>
      <c r="E483" s="128"/>
      <c r="F483" s="128"/>
    </row>
    <row r="484" spans="3:43">
      <c r="H484" s="21"/>
      <c r="I484" s="21"/>
      <c r="J484" s="21"/>
      <c r="K484" s="21"/>
    </row>
    <row r="485" spans="3:43">
      <c r="H485" s="21"/>
      <c r="I485" s="21"/>
      <c r="J485" s="21"/>
      <c r="K485" s="21"/>
      <c r="L485" s="102"/>
      <c r="M485" s="102"/>
      <c r="N485" s="102"/>
      <c r="O485" s="102"/>
      <c r="P485" s="102"/>
      <c r="Q485" s="102"/>
      <c r="R485" s="102"/>
      <c r="S485" s="102"/>
    </row>
    <row r="486" spans="3:43">
      <c r="H486" s="21"/>
      <c r="I486" s="21"/>
      <c r="J486" s="21"/>
      <c r="K486" s="21"/>
      <c r="L486" s="102"/>
      <c r="M486" s="102"/>
      <c r="N486" s="102"/>
      <c r="O486" s="102"/>
      <c r="P486" s="102"/>
      <c r="Q486" s="102"/>
      <c r="R486" s="102"/>
      <c r="S486" s="102"/>
    </row>
    <row r="487" spans="3:43">
      <c r="H487" s="21"/>
      <c r="I487" s="21"/>
      <c r="J487" s="21"/>
      <c r="K487" s="21"/>
      <c r="L487" s="102"/>
      <c r="M487" s="102"/>
      <c r="N487" s="102"/>
      <c r="O487" s="102"/>
      <c r="P487" s="102"/>
      <c r="Q487" s="102"/>
      <c r="R487" s="102"/>
      <c r="S487" s="102"/>
    </row>
    <row r="488" spans="3:43">
      <c r="H488" s="21"/>
      <c r="I488" s="21"/>
      <c r="J488" s="21"/>
      <c r="K488" s="21"/>
      <c r="L488" s="102"/>
      <c r="M488" s="102"/>
      <c r="N488" s="102"/>
      <c r="O488" s="102"/>
      <c r="P488" s="102"/>
      <c r="Q488" s="102"/>
      <c r="R488" s="102"/>
      <c r="S488" s="102"/>
    </row>
    <row r="489" spans="3:43">
      <c r="H489" s="21"/>
      <c r="I489" s="21"/>
      <c r="J489" s="21"/>
      <c r="K489" s="21"/>
      <c r="L489" s="102"/>
      <c r="M489" s="102"/>
      <c r="N489" s="102"/>
      <c r="O489" s="102"/>
      <c r="P489" s="102"/>
      <c r="Q489" s="102"/>
      <c r="R489" s="102"/>
      <c r="S489" s="102"/>
    </row>
    <row r="490" spans="3:43">
      <c r="H490" s="21"/>
      <c r="I490" s="21"/>
      <c r="J490" s="21"/>
      <c r="K490" s="21"/>
      <c r="L490" s="102"/>
      <c r="M490" s="102"/>
      <c r="N490" s="102"/>
      <c r="O490" s="102"/>
      <c r="P490" s="102"/>
      <c r="Q490" s="102"/>
      <c r="R490" s="102"/>
      <c r="S490" s="102"/>
    </row>
    <row r="491" spans="3:43">
      <c r="H491" s="21"/>
      <c r="I491" s="21"/>
      <c r="J491" s="21"/>
      <c r="K491" s="21"/>
      <c r="L491" s="99"/>
      <c r="M491" s="99"/>
      <c r="N491" s="99"/>
      <c r="O491" s="99"/>
      <c r="P491" s="99"/>
      <c r="Q491" s="99"/>
      <c r="R491" s="99"/>
      <c r="S491" s="99"/>
    </row>
    <row r="492" spans="3:43">
      <c r="C492" s="99"/>
      <c r="H492" s="99"/>
      <c r="I492" s="99"/>
      <c r="J492" s="99"/>
      <c r="K492" s="99"/>
    </row>
    <row r="494" spans="3:43">
      <c r="C494" s="67"/>
    </row>
    <row r="495" spans="3:43">
      <c r="H495" s="21"/>
      <c r="I495" s="21"/>
      <c r="J495" s="21"/>
      <c r="K495" s="21"/>
    </row>
    <row r="496" spans="3:43">
      <c r="H496" s="21"/>
      <c r="I496" s="21"/>
      <c r="J496" s="21"/>
      <c r="K496" s="21"/>
    </row>
    <row r="497" spans="3:43">
      <c r="H497" s="21"/>
      <c r="I497" s="21"/>
      <c r="J497" s="21"/>
      <c r="K497" s="21"/>
    </row>
    <row r="498" spans="3:43">
      <c r="C498" s="99"/>
      <c r="H498" s="99"/>
      <c r="I498" s="99"/>
      <c r="J498" s="99"/>
      <c r="K498" s="99"/>
    </row>
    <row r="499" spans="3:43"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</row>
    <row r="500" spans="3:43" s="1" customFormat="1">
      <c r="C500" s="18"/>
      <c r="H500" s="23"/>
      <c r="I500" s="23"/>
      <c r="J500" s="23"/>
      <c r="K500" s="23"/>
      <c r="U500" s="1515"/>
      <c r="V500" s="1515"/>
      <c r="W500" s="1515"/>
      <c r="X500" s="1515"/>
      <c r="Y500" s="1515"/>
      <c r="Z500" s="1515"/>
      <c r="AA500" s="1515"/>
      <c r="AI500" s="415"/>
      <c r="AK500" s="1515"/>
      <c r="AL500" s="1515"/>
      <c r="AM500" s="1515"/>
      <c r="AN500" s="1515"/>
      <c r="AO500" s="1515"/>
      <c r="AP500" s="1515"/>
      <c r="AQ500" s="1515"/>
    </row>
    <row r="501" spans="3:43">
      <c r="D501" s="101"/>
      <c r="H501" s="94"/>
      <c r="I501" s="94"/>
      <c r="J501" s="94"/>
      <c r="K501" s="94"/>
    </row>
    <row r="502" spans="3:43" s="99" customFormat="1">
      <c r="U502" s="1511"/>
      <c r="V502" s="1511"/>
      <c r="W502" s="1511"/>
      <c r="X502" s="1511"/>
      <c r="Y502" s="1511"/>
      <c r="Z502" s="1511"/>
      <c r="AA502" s="1511"/>
      <c r="AI502" s="414"/>
      <c r="AK502" s="1511"/>
      <c r="AL502" s="1511"/>
      <c r="AM502" s="1511"/>
      <c r="AN502" s="1511"/>
      <c r="AO502" s="1511"/>
      <c r="AP502" s="1511"/>
      <c r="AQ502" s="1511"/>
    </row>
    <row r="503" spans="3:43">
      <c r="C503" s="67"/>
    </row>
    <row r="504" spans="3:43" s="99" customFormat="1">
      <c r="C504" s="97"/>
      <c r="D504" s="97"/>
      <c r="E504" s="97"/>
      <c r="F504" s="97"/>
      <c r="G504" s="97"/>
      <c r="H504" s="21"/>
      <c r="I504" s="21"/>
      <c r="J504" s="21"/>
      <c r="K504" s="21"/>
      <c r="U504" s="1511"/>
      <c r="V504" s="1511"/>
      <c r="W504" s="1511"/>
      <c r="X504" s="1511"/>
      <c r="Y504" s="1511"/>
      <c r="Z504" s="1511"/>
      <c r="AA504" s="1511"/>
      <c r="AI504" s="414"/>
      <c r="AK504" s="1511"/>
      <c r="AL504" s="1511"/>
      <c r="AM504" s="1511"/>
      <c r="AN504" s="1511"/>
      <c r="AO504" s="1511"/>
      <c r="AP504" s="1511"/>
      <c r="AQ504" s="1511"/>
    </row>
    <row r="505" spans="3:43">
      <c r="H505" s="21"/>
      <c r="I505" s="21"/>
      <c r="J505" s="21"/>
      <c r="K505" s="21"/>
    </row>
    <row r="506" spans="3:43">
      <c r="H506" s="21"/>
      <c r="I506" s="21"/>
      <c r="J506" s="21"/>
      <c r="K506" s="21"/>
    </row>
    <row r="507" spans="3:43">
      <c r="H507" s="21"/>
      <c r="I507" s="21"/>
      <c r="J507" s="21"/>
      <c r="K507" s="21"/>
    </row>
    <row r="508" spans="3:43">
      <c r="H508" s="21"/>
      <c r="I508" s="21"/>
      <c r="J508" s="21"/>
      <c r="K508" s="21"/>
    </row>
    <row r="509" spans="3:43" s="99" customFormat="1">
      <c r="U509" s="1511"/>
      <c r="V509" s="1511"/>
      <c r="W509" s="1511"/>
      <c r="X509" s="1511"/>
      <c r="Y509" s="1511"/>
      <c r="Z509" s="1511"/>
      <c r="AA509" s="1511"/>
      <c r="AI509" s="414"/>
      <c r="AK509" s="1511"/>
      <c r="AL509" s="1511"/>
      <c r="AM509" s="1511"/>
      <c r="AN509" s="1511"/>
      <c r="AO509" s="1511"/>
      <c r="AP509" s="1511"/>
      <c r="AQ509" s="1511"/>
    </row>
    <row r="511" spans="3:43">
      <c r="C511" s="67"/>
      <c r="L511" s="102"/>
      <c r="M511" s="102"/>
      <c r="N511" s="102"/>
      <c r="O511" s="102"/>
      <c r="P511" s="102"/>
      <c r="Q511" s="102"/>
      <c r="R511" s="102"/>
      <c r="S511" s="102"/>
    </row>
    <row r="512" spans="3:43">
      <c r="H512" s="21"/>
      <c r="I512" s="21"/>
      <c r="J512" s="21"/>
      <c r="K512" s="21"/>
      <c r="L512" s="102"/>
      <c r="M512" s="102"/>
      <c r="N512" s="102"/>
      <c r="O512" s="102"/>
      <c r="P512" s="102"/>
      <c r="Q512" s="102"/>
      <c r="R512" s="102"/>
      <c r="S512" s="102"/>
    </row>
    <row r="513" spans="1:43">
      <c r="H513" s="21"/>
      <c r="I513" s="21"/>
      <c r="J513" s="21"/>
      <c r="K513" s="21"/>
      <c r="L513" s="102"/>
      <c r="M513" s="102"/>
      <c r="N513" s="102"/>
      <c r="O513" s="102"/>
      <c r="P513" s="102"/>
      <c r="Q513" s="102"/>
      <c r="R513" s="102"/>
      <c r="S513" s="102"/>
    </row>
    <row r="514" spans="1:43">
      <c r="H514" s="21"/>
      <c r="I514" s="21"/>
      <c r="J514" s="21"/>
      <c r="K514" s="21"/>
      <c r="L514" s="102"/>
      <c r="M514" s="102"/>
      <c r="N514" s="102"/>
      <c r="O514" s="102"/>
      <c r="P514" s="102"/>
      <c r="Q514" s="102"/>
      <c r="R514" s="102"/>
      <c r="S514" s="102"/>
    </row>
    <row r="515" spans="1:43" s="99" customFormat="1"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U515" s="1511"/>
      <c r="V515" s="1511"/>
      <c r="W515" s="1511"/>
      <c r="X515" s="1511"/>
      <c r="Y515" s="1511"/>
      <c r="Z515" s="1511"/>
      <c r="AA515" s="1511"/>
      <c r="AI515" s="414"/>
      <c r="AK515" s="1511"/>
      <c r="AL515" s="1511"/>
      <c r="AM515" s="1511"/>
      <c r="AN515" s="1511"/>
      <c r="AO515" s="1511"/>
      <c r="AP515" s="1511"/>
      <c r="AQ515" s="1511"/>
    </row>
    <row r="516" spans="1:43"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</row>
    <row r="517" spans="1:43" s="1" customFormat="1">
      <c r="C517" s="18"/>
      <c r="H517" s="23"/>
      <c r="I517" s="23"/>
      <c r="J517" s="23"/>
      <c r="K517" s="23"/>
      <c r="U517" s="1515"/>
      <c r="V517" s="1515"/>
      <c r="W517" s="1515"/>
      <c r="X517" s="1515"/>
      <c r="Y517" s="1515"/>
      <c r="Z517" s="1515"/>
      <c r="AA517" s="1515"/>
      <c r="AI517" s="415"/>
      <c r="AK517" s="1515"/>
      <c r="AL517" s="1515"/>
      <c r="AM517" s="1515"/>
      <c r="AN517" s="1515"/>
      <c r="AO517" s="1515"/>
      <c r="AP517" s="1515"/>
      <c r="AQ517" s="1515"/>
    </row>
    <row r="518" spans="1:43">
      <c r="D518" s="101"/>
      <c r="H518" s="94"/>
      <c r="I518" s="94"/>
      <c r="J518" s="94"/>
      <c r="K518" s="94"/>
    </row>
    <row r="520" spans="1:43" s="96" customForma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U520" s="1515"/>
      <c r="V520" s="1515"/>
      <c r="W520" s="1515"/>
      <c r="X520" s="1515"/>
      <c r="Y520" s="1515"/>
      <c r="Z520" s="1515"/>
      <c r="AA520" s="1515"/>
      <c r="AI520" s="415"/>
      <c r="AK520" s="1515"/>
      <c r="AL520" s="1515"/>
      <c r="AM520" s="1515"/>
      <c r="AN520" s="1515"/>
      <c r="AO520" s="1515"/>
      <c r="AP520" s="1515"/>
      <c r="AQ520" s="1515"/>
    </row>
    <row r="521" spans="1:43" s="1" customFormat="1">
      <c r="U521" s="1515"/>
      <c r="V521" s="1515"/>
      <c r="W521" s="1515"/>
      <c r="X521" s="1515"/>
      <c r="Y521" s="1515"/>
      <c r="Z521" s="1515"/>
      <c r="AA521" s="1515"/>
      <c r="AI521" s="415"/>
      <c r="AK521" s="1515"/>
      <c r="AL521" s="1515"/>
      <c r="AM521" s="1515"/>
      <c r="AN521" s="1515"/>
      <c r="AO521" s="1515"/>
      <c r="AP521" s="1515"/>
      <c r="AQ521" s="1515"/>
    </row>
    <row r="522" spans="1:43" s="96" customForma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U522" s="1515"/>
      <c r="V522" s="1515"/>
      <c r="W522" s="1515"/>
      <c r="X522" s="1515"/>
      <c r="Y522" s="1515"/>
      <c r="Z522" s="1515"/>
      <c r="AA522" s="1515"/>
      <c r="AI522" s="415"/>
      <c r="AK522" s="1515"/>
      <c r="AL522" s="1515"/>
      <c r="AM522" s="1515"/>
      <c r="AN522" s="1515"/>
      <c r="AO522" s="1515"/>
      <c r="AP522" s="1515"/>
      <c r="AQ522" s="1515"/>
    </row>
    <row r="523" spans="1:43">
      <c r="H523" s="20"/>
      <c r="I523" s="20"/>
      <c r="J523" s="20"/>
      <c r="K523" s="21"/>
    </row>
    <row r="524" spans="1:43">
      <c r="H524" s="20"/>
      <c r="I524" s="20"/>
      <c r="J524" s="20"/>
      <c r="K524" s="21"/>
    </row>
    <row r="525" spans="1:43">
      <c r="C525" s="99"/>
      <c r="E525" s="99"/>
      <c r="F525" s="99"/>
      <c r="G525" s="99"/>
      <c r="H525" s="20"/>
      <c r="I525" s="20"/>
      <c r="J525" s="20"/>
      <c r="K525" s="21"/>
      <c r="L525" s="99"/>
      <c r="M525" s="99"/>
      <c r="N525" s="99"/>
      <c r="O525" s="99"/>
      <c r="P525" s="99"/>
      <c r="Q525" s="99"/>
      <c r="R525" s="99"/>
      <c r="S525" s="99"/>
    </row>
    <row r="526" spans="1:43">
      <c r="C526" s="99"/>
      <c r="E526" s="99"/>
      <c r="F526" s="99"/>
      <c r="G526" s="99"/>
      <c r="H526" s="20"/>
      <c r="I526" s="20"/>
      <c r="J526" s="20"/>
      <c r="K526" s="21"/>
      <c r="L526" s="99"/>
      <c r="M526" s="99"/>
      <c r="N526" s="99"/>
      <c r="O526" s="99"/>
      <c r="P526" s="99"/>
      <c r="Q526" s="99"/>
      <c r="R526" s="99"/>
      <c r="S526" s="99"/>
    </row>
    <row r="527" spans="1:43">
      <c r="C527" s="101"/>
      <c r="E527" s="101"/>
      <c r="F527" s="101"/>
      <c r="G527" s="101"/>
      <c r="H527" s="102"/>
      <c r="I527" s="102"/>
      <c r="J527" s="102"/>
      <c r="K527" s="102"/>
      <c r="N527" s="101"/>
      <c r="O527" s="101"/>
      <c r="P527" s="101"/>
      <c r="Q527" s="101"/>
      <c r="R527" s="101"/>
      <c r="S527" s="101"/>
    </row>
    <row r="528" spans="1:43">
      <c r="H528" s="21"/>
      <c r="I528" s="21"/>
      <c r="J528" s="21"/>
      <c r="K528" s="21"/>
    </row>
    <row r="529" spans="3:43" s="99" customFormat="1">
      <c r="H529" s="21"/>
      <c r="I529" s="21"/>
      <c r="J529" s="21"/>
      <c r="K529" s="21"/>
      <c r="U529" s="1511"/>
      <c r="V529" s="1511"/>
      <c r="W529" s="1511"/>
      <c r="X529" s="1511"/>
      <c r="Y529" s="1511"/>
      <c r="Z529" s="1511"/>
      <c r="AA529" s="1511"/>
      <c r="AI529" s="414"/>
      <c r="AK529" s="1511"/>
      <c r="AL529" s="1511"/>
      <c r="AM529" s="1511"/>
      <c r="AN529" s="1511"/>
      <c r="AO529" s="1511"/>
      <c r="AP529" s="1511"/>
      <c r="AQ529" s="1511"/>
    </row>
    <row r="530" spans="3:43" s="99" customFormat="1">
      <c r="U530" s="1511"/>
      <c r="V530" s="1511"/>
      <c r="W530" s="1511"/>
      <c r="X530" s="1511"/>
      <c r="Y530" s="1511"/>
      <c r="Z530" s="1511"/>
      <c r="AA530" s="1511"/>
      <c r="AI530" s="414"/>
      <c r="AK530" s="1511"/>
      <c r="AL530" s="1511"/>
      <c r="AM530" s="1511"/>
      <c r="AN530" s="1511"/>
      <c r="AO530" s="1511"/>
      <c r="AP530" s="1511"/>
      <c r="AQ530" s="1511"/>
    </row>
    <row r="531" spans="3:43" s="99" customFormat="1">
      <c r="U531" s="1511"/>
      <c r="V531" s="1511"/>
      <c r="W531" s="1511"/>
      <c r="X531" s="1511"/>
      <c r="Y531" s="1511"/>
      <c r="Z531" s="1511"/>
      <c r="AA531" s="1511"/>
      <c r="AI531" s="414"/>
      <c r="AK531" s="1511"/>
      <c r="AL531" s="1511"/>
      <c r="AM531" s="1511"/>
      <c r="AN531" s="1511"/>
      <c r="AO531" s="1511"/>
      <c r="AP531" s="1511"/>
      <c r="AQ531" s="1511"/>
    </row>
    <row r="532" spans="3:43" s="99" customFormat="1">
      <c r="D532" s="97"/>
      <c r="H532" s="21"/>
      <c r="I532" s="21"/>
      <c r="J532" s="21"/>
      <c r="K532" s="21"/>
      <c r="U532" s="1511"/>
      <c r="V532" s="1511"/>
      <c r="W532" s="1511"/>
      <c r="X532" s="1511"/>
      <c r="Y532" s="1511"/>
      <c r="Z532" s="1511"/>
      <c r="AA532" s="1511"/>
      <c r="AI532" s="414"/>
      <c r="AK532" s="1511"/>
      <c r="AL532" s="1511"/>
      <c r="AM532" s="1511"/>
      <c r="AN532" s="1511"/>
      <c r="AO532" s="1511"/>
      <c r="AP532" s="1511"/>
      <c r="AQ532" s="1511"/>
    </row>
    <row r="533" spans="3:43" s="99" customFormat="1">
      <c r="U533" s="1511"/>
      <c r="V533" s="1511"/>
      <c r="W533" s="1511"/>
      <c r="X533" s="1511"/>
      <c r="Y533" s="1511"/>
      <c r="Z533" s="1511"/>
      <c r="AA533" s="1511"/>
      <c r="AI533" s="414"/>
      <c r="AK533" s="1511"/>
      <c r="AL533" s="1511"/>
      <c r="AM533" s="1511"/>
      <c r="AN533" s="1511"/>
      <c r="AO533" s="1511"/>
      <c r="AP533" s="1511"/>
      <c r="AQ533" s="1511"/>
    </row>
    <row r="534" spans="3:43" s="99" customFormat="1">
      <c r="U534" s="1511"/>
      <c r="V534" s="1511"/>
      <c r="W534" s="1511"/>
      <c r="X534" s="1511"/>
      <c r="Y534" s="1511"/>
      <c r="Z534" s="1511"/>
      <c r="AA534" s="1511"/>
      <c r="AI534" s="414"/>
      <c r="AK534" s="1511"/>
      <c r="AL534" s="1511"/>
      <c r="AM534" s="1511"/>
      <c r="AN534" s="1511"/>
      <c r="AO534" s="1511"/>
      <c r="AP534" s="1511"/>
      <c r="AQ534" s="1511"/>
    </row>
    <row r="535" spans="3:43">
      <c r="H535" s="20"/>
      <c r="I535" s="20"/>
      <c r="J535" s="20"/>
      <c r="K535" s="20"/>
    </row>
    <row r="536" spans="3:43">
      <c r="H536" s="21"/>
      <c r="I536" s="21"/>
      <c r="J536" s="21"/>
      <c r="K536" s="21"/>
    </row>
    <row r="537" spans="3:43">
      <c r="H537" s="21"/>
      <c r="I537" s="21"/>
      <c r="J537" s="21"/>
      <c r="K537" s="21"/>
    </row>
    <row r="538" spans="3:43">
      <c r="D538" s="99"/>
      <c r="H538" s="23"/>
      <c r="I538" s="23"/>
      <c r="J538" s="23"/>
      <c r="K538" s="23"/>
    </row>
    <row r="539" spans="3:43"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</row>
    <row r="540" spans="3:43" s="1" customFormat="1">
      <c r="C540" s="18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U540" s="1515"/>
      <c r="V540" s="1515"/>
      <c r="W540" s="1515"/>
      <c r="X540" s="1515"/>
      <c r="Y540" s="1515"/>
      <c r="Z540" s="1515"/>
      <c r="AA540" s="1515"/>
      <c r="AI540" s="415"/>
      <c r="AK540" s="1515"/>
      <c r="AL540" s="1515"/>
      <c r="AM540" s="1515"/>
      <c r="AN540" s="1515"/>
      <c r="AO540" s="1515"/>
      <c r="AP540" s="1515"/>
      <c r="AQ540" s="1515"/>
    </row>
    <row r="541" spans="3:43" s="1" customFormat="1">
      <c r="D541" s="18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U541" s="1515"/>
      <c r="V541" s="1515"/>
      <c r="W541" s="1515"/>
      <c r="X541" s="1515"/>
      <c r="Y541" s="1515"/>
      <c r="Z541" s="1515"/>
      <c r="AA541" s="1515"/>
      <c r="AI541" s="415"/>
      <c r="AK541" s="1515"/>
      <c r="AL541" s="1515"/>
      <c r="AM541" s="1515"/>
      <c r="AN541" s="1515"/>
      <c r="AO541" s="1515"/>
      <c r="AP541" s="1515"/>
      <c r="AQ541" s="1515"/>
    </row>
    <row r="542" spans="3:43" s="1" customFormat="1">
      <c r="D542" s="22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U542" s="1515"/>
      <c r="V542" s="1515"/>
      <c r="W542" s="1515"/>
      <c r="X542" s="1515"/>
      <c r="Y542" s="1515"/>
      <c r="Z542" s="1515"/>
      <c r="AA542" s="1515"/>
      <c r="AI542" s="415"/>
      <c r="AK542" s="1515"/>
      <c r="AL542" s="1515"/>
      <c r="AM542" s="1515"/>
      <c r="AN542" s="1515"/>
      <c r="AO542" s="1515"/>
      <c r="AP542" s="1515"/>
      <c r="AQ542" s="1515"/>
    </row>
    <row r="543" spans="3:43">
      <c r="H543" s="21"/>
      <c r="I543" s="21"/>
      <c r="J543" s="21"/>
      <c r="K543" s="21"/>
      <c r="L543" s="102"/>
      <c r="M543" s="102"/>
      <c r="N543" s="102"/>
      <c r="O543" s="102"/>
      <c r="P543" s="102"/>
      <c r="Q543" s="102"/>
      <c r="R543" s="102"/>
      <c r="S543" s="102"/>
    </row>
    <row r="544" spans="3:43">
      <c r="H544" s="21"/>
      <c r="I544" s="21"/>
      <c r="J544" s="21"/>
      <c r="K544" s="21"/>
    </row>
    <row r="545" spans="1:43" s="101" customFormat="1">
      <c r="C545" s="104"/>
      <c r="H545" s="94"/>
      <c r="I545" s="94"/>
      <c r="J545" s="94"/>
      <c r="K545" s="94"/>
      <c r="U545" s="1512"/>
      <c r="V545" s="1512"/>
      <c r="W545" s="1512"/>
      <c r="X545" s="1512"/>
      <c r="Y545" s="1512"/>
      <c r="Z545" s="1512"/>
      <c r="AA545" s="1512"/>
      <c r="AI545" s="473"/>
      <c r="AK545" s="1512"/>
      <c r="AL545" s="1512"/>
      <c r="AM545" s="1512"/>
      <c r="AN545" s="1512"/>
      <c r="AO545" s="1512"/>
      <c r="AP545" s="1512"/>
      <c r="AQ545" s="1512"/>
    </row>
    <row r="546" spans="1:43">
      <c r="H546" s="21"/>
      <c r="I546" s="21"/>
      <c r="J546" s="21"/>
      <c r="K546" s="21"/>
    </row>
    <row r="547" spans="1:43" s="101" customFormat="1">
      <c r="H547" s="94"/>
      <c r="I547" s="94"/>
      <c r="J547" s="94"/>
      <c r="K547" s="94"/>
      <c r="U547" s="1512"/>
      <c r="V547" s="1512"/>
      <c r="W547" s="1512"/>
      <c r="X547" s="1512"/>
      <c r="Y547" s="1512"/>
      <c r="Z547" s="1512"/>
      <c r="AA547" s="1512"/>
      <c r="AI547" s="473"/>
      <c r="AK547" s="1512"/>
      <c r="AL547" s="1512"/>
      <c r="AM547" s="1512"/>
      <c r="AN547" s="1512"/>
      <c r="AO547" s="1512"/>
      <c r="AP547" s="1512"/>
      <c r="AQ547" s="1512"/>
    </row>
    <row r="548" spans="1:43">
      <c r="H548" s="21"/>
      <c r="I548" s="21"/>
      <c r="J548" s="21"/>
      <c r="K548" s="21"/>
    </row>
    <row r="549" spans="1:43">
      <c r="H549" s="21"/>
      <c r="I549" s="21"/>
      <c r="J549" s="21"/>
      <c r="K549" s="21"/>
    </row>
    <row r="550" spans="1:43" s="1" customFormat="1">
      <c r="C550" s="18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U550" s="1515"/>
      <c r="V550" s="1515"/>
      <c r="W550" s="1515"/>
      <c r="X550" s="1515"/>
      <c r="Y550" s="1515"/>
      <c r="Z550" s="1515"/>
      <c r="AA550" s="1515"/>
      <c r="AI550" s="415"/>
      <c r="AK550" s="1515"/>
      <c r="AL550" s="1515"/>
      <c r="AM550" s="1515"/>
      <c r="AN550" s="1515"/>
      <c r="AO550" s="1515"/>
      <c r="AP550" s="1515"/>
      <c r="AQ550" s="1515"/>
    </row>
    <row r="552" spans="1:43" s="1" customFormat="1">
      <c r="C552" s="18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U552" s="1515"/>
      <c r="V552" s="1515"/>
      <c r="W552" s="1515"/>
      <c r="X552" s="1515"/>
      <c r="Y552" s="1515"/>
      <c r="Z552" s="1515"/>
      <c r="AA552" s="1515"/>
      <c r="AI552" s="415"/>
      <c r="AK552" s="1515"/>
      <c r="AL552" s="1515"/>
      <c r="AM552" s="1515"/>
      <c r="AN552" s="1515"/>
      <c r="AO552" s="1515"/>
      <c r="AP552" s="1515"/>
      <c r="AQ552" s="1515"/>
    </row>
    <row r="553" spans="1:43" s="1" customFormat="1">
      <c r="D553" s="22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U553" s="1515"/>
      <c r="V553" s="1515"/>
      <c r="W553" s="1515"/>
      <c r="X553" s="1515"/>
      <c r="Y553" s="1515"/>
      <c r="Z553" s="1515"/>
      <c r="AA553" s="1515"/>
      <c r="AI553" s="415"/>
      <c r="AK553" s="1515"/>
      <c r="AL553" s="1515"/>
      <c r="AM553" s="1515"/>
      <c r="AN553" s="1515"/>
      <c r="AO553" s="1515"/>
      <c r="AP553" s="1515"/>
      <c r="AQ553" s="1515"/>
    </row>
    <row r="554" spans="1:43">
      <c r="C554" s="101"/>
      <c r="D554" s="101"/>
      <c r="E554" s="101"/>
      <c r="F554" s="101"/>
      <c r="G554" s="101"/>
      <c r="H554" s="103"/>
      <c r="I554" s="103"/>
      <c r="J554" s="103"/>
      <c r="K554" s="103"/>
      <c r="L554" s="101"/>
      <c r="M554" s="101"/>
      <c r="N554" s="101"/>
      <c r="O554" s="101"/>
      <c r="P554" s="101"/>
      <c r="Q554" s="101"/>
      <c r="R554" s="101"/>
      <c r="S554" s="101"/>
    </row>
    <row r="555" spans="1:43" collapsed="1"/>
    <row r="556" spans="1:43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</row>
    <row r="558" spans="1:43">
      <c r="C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</row>
    <row r="559" spans="1:43" s="101" customFormat="1">
      <c r="C559" s="104"/>
      <c r="H559" s="104"/>
      <c r="U559" s="1512"/>
      <c r="V559" s="1512"/>
      <c r="W559" s="1512"/>
      <c r="X559" s="1512"/>
      <c r="Y559" s="1512"/>
      <c r="Z559" s="1512"/>
      <c r="AA559" s="1512"/>
      <c r="AI559" s="473"/>
      <c r="AK559" s="1512"/>
      <c r="AL559" s="1512"/>
      <c r="AM559" s="1512"/>
      <c r="AN559" s="1512"/>
      <c r="AO559" s="1512"/>
      <c r="AP559" s="1512"/>
      <c r="AQ559" s="1512"/>
    </row>
    <row r="560" spans="1:43" s="101" customFormat="1">
      <c r="C560" s="104"/>
      <c r="H560" s="104"/>
      <c r="I560" s="104"/>
      <c r="J560" s="104"/>
      <c r="K560" s="104"/>
      <c r="U560" s="1512"/>
      <c r="V560" s="1512"/>
      <c r="W560" s="1512"/>
      <c r="X560" s="1512"/>
      <c r="Y560" s="1512"/>
      <c r="Z560" s="1512"/>
      <c r="AA560" s="1512"/>
      <c r="AI560" s="473"/>
      <c r="AK560" s="1512"/>
      <c r="AL560" s="1512"/>
      <c r="AM560" s="1512"/>
      <c r="AN560" s="1512"/>
      <c r="AO560" s="1512"/>
      <c r="AP560" s="1512"/>
      <c r="AQ560" s="1512"/>
    </row>
    <row r="562" spans="1:43"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</row>
    <row r="563" spans="1:43" s="101" customFormat="1">
      <c r="U563" s="1512"/>
      <c r="V563" s="1512"/>
      <c r="W563" s="1512"/>
      <c r="X563" s="1512"/>
      <c r="Y563" s="1512"/>
      <c r="Z563" s="1512"/>
      <c r="AA563" s="1512"/>
      <c r="AI563" s="473"/>
      <c r="AK563" s="1512"/>
      <c r="AL563" s="1512"/>
      <c r="AM563" s="1512"/>
      <c r="AN563" s="1512"/>
      <c r="AO563" s="1512"/>
      <c r="AP563" s="1512"/>
      <c r="AQ563" s="1512"/>
    </row>
    <row r="566" spans="1:43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</row>
    <row r="568" spans="1:43" s="99" customFormat="1">
      <c r="U568" s="1511"/>
      <c r="V568" s="1511"/>
      <c r="W568" s="1511"/>
      <c r="X568" s="1511"/>
      <c r="Y568" s="1511"/>
      <c r="Z568" s="1511"/>
      <c r="AA568" s="1511"/>
      <c r="AI568" s="414"/>
      <c r="AK568" s="1511"/>
      <c r="AL568" s="1511"/>
      <c r="AM568" s="1511"/>
      <c r="AN568" s="1511"/>
      <c r="AO568" s="1511"/>
      <c r="AP568" s="1511"/>
      <c r="AQ568" s="1511"/>
    </row>
    <row r="574" spans="1:43"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</row>
    <row r="575" spans="1:43"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</row>
    <row r="576" spans="1:43"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</row>
    <row r="577" spans="1:43"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</row>
    <row r="578" spans="1:43"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</row>
    <row r="579" spans="1:43"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</row>
    <row r="580" spans="1:43">
      <c r="C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</row>
    <row r="587" spans="1:43" ht="14.5" customHeight="1"/>
    <row r="588" spans="1:43" s="99" customFormat="1">
      <c r="U588" s="1511"/>
      <c r="V588" s="1511"/>
      <c r="W588" s="1511"/>
      <c r="X588" s="1511"/>
      <c r="Y588" s="1511"/>
      <c r="Z588" s="1511"/>
      <c r="AA588" s="1511"/>
      <c r="AI588" s="414"/>
      <c r="AK588" s="1511"/>
      <c r="AL588" s="1511"/>
      <c r="AM588" s="1511"/>
      <c r="AN588" s="1511"/>
      <c r="AO588" s="1511"/>
      <c r="AP588" s="1511"/>
      <c r="AQ588" s="1511"/>
    </row>
    <row r="589" spans="1:43" s="101" customFormat="1">
      <c r="H589" s="103"/>
      <c r="I589" s="103"/>
      <c r="J589" s="103"/>
      <c r="K589" s="103"/>
      <c r="U589" s="1512"/>
      <c r="V589" s="1512"/>
      <c r="W589" s="1512"/>
      <c r="X589" s="1512"/>
      <c r="Y589" s="1512"/>
      <c r="Z589" s="1512"/>
      <c r="AA589" s="1512"/>
      <c r="AI589" s="473"/>
      <c r="AK589" s="1512"/>
      <c r="AL589" s="1512"/>
      <c r="AM589" s="1512"/>
      <c r="AN589" s="1512"/>
      <c r="AO589" s="1512"/>
      <c r="AP589" s="1512"/>
      <c r="AQ589" s="1512"/>
    </row>
    <row r="591" spans="1:43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</row>
    <row r="595" spans="1:43" s="99" customFormat="1">
      <c r="U595" s="1511"/>
      <c r="V595" s="1511"/>
      <c r="W595" s="1511"/>
      <c r="X595" s="1511"/>
      <c r="Y595" s="1511"/>
      <c r="Z595" s="1511"/>
      <c r="AA595" s="1511"/>
      <c r="AI595" s="414"/>
      <c r="AK595" s="1511"/>
      <c r="AL595" s="1511"/>
      <c r="AM595" s="1511"/>
      <c r="AN595" s="1511"/>
      <c r="AO595" s="1511"/>
      <c r="AP595" s="1511"/>
      <c r="AQ595" s="1511"/>
    </row>
    <row r="597" spans="1:43" ht="14.5" customHeight="1"/>
    <row r="598" spans="1:43" s="99" customFormat="1">
      <c r="U598" s="1511"/>
      <c r="V598" s="1511"/>
      <c r="W598" s="1511"/>
      <c r="X598" s="1511"/>
      <c r="Y598" s="1511"/>
      <c r="Z598" s="1511"/>
      <c r="AA598" s="1511"/>
      <c r="AI598" s="414"/>
      <c r="AK598" s="1511"/>
      <c r="AL598" s="1511"/>
      <c r="AM598" s="1511"/>
      <c r="AN598" s="1511"/>
      <c r="AO598" s="1511"/>
      <c r="AP598" s="1511"/>
      <c r="AQ598" s="1511"/>
    </row>
    <row r="599" spans="1:43" s="101" customFormat="1"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U599" s="1512"/>
      <c r="V599" s="1512"/>
      <c r="W599" s="1512"/>
      <c r="X599" s="1512"/>
      <c r="Y599" s="1512"/>
      <c r="Z599" s="1512"/>
      <c r="AA599" s="1512"/>
      <c r="AI599" s="473"/>
      <c r="AK599" s="1512"/>
      <c r="AL599" s="1512"/>
      <c r="AM599" s="1512"/>
      <c r="AN599" s="1512"/>
      <c r="AO599" s="1512"/>
      <c r="AP599" s="1512"/>
      <c r="AQ599" s="1512"/>
    </row>
    <row r="601" spans="1:43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</row>
    <row r="603" spans="1:43" s="99" customFormat="1">
      <c r="U603" s="1511"/>
      <c r="V603" s="1511"/>
      <c r="W603" s="1511"/>
      <c r="X603" s="1511"/>
      <c r="Y603" s="1511"/>
      <c r="Z603" s="1511"/>
      <c r="AA603" s="1511"/>
      <c r="AI603" s="414"/>
      <c r="AK603" s="1511"/>
      <c r="AL603" s="1511"/>
      <c r="AM603" s="1511"/>
      <c r="AN603" s="1511"/>
      <c r="AO603" s="1511"/>
      <c r="AP603" s="1511"/>
      <c r="AQ603" s="1511"/>
    </row>
    <row r="604" spans="1:43" s="101" customFormat="1">
      <c r="U604" s="1512"/>
      <c r="V604" s="1512"/>
      <c r="W604" s="1512"/>
      <c r="X604" s="1512"/>
      <c r="Y604" s="1512"/>
      <c r="Z604" s="1512"/>
      <c r="AA604" s="1512"/>
      <c r="AI604" s="473"/>
      <c r="AK604" s="1512"/>
      <c r="AL604" s="1512"/>
      <c r="AM604" s="1512"/>
      <c r="AN604" s="1512"/>
      <c r="AO604" s="1512"/>
      <c r="AP604" s="1512"/>
      <c r="AQ604" s="1512"/>
    </row>
    <row r="606" spans="1:43" ht="14.5" customHeight="1"/>
    <row r="607" spans="1:43" s="99" customFormat="1">
      <c r="U607" s="1511"/>
      <c r="V607" s="1511"/>
      <c r="W607" s="1511"/>
      <c r="X607" s="1511"/>
      <c r="Y607" s="1511"/>
      <c r="Z607" s="1511"/>
      <c r="AA607" s="1511"/>
      <c r="AI607" s="414"/>
      <c r="AK607" s="1511"/>
      <c r="AL607" s="1511"/>
      <c r="AM607" s="1511"/>
      <c r="AN607" s="1511"/>
      <c r="AO607" s="1511"/>
      <c r="AP607" s="1511"/>
      <c r="AQ607" s="1511"/>
    </row>
    <row r="608" spans="1:43" s="101" customFormat="1"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U608" s="1512"/>
      <c r="V608" s="1512"/>
      <c r="W608" s="1512"/>
      <c r="X608" s="1512"/>
      <c r="Y608" s="1512"/>
      <c r="Z608" s="1512"/>
      <c r="AA608" s="1512"/>
      <c r="AI608" s="473"/>
      <c r="AK608" s="1512"/>
      <c r="AL608" s="1512"/>
      <c r="AM608" s="1512"/>
      <c r="AN608" s="1512"/>
      <c r="AO608" s="1512"/>
      <c r="AP608" s="1512"/>
      <c r="AQ608" s="1512"/>
    </row>
    <row r="610" spans="1:43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</row>
    <row r="612" spans="1:43" s="99" customFormat="1">
      <c r="U612" s="1511"/>
      <c r="V612" s="1511"/>
      <c r="W612" s="1511"/>
      <c r="X612" s="1511"/>
      <c r="Y612" s="1511"/>
      <c r="Z612" s="1511"/>
      <c r="AA612" s="1511"/>
      <c r="AI612" s="414"/>
      <c r="AK612" s="1511"/>
      <c r="AL612" s="1511"/>
      <c r="AM612" s="1511"/>
      <c r="AN612" s="1511"/>
      <c r="AO612" s="1511"/>
      <c r="AP612" s="1511"/>
      <c r="AQ612" s="1511"/>
    </row>
    <row r="613" spans="1:43" s="101" customFormat="1">
      <c r="U613" s="1512"/>
      <c r="V613" s="1512"/>
      <c r="W613" s="1512"/>
      <c r="X613" s="1512"/>
      <c r="Y613" s="1512"/>
      <c r="Z613" s="1512"/>
      <c r="AA613" s="1512"/>
      <c r="AI613" s="473"/>
      <c r="AK613" s="1512"/>
      <c r="AL613" s="1512"/>
      <c r="AM613" s="1512"/>
      <c r="AN613" s="1512"/>
      <c r="AO613" s="1512"/>
      <c r="AP613" s="1512"/>
      <c r="AQ613" s="1512"/>
    </row>
    <row r="615" spans="1:43" ht="14.5" customHeight="1"/>
    <row r="616" spans="1:43" s="99" customFormat="1">
      <c r="U616" s="1511"/>
      <c r="V616" s="1511"/>
      <c r="W616" s="1511"/>
      <c r="X616" s="1511"/>
      <c r="Y616" s="1511"/>
      <c r="Z616" s="1511"/>
      <c r="AA616" s="1511"/>
      <c r="AI616" s="414"/>
      <c r="AK616" s="1511"/>
      <c r="AL616" s="1511"/>
      <c r="AM616" s="1511"/>
      <c r="AN616" s="1511"/>
      <c r="AO616" s="1511"/>
      <c r="AP616" s="1511"/>
      <c r="AQ616" s="1511"/>
    </row>
    <row r="617" spans="1:43" s="101" customFormat="1"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U617" s="1512"/>
      <c r="V617" s="1512"/>
      <c r="W617" s="1512"/>
      <c r="X617" s="1512"/>
      <c r="Y617" s="1512"/>
      <c r="Z617" s="1512"/>
      <c r="AA617" s="1512"/>
      <c r="AI617" s="473"/>
      <c r="AK617" s="1512"/>
      <c r="AL617" s="1512"/>
      <c r="AM617" s="1512"/>
      <c r="AN617" s="1512"/>
      <c r="AO617" s="1512"/>
      <c r="AP617" s="1512"/>
      <c r="AQ617" s="1512"/>
    </row>
    <row r="619" spans="1:43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</row>
    <row r="621" spans="1:43">
      <c r="C621" s="99"/>
      <c r="H621" s="99"/>
      <c r="I621" s="99"/>
      <c r="J621" s="99"/>
      <c r="K621" s="99"/>
    </row>
    <row r="626" spans="3:11">
      <c r="C626" s="99"/>
      <c r="H626" s="99"/>
      <c r="I626" s="99"/>
      <c r="J626" s="99"/>
      <c r="K626" s="99"/>
    </row>
    <row r="633" spans="3:11">
      <c r="C633" s="99"/>
      <c r="H633" s="99"/>
      <c r="I633" s="99"/>
      <c r="J633" s="99"/>
      <c r="K633" s="99"/>
    </row>
    <row r="636" spans="3:11">
      <c r="C636" s="99"/>
      <c r="H636" s="99"/>
      <c r="I636" s="99"/>
      <c r="J636" s="99"/>
      <c r="K636" s="99"/>
    </row>
    <row r="639" spans="3:11">
      <c r="C639" s="99"/>
      <c r="H639" s="99"/>
      <c r="I639" s="99"/>
      <c r="J639" s="99"/>
      <c r="K639" s="99"/>
    </row>
    <row r="641" spans="1:43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</row>
    <row r="646" spans="1:43" s="101" customFormat="1">
      <c r="U646" s="1512"/>
      <c r="V646" s="1512"/>
      <c r="W646" s="1512"/>
      <c r="X646" s="1512"/>
      <c r="Y646" s="1512"/>
      <c r="Z646" s="1512"/>
      <c r="AA646" s="1512"/>
      <c r="AI646" s="473"/>
      <c r="AK646" s="1512"/>
      <c r="AL646" s="1512"/>
      <c r="AM646" s="1512"/>
      <c r="AN646" s="1512"/>
      <c r="AO646" s="1512"/>
      <c r="AP646" s="1512"/>
      <c r="AQ646" s="1512"/>
    </row>
    <row r="648" spans="1:43">
      <c r="C648" s="99"/>
      <c r="H648" s="99"/>
      <c r="I648" s="99"/>
      <c r="J648" s="99"/>
      <c r="K648" s="99"/>
    </row>
    <row r="650" spans="1:43">
      <c r="D650" s="105"/>
    </row>
    <row r="652" spans="1:43" s="99" customFormat="1">
      <c r="U652" s="1511"/>
      <c r="V652" s="1511"/>
      <c r="W652" s="1511"/>
      <c r="X652" s="1511"/>
      <c r="Y652" s="1511"/>
      <c r="Z652" s="1511"/>
      <c r="AA652" s="1511"/>
      <c r="AI652" s="414"/>
      <c r="AK652" s="1511"/>
      <c r="AL652" s="1511"/>
      <c r="AM652" s="1511"/>
      <c r="AN652" s="1511"/>
      <c r="AO652" s="1511"/>
      <c r="AP652" s="1511"/>
      <c r="AQ652" s="1511"/>
    </row>
    <row r="654" spans="1:43">
      <c r="D654" s="105"/>
    </row>
    <row r="656" spans="1:43">
      <c r="D656" s="99"/>
      <c r="H656" s="99"/>
      <c r="I656" s="99"/>
      <c r="J656" s="99"/>
      <c r="K656" s="99"/>
    </row>
    <row r="660" spans="3:43">
      <c r="D660" s="99"/>
      <c r="H660" s="99"/>
      <c r="I660" s="99"/>
      <c r="J660" s="99"/>
      <c r="K660" s="99"/>
    </row>
    <row r="666" spans="3:43">
      <c r="D666" s="99"/>
      <c r="H666" s="99"/>
      <c r="I666" s="99"/>
      <c r="J666" s="99"/>
      <c r="K666" s="99"/>
    </row>
    <row r="668" spans="3:43">
      <c r="C668" s="99"/>
      <c r="H668" s="99"/>
      <c r="I668" s="99"/>
      <c r="J668" s="99"/>
      <c r="K668" s="99"/>
    </row>
    <row r="669" spans="3:43" s="101" customFormat="1">
      <c r="U669" s="1512"/>
      <c r="V669" s="1512"/>
      <c r="W669" s="1512"/>
      <c r="X669" s="1512"/>
      <c r="Y669" s="1512"/>
      <c r="Z669" s="1512"/>
      <c r="AA669" s="1512"/>
      <c r="AI669" s="473"/>
      <c r="AK669" s="1512"/>
      <c r="AL669" s="1512"/>
      <c r="AM669" s="1512"/>
      <c r="AN669" s="1512"/>
      <c r="AO669" s="1512"/>
      <c r="AP669" s="1512"/>
      <c r="AQ669" s="1512"/>
    </row>
    <row r="671" spans="3:43">
      <c r="D671" s="105"/>
    </row>
    <row r="673" spans="1:43">
      <c r="D673" s="99"/>
      <c r="H673" s="99"/>
      <c r="I673" s="99"/>
      <c r="J673" s="99"/>
      <c r="K673" s="99"/>
    </row>
    <row r="675" spans="1:43">
      <c r="D675" s="105"/>
    </row>
    <row r="676" spans="1:43">
      <c r="H676" s="99"/>
      <c r="I676" s="99"/>
      <c r="J676" s="99"/>
      <c r="K676" s="99"/>
    </row>
    <row r="679" spans="1:43">
      <c r="H679" s="99"/>
      <c r="I679" s="99"/>
      <c r="J679" s="99"/>
      <c r="K679" s="99"/>
    </row>
    <row r="682" spans="1:43">
      <c r="D682" s="99"/>
      <c r="H682" s="99"/>
      <c r="I682" s="99"/>
      <c r="J682" s="99"/>
      <c r="K682" s="99"/>
    </row>
    <row r="684" spans="1:43">
      <c r="C684" s="99"/>
      <c r="H684" s="99"/>
      <c r="I684" s="99"/>
      <c r="J684" s="99"/>
      <c r="K684" s="99"/>
    </row>
    <row r="685" spans="1:43" s="101" customFormat="1">
      <c r="U685" s="1512"/>
      <c r="V685" s="1512"/>
      <c r="W685" s="1512"/>
      <c r="X685" s="1512"/>
      <c r="Y685" s="1512"/>
      <c r="Z685" s="1512"/>
      <c r="AA685" s="1512"/>
      <c r="AI685" s="473"/>
      <c r="AK685" s="1512"/>
      <c r="AL685" s="1512"/>
      <c r="AM685" s="1512"/>
      <c r="AN685" s="1512"/>
      <c r="AO685" s="1512"/>
      <c r="AP685" s="1512"/>
      <c r="AQ685" s="1512"/>
    </row>
    <row r="687" spans="1:43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</row>
    <row r="689" spans="1:43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</row>
    <row r="690" spans="1:43" s="99" customFormat="1">
      <c r="U690" s="1511"/>
      <c r="V690" s="1511"/>
      <c r="W690" s="1511"/>
      <c r="X690" s="1511"/>
      <c r="Y690" s="1511"/>
      <c r="Z690" s="1511"/>
      <c r="AA690" s="1511"/>
      <c r="AI690" s="414"/>
      <c r="AK690" s="1511"/>
      <c r="AL690" s="1511"/>
      <c r="AM690" s="1511"/>
      <c r="AN690" s="1511"/>
      <c r="AO690" s="1511"/>
      <c r="AP690" s="1511"/>
      <c r="AQ690" s="1511"/>
    </row>
    <row r="698" spans="1:43">
      <c r="D698" s="99"/>
      <c r="H698" s="99"/>
      <c r="I698" s="99"/>
      <c r="J698" s="99"/>
      <c r="K698" s="99"/>
    </row>
    <row r="702" spans="1:43" s="99" customFormat="1">
      <c r="U702" s="1511"/>
      <c r="V702" s="1511"/>
      <c r="W702" s="1511"/>
      <c r="X702" s="1511"/>
      <c r="Y702" s="1511"/>
      <c r="Z702" s="1511"/>
      <c r="AA702" s="1511"/>
      <c r="AI702" s="414"/>
      <c r="AK702" s="1511"/>
      <c r="AL702" s="1511"/>
      <c r="AM702" s="1511"/>
      <c r="AN702" s="1511"/>
      <c r="AO702" s="1511"/>
      <c r="AP702" s="1511"/>
      <c r="AQ702" s="1511"/>
    </row>
    <row r="705" spans="3:43" s="99" customFormat="1">
      <c r="U705" s="1511"/>
      <c r="V705" s="1511"/>
      <c r="W705" s="1511"/>
      <c r="X705" s="1511"/>
      <c r="Y705" s="1511"/>
      <c r="Z705" s="1511"/>
      <c r="AA705" s="1511"/>
      <c r="AI705" s="414"/>
      <c r="AK705" s="1511"/>
      <c r="AL705" s="1511"/>
      <c r="AM705" s="1511"/>
      <c r="AN705" s="1511"/>
      <c r="AO705" s="1511"/>
      <c r="AP705" s="1511"/>
      <c r="AQ705" s="1511"/>
    </row>
    <row r="707" spans="3:43" s="99" customFormat="1">
      <c r="U707" s="1511"/>
      <c r="V707" s="1511"/>
      <c r="W707" s="1511"/>
      <c r="X707" s="1511"/>
      <c r="Y707" s="1511"/>
      <c r="Z707" s="1511"/>
      <c r="AA707" s="1511"/>
      <c r="AI707" s="414"/>
      <c r="AK707" s="1511"/>
      <c r="AL707" s="1511"/>
      <c r="AM707" s="1511"/>
      <c r="AN707" s="1511"/>
      <c r="AO707" s="1511"/>
      <c r="AP707" s="1511"/>
      <c r="AQ707" s="1511"/>
    </row>
    <row r="711" spans="3:43" s="99" customFormat="1">
      <c r="U711" s="1511"/>
      <c r="V711" s="1511"/>
      <c r="W711" s="1511"/>
      <c r="X711" s="1511"/>
      <c r="Y711" s="1511"/>
      <c r="Z711" s="1511"/>
      <c r="AA711" s="1511"/>
      <c r="AI711" s="414"/>
      <c r="AK711" s="1511"/>
      <c r="AL711" s="1511"/>
      <c r="AM711" s="1511"/>
      <c r="AN711" s="1511"/>
      <c r="AO711" s="1511"/>
      <c r="AP711" s="1511"/>
      <c r="AQ711" s="1511"/>
    </row>
    <row r="713" spans="3:43">
      <c r="C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</row>
    <row r="714" spans="3:43">
      <c r="D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</row>
    <row r="715" spans="3:43">
      <c r="D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</row>
    <row r="716" spans="3:43">
      <c r="D716" s="101"/>
      <c r="H716" s="101"/>
      <c r="I716" s="101"/>
      <c r="J716" s="101"/>
      <c r="K716" s="101"/>
    </row>
    <row r="718" spans="3:43">
      <c r="D718" s="101"/>
      <c r="H718" s="101"/>
      <c r="I718" s="101"/>
      <c r="J718" s="101"/>
      <c r="K718" s="101"/>
    </row>
    <row r="720" spans="3:43">
      <c r="D720" s="101"/>
      <c r="H720" s="101"/>
      <c r="I720" s="101"/>
      <c r="J720" s="101"/>
      <c r="K720" s="101"/>
    </row>
    <row r="722" spans="4:43">
      <c r="D722" s="101"/>
      <c r="H722" s="101"/>
      <c r="I722" s="101"/>
      <c r="J722" s="101"/>
      <c r="K722" s="101"/>
    </row>
    <row r="724" spans="4:43">
      <c r="D724" s="101"/>
      <c r="H724" s="101"/>
      <c r="I724" s="101"/>
      <c r="J724" s="101"/>
      <c r="K724" s="101"/>
    </row>
    <row r="726" spans="4:43">
      <c r="D726" s="101"/>
      <c r="H726" s="101"/>
      <c r="I726" s="101"/>
      <c r="J726" s="101"/>
      <c r="K726" s="101"/>
    </row>
    <row r="728" spans="4:43">
      <c r="D728" s="101"/>
      <c r="H728" s="101"/>
      <c r="I728" s="101"/>
      <c r="J728" s="101"/>
      <c r="K728" s="101"/>
    </row>
    <row r="729" spans="4:43" s="99" customFormat="1">
      <c r="U729" s="1511"/>
      <c r="V729" s="1511"/>
      <c r="W729" s="1511"/>
      <c r="X729" s="1511"/>
      <c r="Y729" s="1511"/>
      <c r="Z729" s="1511"/>
      <c r="AA729" s="1511"/>
      <c r="AI729" s="414"/>
      <c r="AK729" s="1511"/>
      <c r="AL729" s="1511"/>
      <c r="AM729" s="1511"/>
      <c r="AN729" s="1511"/>
      <c r="AO729" s="1511"/>
      <c r="AP729" s="1511"/>
      <c r="AQ729" s="1511"/>
    </row>
    <row r="731" spans="4:43" s="99" customFormat="1">
      <c r="U731" s="1511"/>
      <c r="V731" s="1511"/>
      <c r="W731" s="1511"/>
      <c r="X731" s="1511"/>
      <c r="Y731" s="1511"/>
      <c r="Z731" s="1511"/>
      <c r="AA731" s="1511"/>
      <c r="AI731" s="414"/>
      <c r="AK731" s="1511"/>
      <c r="AL731" s="1511"/>
      <c r="AM731" s="1511"/>
      <c r="AN731" s="1511"/>
      <c r="AO731" s="1511"/>
      <c r="AP731" s="1511"/>
      <c r="AQ731" s="1511"/>
    </row>
    <row r="732" spans="4:43">
      <c r="D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</row>
    <row r="734" spans="4:43" s="99" customFormat="1">
      <c r="U734" s="1511"/>
      <c r="V734" s="1511"/>
      <c r="W734" s="1511"/>
      <c r="X734" s="1511"/>
      <c r="Y734" s="1511"/>
      <c r="Z734" s="1511"/>
      <c r="AA734" s="1511"/>
      <c r="AI734" s="414"/>
      <c r="AK734" s="1511"/>
      <c r="AL734" s="1511"/>
      <c r="AM734" s="1511"/>
      <c r="AN734" s="1511"/>
      <c r="AO734" s="1511"/>
      <c r="AP734" s="1511"/>
      <c r="AQ734" s="1511"/>
    </row>
  </sheetData>
  <mergeCells count="5">
    <mergeCell ref="A1:S1"/>
    <mergeCell ref="A2:S2"/>
    <mergeCell ref="U4:AA4"/>
    <mergeCell ref="AC4:AI4"/>
    <mergeCell ref="AK4:AQ4"/>
  </mergeCells>
  <phoneticPr fontId="5" type="noConversion"/>
  <conditionalFormatting sqref="H4:H5 N5 P5:S5">
    <cfRule type="containsText" dxfId="22" priority="9" operator="containsText" text="Error">
      <formula>NOT(ISERROR(SEARCH("Error",H4)))</formula>
    </cfRule>
  </conditionalFormatting>
  <conditionalFormatting sqref="J5:L5">
    <cfRule type="containsText" dxfId="21" priority="1" operator="containsText" text="Error">
      <formula>NOT(ISERROR(SEARCH("Error",J5)))</formula>
    </cfRule>
  </conditionalFormatting>
  <conditionalFormatting sqref="U5">
    <cfRule type="containsText" dxfId="20" priority="7" operator="containsText" text="Error">
      <formula>NOT(ISERROR(SEARCH("Error",U5)))</formula>
    </cfRule>
  </conditionalFormatting>
  <conditionalFormatting sqref="W5:AA5">
    <cfRule type="containsText" dxfId="19" priority="6" operator="containsText" text="Error">
      <formula>NOT(ISERROR(SEARCH("Error",W5)))</formula>
    </cfRule>
  </conditionalFormatting>
  <conditionalFormatting sqref="AC5">
    <cfRule type="containsText" dxfId="18" priority="5" operator="containsText" text="Error">
      <formula>NOT(ISERROR(SEARCH("Error",AC5)))</formula>
    </cfRule>
  </conditionalFormatting>
  <conditionalFormatting sqref="AE5:AI5">
    <cfRule type="containsText" dxfId="17" priority="4" operator="containsText" text="Error">
      <formula>NOT(ISERROR(SEARCH("Error",AE5)))</formula>
    </cfRule>
  </conditionalFormatting>
  <conditionalFormatting sqref="AK5">
    <cfRule type="containsText" dxfId="16" priority="3" operator="containsText" text="Error">
      <formula>NOT(ISERROR(SEARCH("Error",AK5)))</formula>
    </cfRule>
  </conditionalFormatting>
  <conditionalFormatting sqref="AM5:AQ5">
    <cfRule type="containsText" dxfId="15" priority="2" operator="containsText" text="Error">
      <formula>NOT(ISERROR(SEARCH("Error",AM5)))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O216"/>
  <sheetViews>
    <sheetView showGridLines="0" zoomScale="104" zoomScaleNormal="104" workbookViewId="0">
      <pane xSplit="4" ySplit="3" topLeftCell="G162" activePane="bottomRight" state="frozen"/>
      <selection activeCell="F87" sqref="F87"/>
      <selection pane="topRight" activeCell="F87" sqref="F87"/>
      <selection pane="bottomLeft" activeCell="F87" sqref="F87"/>
      <selection pane="bottomRight" activeCell="S188" sqref="S188"/>
    </sheetView>
  </sheetViews>
  <sheetFormatPr defaultColWidth="8.6640625" defaultRowHeight="14.5"/>
  <cols>
    <col min="1" max="1" width="2.1640625" style="96" customWidth="1"/>
    <col min="2" max="3" width="3.25" style="96" customWidth="1"/>
    <col min="4" max="4" width="10.4140625" style="96" customWidth="1"/>
    <col min="5" max="9" width="9.33203125" style="96" customWidth="1"/>
    <col min="10" max="15" width="8.6640625" style="96"/>
    <col min="16" max="16" width="8.83203125" style="96" bestFit="1" customWidth="1"/>
    <col min="17" max="16384" width="8.6640625" style="96"/>
  </cols>
  <sheetData>
    <row r="1" spans="1:15">
      <c r="B1" s="96" t="s">
        <v>1076</v>
      </c>
      <c r="E1" s="1155">
        <f>集团!H9</f>
        <v>6.4503000000000004</v>
      </c>
      <c r="F1" s="1155">
        <f>集团!I9</f>
        <v>6.73</v>
      </c>
      <c r="G1" s="1155">
        <f>集团!J9</f>
        <v>7.02</v>
      </c>
      <c r="H1" s="1155">
        <f>集团!L9</f>
        <v>7.1356000000000002</v>
      </c>
      <c r="I1" s="1155">
        <f>集团!M9</f>
        <v>7.1688999999999998</v>
      </c>
      <c r="J1" s="1155">
        <f>集团!N9</f>
        <v>7.1688999999999998</v>
      </c>
      <c r="K1" s="1155">
        <f>集团!O9</f>
        <v>7.1688999999999998</v>
      </c>
      <c r="L1" s="1155">
        <f>集团!P9</f>
        <v>7.1688999999999998</v>
      </c>
      <c r="M1" s="1155">
        <f>集团!Q9</f>
        <v>7.1688999999999998</v>
      </c>
      <c r="N1" s="1155">
        <f>集团!R9</f>
        <v>7.1688999999999998</v>
      </c>
      <c r="O1" s="1155">
        <f>集团!S9</f>
        <v>7.1688999999999998</v>
      </c>
    </row>
    <row r="3" spans="1:15">
      <c r="E3" s="8">
        <v>44561</v>
      </c>
      <c r="F3" s="8">
        <v>44926</v>
      </c>
      <c r="G3" s="8">
        <v>45291</v>
      </c>
      <c r="H3" s="8">
        <v>45657</v>
      </c>
      <c r="I3" s="8" t="s">
        <v>838</v>
      </c>
      <c r="J3" s="9">
        <v>46022</v>
      </c>
      <c r="K3" s="9">
        <v>46387</v>
      </c>
      <c r="L3" s="9">
        <v>46752</v>
      </c>
      <c r="M3" s="9">
        <v>46753</v>
      </c>
      <c r="N3" s="9">
        <v>47483</v>
      </c>
      <c r="O3" s="9">
        <v>47848</v>
      </c>
    </row>
    <row r="4" spans="1:15" s="1038" customFormat="1">
      <c r="A4" s="1038" t="s">
        <v>8</v>
      </c>
      <c r="B4" s="15" t="s">
        <v>864</v>
      </c>
      <c r="C4" s="15"/>
      <c r="D4" s="15"/>
      <c r="E4" s="15"/>
      <c r="F4" s="15"/>
      <c r="G4" s="15"/>
      <c r="H4" s="15"/>
      <c r="I4" s="15"/>
    </row>
    <row r="5" spans="1:15">
      <c r="B5" s="18" t="s">
        <v>865</v>
      </c>
      <c r="C5" s="18"/>
      <c r="D5" s="18"/>
      <c r="E5" s="18"/>
      <c r="F5" s="18"/>
      <c r="G5" s="18"/>
      <c r="H5" s="18"/>
      <c r="I5" s="18"/>
      <c r="J5" s="866"/>
      <c r="K5" s="866"/>
      <c r="L5" s="866"/>
      <c r="M5" s="866"/>
      <c r="N5" s="866"/>
      <c r="O5" s="866"/>
    </row>
    <row r="6" spans="1:15" s="236" customFormat="1">
      <c r="B6" s="867" t="s">
        <v>841</v>
      </c>
      <c r="C6" s="868"/>
      <c r="D6" s="868"/>
      <c r="E6" s="869">
        <v>1027.7502359576092</v>
      </c>
      <c r="F6" s="869">
        <v>1349.04</v>
      </c>
      <c r="G6" s="869">
        <v>1273.98</v>
      </c>
      <c r="H6" s="869">
        <v>808.86</v>
      </c>
      <c r="I6" s="869">
        <v>837.65</v>
      </c>
      <c r="J6" s="870">
        <f>SUM(J7:J10)</f>
        <v>837.63999999999987</v>
      </c>
      <c r="K6" s="870">
        <f t="shared" ref="K6:O6" si="0">SUM(K7:K10)</f>
        <v>834.96339999999987</v>
      </c>
      <c r="L6" s="870">
        <f t="shared" si="0"/>
        <v>832.29700491999995</v>
      </c>
      <c r="M6" s="870">
        <f t="shared" si="0"/>
        <v>829.64077109452001</v>
      </c>
      <c r="N6" s="870">
        <f t="shared" si="0"/>
        <v>826.99465506738079</v>
      </c>
      <c r="O6" s="871">
        <f t="shared" si="0"/>
        <v>824.35861359060596</v>
      </c>
    </row>
    <row r="7" spans="1:15">
      <c r="B7" s="31"/>
      <c r="C7" s="1" t="s">
        <v>866</v>
      </c>
      <c r="D7" s="1"/>
      <c r="E7" s="872">
        <v>907.12780881743754</v>
      </c>
      <c r="F7" s="872">
        <v>1148.6400000000001</v>
      </c>
      <c r="G7" s="872">
        <v>1045.1600000000001</v>
      </c>
      <c r="H7" s="872">
        <v>669.78</v>
      </c>
      <c r="I7" s="872">
        <v>650.52</v>
      </c>
      <c r="J7" s="153">
        <f>H7*(1+J61)</f>
        <v>650.52</v>
      </c>
      <c r="K7" s="153">
        <f>J7*(1+K61)</f>
        <v>648.56844000000001</v>
      </c>
      <c r="L7" s="153">
        <f t="shared" ref="L7:O7" si="1">K7*(1+L61)</f>
        <v>646.62273468000001</v>
      </c>
      <c r="M7" s="153">
        <f t="shared" si="1"/>
        <v>644.68286647596005</v>
      </c>
      <c r="N7" s="153">
        <f t="shared" si="1"/>
        <v>642.74881787653214</v>
      </c>
      <c r="O7" s="873">
        <f t="shared" si="1"/>
        <v>640.8205714229025</v>
      </c>
    </row>
    <row r="8" spans="1:15">
      <c r="B8" s="31"/>
      <c r="C8" s="1" t="s">
        <v>867</v>
      </c>
      <c r="D8" s="1"/>
      <c r="E8" s="872">
        <v>0</v>
      </c>
      <c r="F8" s="872">
        <v>66.25</v>
      </c>
      <c r="G8" s="872">
        <v>82.27</v>
      </c>
      <c r="H8" s="872">
        <v>52</v>
      </c>
      <c r="I8" s="872">
        <v>66.28</v>
      </c>
      <c r="J8" s="153">
        <f t="shared" ref="J8:J10" si="2">H8*(1+J62)</f>
        <v>66.28</v>
      </c>
      <c r="K8" s="153">
        <f t="shared" ref="K8:O10" si="3">J8*(1+K62)</f>
        <v>66.28</v>
      </c>
      <c r="L8" s="153">
        <f t="shared" si="3"/>
        <v>66.28</v>
      </c>
      <c r="M8" s="153">
        <f t="shared" si="3"/>
        <v>66.28</v>
      </c>
      <c r="N8" s="153">
        <f t="shared" si="3"/>
        <v>66.28</v>
      </c>
      <c r="O8" s="873">
        <f t="shared" si="3"/>
        <v>66.28</v>
      </c>
    </row>
    <row r="9" spans="1:15">
      <c r="B9" s="31"/>
      <c r="C9" s="1" t="s">
        <v>868</v>
      </c>
      <c r="D9" s="1"/>
      <c r="E9" s="872">
        <v>30.689354588410996</v>
      </c>
      <c r="F9" s="872">
        <v>37.94</v>
      </c>
      <c r="G9" s="872">
        <v>38.99</v>
      </c>
      <c r="H9" s="872">
        <v>28.54</v>
      </c>
      <c r="I9" s="872">
        <v>39.15</v>
      </c>
      <c r="J9" s="153">
        <f t="shared" si="2"/>
        <v>39.15</v>
      </c>
      <c r="K9" s="153">
        <f t="shared" si="3"/>
        <v>38.915099999999995</v>
      </c>
      <c r="L9" s="153">
        <f t="shared" si="3"/>
        <v>38.681609399999992</v>
      </c>
      <c r="M9" s="153">
        <f t="shared" si="3"/>
        <v>38.449519743599993</v>
      </c>
      <c r="N9" s="153">
        <f t="shared" si="3"/>
        <v>38.218822625138394</v>
      </c>
      <c r="O9" s="873">
        <f t="shared" si="3"/>
        <v>37.98950968938756</v>
      </c>
    </row>
    <row r="10" spans="1:15">
      <c r="B10" s="31"/>
      <c r="C10" s="1" t="s">
        <v>869</v>
      </c>
      <c r="D10" s="1"/>
      <c r="E10" s="872">
        <v>89.933072551760802</v>
      </c>
      <c r="F10" s="872">
        <v>96.21</v>
      </c>
      <c r="G10" s="872">
        <v>107.56</v>
      </c>
      <c r="H10" s="872">
        <v>58.54</v>
      </c>
      <c r="I10" s="872">
        <v>81.69</v>
      </c>
      <c r="J10" s="153">
        <f t="shared" si="2"/>
        <v>81.69</v>
      </c>
      <c r="K10" s="153">
        <f t="shared" si="3"/>
        <v>81.199860000000001</v>
      </c>
      <c r="L10" s="153">
        <f t="shared" si="3"/>
        <v>80.712660839999998</v>
      </c>
      <c r="M10" s="153">
        <f t="shared" si="3"/>
        <v>80.22838487496</v>
      </c>
      <c r="N10" s="153">
        <f t="shared" si="3"/>
        <v>79.747014565710245</v>
      </c>
      <c r="O10" s="873">
        <f t="shared" si="3"/>
        <v>79.26853247831599</v>
      </c>
    </row>
    <row r="11" spans="1:15" s="236" customFormat="1">
      <c r="B11" s="874" t="s">
        <v>842</v>
      </c>
      <c r="C11" s="18"/>
      <c r="D11" s="18"/>
      <c r="E11" s="875">
        <v>1250.0899999999999</v>
      </c>
      <c r="F11" s="875">
        <v>1600.63</v>
      </c>
      <c r="G11" s="875">
        <v>1432.25</v>
      </c>
      <c r="H11" s="875">
        <v>1220.99</v>
      </c>
      <c r="I11" s="875">
        <v>1231.8699999999999</v>
      </c>
      <c r="J11" s="70">
        <f>SUM(J12:J15)</f>
        <v>1231.8799999999999</v>
      </c>
      <c r="K11" s="70">
        <f t="shared" ref="K11:O11" si="4">SUM(K12:K15)</f>
        <v>1228.0200499999999</v>
      </c>
      <c r="L11" s="70">
        <f t="shared" si="4"/>
        <v>1224.1777035499999</v>
      </c>
      <c r="M11" s="70">
        <f t="shared" si="4"/>
        <v>1220.35287169715</v>
      </c>
      <c r="N11" s="70">
        <f t="shared" si="4"/>
        <v>1216.5454659723116</v>
      </c>
      <c r="O11" s="876">
        <f t="shared" si="4"/>
        <v>1212.7553983873065</v>
      </c>
    </row>
    <row r="12" spans="1:15">
      <c r="B12" s="31"/>
      <c r="C12" s="1" t="s">
        <v>866</v>
      </c>
      <c r="D12" s="1"/>
      <c r="E12" s="872">
        <v>640.69000000000005</v>
      </c>
      <c r="F12" s="872">
        <v>752.81</v>
      </c>
      <c r="G12" s="872">
        <v>610.04</v>
      </c>
      <c r="H12" s="872">
        <v>590.16999999999996</v>
      </c>
      <c r="I12" s="872">
        <v>617.35</v>
      </c>
      <c r="J12" s="153">
        <f>H12*(1+J66)</f>
        <v>617.34999999999991</v>
      </c>
      <c r="K12" s="153">
        <f>J12*(1+K66)</f>
        <v>615.49794999999995</v>
      </c>
      <c r="L12" s="153">
        <f t="shared" ref="L12:O12" si="5">K12*(1+L66)</f>
        <v>613.65145614999994</v>
      </c>
      <c r="M12" s="153">
        <f t="shared" si="5"/>
        <v>611.81050178154999</v>
      </c>
      <c r="N12" s="153">
        <f t="shared" si="5"/>
        <v>609.97507027620532</v>
      </c>
      <c r="O12" s="873">
        <f t="shared" si="5"/>
        <v>608.14514506537671</v>
      </c>
    </row>
    <row r="13" spans="1:15">
      <c r="B13" s="31"/>
      <c r="C13" s="1" t="s">
        <v>867</v>
      </c>
      <c r="D13" s="1"/>
      <c r="E13" s="872">
        <v>142.82</v>
      </c>
      <c r="F13" s="872">
        <v>363.81</v>
      </c>
      <c r="G13" s="872">
        <v>355.34</v>
      </c>
      <c r="H13" s="872">
        <v>273.95</v>
      </c>
      <c r="I13" s="872">
        <v>279.88</v>
      </c>
      <c r="J13" s="153">
        <f t="shared" ref="J13:J15" si="6">H13*(1+J67)</f>
        <v>279.88</v>
      </c>
      <c r="K13" s="153">
        <f t="shared" ref="K13:O15" si="7">J13*(1+K67)</f>
        <v>279.88</v>
      </c>
      <c r="L13" s="153">
        <f t="shared" si="7"/>
        <v>279.88</v>
      </c>
      <c r="M13" s="153">
        <f t="shared" si="7"/>
        <v>279.88</v>
      </c>
      <c r="N13" s="153">
        <f t="shared" si="7"/>
        <v>279.88</v>
      </c>
      <c r="O13" s="873">
        <f t="shared" si="7"/>
        <v>279.88</v>
      </c>
    </row>
    <row r="14" spans="1:15">
      <c r="B14" s="31"/>
      <c r="C14" s="1" t="s">
        <v>868</v>
      </c>
      <c r="D14" s="1"/>
      <c r="E14" s="872">
        <v>106.23</v>
      </c>
      <c r="F14" s="872">
        <v>167.67</v>
      </c>
      <c r="G14" s="872">
        <v>150.43</v>
      </c>
      <c r="H14" s="872">
        <v>103.62</v>
      </c>
      <c r="I14" s="872">
        <v>106.78</v>
      </c>
      <c r="J14" s="153">
        <f t="shared" si="6"/>
        <v>106.77999999999999</v>
      </c>
      <c r="K14" s="153">
        <f t="shared" si="7"/>
        <v>106.13931999999998</v>
      </c>
      <c r="L14" s="153">
        <f t="shared" si="7"/>
        <v>105.50248407999999</v>
      </c>
      <c r="M14" s="153">
        <f t="shared" si="7"/>
        <v>104.86946917551998</v>
      </c>
      <c r="N14" s="153">
        <f t="shared" si="7"/>
        <v>104.24025236046685</v>
      </c>
      <c r="O14" s="873">
        <f t="shared" si="7"/>
        <v>103.61481084630405</v>
      </c>
    </row>
    <row r="15" spans="1:15">
      <c r="B15" s="31"/>
      <c r="C15" s="1" t="s">
        <v>869</v>
      </c>
      <c r="D15" s="1"/>
      <c r="E15" s="872">
        <v>360.35</v>
      </c>
      <c r="F15" s="872">
        <v>316.33999999999997</v>
      </c>
      <c r="G15" s="872">
        <v>316.44</v>
      </c>
      <c r="H15" s="872">
        <v>253.24</v>
      </c>
      <c r="I15" s="872">
        <v>227.87</v>
      </c>
      <c r="J15" s="153">
        <f t="shared" si="6"/>
        <v>227.87</v>
      </c>
      <c r="K15" s="153">
        <f t="shared" si="7"/>
        <v>226.50278</v>
      </c>
      <c r="L15" s="153">
        <f t="shared" si="7"/>
        <v>225.14376332000001</v>
      </c>
      <c r="M15" s="153">
        <f t="shared" si="7"/>
        <v>223.79290074008</v>
      </c>
      <c r="N15" s="153">
        <f t="shared" si="7"/>
        <v>222.45014333563952</v>
      </c>
      <c r="O15" s="873">
        <f t="shared" si="7"/>
        <v>221.11544247562568</v>
      </c>
    </row>
    <row r="16" spans="1:15" s="236" customFormat="1">
      <c r="B16" s="874" t="s">
        <v>843</v>
      </c>
      <c r="C16" s="18"/>
      <c r="D16" s="18"/>
      <c r="E16" s="875">
        <v>780.77</v>
      </c>
      <c r="F16" s="875">
        <v>912.52</v>
      </c>
      <c r="G16" s="875">
        <v>922.6</v>
      </c>
      <c r="H16" s="875">
        <v>865.52</v>
      </c>
      <c r="I16" s="875">
        <v>754.83</v>
      </c>
      <c r="J16" s="70">
        <f>SUM(J17:J20)</f>
        <v>754.83</v>
      </c>
      <c r="K16" s="70">
        <f t="shared" ref="K16:O16" si="8">SUM(K17:K20)</f>
        <v>752.10800999999992</v>
      </c>
      <c r="L16" s="70">
        <f t="shared" si="8"/>
        <v>749.39693096999997</v>
      </c>
      <c r="M16" s="70">
        <f t="shared" si="8"/>
        <v>746.69671370709</v>
      </c>
      <c r="N16" s="70">
        <f t="shared" si="8"/>
        <v>744.00730925478865</v>
      </c>
      <c r="O16" s="876">
        <f t="shared" si="8"/>
        <v>741.32866890171147</v>
      </c>
    </row>
    <row r="17" spans="2:15">
      <c r="B17" s="31"/>
      <c r="C17" s="1" t="s">
        <v>866</v>
      </c>
      <c r="D17" s="1"/>
      <c r="E17" s="872">
        <v>636.44000000000005</v>
      </c>
      <c r="F17" s="872">
        <v>744.85</v>
      </c>
      <c r="G17" s="872">
        <v>790.74</v>
      </c>
      <c r="H17" s="872">
        <v>737.99</v>
      </c>
      <c r="I17" s="872">
        <v>602.33000000000004</v>
      </c>
      <c r="J17" s="153">
        <f>H17*(1+J71)</f>
        <v>602.33000000000004</v>
      </c>
      <c r="K17" s="153">
        <f>J17*(1+K71)</f>
        <v>600.52301</v>
      </c>
      <c r="L17" s="153">
        <f t="shared" ref="L17:O17" si="9">K17*(1+L71)</f>
        <v>598.72144097</v>
      </c>
      <c r="M17" s="153">
        <f t="shared" si="9"/>
        <v>596.92527664708996</v>
      </c>
      <c r="N17" s="153">
        <f t="shared" si="9"/>
        <v>595.13450081714871</v>
      </c>
      <c r="O17" s="873">
        <f t="shared" si="9"/>
        <v>593.34909731469725</v>
      </c>
    </row>
    <row r="18" spans="2:15">
      <c r="B18" s="31"/>
      <c r="C18" s="1" t="s">
        <v>867</v>
      </c>
      <c r="D18" s="1"/>
      <c r="E18" s="872">
        <v>0</v>
      </c>
      <c r="F18" s="872">
        <v>0</v>
      </c>
      <c r="G18" s="872">
        <v>0</v>
      </c>
      <c r="H18" s="872">
        <v>0</v>
      </c>
      <c r="I18" s="872">
        <v>0</v>
      </c>
      <c r="J18" s="153">
        <f t="shared" ref="J18:J20" si="10">H18*(1+J72)</f>
        <v>0</v>
      </c>
      <c r="K18" s="153">
        <f t="shared" ref="K18:O20" si="11">J18*(1+K72)</f>
        <v>0</v>
      </c>
      <c r="L18" s="153">
        <f t="shared" si="11"/>
        <v>0</v>
      </c>
      <c r="M18" s="153">
        <f t="shared" si="11"/>
        <v>0</v>
      </c>
      <c r="N18" s="153">
        <f t="shared" si="11"/>
        <v>0</v>
      </c>
      <c r="O18" s="873">
        <f t="shared" si="11"/>
        <v>0</v>
      </c>
    </row>
    <row r="19" spans="2:15">
      <c r="B19" s="31"/>
      <c r="C19" s="1" t="s">
        <v>868</v>
      </c>
      <c r="D19" s="1"/>
      <c r="E19" s="872">
        <v>34.54</v>
      </c>
      <c r="F19" s="872">
        <v>39.65</v>
      </c>
      <c r="G19" s="872">
        <v>34.75</v>
      </c>
      <c r="H19" s="872">
        <v>36.76</v>
      </c>
      <c r="I19" s="872">
        <v>38.36</v>
      </c>
      <c r="J19" s="153">
        <f t="shared" si="10"/>
        <v>38.36</v>
      </c>
      <c r="K19" s="153">
        <f t="shared" si="11"/>
        <v>38.129840000000002</v>
      </c>
      <c r="L19" s="153">
        <f t="shared" si="11"/>
        <v>37.901060960000002</v>
      </c>
      <c r="M19" s="153">
        <f t="shared" si="11"/>
        <v>37.673654594240006</v>
      </c>
      <c r="N19" s="153">
        <f t="shared" si="11"/>
        <v>37.447612666674566</v>
      </c>
      <c r="O19" s="873">
        <f t="shared" si="11"/>
        <v>37.222926990674516</v>
      </c>
    </row>
    <row r="20" spans="2:15">
      <c r="B20" s="31"/>
      <c r="C20" s="1" t="s">
        <v>869</v>
      </c>
      <c r="D20" s="1"/>
      <c r="E20" s="872">
        <v>109.79</v>
      </c>
      <c r="F20" s="872">
        <v>128.03</v>
      </c>
      <c r="G20" s="872">
        <v>97.11</v>
      </c>
      <c r="H20" s="872">
        <v>90.77</v>
      </c>
      <c r="I20" s="872">
        <v>114.14</v>
      </c>
      <c r="J20" s="153">
        <f t="shared" si="10"/>
        <v>114.14</v>
      </c>
      <c r="K20" s="153">
        <f t="shared" si="11"/>
        <v>113.45516000000001</v>
      </c>
      <c r="L20" s="153">
        <f t="shared" si="11"/>
        <v>112.77442904</v>
      </c>
      <c r="M20" s="153">
        <f t="shared" si="11"/>
        <v>112.09778246576001</v>
      </c>
      <c r="N20" s="153">
        <f t="shared" si="11"/>
        <v>111.42519577096544</v>
      </c>
      <c r="O20" s="873">
        <f t="shared" si="11"/>
        <v>110.75664459633965</v>
      </c>
    </row>
    <row r="21" spans="2:15" s="236" customFormat="1">
      <c r="B21" s="874" t="s">
        <v>844</v>
      </c>
      <c r="C21" s="18"/>
      <c r="D21" s="18"/>
      <c r="E21" s="875">
        <v>456.99</v>
      </c>
      <c r="F21" s="875">
        <v>520.79999999999995</v>
      </c>
      <c r="G21" s="875">
        <v>467.91</v>
      </c>
      <c r="H21" s="875">
        <v>447.47</v>
      </c>
      <c r="I21" s="875">
        <v>437.1</v>
      </c>
      <c r="J21" s="70">
        <f>SUM(J22:J25)</f>
        <v>437.1</v>
      </c>
      <c r="K21" s="70">
        <f t="shared" ref="K21:O21" si="12">SUM(K22:K25)</f>
        <v>435.67505999999992</v>
      </c>
      <c r="L21" s="70">
        <f t="shared" si="12"/>
        <v>434.25622757999992</v>
      </c>
      <c r="M21" s="70">
        <f t="shared" si="12"/>
        <v>432.84347342069992</v>
      </c>
      <c r="N21" s="70">
        <f t="shared" si="12"/>
        <v>431.43676835673716</v>
      </c>
      <c r="O21" s="876">
        <f t="shared" si="12"/>
        <v>430.03608337582853</v>
      </c>
    </row>
    <row r="22" spans="2:15">
      <c r="B22" s="31"/>
      <c r="C22" s="1" t="s">
        <v>866</v>
      </c>
      <c r="D22" s="1"/>
      <c r="E22" s="872">
        <v>351.41</v>
      </c>
      <c r="F22" s="872">
        <v>332.31</v>
      </c>
      <c r="G22" s="872">
        <v>291.14999999999998</v>
      </c>
      <c r="H22" s="872">
        <v>285.8</v>
      </c>
      <c r="I22" s="872">
        <v>271.33999999999997</v>
      </c>
      <c r="J22" s="153">
        <f>H22*(1+J76)</f>
        <v>271.33999999999997</v>
      </c>
      <c r="K22" s="153">
        <f>J22*(1+K76)</f>
        <v>270.52597999999995</v>
      </c>
      <c r="L22" s="153">
        <f t="shared" ref="L22:O22" si="13">K22*(1+L76)</f>
        <v>269.71440205999994</v>
      </c>
      <c r="M22" s="153">
        <f t="shared" si="13"/>
        <v>268.90525885381993</v>
      </c>
      <c r="N22" s="153">
        <f t="shared" si="13"/>
        <v>268.09854307725846</v>
      </c>
      <c r="O22" s="873">
        <f t="shared" si="13"/>
        <v>267.29424744802668</v>
      </c>
    </row>
    <row r="23" spans="2:15">
      <c r="B23" s="31"/>
      <c r="C23" s="1" t="s">
        <v>867</v>
      </c>
      <c r="D23" s="1"/>
      <c r="E23" s="872">
        <v>0</v>
      </c>
      <c r="F23" s="872">
        <v>67.36</v>
      </c>
      <c r="G23" s="872">
        <v>60.76</v>
      </c>
      <c r="H23" s="872">
        <v>64.59</v>
      </c>
      <c r="I23" s="872">
        <v>63.94</v>
      </c>
      <c r="J23" s="153">
        <f>H23*(1+J77)</f>
        <v>63.94</v>
      </c>
      <c r="K23" s="153">
        <f t="shared" ref="K23:O25" si="14">J23*(1+K77)</f>
        <v>63.94</v>
      </c>
      <c r="L23" s="153">
        <f t="shared" si="14"/>
        <v>63.94</v>
      </c>
      <c r="M23" s="153">
        <f t="shared" si="14"/>
        <v>63.94</v>
      </c>
      <c r="N23" s="153">
        <f t="shared" si="14"/>
        <v>63.94</v>
      </c>
      <c r="O23" s="873">
        <f t="shared" si="14"/>
        <v>63.94</v>
      </c>
    </row>
    <row r="24" spans="2:15">
      <c r="B24" s="31"/>
      <c r="C24" s="1" t="s">
        <v>868</v>
      </c>
      <c r="D24" s="1"/>
      <c r="E24" s="872">
        <v>28.84</v>
      </c>
      <c r="F24" s="872">
        <v>32.07</v>
      </c>
      <c r="G24" s="872">
        <v>29.2</v>
      </c>
      <c r="H24" s="872">
        <v>28.71</v>
      </c>
      <c r="I24" s="872">
        <v>31.35</v>
      </c>
      <c r="J24" s="153">
        <f t="shared" ref="J24:J25" si="15">H24*(1+J78)</f>
        <v>31.350000000000005</v>
      </c>
      <c r="K24" s="153">
        <f t="shared" si="14"/>
        <v>31.161900000000006</v>
      </c>
      <c r="L24" s="153">
        <f t="shared" si="14"/>
        <v>30.974928600000005</v>
      </c>
      <c r="M24" s="153">
        <f t="shared" si="14"/>
        <v>30.789079028400007</v>
      </c>
      <c r="N24" s="153">
        <f t="shared" si="14"/>
        <v>30.604344554229606</v>
      </c>
      <c r="O24" s="873">
        <f t="shared" si="14"/>
        <v>30.420718486904228</v>
      </c>
    </row>
    <row r="25" spans="2:15">
      <c r="B25" s="31"/>
      <c r="C25" s="1" t="s">
        <v>869</v>
      </c>
      <c r="D25" s="1"/>
      <c r="E25" s="872">
        <v>76.739999999999995</v>
      </c>
      <c r="F25" s="872">
        <v>89.07</v>
      </c>
      <c r="G25" s="872">
        <v>86.79</v>
      </c>
      <c r="H25" s="872">
        <v>68.36</v>
      </c>
      <c r="I25" s="872">
        <v>70.47</v>
      </c>
      <c r="J25" s="153">
        <f t="shared" si="15"/>
        <v>70.47</v>
      </c>
      <c r="K25" s="153">
        <f t="shared" si="14"/>
        <v>70.047179999999997</v>
      </c>
      <c r="L25" s="153">
        <f t="shared" si="14"/>
        <v>69.626896919999993</v>
      </c>
      <c r="M25" s="153">
        <f t="shared" si="14"/>
        <v>69.209135538479998</v>
      </c>
      <c r="N25" s="153">
        <f t="shared" si="14"/>
        <v>68.793880725249124</v>
      </c>
      <c r="O25" s="873">
        <f t="shared" si="14"/>
        <v>68.381117440897626</v>
      </c>
    </row>
    <row r="26" spans="2:15" s="236" customFormat="1">
      <c r="B26" s="874" t="s">
        <v>870</v>
      </c>
      <c r="C26" s="18"/>
      <c r="D26" s="18"/>
      <c r="E26" s="875">
        <v>71776.759999999995</v>
      </c>
      <c r="F26" s="875">
        <v>88181.23</v>
      </c>
      <c r="G26" s="875">
        <v>78757.240000000005</v>
      </c>
      <c r="H26" s="875">
        <v>81408.13</v>
      </c>
      <c r="I26" s="875">
        <v>95704.73</v>
      </c>
      <c r="J26" s="70">
        <f>SUM(J27:J30)</f>
        <v>95704.73000000001</v>
      </c>
      <c r="K26" s="70">
        <f t="shared" ref="K26:O26" si="16">SUM(K27:K30)</f>
        <v>95428.054340000002</v>
      </c>
      <c r="L26" s="70">
        <f t="shared" si="16"/>
        <v>95152.360450040025</v>
      </c>
      <c r="M26" s="70">
        <f t="shared" si="16"/>
        <v>94877.644474351531</v>
      </c>
      <c r="N26" s="70">
        <f t="shared" si="16"/>
        <v>94603.902574196152</v>
      </c>
      <c r="O26" s="876">
        <f t="shared" si="16"/>
        <v>94331.130927781633</v>
      </c>
    </row>
    <row r="27" spans="2:15">
      <c r="B27" s="31"/>
      <c r="C27" s="1" t="s">
        <v>866</v>
      </c>
      <c r="D27" s="1"/>
      <c r="E27" s="872">
        <v>14158.25</v>
      </c>
      <c r="F27" s="872">
        <v>37343.449999999997</v>
      </c>
      <c r="G27" s="872">
        <v>31858.66</v>
      </c>
      <c r="H27" s="872">
        <v>46758.89</v>
      </c>
      <c r="I27" s="872">
        <v>75364.88</v>
      </c>
      <c r="J27" s="153">
        <f>H27*(1+J81)</f>
        <v>75364.88</v>
      </c>
      <c r="K27" s="153">
        <f>J27*(1+K81)</f>
        <v>75138.785360000009</v>
      </c>
      <c r="L27" s="153">
        <f t="shared" ref="L27:O27" si="17">K27*(1+L81)</f>
        <v>74913.369003920016</v>
      </c>
      <c r="M27" s="153">
        <f t="shared" si="17"/>
        <v>74688.628896908252</v>
      </c>
      <c r="N27" s="153">
        <f t="shared" si="17"/>
        <v>74464.563010217535</v>
      </c>
      <c r="O27" s="873">
        <f t="shared" si="17"/>
        <v>74241.169321186884</v>
      </c>
    </row>
    <row r="28" spans="2:15">
      <c r="B28" s="31"/>
      <c r="C28" s="1" t="s">
        <v>867</v>
      </c>
      <c r="D28" s="1"/>
      <c r="E28" s="872">
        <v>39682.239999999998</v>
      </c>
      <c r="F28" s="872">
        <v>37551.620000000003</v>
      </c>
      <c r="G28" s="872">
        <v>36151.94</v>
      </c>
      <c r="H28" s="872">
        <v>24502.04</v>
      </c>
      <c r="I28" s="872">
        <v>11909.68</v>
      </c>
      <c r="J28" s="153">
        <f t="shared" ref="J28:J30" si="18">H28*(1+J82)</f>
        <v>11909.68</v>
      </c>
      <c r="K28" s="153">
        <f t="shared" ref="K28:O30" si="19">J28*(1+K82)</f>
        <v>11909.68</v>
      </c>
      <c r="L28" s="153">
        <f t="shared" si="19"/>
        <v>11909.68</v>
      </c>
      <c r="M28" s="153">
        <f t="shared" si="19"/>
        <v>11909.68</v>
      </c>
      <c r="N28" s="153">
        <f t="shared" si="19"/>
        <v>11909.68</v>
      </c>
      <c r="O28" s="873">
        <f t="shared" si="19"/>
        <v>11909.68</v>
      </c>
    </row>
    <row r="29" spans="2:15">
      <c r="B29" s="31"/>
      <c r="C29" s="1" t="s">
        <v>868</v>
      </c>
      <c r="D29" s="1"/>
      <c r="E29" s="872">
        <v>6068.84</v>
      </c>
      <c r="F29" s="872">
        <v>4173.47</v>
      </c>
      <c r="G29" s="872">
        <v>2782.98</v>
      </c>
      <c r="H29" s="872">
        <v>2876.66</v>
      </c>
      <c r="I29" s="872">
        <v>2516.4899999999998</v>
      </c>
      <c r="J29" s="153">
        <f t="shared" si="18"/>
        <v>2516.4899999999998</v>
      </c>
      <c r="K29" s="153">
        <f t="shared" si="19"/>
        <v>2501.3910599999999</v>
      </c>
      <c r="L29" s="153">
        <f t="shared" si="19"/>
        <v>2486.38271364</v>
      </c>
      <c r="M29" s="153">
        <f t="shared" si="19"/>
        <v>2471.4644173581601</v>
      </c>
      <c r="N29" s="153">
        <f t="shared" si="19"/>
        <v>2456.6356308540112</v>
      </c>
      <c r="O29" s="873">
        <f t="shared" si="19"/>
        <v>2441.895817068887</v>
      </c>
    </row>
    <row r="30" spans="2:15">
      <c r="B30" s="33"/>
      <c r="C30" s="34" t="s">
        <v>869</v>
      </c>
      <c r="D30" s="34"/>
      <c r="E30" s="877">
        <v>11867.43</v>
      </c>
      <c r="F30" s="877">
        <v>9112.69</v>
      </c>
      <c r="G30" s="877">
        <v>7963.66</v>
      </c>
      <c r="H30" s="877">
        <v>7270.53</v>
      </c>
      <c r="I30" s="877">
        <v>5913.68</v>
      </c>
      <c r="J30" s="878">
        <f t="shared" si="18"/>
        <v>5913.68</v>
      </c>
      <c r="K30" s="878">
        <f t="shared" si="19"/>
        <v>5878.1979200000005</v>
      </c>
      <c r="L30" s="878">
        <f t="shared" si="19"/>
        <v>5842.9287324800007</v>
      </c>
      <c r="M30" s="878">
        <f t="shared" si="19"/>
        <v>5807.8711600851202</v>
      </c>
      <c r="N30" s="878">
        <f t="shared" si="19"/>
        <v>5773.0239331246094</v>
      </c>
      <c r="O30" s="879">
        <f t="shared" si="19"/>
        <v>5738.3857895258616</v>
      </c>
    </row>
    <row r="32" spans="2:15" s="206" customFormat="1">
      <c r="B32" s="89" t="s">
        <v>871</v>
      </c>
      <c r="C32" s="89"/>
      <c r="D32" s="89"/>
      <c r="E32" s="89"/>
      <c r="F32" s="89"/>
      <c r="G32" s="89"/>
      <c r="H32" s="89"/>
      <c r="I32" s="89"/>
      <c r="J32" s="880"/>
      <c r="K32" s="880"/>
      <c r="L32" s="880"/>
      <c r="M32" s="880"/>
      <c r="N32" s="880"/>
      <c r="O32" s="880"/>
    </row>
    <row r="33" spans="2:15" s="885" customFormat="1">
      <c r="B33" s="881" t="s">
        <v>841</v>
      </c>
      <c r="C33" s="882"/>
      <c r="D33" s="882"/>
      <c r="E33" s="883">
        <f>E6/E$6</f>
        <v>1</v>
      </c>
      <c r="F33" s="883">
        <f t="shared" ref="F33:O37" si="20">F6/F$6</f>
        <v>1</v>
      </c>
      <c r="G33" s="883">
        <f t="shared" si="20"/>
        <v>1</v>
      </c>
      <c r="H33" s="883">
        <f t="shared" si="20"/>
        <v>1</v>
      </c>
      <c r="I33" s="883">
        <f t="shared" si="20"/>
        <v>1</v>
      </c>
      <c r="J33" s="883">
        <f t="shared" si="20"/>
        <v>1</v>
      </c>
      <c r="K33" s="883">
        <f t="shared" si="20"/>
        <v>1</v>
      </c>
      <c r="L33" s="883">
        <f t="shared" si="20"/>
        <v>1</v>
      </c>
      <c r="M33" s="883">
        <f t="shared" si="20"/>
        <v>1</v>
      </c>
      <c r="N33" s="883">
        <f t="shared" si="20"/>
        <v>1</v>
      </c>
      <c r="O33" s="884">
        <f t="shared" si="20"/>
        <v>1</v>
      </c>
    </row>
    <row r="34" spans="2:15" s="206" customFormat="1">
      <c r="B34" s="715"/>
      <c r="C34" s="22" t="s">
        <v>866</v>
      </c>
      <c r="D34" s="22"/>
      <c r="E34" s="91">
        <f t="shared" ref="E34:I37" si="21">E7/E$6</f>
        <v>0.88263449336230859</v>
      </c>
      <c r="F34" s="91">
        <f t="shared" si="21"/>
        <v>0.85144991994307073</v>
      </c>
      <c r="G34" s="91">
        <f t="shared" si="21"/>
        <v>0.82038964504937284</v>
      </c>
      <c r="H34" s="91">
        <f t="shared" si="21"/>
        <v>0.82805429864253388</v>
      </c>
      <c r="I34" s="91">
        <f t="shared" si="21"/>
        <v>0.77660120575419322</v>
      </c>
      <c r="J34" s="91">
        <f t="shared" si="20"/>
        <v>0.77661047705458197</v>
      </c>
      <c r="K34" s="91">
        <f t="shared" si="20"/>
        <v>0.77676271798260876</v>
      </c>
      <c r="L34" s="91">
        <f t="shared" si="20"/>
        <v>0.77691344659128403</v>
      </c>
      <c r="M34" s="91">
        <f t="shared" si="20"/>
        <v>0.7770626624646827</v>
      </c>
      <c r="N34" s="91">
        <f t="shared" si="20"/>
        <v>0.77721036519173525</v>
      </c>
      <c r="O34" s="804">
        <f t="shared" si="20"/>
        <v>0.77735655436621376</v>
      </c>
    </row>
    <row r="35" spans="2:15" s="206" customFormat="1">
      <c r="B35" s="715"/>
      <c r="C35" s="22" t="s">
        <v>867</v>
      </c>
      <c r="D35" s="22"/>
      <c r="E35" s="91">
        <f t="shared" si="21"/>
        <v>0</v>
      </c>
      <c r="F35" s="91">
        <f t="shared" si="21"/>
        <v>4.9108996026804248E-2</v>
      </c>
      <c r="G35" s="91">
        <f t="shared" si="21"/>
        <v>6.4577151917612513E-2</v>
      </c>
      <c r="H35" s="91">
        <f t="shared" si="21"/>
        <v>6.4288010286081651E-2</v>
      </c>
      <c r="I35" s="91">
        <f t="shared" si="21"/>
        <v>7.9126126663881094E-2</v>
      </c>
      <c r="J35" s="91">
        <f t="shared" si="20"/>
        <v>7.9127071295544638E-2</v>
      </c>
      <c r="K35" s="91">
        <f t="shared" si="20"/>
        <v>7.9380724951536807E-2</v>
      </c>
      <c r="L35" s="91">
        <f t="shared" si="20"/>
        <v>7.9635033657691479E-2</v>
      </c>
      <c r="M35" s="91">
        <f t="shared" si="20"/>
        <v>7.9889998550286764E-2</v>
      </c>
      <c r="N35" s="91">
        <f t="shared" si="20"/>
        <v>8.0145620765347911E-2</v>
      </c>
      <c r="O35" s="804">
        <f t="shared" si="20"/>
        <v>8.0401901438632947E-2</v>
      </c>
    </row>
    <row r="36" spans="2:15" s="206" customFormat="1">
      <c r="B36" s="715"/>
      <c r="C36" s="22" t="s">
        <v>868</v>
      </c>
      <c r="D36" s="22"/>
      <c r="E36" s="91">
        <f t="shared" si="21"/>
        <v>2.9860712763365219E-2</v>
      </c>
      <c r="F36" s="91">
        <f t="shared" si="21"/>
        <v>2.8123702781237027E-2</v>
      </c>
      <c r="G36" s="91">
        <f t="shared" si="21"/>
        <v>3.0604876057708914E-2</v>
      </c>
      <c r="H36" s="91">
        <f t="shared" si="21"/>
        <v>3.5284227183937887E-2</v>
      </c>
      <c r="I36" s="91">
        <f t="shared" si="21"/>
        <v>4.6737897689965974E-2</v>
      </c>
      <c r="J36" s="91">
        <f t="shared" si="20"/>
        <v>4.6738455661143215E-2</v>
      </c>
      <c r="K36" s="91">
        <f t="shared" si="20"/>
        <v>4.6606953071236419E-2</v>
      </c>
      <c r="L36" s="91">
        <f t="shared" si="20"/>
        <v>4.6475728221223207E-2</v>
      </c>
      <c r="M36" s="91">
        <f t="shared" si="20"/>
        <v>4.6344780877722175E-2</v>
      </c>
      <c r="N36" s="91">
        <f t="shared" si="20"/>
        <v>4.6214110805860589E-2</v>
      </c>
      <c r="O36" s="804">
        <f t="shared" si="20"/>
        <v>4.6083717769283793E-2</v>
      </c>
    </row>
    <row r="37" spans="2:15" s="206" customFormat="1">
      <c r="B37" s="715"/>
      <c r="C37" s="22" t="s">
        <v>869</v>
      </c>
      <c r="D37" s="22"/>
      <c r="E37" s="91">
        <f t="shared" si="21"/>
        <v>8.7504793874326289E-2</v>
      </c>
      <c r="F37" s="91">
        <f t="shared" si="21"/>
        <v>7.131738124888809E-2</v>
      </c>
      <c r="G37" s="91">
        <f t="shared" si="21"/>
        <v>8.4428326975305737E-2</v>
      </c>
      <c r="H37" s="91">
        <f t="shared" si="21"/>
        <v>7.2373463887446532E-2</v>
      </c>
      <c r="I37" s="91">
        <f t="shared" si="21"/>
        <v>9.752283173163015E-2</v>
      </c>
      <c r="J37" s="91">
        <f t="shared" si="20"/>
        <v>9.7523995988730253E-2</v>
      </c>
      <c r="K37" s="91">
        <f t="shared" si="20"/>
        <v>9.7249603994618225E-2</v>
      </c>
      <c r="L37" s="91">
        <f t="shared" si="20"/>
        <v>9.6975791529801389E-2</v>
      </c>
      <c r="M37" s="91">
        <f t="shared" si="20"/>
        <v>9.6702558107308434E-2</v>
      </c>
      <c r="N37" s="91">
        <f t="shared" si="20"/>
        <v>9.6429903237056261E-2</v>
      </c>
      <c r="O37" s="804">
        <f t="shared" si="20"/>
        <v>9.6157826425869591E-2</v>
      </c>
    </row>
    <row r="38" spans="2:15" s="885" customFormat="1">
      <c r="B38" s="886" t="s">
        <v>842</v>
      </c>
      <c r="C38" s="89"/>
      <c r="D38" s="89"/>
      <c r="E38" s="887">
        <f>E11/E$11</f>
        <v>1</v>
      </c>
      <c r="F38" s="887">
        <f t="shared" ref="F38:O42" si="22">F11/F$11</f>
        <v>1</v>
      </c>
      <c r="G38" s="887">
        <f t="shared" si="22"/>
        <v>1</v>
      </c>
      <c r="H38" s="887">
        <f t="shared" si="22"/>
        <v>1</v>
      </c>
      <c r="I38" s="887">
        <f t="shared" si="22"/>
        <v>1</v>
      </c>
      <c r="J38" s="887">
        <f t="shared" si="22"/>
        <v>1</v>
      </c>
      <c r="K38" s="887">
        <f t="shared" si="22"/>
        <v>1</v>
      </c>
      <c r="L38" s="887">
        <f t="shared" si="22"/>
        <v>1</v>
      </c>
      <c r="M38" s="887">
        <f t="shared" si="22"/>
        <v>1</v>
      </c>
      <c r="N38" s="887">
        <f t="shared" si="22"/>
        <v>1</v>
      </c>
      <c r="O38" s="888">
        <f t="shared" si="22"/>
        <v>1</v>
      </c>
    </row>
    <row r="39" spans="2:15" s="206" customFormat="1">
      <c r="B39" s="715"/>
      <c r="C39" s="22" t="s">
        <v>866</v>
      </c>
      <c r="D39" s="22"/>
      <c r="E39" s="91">
        <f t="shared" ref="E39:I42" si="23">E12/E$11</f>
        <v>0.51251509891287839</v>
      </c>
      <c r="F39" s="91">
        <f t="shared" si="23"/>
        <v>0.47032106108219884</v>
      </c>
      <c r="G39" s="91">
        <f t="shared" si="23"/>
        <v>0.42593122709024261</v>
      </c>
      <c r="H39" s="91">
        <f t="shared" si="23"/>
        <v>0.48335367202024582</v>
      </c>
      <c r="I39" s="91">
        <f t="shared" si="23"/>
        <v>0.50114866016706316</v>
      </c>
      <c r="J39" s="91">
        <f t="shared" si="22"/>
        <v>0.50114459200571482</v>
      </c>
      <c r="K39" s="91">
        <f t="shared" si="22"/>
        <v>0.50121164552647168</v>
      </c>
      <c r="L39" s="91">
        <f t="shared" si="22"/>
        <v>0.50127645224256945</v>
      </c>
      <c r="M39" s="91">
        <f t="shared" si="22"/>
        <v>0.50133901101138267</v>
      </c>
      <c r="N39" s="91">
        <f t="shared" si="22"/>
        <v>0.50139932073043314</v>
      </c>
      <c r="O39" s="804">
        <f t="shared" si="22"/>
        <v>0.50145738033743137</v>
      </c>
    </row>
    <row r="40" spans="2:15" s="206" customFormat="1">
      <c r="B40" s="715"/>
      <c r="C40" s="22" t="s">
        <v>867</v>
      </c>
      <c r="D40" s="22"/>
      <c r="E40" s="91">
        <f t="shared" si="23"/>
        <v>0.11424777416026047</v>
      </c>
      <c r="F40" s="91">
        <f t="shared" si="23"/>
        <v>0.22729175387191292</v>
      </c>
      <c r="G40" s="91">
        <f t="shared" si="23"/>
        <v>0.24809914470239133</v>
      </c>
      <c r="H40" s="91">
        <f t="shared" si="23"/>
        <v>0.22436711193375866</v>
      </c>
      <c r="I40" s="91">
        <f t="shared" si="23"/>
        <v>0.22719929862729024</v>
      </c>
      <c r="J40" s="91">
        <f t="shared" si="22"/>
        <v>0.22719745429749652</v>
      </c>
      <c r="K40" s="91">
        <f t="shared" si="22"/>
        <v>0.22791158825134819</v>
      </c>
      <c r="L40" s="91">
        <f t="shared" si="22"/>
        <v>0.22862693805676609</v>
      </c>
      <c r="M40" s="91">
        <f t="shared" si="22"/>
        <v>0.22934350095867737</v>
      </c>
      <c r="N40" s="91">
        <f t="shared" si="22"/>
        <v>0.23006127418041769</v>
      </c>
      <c r="O40" s="804">
        <f t="shared" si="22"/>
        <v>0.2307802549237693</v>
      </c>
    </row>
    <row r="41" spans="2:15" s="206" customFormat="1">
      <c r="B41" s="715"/>
      <c r="C41" s="22" t="s">
        <v>868</v>
      </c>
      <c r="D41" s="22"/>
      <c r="E41" s="91">
        <f t="shared" si="23"/>
        <v>8.4977881592525353E-2</v>
      </c>
      <c r="F41" s="91">
        <f t="shared" si="23"/>
        <v>0.10475250370166746</v>
      </c>
      <c r="G41" s="91">
        <f t="shared" si="23"/>
        <v>0.10503054634316634</v>
      </c>
      <c r="H41" s="91">
        <f t="shared" si="23"/>
        <v>8.4865559914495611E-2</v>
      </c>
      <c r="I41" s="91">
        <f t="shared" si="23"/>
        <v>8.6681224479855837E-2</v>
      </c>
      <c r="J41" s="91">
        <f t="shared" si="22"/>
        <v>8.6680520829950966E-2</v>
      </c>
      <c r="K41" s="91">
        <f t="shared" si="22"/>
        <v>8.6431259815342582E-2</v>
      </c>
      <c r="L41" s="91">
        <f t="shared" si="22"/>
        <v>8.6182327756871194E-2</v>
      </c>
      <c r="M41" s="91">
        <f t="shared" si="22"/>
        <v>8.5933725898212993E-2</v>
      </c>
      <c r="N41" s="91">
        <f t="shared" si="22"/>
        <v>8.5685455477123404E-2</v>
      </c>
      <c r="O41" s="804">
        <f t="shared" si="22"/>
        <v>8.5437517725411555E-2</v>
      </c>
    </row>
    <row r="42" spans="2:15" s="206" customFormat="1">
      <c r="B42" s="715"/>
      <c r="C42" s="22" t="s">
        <v>869</v>
      </c>
      <c r="D42" s="22"/>
      <c r="E42" s="91">
        <f t="shared" si="23"/>
        <v>0.28825924533433595</v>
      </c>
      <c r="F42" s="91">
        <f t="shared" si="23"/>
        <v>0.19763468134422069</v>
      </c>
      <c r="G42" s="91">
        <f t="shared" si="23"/>
        <v>0.22093908186419969</v>
      </c>
      <c r="H42" s="91">
        <f t="shared" si="23"/>
        <v>0.20740546605623306</v>
      </c>
      <c r="I42" s="91">
        <f t="shared" si="23"/>
        <v>0.18497893446548744</v>
      </c>
      <c r="J42" s="91">
        <f t="shared" si="22"/>
        <v>0.18497743286683771</v>
      </c>
      <c r="K42" s="91">
        <f t="shared" si="22"/>
        <v>0.1844455064068376</v>
      </c>
      <c r="L42" s="91">
        <f t="shared" si="22"/>
        <v>0.18391428194379322</v>
      </c>
      <c r="M42" s="91">
        <f t="shared" si="22"/>
        <v>0.18338376213172691</v>
      </c>
      <c r="N42" s="91">
        <f t="shared" si="22"/>
        <v>0.18285394961202581</v>
      </c>
      <c r="O42" s="804">
        <f t="shared" si="22"/>
        <v>0.18232484701338766</v>
      </c>
    </row>
    <row r="43" spans="2:15" s="885" customFormat="1">
      <c r="B43" s="886" t="s">
        <v>843</v>
      </c>
      <c r="C43" s="89"/>
      <c r="D43" s="89"/>
      <c r="E43" s="887">
        <f>E16/E$16</f>
        <v>1</v>
      </c>
      <c r="F43" s="887">
        <f t="shared" ref="F43:O47" si="24">F16/F$16</f>
        <v>1</v>
      </c>
      <c r="G43" s="887">
        <f t="shared" si="24"/>
        <v>1</v>
      </c>
      <c r="H43" s="887">
        <f t="shared" si="24"/>
        <v>1</v>
      </c>
      <c r="I43" s="887">
        <f t="shared" si="24"/>
        <v>1</v>
      </c>
      <c r="J43" s="887">
        <f t="shared" si="24"/>
        <v>1</v>
      </c>
      <c r="K43" s="887">
        <f t="shared" si="24"/>
        <v>1</v>
      </c>
      <c r="L43" s="887">
        <f t="shared" si="24"/>
        <v>1</v>
      </c>
      <c r="M43" s="887">
        <f t="shared" si="24"/>
        <v>1</v>
      </c>
      <c r="N43" s="887">
        <f t="shared" si="24"/>
        <v>1</v>
      </c>
      <c r="O43" s="888">
        <f t="shared" si="24"/>
        <v>1</v>
      </c>
    </row>
    <row r="44" spans="2:15" s="206" customFormat="1">
      <c r="B44" s="715"/>
      <c r="C44" s="22" t="s">
        <v>866</v>
      </c>
      <c r="D44" s="22"/>
      <c r="E44" s="91">
        <f t="shared" ref="E44:I47" si="25">E17/E$16</f>
        <v>0.81514402448864587</v>
      </c>
      <c r="F44" s="91">
        <f t="shared" si="25"/>
        <v>0.81625608205847544</v>
      </c>
      <c r="G44" s="91">
        <f t="shared" si="25"/>
        <v>0.85707782354216344</v>
      </c>
      <c r="H44" s="91">
        <f t="shared" si="25"/>
        <v>0.85265505129864128</v>
      </c>
      <c r="I44" s="91">
        <f t="shared" si="25"/>
        <v>0.7979677543287893</v>
      </c>
      <c r="J44" s="91">
        <f t="shared" si="24"/>
        <v>0.7979677543287893</v>
      </c>
      <c r="K44" s="91">
        <f t="shared" si="24"/>
        <v>0.79845315036599607</v>
      </c>
      <c r="L44" s="91">
        <f t="shared" si="24"/>
        <v>0.79893767405082705</v>
      </c>
      <c r="M44" s="91">
        <f t="shared" si="24"/>
        <v>0.79942132553866907</v>
      </c>
      <c r="N44" s="91">
        <f t="shared" si="24"/>
        <v>0.7999041049922565</v>
      </c>
      <c r="O44" s="804">
        <f t="shared" si="24"/>
        <v>0.8003860125816421</v>
      </c>
    </row>
    <row r="45" spans="2:15" s="206" customFormat="1">
      <c r="B45" s="715"/>
      <c r="C45" s="22" t="s">
        <v>867</v>
      </c>
      <c r="D45" s="22"/>
      <c r="E45" s="91">
        <f t="shared" si="25"/>
        <v>0</v>
      </c>
      <c r="F45" s="91">
        <f t="shared" si="25"/>
        <v>0</v>
      </c>
      <c r="G45" s="91">
        <f t="shared" si="25"/>
        <v>0</v>
      </c>
      <c r="H45" s="91">
        <f t="shared" si="25"/>
        <v>0</v>
      </c>
      <c r="I45" s="91">
        <f t="shared" si="25"/>
        <v>0</v>
      </c>
      <c r="J45" s="91">
        <f t="shared" si="24"/>
        <v>0</v>
      </c>
      <c r="K45" s="91">
        <f t="shared" si="24"/>
        <v>0</v>
      </c>
      <c r="L45" s="91">
        <f t="shared" si="24"/>
        <v>0</v>
      </c>
      <c r="M45" s="91">
        <f t="shared" si="24"/>
        <v>0</v>
      </c>
      <c r="N45" s="91">
        <f t="shared" si="24"/>
        <v>0</v>
      </c>
      <c r="O45" s="804">
        <f t="shared" si="24"/>
        <v>0</v>
      </c>
    </row>
    <row r="46" spans="2:15" s="206" customFormat="1">
      <c r="B46" s="715"/>
      <c r="C46" s="22" t="s">
        <v>868</v>
      </c>
      <c r="D46" s="22"/>
      <c r="E46" s="91">
        <f t="shared" si="25"/>
        <v>4.4238380060709299E-2</v>
      </c>
      <c r="F46" s="91">
        <f t="shared" si="25"/>
        <v>4.3451102441590318E-2</v>
      </c>
      <c r="G46" s="91">
        <f t="shared" si="25"/>
        <v>3.7665293735096465E-2</v>
      </c>
      <c r="H46" s="91">
        <f t="shared" si="25"/>
        <v>4.2471577779831779E-2</v>
      </c>
      <c r="I46" s="91">
        <f t="shared" si="25"/>
        <v>5.0819389796377991E-2</v>
      </c>
      <c r="J46" s="91">
        <f t="shared" si="24"/>
        <v>5.0819389796377991E-2</v>
      </c>
      <c r="K46" s="91">
        <f t="shared" si="24"/>
        <v>5.06972927997403E-2</v>
      </c>
      <c r="L46" s="91">
        <f t="shared" si="24"/>
        <v>5.0575415235477213E-2</v>
      </c>
      <c r="M46" s="91">
        <f t="shared" si="24"/>
        <v>5.0453757064502648E-2</v>
      </c>
      <c r="N46" s="91">
        <f t="shared" si="24"/>
        <v>5.033231824588226E-2</v>
      </c>
      <c r="O46" s="804">
        <f t="shared" si="24"/>
        <v>5.0211098736840688E-2</v>
      </c>
    </row>
    <row r="47" spans="2:15" s="206" customFormat="1">
      <c r="B47" s="715"/>
      <c r="C47" s="22" t="s">
        <v>869</v>
      </c>
      <c r="D47" s="22"/>
      <c r="E47" s="91">
        <f t="shared" si="25"/>
        <v>0.14061759545064489</v>
      </c>
      <c r="F47" s="91">
        <f t="shared" si="25"/>
        <v>0.14030377416385395</v>
      </c>
      <c r="G47" s="91">
        <f t="shared" si="25"/>
        <v>0.10525688272274009</v>
      </c>
      <c r="H47" s="91">
        <f t="shared" si="25"/>
        <v>0.10487337092152695</v>
      </c>
      <c r="I47" s="91">
        <f t="shared" si="25"/>
        <v>0.15121285587483274</v>
      </c>
      <c r="J47" s="91">
        <f t="shared" si="24"/>
        <v>0.15121285587483274</v>
      </c>
      <c r="K47" s="91">
        <f t="shared" si="24"/>
        <v>0.15084955683426376</v>
      </c>
      <c r="L47" s="91">
        <f t="shared" si="24"/>
        <v>0.15048691071369574</v>
      </c>
      <c r="M47" s="91">
        <f t="shared" si="24"/>
        <v>0.15012491739682826</v>
      </c>
      <c r="N47" s="91">
        <f t="shared" si="24"/>
        <v>0.14976357676186133</v>
      </c>
      <c r="O47" s="804">
        <f t="shared" si="24"/>
        <v>0.1494028886815171</v>
      </c>
    </row>
    <row r="48" spans="2:15" s="885" customFormat="1">
      <c r="B48" s="886" t="s">
        <v>844</v>
      </c>
      <c r="C48" s="89"/>
      <c r="D48" s="89"/>
      <c r="E48" s="887">
        <f>E21/E$21</f>
        <v>1</v>
      </c>
      <c r="F48" s="887">
        <f t="shared" ref="F48:O52" si="26">F21/F$21</f>
        <v>1</v>
      </c>
      <c r="G48" s="887">
        <f t="shared" si="26"/>
        <v>1</v>
      </c>
      <c r="H48" s="887">
        <f t="shared" si="26"/>
        <v>1</v>
      </c>
      <c r="I48" s="887">
        <f t="shared" si="26"/>
        <v>1</v>
      </c>
      <c r="J48" s="887">
        <f t="shared" si="26"/>
        <v>1</v>
      </c>
      <c r="K48" s="887">
        <f t="shared" si="26"/>
        <v>1</v>
      </c>
      <c r="L48" s="887">
        <f t="shared" si="26"/>
        <v>1</v>
      </c>
      <c r="M48" s="887">
        <f t="shared" si="26"/>
        <v>1</v>
      </c>
      <c r="N48" s="887">
        <f t="shared" si="26"/>
        <v>1</v>
      </c>
      <c r="O48" s="888">
        <f t="shared" si="26"/>
        <v>1</v>
      </c>
    </row>
    <row r="49" spans="2:15" s="206" customFormat="1">
      <c r="B49" s="715"/>
      <c r="C49" s="22" t="s">
        <v>866</v>
      </c>
      <c r="D49" s="22"/>
      <c r="E49" s="91">
        <f t="shared" ref="E49:I52" si="27">E22/E$21</f>
        <v>0.76896649817282658</v>
      </c>
      <c r="F49" s="91">
        <f t="shared" si="27"/>
        <v>0.6380760368663595</v>
      </c>
      <c r="G49" s="91">
        <f t="shared" si="27"/>
        <v>0.62223504520100015</v>
      </c>
      <c r="H49" s="91">
        <f t="shared" si="27"/>
        <v>0.6387020358906742</v>
      </c>
      <c r="I49" s="91">
        <f t="shared" si="27"/>
        <v>0.62077327842598939</v>
      </c>
      <c r="J49" s="91">
        <f t="shared" si="26"/>
        <v>0.62077327842598939</v>
      </c>
      <c r="K49" s="91">
        <f t="shared" si="26"/>
        <v>0.62093519881537396</v>
      </c>
      <c r="L49" s="91">
        <f t="shared" si="26"/>
        <v>0.62109506998448838</v>
      </c>
      <c r="M49" s="91">
        <f t="shared" si="26"/>
        <v>0.62125289016997354</v>
      </c>
      <c r="N49" s="91">
        <f t="shared" si="26"/>
        <v>0.62140865763109665</v>
      </c>
      <c r="O49" s="804">
        <f t="shared" si="26"/>
        <v>0.62156237064978059</v>
      </c>
    </row>
    <row r="50" spans="2:15" s="206" customFormat="1">
      <c r="B50" s="715"/>
      <c r="C50" s="22" t="s">
        <v>867</v>
      </c>
      <c r="D50" s="22"/>
      <c r="E50" s="91">
        <f t="shared" si="27"/>
        <v>0</v>
      </c>
      <c r="F50" s="91">
        <f t="shared" si="27"/>
        <v>0.1293394777265745</v>
      </c>
      <c r="G50" s="91">
        <f t="shared" si="27"/>
        <v>0.12985403175824409</v>
      </c>
      <c r="H50" s="91">
        <f t="shared" si="27"/>
        <v>0.14434487228194068</v>
      </c>
      <c r="I50" s="91">
        <f t="shared" si="27"/>
        <v>0.14628231525966598</v>
      </c>
      <c r="J50" s="91">
        <f t="shared" si="26"/>
        <v>0.14628231525966598</v>
      </c>
      <c r="K50" s="91">
        <f t="shared" si="26"/>
        <v>0.14676075330086605</v>
      </c>
      <c r="L50" s="91">
        <f t="shared" si="26"/>
        <v>0.14724026033275664</v>
      </c>
      <c r="M50" s="91">
        <f t="shared" si="26"/>
        <v>0.14772083657561322</v>
      </c>
      <c r="N50" s="91">
        <f t="shared" si="26"/>
        <v>0.14820248223983234</v>
      </c>
      <c r="O50" s="804">
        <f t="shared" si="26"/>
        <v>0.14868519752590123</v>
      </c>
    </row>
    <row r="51" spans="2:15" s="206" customFormat="1">
      <c r="B51" s="715"/>
      <c r="C51" s="22" t="s">
        <v>868</v>
      </c>
      <c r="D51" s="22"/>
      <c r="E51" s="91">
        <f t="shared" si="27"/>
        <v>6.3108601938773282E-2</v>
      </c>
      <c r="F51" s="91">
        <f t="shared" si="27"/>
        <v>6.1578341013824887E-2</v>
      </c>
      <c r="G51" s="91">
        <f t="shared" si="27"/>
        <v>6.240516338612126E-2</v>
      </c>
      <c r="H51" s="91">
        <f t="shared" si="27"/>
        <v>6.416072585871678E-2</v>
      </c>
      <c r="I51" s="91">
        <f t="shared" si="27"/>
        <v>7.1722717913520931E-2</v>
      </c>
      <c r="J51" s="91">
        <f t="shared" si="26"/>
        <v>7.1722717913520945E-2</v>
      </c>
      <c r="K51" s="91">
        <f t="shared" si="26"/>
        <v>7.1525553930032196E-2</v>
      </c>
      <c r="L51" s="91">
        <f t="shared" si="26"/>
        <v>7.1328691755591964E-2</v>
      </c>
      <c r="M51" s="91">
        <f t="shared" si="26"/>
        <v>7.113213186530995E-2</v>
      </c>
      <c r="N51" s="91">
        <f t="shared" si="26"/>
        <v>7.0935874730371024E-2</v>
      </c>
      <c r="O51" s="804">
        <f t="shared" si="26"/>
        <v>7.0739920818035512E-2</v>
      </c>
    </row>
    <row r="52" spans="2:15" s="206" customFormat="1">
      <c r="B52" s="715"/>
      <c r="C52" s="22" t="s">
        <v>869</v>
      </c>
      <c r="D52" s="22"/>
      <c r="E52" s="91">
        <f t="shared" si="27"/>
        <v>0.16792489988840018</v>
      </c>
      <c r="F52" s="91">
        <f t="shared" si="27"/>
        <v>0.17102534562211982</v>
      </c>
      <c r="G52" s="91">
        <f t="shared" si="27"/>
        <v>0.18548438802333783</v>
      </c>
      <c r="H52" s="91">
        <f t="shared" si="27"/>
        <v>0.15277001810177218</v>
      </c>
      <c r="I52" s="91">
        <f t="shared" si="27"/>
        <v>0.1612216884008236</v>
      </c>
      <c r="J52" s="91">
        <f t="shared" si="26"/>
        <v>0.1612216884008236</v>
      </c>
      <c r="K52" s="91">
        <f t="shared" si="26"/>
        <v>0.16077849395372784</v>
      </c>
      <c r="L52" s="91">
        <f t="shared" si="26"/>
        <v>0.16033597792716311</v>
      </c>
      <c r="M52" s="91">
        <f t="shared" si="26"/>
        <v>0.15989414138910338</v>
      </c>
      <c r="N52" s="91">
        <f t="shared" si="26"/>
        <v>0.15945298539870001</v>
      </c>
      <c r="O52" s="804">
        <f t="shared" si="26"/>
        <v>0.15901251100628266</v>
      </c>
    </row>
    <row r="53" spans="2:15" s="885" customFormat="1">
      <c r="B53" s="886" t="s">
        <v>870</v>
      </c>
      <c r="C53" s="89"/>
      <c r="D53" s="89"/>
      <c r="E53" s="887">
        <f>E26/E$26</f>
        <v>1</v>
      </c>
      <c r="F53" s="887">
        <f t="shared" ref="F53:O57" si="28">F26/F$26</f>
        <v>1</v>
      </c>
      <c r="G53" s="887">
        <f t="shared" si="28"/>
        <v>1</v>
      </c>
      <c r="H53" s="887">
        <f t="shared" si="28"/>
        <v>1</v>
      </c>
      <c r="I53" s="887">
        <f t="shared" si="28"/>
        <v>1</v>
      </c>
      <c r="J53" s="887">
        <f t="shared" si="28"/>
        <v>1</v>
      </c>
      <c r="K53" s="887">
        <f t="shared" si="28"/>
        <v>1</v>
      </c>
      <c r="L53" s="887">
        <f t="shared" si="28"/>
        <v>1</v>
      </c>
      <c r="M53" s="887">
        <f t="shared" si="28"/>
        <v>1</v>
      </c>
      <c r="N53" s="887">
        <f t="shared" si="28"/>
        <v>1</v>
      </c>
      <c r="O53" s="888">
        <f t="shared" si="28"/>
        <v>1</v>
      </c>
    </row>
    <row r="54" spans="2:15" s="206" customFormat="1">
      <c r="B54" s="715"/>
      <c r="C54" s="22" t="s">
        <v>866</v>
      </c>
      <c r="D54" s="22"/>
      <c r="E54" s="91">
        <f t="shared" ref="E54:I57" si="29">E27/E$26</f>
        <v>0.19725395796633899</v>
      </c>
      <c r="F54" s="91">
        <f t="shared" si="29"/>
        <v>0.42348524737067061</v>
      </c>
      <c r="G54" s="91">
        <f t="shared" si="29"/>
        <v>0.40451722279754848</v>
      </c>
      <c r="H54" s="91">
        <f t="shared" si="29"/>
        <v>0.57437617102861838</v>
      </c>
      <c r="I54" s="91">
        <f t="shared" si="29"/>
        <v>0.78747288665878901</v>
      </c>
      <c r="J54" s="91">
        <f t="shared" si="28"/>
        <v>0.7874728866587889</v>
      </c>
      <c r="K54" s="91">
        <f t="shared" si="28"/>
        <v>0.7873867478455393</v>
      </c>
      <c r="L54" s="91">
        <f t="shared" si="28"/>
        <v>0.78729911322855162</v>
      </c>
      <c r="M54" s="91">
        <f t="shared" si="28"/>
        <v>0.78720998303345302</v>
      </c>
      <c r="N54" s="91">
        <f t="shared" si="28"/>
        <v>0.78711935748967976</v>
      </c>
      <c r="O54" s="804">
        <f t="shared" si="28"/>
        <v>0.78702723683048714</v>
      </c>
    </row>
    <row r="55" spans="2:15" s="206" customFormat="1">
      <c r="B55" s="715"/>
      <c r="C55" s="22" t="s">
        <v>867</v>
      </c>
      <c r="D55" s="22"/>
      <c r="E55" s="91">
        <f t="shared" si="29"/>
        <v>0.55285638415554006</v>
      </c>
      <c r="F55" s="91">
        <f t="shared" si="29"/>
        <v>0.42584595383847568</v>
      </c>
      <c r="G55" s="91">
        <f t="shared" si="29"/>
        <v>0.45903005234820315</v>
      </c>
      <c r="H55" s="91">
        <f t="shared" si="29"/>
        <v>0.30097780160286203</v>
      </c>
      <c r="I55" s="91">
        <f t="shared" si="29"/>
        <v>0.12444191629818088</v>
      </c>
      <c r="J55" s="91">
        <f t="shared" si="28"/>
        <v>0.12444191629818087</v>
      </c>
      <c r="K55" s="91">
        <f t="shared" si="28"/>
        <v>0.12480271218322317</v>
      </c>
      <c r="L55" s="91">
        <f t="shared" si="28"/>
        <v>0.12516431482804052</v>
      </c>
      <c r="M55" s="91">
        <f t="shared" si="28"/>
        <v>0.12552672514144855</v>
      </c>
      <c r="N55" s="91">
        <f t="shared" si="28"/>
        <v>0.12588994402910017</v>
      </c>
      <c r="O55" s="804">
        <f t="shared" si="28"/>
        <v>0.12625397239345998</v>
      </c>
    </row>
    <row r="56" spans="2:15" s="206" customFormat="1">
      <c r="B56" s="715"/>
      <c r="C56" s="22" t="s">
        <v>868</v>
      </c>
      <c r="D56" s="22"/>
      <c r="E56" s="91">
        <f t="shared" si="29"/>
        <v>8.4551601381840036E-2</v>
      </c>
      <c r="F56" s="91">
        <f t="shared" si="29"/>
        <v>4.7328325994091945E-2</v>
      </c>
      <c r="G56" s="91">
        <f t="shared" si="29"/>
        <v>3.5336179886445995E-2</v>
      </c>
      <c r="H56" s="91">
        <f t="shared" si="29"/>
        <v>3.5336274153453709E-2</v>
      </c>
      <c r="I56" s="91">
        <f t="shared" si="29"/>
        <v>2.6294311681355768E-2</v>
      </c>
      <c r="J56" s="91">
        <f t="shared" si="28"/>
        <v>2.6294311681355764E-2</v>
      </c>
      <c r="K56" s="91">
        <f t="shared" si="28"/>
        <v>2.6212323800376459E-2</v>
      </c>
      <c r="L56" s="91">
        <f t="shared" si="28"/>
        <v>2.6130541605906679E-2</v>
      </c>
      <c r="M56" s="91">
        <f t="shared" si="28"/>
        <v>2.6048964759304034E-2</v>
      </c>
      <c r="N56" s="91">
        <f t="shared" si="28"/>
        <v>2.5967592921732965E-2</v>
      </c>
      <c r="O56" s="804">
        <f t="shared" si="28"/>
        <v>2.5886425754169769E-2</v>
      </c>
    </row>
    <row r="57" spans="2:15" s="206" customFormat="1">
      <c r="B57" s="719"/>
      <c r="C57" s="720" t="s">
        <v>869</v>
      </c>
      <c r="D57" s="720"/>
      <c r="E57" s="794">
        <f t="shared" si="29"/>
        <v>0.16533805649628097</v>
      </c>
      <c r="F57" s="794">
        <f t="shared" si="29"/>
        <v>0.10334047279676187</v>
      </c>
      <c r="G57" s="794">
        <f t="shared" si="29"/>
        <v>0.10111654496780231</v>
      </c>
      <c r="H57" s="794">
        <f t="shared" si="29"/>
        <v>8.9309630377211707E-2</v>
      </c>
      <c r="I57" s="794">
        <f t="shared" si="29"/>
        <v>6.1790885361674396E-2</v>
      </c>
      <c r="J57" s="794">
        <f t="shared" si="28"/>
        <v>6.1790885361674389E-2</v>
      </c>
      <c r="K57" s="794">
        <f t="shared" si="28"/>
        <v>6.1598216170861107E-2</v>
      </c>
      <c r="L57" s="794">
        <f t="shared" si="28"/>
        <v>6.1406030337501132E-2</v>
      </c>
      <c r="M57" s="794">
        <f t="shared" si="28"/>
        <v>6.1214327065794452E-2</v>
      </c>
      <c r="N57" s="794">
        <f t="shared" si="28"/>
        <v>6.1023105559487145E-2</v>
      </c>
      <c r="O57" s="805">
        <f t="shared" si="28"/>
        <v>6.0832365021883134E-2</v>
      </c>
    </row>
    <row r="58" spans="2:15" s="206" customFormat="1"/>
    <row r="59" spans="2:15" s="206" customFormat="1">
      <c r="B59" s="89" t="s">
        <v>872</v>
      </c>
      <c r="C59" s="89"/>
      <c r="D59" s="89"/>
      <c r="E59" s="89"/>
      <c r="F59" s="89"/>
      <c r="G59" s="89"/>
      <c r="H59" s="89"/>
      <c r="I59" s="89"/>
      <c r="J59" s="880"/>
      <c r="K59" s="880"/>
      <c r="L59" s="880"/>
      <c r="M59" s="880"/>
      <c r="N59" s="880"/>
      <c r="O59" s="880"/>
    </row>
    <row r="60" spans="2:15" s="885" customFormat="1">
      <c r="B60" s="881" t="s">
        <v>841</v>
      </c>
      <c r="C60" s="882"/>
      <c r="D60" s="882"/>
      <c r="E60" s="883"/>
      <c r="F60" s="883">
        <f>F6/E6-1</f>
        <v>0.3126146341800915</v>
      </c>
      <c r="G60" s="883">
        <f t="shared" ref="G60:I75" si="30">G6/F6-1</f>
        <v>-5.5639565913538469E-2</v>
      </c>
      <c r="H60" s="883">
        <f t="shared" si="30"/>
        <v>-0.36509207365892715</v>
      </c>
      <c r="I60" s="883">
        <f t="shared" si="30"/>
        <v>3.5593304156467109E-2</v>
      </c>
      <c r="J60" s="883">
        <f>J6/H6-1</f>
        <v>3.558094107756582E-2</v>
      </c>
      <c r="K60" s="1242">
        <f>K6/J6-1</f>
        <v>-3.1954061410629508E-3</v>
      </c>
      <c r="L60" s="1242">
        <f t="shared" ref="L60:O60" si="31">L6/K6-1</f>
        <v>-3.1934274963428821E-3</v>
      </c>
      <c r="M60" s="1242">
        <f t="shared" si="31"/>
        <v>-3.1914494582799824E-3</v>
      </c>
      <c r="N60" s="1242">
        <f t="shared" si="31"/>
        <v>-3.1894720213041516E-3</v>
      </c>
      <c r="O60" s="1243">
        <f t="shared" si="31"/>
        <v>-3.1874951798328555E-3</v>
      </c>
    </row>
    <row r="61" spans="2:15" s="206" customFormat="1">
      <c r="B61" s="715"/>
      <c r="C61" s="22" t="s">
        <v>866</v>
      </c>
      <c r="D61" s="22"/>
      <c r="E61" s="91"/>
      <c r="F61" s="91">
        <f t="shared" ref="F61:H62" si="32">F7/E7-1</f>
        <v>0.26623832808896686</v>
      </c>
      <c r="G61" s="91">
        <f t="shared" si="32"/>
        <v>-9.0089148906532968E-2</v>
      </c>
      <c r="H61" s="91">
        <f t="shared" si="32"/>
        <v>-0.35916031995101239</v>
      </c>
      <c r="I61" s="91">
        <f t="shared" si="30"/>
        <v>-2.8755710830421943E-2</v>
      </c>
      <c r="J61" s="1131">
        <f>I61</f>
        <v>-2.8755710830421943E-2</v>
      </c>
      <c r="K61" s="471">
        <v>-3.0000000000000001E-3</v>
      </c>
      <c r="L61" s="471">
        <v>-3.0000000000000001E-3</v>
      </c>
      <c r="M61" s="471">
        <v>-3.0000000000000001E-3</v>
      </c>
      <c r="N61" s="471">
        <v>-3.0000000000000001E-3</v>
      </c>
      <c r="O61" s="471">
        <v>-3.0000000000000001E-3</v>
      </c>
    </row>
    <row r="62" spans="2:15" s="206" customFormat="1">
      <c r="B62" s="715"/>
      <c r="C62" s="22" t="s">
        <v>867</v>
      </c>
      <c r="D62" s="22"/>
      <c r="E62" s="91"/>
      <c r="F62" s="91"/>
      <c r="G62" s="91">
        <f t="shared" si="32"/>
        <v>0.24181132075471701</v>
      </c>
      <c r="H62" s="91">
        <f t="shared" si="32"/>
        <v>-0.3679348486690166</v>
      </c>
      <c r="I62" s="91">
        <f t="shared" si="30"/>
        <v>0.27461538461538471</v>
      </c>
      <c r="J62" s="1131">
        <f t="shared" ref="J62:J64" si="33">I62</f>
        <v>0.27461538461538471</v>
      </c>
      <c r="K62" s="471">
        <v>0</v>
      </c>
      <c r="L62" s="471">
        <v>0</v>
      </c>
      <c r="M62" s="471">
        <v>0</v>
      </c>
      <c r="N62" s="471">
        <v>0</v>
      </c>
      <c r="O62" s="1244">
        <v>0</v>
      </c>
    </row>
    <row r="63" spans="2:15" s="206" customFormat="1">
      <c r="B63" s="715"/>
      <c r="C63" s="22" t="s">
        <v>868</v>
      </c>
      <c r="D63" s="22"/>
      <c r="E63" s="91"/>
      <c r="F63" s="91">
        <f t="shared" ref="F63:H71" si="34">F9/E9-1</f>
        <v>0.23625929931830547</v>
      </c>
      <c r="G63" s="91">
        <f t="shared" si="34"/>
        <v>2.7675276752767708E-2</v>
      </c>
      <c r="H63" s="91">
        <f t="shared" si="34"/>
        <v>-0.26801744036932551</v>
      </c>
      <c r="I63" s="91">
        <f t="shared" si="30"/>
        <v>0.37175893482831124</v>
      </c>
      <c r="J63" s="1131">
        <f t="shared" si="33"/>
        <v>0.37175893482831124</v>
      </c>
      <c r="K63" s="471">
        <v>-6.0000000000000001E-3</v>
      </c>
      <c r="L63" s="471">
        <v>-6.0000000000000001E-3</v>
      </c>
      <c r="M63" s="471">
        <v>-6.0000000000000001E-3</v>
      </c>
      <c r="N63" s="471">
        <v>-6.0000000000000001E-3</v>
      </c>
      <c r="O63" s="471">
        <v>-6.0000000000000001E-3</v>
      </c>
    </row>
    <row r="64" spans="2:15" s="206" customFormat="1">
      <c r="B64" s="715"/>
      <c r="C64" s="22" t="s">
        <v>869</v>
      </c>
      <c r="D64" s="22"/>
      <c r="E64" s="91"/>
      <c r="F64" s="91">
        <f t="shared" si="34"/>
        <v>6.9795540952151125E-2</v>
      </c>
      <c r="G64" s="91">
        <f t="shared" si="34"/>
        <v>0.11797110487475315</v>
      </c>
      <c r="H64" s="91">
        <f t="shared" si="34"/>
        <v>-0.45574563034585347</v>
      </c>
      <c r="I64" s="91">
        <f t="shared" si="30"/>
        <v>0.39545609839426032</v>
      </c>
      <c r="J64" s="1131">
        <f t="shared" si="33"/>
        <v>0.39545609839426032</v>
      </c>
      <c r="K64" s="471">
        <v>-6.0000000000000001E-3</v>
      </c>
      <c r="L64" s="471">
        <v>-6.0000000000000001E-3</v>
      </c>
      <c r="M64" s="471">
        <v>-6.0000000000000001E-3</v>
      </c>
      <c r="N64" s="471">
        <v>-6.0000000000000001E-3</v>
      </c>
      <c r="O64" s="471">
        <v>-6.0000000000000001E-3</v>
      </c>
    </row>
    <row r="65" spans="2:15" s="885" customFormat="1">
      <c r="B65" s="886" t="s">
        <v>842</v>
      </c>
      <c r="C65" s="89"/>
      <c r="D65" s="89"/>
      <c r="E65" s="887"/>
      <c r="F65" s="887">
        <f t="shared" si="34"/>
        <v>0.2804118103496549</v>
      </c>
      <c r="G65" s="887">
        <f t="shared" si="34"/>
        <v>-0.10519607904387651</v>
      </c>
      <c r="H65" s="887">
        <f t="shared" si="34"/>
        <v>-0.14750218188165476</v>
      </c>
      <c r="I65" s="91">
        <f t="shared" si="30"/>
        <v>8.9108018902692709E-3</v>
      </c>
      <c r="J65" s="887">
        <f>J11/H11-1</f>
        <v>8.9189919655361383E-3</v>
      </c>
      <c r="K65" s="1245">
        <f>K11/J11-1</f>
        <v>-3.1333814981978625E-3</v>
      </c>
      <c r="L65" s="1245">
        <f t="shared" ref="L65:O65" si="35">L11/K11-1</f>
        <v>-3.1288955339123792E-3</v>
      </c>
      <c r="M65" s="1245">
        <f t="shared" si="35"/>
        <v>-3.1244090149316062E-3</v>
      </c>
      <c r="N65" s="1245">
        <f t="shared" si="35"/>
        <v>-3.1199219612139117E-3</v>
      </c>
      <c r="O65" s="1246">
        <f t="shared" si="35"/>
        <v>-3.1154343927261019E-3</v>
      </c>
    </row>
    <row r="66" spans="2:15" s="206" customFormat="1">
      <c r="B66" s="715"/>
      <c r="C66" s="22" t="s">
        <v>866</v>
      </c>
      <c r="D66" s="22"/>
      <c r="E66" s="91"/>
      <c r="F66" s="91">
        <f t="shared" si="34"/>
        <v>0.17499882938706679</v>
      </c>
      <c r="G66" s="91">
        <f t="shared" si="34"/>
        <v>-0.1896494467395492</v>
      </c>
      <c r="H66" s="91">
        <f t="shared" si="34"/>
        <v>-3.2571634646908376E-2</v>
      </c>
      <c r="I66" s="91">
        <f t="shared" si="30"/>
        <v>4.6054526661809314E-2</v>
      </c>
      <c r="J66" s="1131">
        <f>I66</f>
        <v>4.6054526661809314E-2</v>
      </c>
      <c r="K66" s="471">
        <v>-3.0000000000000001E-3</v>
      </c>
      <c r="L66" s="471">
        <v>-3.0000000000000001E-3</v>
      </c>
      <c r="M66" s="471">
        <v>-3.0000000000000001E-3</v>
      </c>
      <c r="N66" s="471">
        <v>-3.0000000000000001E-3</v>
      </c>
      <c r="O66" s="471">
        <v>-3.0000000000000001E-3</v>
      </c>
    </row>
    <row r="67" spans="2:15" s="206" customFormat="1">
      <c r="B67" s="715"/>
      <c r="C67" s="22" t="s">
        <v>867</v>
      </c>
      <c r="D67" s="22"/>
      <c r="E67" s="91"/>
      <c r="F67" s="91">
        <f t="shared" si="34"/>
        <v>1.5473323063996642</v>
      </c>
      <c r="G67" s="91">
        <f t="shared" si="34"/>
        <v>-2.3281383139550971E-2</v>
      </c>
      <c r="H67" s="91">
        <f t="shared" si="34"/>
        <v>-0.22904823549276743</v>
      </c>
      <c r="I67" s="91">
        <f t="shared" si="30"/>
        <v>2.1646285818579969E-2</v>
      </c>
      <c r="J67" s="1131">
        <f t="shared" ref="J67:J69" si="36">I67</f>
        <v>2.1646285818579969E-2</v>
      </c>
      <c r="K67" s="471">
        <v>0</v>
      </c>
      <c r="L67" s="471">
        <v>0</v>
      </c>
      <c r="M67" s="471">
        <v>0</v>
      </c>
      <c r="N67" s="471">
        <v>0</v>
      </c>
      <c r="O67" s="1244">
        <v>0</v>
      </c>
    </row>
    <row r="68" spans="2:15" s="206" customFormat="1">
      <c r="B68" s="715"/>
      <c r="C68" s="22" t="s">
        <v>868</v>
      </c>
      <c r="D68" s="22"/>
      <c r="E68" s="91"/>
      <c r="F68" s="91">
        <f t="shared" si="34"/>
        <v>0.57836769274216304</v>
      </c>
      <c r="G68" s="91">
        <f t="shared" si="34"/>
        <v>-0.10282101747480155</v>
      </c>
      <c r="H68" s="91">
        <f t="shared" si="34"/>
        <v>-0.31117463271953738</v>
      </c>
      <c r="I68" s="91">
        <f t="shared" si="30"/>
        <v>3.049604323489663E-2</v>
      </c>
      <c r="J68" s="1131">
        <f t="shared" si="36"/>
        <v>3.049604323489663E-2</v>
      </c>
      <c r="K68" s="471">
        <v>-6.0000000000000001E-3</v>
      </c>
      <c r="L68" s="471">
        <v>-6.0000000000000001E-3</v>
      </c>
      <c r="M68" s="471">
        <v>-6.0000000000000001E-3</v>
      </c>
      <c r="N68" s="471">
        <v>-6.0000000000000001E-3</v>
      </c>
      <c r="O68" s="471">
        <v>-6.0000000000000001E-3</v>
      </c>
    </row>
    <row r="69" spans="2:15" s="206" customFormat="1">
      <c r="B69" s="715"/>
      <c r="C69" s="22" t="s">
        <v>869</v>
      </c>
      <c r="D69" s="22"/>
      <c r="E69" s="91"/>
      <c r="F69" s="91">
        <f t="shared" si="34"/>
        <v>-0.12213126127376173</v>
      </c>
      <c r="G69" s="91">
        <f t="shared" si="34"/>
        <v>3.1611557185318162E-4</v>
      </c>
      <c r="H69" s="91">
        <f t="shared" si="34"/>
        <v>-0.19972190620654784</v>
      </c>
      <c r="I69" s="91">
        <f t="shared" si="30"/>
        <v>-0.10018164586953093</v>
      </c>
      <c r="J69" s="1131">
        <f t="shared" si="36"/>
        <v>-0.10018164586953093</v>
      </c>
      <c r="K69" s="471">
        <v>-6.0000000000000001E-3</v>
      </c>
      <c r="L69" s="471">
        <v>-6.0000000000000001E-3</v>
      </c>
      <c r="M69" s="471">
        <v>-6.0000000000000001E-3</v>
      </c>
      <c r="N69" s="471">
        <v>-6.0000000000000001E-3</v>
      </c>
      <c r="O69" s="471">
        <v>-6.0000000000000001E-3</v>
      </c>
    </row>
    <row r="70" spans="2:15" s="885" customFormat="1">
      <c r="B70" s="886" t="s">
        <v>843</v>
      </c>
      <c r="C70" s="89"/>
      <c r="D70" s="89"/>
      <c r="E70" s="887"/>
      <c r="F70" s="887">
        <f t="shared" si="34"/>
        <v>0.16874367611460483</v>
      </c>
      <c r="G70" s="887">
        <f t="shared" si="34"/>
        <v>1.1046333231052419E-2</v>
      </c>
      <c r="H70" s="887">
        <f t="shared" si="34"/>
        <v>-6.1868632126598766E-2</v>
      </c>
      <c r="I70" s="887">
        <f t="shared" si="30"/>
        <v>-0.12788843700896568</v>
      </c>
      <c r="J70" s="887">
        <f>J16/H16-1</f>
        <v>-0.12788843700896568</v>
      </c>
      <c r="K70" s="1245">
        <f>K16/J16-1</f>
        <v>-3.6060967370138419E-3</v>
      </c>
      <c r="L70" s="1245">
        <f t="shared" ref="L70:O70" si="37">L16/K16-1</f>
        <v>-3.6046405489019717E-3</v>
      </c>
      <c r="M70" s="1245">
        <f t="shared" si="37"/>
        <v>-3.6031869778474501E-3</v>
      </c>
      <c r="N70" s="1245">
        <f t="shared" si="37"/>
        <v>-3.6017360233840945E-3</v>
      </c>
      <c r="O70" s="1246">
        <f t="shared" si="37"/>
        <v>-3.6002876850230736E-3</v>
      </c>
    </row>
    <row r="71" spans="2:15" s="206" customFormat="1">
      <c r="B71" s="715"/>
      <c r="C71" s="22" t="s">
        <v>866</v>
      </c>
      <c r="D71" s="22"/>
      <c r="E71" s="91"/>
      <c r="F71" s="91">
        <f t="shared" si="34"/>
        <v>0.17033813085286909</v>
      </c>
      <c r="G71" s="91">
        <f t="shared" si="34"/>
        <v>6.1609720077868024E-2</v>
      </c>
      <c r="H71" s="91">
        <f t="shared" si="34"/>
        <v>-6.6709664365025123E-2</v>
      </c>
      <c r="I71" s="91">
        <f t="shared" si="30"/>
        <v>-0.18382362904646399</v>
      </c>
      <c r="J71" s="1131">
        <f>I71</f>
        <v>-0.18382362904646399</v>
      </c>
      <c r="K71" s="471">
        <v>-3.0000000000000001E-3</v>
      </c>
      <c r="L71" s="471">
        <v>-3.0000000000000001E-3</v>
      </c>
      <c r="M71" s="471">
        <v>-3.0000000000000001E-3</v>
      </c>
      <c r="N71" s="471">
        <v>-3.0000000000000001E-3</v>
      </c>
      <c r="O71" s="471">
        <v>-3.0000000000000001E-3</v>
      </c>
    </row>
    <row r="72" spans="2:15" s="206" customFormat="1">
      <c r="B72" s="715"/>
      <c r="C72" s="22" t="s">
        <v>867</v>
      </c>
      <c r="D72" s="22"/>
      <c r="E72" s="91"/>
      <c r="F72" s="91"/>
      <c r="G72" s="91"/>
      <c r="H72" s="91"/>
      <c r="I72" s="91"/>
      <c r="J72" s="1131"/>
      <c r="K72" s="471">
        <v>0</v>
      </c>
      <c r="L72" s="471">
        <v>0</v>
      </c>
      <c r="M72" s="471">
        <v>0</v>
      </c>
      <c r="N72" s="471">
        <v>0</v>
      </c>
      <c r="O72" s="1244">
        <v>0</v>
      </c>
    </row>
    <row r="73" spans="2:15" s="206" customFormat="1">
      <c r="B73" s="715"/>
      <c r="C73" s="22" t="s">
        <v>868</v>
      </c>
      <c r="D73" s="22"/>
      <c r="E73" s="91"/>
      <c r="F73" s="91">
        <f t="shared" ref="F73:I84" si="38">F19/E19-1</f>
        <v>0.14794441227562238</v>
      </c>
      <c r="G73" s="91">
        <f t="shared" si="38"/>
        <v>-0.12358133669609073</v>
      </c>
      <c r="H73" s="91">
        <f t="shared" si="38"/>
        <v>5.7841726618705014E-2</v>
      </c>
      <c r="I73" s="91">
        <f t="shared" si="30"/>
        <v>4.3525571273123065E-2</v>
      </c>
      <c r="J73" s="1131">
        <f>I73</f>
        <v>4.3525571273123065E-2</v>
      </c>
      <c r="K73" s="471">
        <v>-6.0000000000000001E-3</v>
      </c>
      <c r="L73" s="471">
        <v>-6.0000000000000001E-3</v>
      </c>
      <c r="M73" s="471">
        <v>-6.0000000000000001E-3</v>
      </c>
      <c r="N73" s="471">
        <v>-6.0000000000000001E-3</v>
      </c>
      <c r="O73" s="471">
        <v>-6.0000000000000001E-3</v>
      </c>
    </row>
    <row r="74" spans="2:15" s="206" customFormat="1">
      <c r="B74" s="715"/>
      <c r="C74" s="22" t="s">
        <v>869</v>
      </c>
      <c r="D74" s="22"/>
      <c r="E74" s="91"/>
      <c r="F74" s="91">
        <f t="shared" si="38"/>
        <v>0.16613534930321516</v>
      </c>
      <c r="G74" s="91">
        <f t="shared" si="38"/>
        <v>-0.24150589705537762</v>
      </c>
      <c r="H74" s="91">
        <f t="shared" si="38"/>
        <v>-6.5286788178354427E-2</v>
      </c>
      <c r="I74" s="91">
        <f t="shared" si="30"/>
        <v>0.25746391979728989</v>
      </c>
      <c r="J74" s="1131">
        <f>I74</f>
        <v>0.25746391979728989</v>
      </c>
      <c r="K74" s="471">
        <v>-6.0000000000000001E-3</v>
      </c>
      <c r="L74" s="471">
        <v>-6.0000000000000001E-3</v>
      </c>
      <c r="M74" s="471">
        <v>-6.0000000000000001E-3</v>
      </c>
      <c r="N74" s="471">
        <v>-6.0000000000000001E-3</v>
      </c>
      <c r="O74" s="471">
        <v>-6.0000000000000001E-3</v>
      </c>
    </row>
    <row r="75" spans="2:15" s="885" customFormat="1">
      <c r="B75" s="886" t="s">
        <v>844</v>
      </c>
      <c r="C75" s="89"/>
      <c r="D75" s="89"/>
      <c r="E75" s="887"/>
      <c r="F75" s="887">
        <f t="shared" si="38"/>
        <v>0.1396310641370706</v>
      </c>
      <c r="G75" s="887">
        <f t="shared" si="38"/>
        <v>-0.10155529953917042</v>
      </c>
      <c r="H75" s="887">
        <f t="shared" si="38"/>
        <v>-4.3683614370284896E-2</v>
      </c>
      <c r="I75" s="887">
        <f t="shared" si="30"/>
        <v>-2.3174737971260684E-2</v>
      </c>
      <c r="J75" s="887">
        <f>J21/H21-1</f>
        <v>-2.3174737971260684E-2</v>
      </c>
      <c r="K75" s="1245">
        <f>K21/J21-1</f>
        <v>-3.2599862731642615E-3</v>
      </c>
      <c r="L75" s="1245">
        <f t="shared" ref="L75:O75" si="39">L21/K21-1</f>
        <v>-3.2566298837486407E-3</v>
      </c>
      <c r="M75" s="1245">
        <f t="shared" si="39"/>
        <v>-3.2532732280500243E-3</v>
      </c>
      <c r="N75" s="1245">
        <f t="shared" si="39"/>
        <v>-3.2499163100364603E-3</v>
      </c>
      <c r="O75" s="1246">
        <f t="shared" si="39"/>
        <v>-3.2465591336676702E-3</v>
      </c>
    </row>
    <row r="76" spans="2:15" s="206" customFormat="1">
      <c r="B76" s="715"/>
      <c r="C76" s="22" t="s">
        <v>866</v>
      </c>
      <c r="D76" s="22"/>
      <c r="E76" s="91"/>
      <c r="F76" s="91">
        <f t="shared" si="38"/>
        <v>-5.4352465780712067E-2</v>
      </c>
      <c r="G76" s="91">
        <f t="shared" si="38"/>
        <v>-0.12386025097047948</v>
      </c>
      <c r="H76" s="91">
        <f t="shared" si="38"/>
        <v>-1.8375407865361404E-2</v>
      </c>
      <c r="I76" s="91">
        <f t="shared" si="38"/>
        <v>-5.0594821553534119E-2</v>
      </c>
      <c r="J76" s="1131">
        <f>I76</f>
        <v>-5.0594821553534119E-2</v>
      </c>
      <c r="K76" s="471">
        <v>-3.0000000000000001E-3</v>
      </c>
      <c r="L76" s="471">
        <v>-3.0000000000000001E-3</v>
      </c>
      <c r="M76" s="471">
        <v>-3.0000000000000001E-3</v>
      </c>
      <c r="N76" s="471">
        <v>-3.0000000000000001E-3</v>
      </c>
      <c r="O76" s="471">
        <v>-3.0000000000000001E-3</v>
      </c>
    </row>
    <row r="77" spans="2:15" s="206" customFormat="1">
      <c r="B77" s="715"/>
      <c r="C77" s="22" t="s">
        <v>867</v>
      </c>
      <c r="D77" s="22"/>
      <c r="E77" s="91"/>
      <c r="F77" s="91"/>
      <c r="G77" s="91">
        <f t="shared" si="38"/>
        <v>-9.7980997624703137E-2</v>
      </c>
      <c r="H77" s="91">
        <f t="shared" si="38"/>
        <v>6.3034891375905344E-2</v>
      </c>
      <c r="I77" s="91">
        <f t="shared" si="38"/>
        <v>-1.006347731847046E-2</v>
      </c>
      <c r="J77" s="1131">
        <f t="shared" ref="J77:J79" si="40">I77</f>
        <v>-1.006347731847046E-2</v>
      </c>
      <c r="K77" s="471">
        <v>0</v>
      </c>
      <c r="L77" s="471">
        <v>0</v>
      </c>
      <c r="M77" s="471">
        <v>0</v>
      </c>
      <c r="N77" s="471">
        <v>0</v>
      </c>
      <c r="O77" s="1244">
        <v>0</v>
      </c>
    </row>
    <row r="78" spans="2:15" s="206" customFormat="1">
      <c r="B78" s="715"/>
      <c r="C78" s="22" t="s">
        <v>868</v>
      </c>
      <c r="D78" s="22"/>
      <c r="E78" s="91"/>
      <c r="F78" s="91">
        <f t="shared" ref="F78:H84" si="41">F24/E24-1</f>
        <v>0.11199722607489604</v>
      </c>
      <c r="G78" s="91">
        <f t="shared" si="41"/>
        <v>-8.949173682569378E-2</v>
      </c>
      <c r="H78" s="91">
        <f t="shared" si="41"/>
        <v>-1.6780821917808164E-2</v>
      </c>
      <c r="I78" s="91">
        <f t="shared" si="38"/>
        <v>9.1954022988505857E-2</v>
      </c>
      <c r="J78" s="1131">
        <f t="shared" si="40"/>
        <v>9.1954022988505857E-2</v>
      </c>
      <c r="K78" s="471">
        <v>-6.0000000000000001E-3</v>
      </c>
      <c r="L78" s="471">
        <v>-6.0000000000000001E-3</v>
      </c>
      <c r="M78" s="471">
        <v>-6.0000000000000001E-3</v>
      </c>
      <c r="N78" s="471">
        <v>-6.0000000000000001E-3</v>
      </c>
      <c r="O78" s="471">
        <v>-6.0000000000000001E-3</v>
      </c>
    </row>
    <row r="79" spans="2:15" s="206" customFormat="1">
      <c r="B79" s="715"/>
      <c r="C79" s="22" t="s">
        <v>869</v>
      </c>
      <c r="D79" s="22"/>
      <c r="E79" s="91"/>
      <c r="F79" s="91">
        <f t="shared" si="41"/>
        <v>0.16067240031274421</v>
      </c>
      <c r="G79" s="91">
        <f t="shared" si="41"/>
        <v>-2.5597844392051039E-2</v>
      </c>
      <c r="H79" s="91">
        <f t="shared" si="41"/>
        <v>-0.21235165341629225</v>
      </c>
      <c r="I79" s="91">
        <f t="shared" si="38"/>
        <v>3.0866003510825024E-2</v>
      </c>
      <c r="J79" s="1131">
        <f t="shared" si="40"/>
        <v>3.0866003510825024E-2</v>
      </c>
      <c r="K79" s="471">
        <v>-6.0000000000000001E-3</v>
      </c>
      <c r="L79" s="471">
        <v>-6.0000000000000001E-3</v>
      </c>
      <c r="M79" s="471">
        <v>-6.0000000000000001E-3</v>
      </c>
      <c r="N79" s="471">
        <v>-6.0000000000000001E-3</v>
      </c>
      <c r="O79" s="471">
        <v>-6.0000000000000001E-3</v>
      </c>
    </row>
    <row r="80" spans="2:15" s="885" customFormat="1">
      <c r="B80" s="886" t="s">
        <v>870</v>
      </c>
      <c r="C80" s="89"/>
      <c r="D80" s="89"/>
      <c r="E80" s="887"/>
      <c r="F80" s="887">
        <f t="shared" si="41"/>
        <v>0.22854848839652275</v>
      </c>
      <c r="G80" s="887">
        <f t="shared" si="41"/>
        <v>-0.10687070252932507</v>
      </c>
      <c r="H80" s="887">
        <f t="shared" si="41"/>
        <v>3.3659000747105816E-2</v>
      </c>
      <c r="I80" s="887">
        <f t="shared" si="38"/>
        <v>0.17561636657174162</v>
      </c>
      <c r="J80" s="887">
        <f>J26/H26-1</f>
        <v>0.17561636657174162</v>
      </c>
      <c r="K80" s="1245">
        <f>K26/J26-1</f>
        <v>-2.8909298422346019E-3</v>
      </c>
      <c r="L80" s="1245">
        <f t="shared" ref="L80:O80" si="42">L26/K26-1</f>
        <v>-2.8890234833638395E-3</v>
      </c>
      <c r="M80" s="1245">
        <f t="shared" si="42"/>
        <v>-2.887116771346232E-3</v>
      </c>
      <c r="N80" s="1245">
        <f t="shared" si="42"/>
        <v>-2.8852097000509058E-3</v>
      </c>
      <c r="O80" s="1246">
        <f t="shared" si="42"/>
        <v>-2.8833022633563132E-3</v>
      </c>
    </row>
    <row r="81" spans="2:15" s="206" customFormat="1">
      <c r="B81" s="715"/>
      <c r="C81" s="22" t="s">
        <v>866</v>
      </c>
      <c r="D81" s="22"/>
      <c r="E81" s="91"/>
      <c r="F81" s="91">
        <f t="shared" si="41"/>
        <v>1.6375752653046809</v>
      </c>
      <c r="G81" s="91">
        <f t="shared" si="41"/>
        <v>-0.14687421756693608</v>
      </c>
      <c r="H81" s="91">
        <f t="shared" si="41"/>
        <v>0.46769795088682331</v>
      </c>
      <c r="I81" s="91">
        <f t="shared" si="38"/>
        <v>0.61177649854391336</v>
      </c>
      <c r="J81" s="1131">
        <f>I81</f>
        <v>0.61177649854391336</v>
      </c>
      <c r="K81" s="471">
        <v>-3.0000000000000001E-3</v>
      </c>
      <c r="L81" s="471">
        <v>-3.0000000000000001E-3</v>
      </c>
      <c r="M81" s="471">
        <v>-3.0000000000000001E-3</v>
      </c>
      <c r="N81" s="471">
        <v>-3.0000000000000001E-3</v>
      </c>
      <c r="O81" s="471">
        <v>-3.0000000000000001E-3</v>
      </c>
    </row>
    <row r="82" spans="2:15" s="206" customFormat="1">
      <c r="B82" s="715"/>
      <c r="C82" s="22" t="s">
        <v>867</v>
      </c>
      <c r="D82" s="22"/>
      <c r="E82" s="91"/>
      <c r="F82" s="91">
        <f t="shared" si="41"/>
        <v>-5.3692029482206527E-2</v>
      </c>
      <c r="G82" s="91">
        <f t="shared" si="41"/>
        <v>-3.7273491796092961E-2</v>
      </c>
      <c r="H82" s="91">
        <f t="shared" si="41"/>
        <v>-0.3222482666213764</v>
      </c>
      <c r="I82" s="91">
        <f t="shared" si="38"/>
        <v>-0.51393108492190853</v>
      </c>
      <c r="J82" s="1131">
        <f>I82</f>
        <v>-0.51393108492190853</v>
      </c>
      <c r="K82" s="471">
        <v>0</v>
      </c>
      <c r="L82" s="471">
        <v>0</v>
      </c>
      <c r="M82" s="471">
        <v>0</v>
      </c>
      <c r="N82" s="471">
        <v>0</v>
      </c>
      <c r="O82" s="1244">
        <v>0</v>
      </c>
    </row>
    <row r="83" spans="2:15" s="206" customFormat="1">
      <c r="B83" s="715"/>
      <c r="C83" s="22" t="s">
        <v>868</v>
      </c>
      <c r="D83" s="22"/>
      <c r="E83" s="91"/>
      <c r="F83" s="91">
        <f t="shared" si="41"/>
        <v>-0.3123117432655993</v>
      </c>
      <c r="G83" s="91">
        <f t="shared" si="41"/>
        <v>-0.33317359415546299</v>
      </c>
      <c r="H83" s="91">
        <f t="shared" si="41"/>
        <v>3.3661758259132313E-2</v>
      </c>
      <c r="I83" s="91">
        <f t="shared" si="38"/>
        <v>-0.1252042299055155</v>
      </c>
      <c r="J83" s="1131">
        <f>I83</f>
        <v>-0.1252042299055155</v>
      </c>
      <c r="K83" s="471">
        <v>-6.0000000000000001E-3</v>
      </c>
      <c r="L83" s="471">
        <v>-6.0000000000000001E-3</v>
      </c>
      <c r="M83" s="471">
        <v>-6.0000000000000001E-3</v>
      </c>
      <c r="N83" s="471">
        <v>-6.0000000000000001E-3</v>
      </c>
      <c r="O83" s="471">
        <v>-6.0000000000000001E-3</v>
      </c>
    </row>
    <row r="84" spans="2:15" s="206" customFormat="1">
      <c r="B84" s="719"/>
      <c r="C84" s="720" t="s">
        <v>869</v>
      </c>
      <c r="D84" s="720"/>
      <c r="E84" s="794"/>
      <c r="F84" s="794">
        <f t="shared" si="41"/>
        <v>-0.23212607953027742</v>
      </c>
      <c r="G84" s="794">
        <f t="shared" si="41"/>
        <v>-0.12609119809847591</v>
      </c>
      <c r="H84" s="794">
        <f t="shared" si="41"/>
        <v>-8.7036613818269548E-2</v>
      </c>
      <c r="I84" s="794">
        <f t="shared" si="38"/>
        <v>-0.18662325855198991</v>
      </c>
      <c r="J84" s="1131">
        <f>I84</f>
        <v>-0.18662325855198991</v>
      </c>
      <c r="K84" s="471">
        <v>-6.0000000000000001E-3</v>
      </c>
      <c r="L84" s="471">
        <v>-6.0000000000000001E-3</v>
      </c>
      <c r="M84" s="471">
        <v>-6.0000000000000001E-3</v>
      </c>
      <c r="N84" s="471">
        <v>-6.0000000000000001E-3</v>
      </c>
      <c r="O84" s="471">
        <v>-6.0000000000000001E-3</v>
      </c>
    </row>
    <row r="86" spans="2:15">
      <c r="B86" s="1" t="s">
        <v>873</v>
      </c>
    </row>
    <row r="87" spans="2:15" s="885" customFormat="1">
      <c r="B87" s="881" t="s">
        <v>841</v>
      </c>
      <c r="C87" s="882"/>
      <c r="D87" s="882"/>
      <c r="E87" s="889">
        <f>E6</f>
        <v>1027.7502359576092</v>
      </c>
      <c r="F87" s="889">
        <f>F6</f>
        <v>1349.04</v>
      </c>
      <c r="G87" s="889">
        <f t="shared" ref="G87:O87" si="43">G6</f>
        <v>1273.98</v>
      </c>
      <c r="H87" s="889">
        <f t="shared" si="43"/>
        <v>808.86</v>
      </c>
      <c r="I87" s="889">
        <f>I6</f>
        <v>837.65</v>
      </c>
      <c r="J87" s="889">
        <f t="shared" si="43"/>
        <v>837.63999999999987</v>
      </c>
      <c r="K87" s="889">
        <f t="shared" si="43"/>
        <v>834.96339999999987</v>
      </c>
      <c r="L87" s="889">
        <f t="shared" si="43"/>
        <v>832.29700491999995</v>
      </c>
      <c r="M87" s="889">
        <f t="shared" si="43"/>
        <v>829.64077109452001</v>
      </c>
      <c r="N87" s="889">
        <f t="shared" si="43"/>
        <v>826.99465506738079</v>
      </c>
      <c r="O87" s="890">
        <f t="shared" si="43"/>
        <v>824.35861359060596</v>
      </c>
    </row>
    <row r="88" spans="2:15" s="885" customFormat="1">
      <c r="B88" s="886" t="s">
        <v>842</v>
      </c>
      <c r="C88" s="1167"/>
      <c r="D88" s="1167"/>
      <c r="E88" s="891">
        <f>E11</f>
        <v>1250.0899999999999</v>
      </c>
      <c r="F88" s="891">
        <f>F11</f>
        <v>1600.63</v>
      </c>
      <c r="G88" s="891">
        <f t="shared" ref="G88:O88" si="44">G11</f>
        <v>1432.25</v>
      </c>
      <c r="H88" s="891">
        <f t="shared" si="44"/>
        <v>1220.99</v>
      </c>
      <c r="I88" s="891">
        <f>I11</f>
        <v>1231.8699999999999</v>
      </c>
      <c r="J88" s="891">
        <f t="shared" si="44"/>
        <v>1231.8799999999999</v>
      </c>
      <c r="K88" s="891">
        <f t="shared" si="44"/>
        <v>1228.0200499999999</v>
      </c>
      <c r="L88" s="891">
        <f t="shared" si="44"/>
        <v>1224.1777035499999</v>
      </c>
      <c r="M88" s="891">
        <f t="shared" si="44"/>
        <v>1220.35287169715</v>
      </c>
      <c r="N88" s="891">
        <f t="shared" si="44"/>
        <v>1216.5454659723116</v>
      </c>
      <c r="O88" s="892">
        <f t="shared" si="44"/>
        <v>1212.7553983873065</v>
      </c>
    </row>
    <row r="89" spans="2:15" s="885" customFormat="1">
      <c r="B89" s="886" t="s">
        <v>843</v>
      </c>
      <c r="C89" s="1167"/>
      <c r="D89" s="1167"/>
      <c r="E89" s="891">
        <f>E16</f>
        <v>780.77</v>
      </c>
      <c r="F89" s="891">
        <f>F16</f>
        <v>912.52</v>
      </c>
      <c r="G89" s="891">
        <f t="shared" ref="G89:O89" si="45">G16</f>
        <v>922.6</v>
      </c>
      <c r="H89" s="891">
        <f t="shared" si="45"/>
        <v>865.52</v>
      </c>
      <c r="I89" s="891">
        <f t="shared" si="45"/>
        <v>754.83</v>
      </c>
      <c r="J89" s="891">
        <f t="shared" si="45"/>
        <v>754.83</v>
      </c>
      <c r="K89" s="891">
        <f t="shared" si="45"/>
        <v>752.10800999999992</v>
      </c>
      <c r="L89" s="891">
        <f t="shared" si="45"/>
        <v>749.39693096999997</v>
      </c>
      <c r="M89" s="891">
        <f t="shared" si="45"/>
        <v>746.69671370709</v>
      </c>
      <c r="N89" s="891">
        <f t="shared" si="45"/>
        <v>744.00730925478865</v>
      </c>
      <c r="O89" s="892">
        <f t="shared" si="45"/>
        <v>741.32866890171147</v>
      </c>
    </row>
    <row r="90" spans="2:15" s="885" customFormat="1">
      <c r="B90" s="886" t="s">
        <v>844</v>
      </c>
      <c r="C90" s="1167"/>
      <c r="D90" s="1167"/>
      <c r="E90" s="891">
        <f>E21</f>
        <v>456.99</v>
      </c>
      <c r="F90" s="891">
        <f>F21</f>
        <v>520.79999999999995</v>
      </c>
      <c r="G90" s="891">
        <f t="shared" ref="G90:O90" si="46">G21</f>
        <v>467.91</v>
      </c>
      <c r="H90" s="891">
        <f t="shared" si="46"/>
        <v>447.47</v>
      </c>
      <c r="I90" s="891">
        <f>I21</f>
        <v>437.1</v>
      </c>
      <c r="J90" s="891">
        <f t="shared" si="46"/>
        <v>437.1</v>
      </c>
      <c r="K90" s="891">
        <f t="shared" si="46"/>
        <v>435.67505999999992</v>
      </c>
      <c r="L90" s="891">
        <f t="shared" si="46"/>
        <v>434.25622757999992</v>
      </c>
      <c r="M90" s="891">
        <f t="shared" si="46"/>
        <v>432.84347342069992</v>
      </c>
      <c r="N90" s="891">
        <f t="shared" si="46"/>
        <v>431.43676835673716</v>
      </c>
      <c r="O90" s="892">
        <f t="shared" si="46"/>
        <v>430.03608337582853</v>
      </c>
    </row>
    <row r="91" spans="2:15" s="885" customFormat="1">
      <c r="B91" s="886" t="s">
        <v>665</v>
      </c>
      <c r="C91" s="1167"/>
      <c r="D91" s="1167"/>
      <c r="E91" s="893">
        <v>100</v>
      </c>
      <c r="F91" s="893">
        <v>100</v>
      </c>
      <c r="G91" s="893">
        <v>100</v>
      </c>
      <c r="H91" s="893">
        <v>100</v>
      </c>
      <c r="I91" s="893">
        <v>100</v>
      </c>
      <c r="J91" s="893">
        <v>100</v>
      </c>
      <c r="K91" s="893">
        <v>100</v>
      </c>
      <c r="L91" s="893">
        <v>100</v>
      </c>
      <c r="M91" s="893">
        <v>100</v>
      </c>
      <c r="N91" s="893">
        <v>100</v>
      </c>
      <c r="O91" s="1439">
        <v>100</v>
      </c>
    </row>
    <row r="92" spans="2:15" s="885" customFormat="1">
      <c r="B92" s="894" t="s">
        <v>870</v>
      </c>
      <c r="C92" s="895"/>
      <c r="D92" s="895"/>
      <c r="E92" s="896">
        <f>1+E80</f>
        <v>1</v>
      </c>
      <c r="F92" s="896">
        <f>1+F80</f>
        <v>1.2285484883965228</v>
      </c>
      <c r="G92" s="896">
        <f t="shared" ref="G92:O92" si="47">1+G80</f>
        <v>0.89312929747067493</v>
      </c>
      <c r="H92" s="896">
        <f t="shared" si="47"/>
        <v>1.0336590007471058</v>
      </c>
      <c r="I92" s="896">
        <f t="shared" si="47"/>
        <v>1.1756163665717416</v>
      </c>
      <c r="J92" s="896">
        <f t="shared" si="47"/>
        <v>1.1756163665717416</v>
      </c>
      <c r="K92" s="896">
        <f t="shared" si="47"/>
        <v>0.9971090701577654</v>
      </c>
      <c r="L92" s="896">
        <f t="shared" si="47"/>
        <v>0.99711097651663616</v>
      </c>
      <c r="M92" s="896">
        <f t="shared" si="47"/>
        <v>0.99711288322865377</v>
      </c>
      <c r="N92" s="896">
        <f t="shared" si="47"/>
        <v>0.99711479029994909</v>
      </c>
      <c r="O92" s="897">
        <f t="shared" si="47"/>
        <v>0.99711669773664369</v>
      </c>
    </row>
    <row r="94" spans="2:15" hidden="1">
      <c r="B94" s="1" t="s">
        <v>873</v>
      </c>
    </row>
    <row r="95" spans="2:15" hidden="1">
      <c r="B95" s="881" t="s">
        <v>841</v>
      </c>
      <c r="C95" s="882"/>
      <c r="D95" s="882"/>
      <c r="E95" s="883"/>
      <c r="F95" s="889">
        <f>F87/E87</f>
        <v>1.3126146341800915</v>
      </c>
      <c r="G95" s="889">
        <f t="shared" ref="G95:O95" si="48">G87/F87</f>
        <v>0.94436043408646153</v>
      </c>
      <c r="H95" s="889">
        <f t="shared" si="48"/>
        <v>0.63490792634107285</v>
      </c>
      <c r="I95" s="889">
        <f t="shared" si="48"/>
        <v>1.0355933041564671</v>
      </c>
      <c r="J95" s="889">
        <f>J87/H87</f>
        <v>1.0355809410775658</v>
      </c>
      <c r="K95" s="889">
        <f>K87/J87</f>
        <v>0.99680459385893705</v>
      </c>
      <c r="L95" s="889">
        <f t="shared" si="48"/>
        <v>0.99680657250365712</v>
      </c>
      <c r="M95" s="889">
        <f t="shared" si="48"/>
        <v>0.99680855054172002</v>
      </c>
      <c r="N95" s="889">
        <f t="shared" si="48"/>
        <v>0.99681052797869585</v>
      </c>
      <c r="O95" s="890">
        <f t="shared" si="48"/>
        <v>0.99681250482016714</v>
      </c>
    </row>
    <row r="96" spans="2:15" hidden="1">
      <c r="B96" s="886" t="s">
        <v>842</v>
      </c>
      <c r="C96" s="1167"/>
      <c r="D96" s="1167"/>
      <c r="E96" s="887"/>
      <c r="F96" s="891">
        <f t="shared" ref="F96:O100" si="49">F88/E88</f>
        <v>1.2804118103496549</v>
      </c>
      <c r="G96" s="891">
        <f t="shared" si="49"/>
        <v>0.89480392095612349</v>
      </c>
      <c r="H96" s="891">
        <f t="shared" si="49"/>
        <v>0.85249781811834524</v>
      </c>
      <c r="I96" s="891">
        <f t="shared" si="49"/>
        <v>1.0089108018902693</v>
      </c>
      <c r="J96" s="891">
        <f t="shared" ref="J96:J100" si="50">J88/H88</f>
        <v>1.0089189919655361</v>
      </c>
      <c r="K96" s="891">
        <f t="shared" si="49"/>
        <v>0.99686661850180214</v>
      </c>
      <c r="L96" s="891">
        <f t="shared" si="49"/>
        <v>0.99687110446608762</v>
      </c>
      <c r="M96" s="891">
        <f t="shared" si="49"/>
        <v>0.99687559098506839</v>
      </c>
      <c r="N96" s="891">
        <f t="shared" si="49"/>
        <v>0.99688007803878609</v>
      </c>
      <c r="O96" s="892">
        <f t="shared" si="49"/>
        <v>0.9968845656072739</v>
      </c>
    </row>
    <row r="97" spans="1:15" hidden="1">
      <c r="B97" s="886" t="s">
        <v>843</v>
      </c>
      <c r="C97" s="1167"/>
      <c r="D97" s="1167"/>
      <c r="E97" s="887"/>
      <c r="F97" s="891">
        <f t="shared" si="49"/>
        <v>1.1687436761146048</v>
      </c>
      <c r="G97" s="891">
        <f t="shared" si="49"/>
        <v>1.0110463332310524</v>
      </c>
      <c r="H97" s="891">
        <f t="shared" si="49"/>
        <v>0.93813136787340123</v>
      </c>
      <c r="I97" s="891">
        <f t="shared" si="49"/>
        <v>0.87211156299103432</v>
      </c>
      <c r="J97" s="891">
        <f t="shared" si="50"/>
        <v>0.87211156299103432</v>
      </c>
      <c r="K97" s="891">
        <f t="shared" si="49"/>
        <v>0.99639390326298616</v>
      </c>
      <c r="L97" s="891">
        <f t="shared" si="49"/>
        <v>0.99639535945109803</v>
      </c>
      <c r="M97" s="891">
        <f t="shared" si="49"/>
        <v>0.99639681302215255</v>
      </c>
      <c r="N97" s="891">
        <f t="shared" si="49"/>
        <v>0.99639826397661591</v>
      </c>
      <c r="O97" s="892">
        <f t="shared" si="49"/>
        <v>0.99639971231497693</v>
      </c>
    </row>
    <row r="98" spans="1:15" hidden="1">
      <c r="B98" s="886" t="s">
        <v>844</v>
      </c>
      <c r="C98" s="1167"/>
      <c r="D98" s="1167"/>
      <c r="E98" s="887"/>
      <c r="F98" s="891">
        <f t="shared" si="49"/>
        <v>1.1396310641370706</v>
      </c>
      <c r="G98" s="891">
        <f t="shared" si="49"/>
        <v>0.89844470046082958</v>
      </c>
      <c r="H98" s="891">
        <f t="shared" si="49"/>
        <v>0.9563163856297151</v>
      </c>
      <c r="I98" s="891">
        <f t="shared" si="49"/>
        <v>0.97682526202873932</v>
      </c>
      <c r="J98" s="891">
        <f t="shared" si="50"/>
        <v>0.97682526202873932</v>
      </c>
      <c r="K98" s="891">
        <f t="shared" si="49"/>
        <v>0.99674001372683574</v>
      </c>
      <c r="L98" s="891">
        <f t="shared" si="49"/>
        <v>0.99674337011625136</v>
      </c>
      <c r="M98" s="891">
        <f t="shared" si="49"/>
        <v>0.99674672677194998</v>
      </c>
      <c r="N98" s="891">
        <f t="shared" si="49"/>
        <v>0.99675008368996354</v>
      </c>
      <c r="O98" s="892">
        <f t="shared" si="49"/>
        <v>0.99675344086633233</v>
      </c>
    </row>
    <row r="99" spans="1:15" hidden="1">
      <c r="B99" s="886" t="s">
        <v>665</v>
      </c>
      <c r="C99" s="1167"/>
      <c r="D99" s="1167"/>
      <c r="E99" s="887"/>
      <c r="F99" s="891">
        <f t="shared" si="49"/>
        <v>1</v>
      </c>
      <c r="G99" s="891">
        <f t="shared" si="49"/>
        <v>1</v>
      </c>
      <c r="H99" s="891">
        <f t="shared" si="49"/>
        <v>1</v>
      </c>
      <c r="I99" s="891">
        <f t="shared" si="49"/>
        <v>1</v>
      </c>
      <c r="J99" s="891">
        <f t="shared" si="50"/>
        <v>1</v>
      </c>
      <c r="K99" s="891">
        <f t="shared" si="49"/>
        <v>1</v>
      </c>
      <c r="L99" s="891">
        <f t="shared" si="49"/>
        <v>1</v>
      </c>
      <c r="M99" s="891">
        <f t="shared" si="49"/>
        <v>1</v>
      </c>
      <c r="N99" s="891">
        <f t="shared" si="49"/>
        <v>1</v>
      </c>
      <c r="O99" s="892">
        <f t="shared" si="49"/>
        <v>1</v>
      </c>
    </row>
    <row r="100" spans="1:15" hidden="1">
      <c r="B100" s="894" t="s">
        <v>870</v>
      </c>
      <c r="C100" s="895"/>
      <c r="D100" s="895"/>
      <c r="E100" s="898"/>
      <c r="F100" s="896">
        <f t="shared" si="49"/>
        <v>1.2285484883965228</v>
      </c>
      <c r="G100" s="896">
        <f t="shared" si="49"/>
        <v>0.72697928157184066</v>
      </c>
      <c r="H100" s="896">
        <f t="shared" si="49"/>
        <v>1.1573453067483155</v>
      </c>
      <c r="I100" s="896">
        <f t="shared" si="49"/>
        <v>1.1373348132430832</v>
      </c>
      <c r="J100" s="896">
        <f t="shared" si="50"/>
        <v>1.1373348132430832</v>
      </c>
      <c r="K100" s="896">
        <f t="shared" si="49"/>
        <v>0.84815854772885824</v>
      </c>
      <c r="L100" s="896">
        <f t="shared" si="49"/>
        <v>1.0000019118859991</v>
      </c>
      <c r="M100" s="896">
        <f t="shared" si="49"/>
        <v>1.0000019122365138</v>
      </c>
      <c r="N100" s="896">
        <f t="shared" si="49"/>
        <v>1.0000019125931752</v>
      </c>
      <c r="O100" s="897">
        <f t="shared" si="49"/>
        <v>1.0000019129559736</v>
      </c>
    </row>
    <row r="102" spans="1:15" s="1038" customFormat="1">
      <c r="A102" s="1038" t="s">
        <v>8</v>
      </c>
      <c r="B102" s="15" t="s">
        <v>981</v>
      </c>
      <c r="C102" s="15"/>
      <c r="D102" s="15"/>
      <c r="E102" s="15"/>
      <c r="F102" s="15"/>
      <c r="G102" s="15"/>
      <c r="H102" s="15"/>
      <c r="I102" s="15"/>
    </row>
    <row r="103" spans="1:15">
      <c r="E103" s="8">
        <v>44561</v>
      </c>
      <c r="F103" s="8">
        <v>44926</v>
      </c>
      <c r="G103" s="8">
        <v>45291</v>
      </c>
      <c r="H103" s="8">
        <v>45657</v>
      </c>
      <c r="I103" s="8" t="s">
        <v>838</v>
      </c>
      <c r="J103" s="9">
        <v>46022</v>
      </c>
      <c r="K103" s="9">
        <v>46387</v>
      </c>
      <c r="L103" s="9">
        <v>46752</v>
      </c>
      <c r="M103" s="9">
        <v>46753</v>
      </c>
      <c r="N103" s="9">
        <v>47483</v>
      </c>
      <c r="O103" s="9">
        <v>47848</v>
      </c>
    </row>
    <row r="104" spans="1:15">
      <c r="B104" s="18" t="s">
        <v>1077</v>
      </c>
      <c r="C104" s="18"/>
      <c r="D104" s="18"/>
      <c r="E104" s="18"/>
      <c r="F104" s="18"/>
      <c r="G104" s="18"/>
      <c r="H104" s="18"/>
      <c r="I104" s="18"/>
      <c r="J104" s="866"/>
      <c r="K104" s="866"/>
      <c r="L104" s="866"/>
      <c r="M104" s="866"/>
      <c r="N104" s="866"/>
      <c r="O104" s="866"/>
    </row>
    <row r="105" spans="1:15" s="236" customFormat="1">
      <c r="B105" s="867" t="s">
        <v>841</v>
      </c>
      <c r="C105" s="868"/>
      <c r="D105" s="868"/>
      <c r="E105" s="1156"/>
      <c r="F105" s="1156"/>
      <c r="G105" s="1160">
        <v>4.6686011740180842</v>
      </c>
      <c r="H105" s="1160">
        <v>4.2942830096217746</v>
      </c>
      <c r="I105" s="1160">
        <v>3.4979260905283605</v>
      </c>
      <c r="J105" s="1169">
        <f>SUM(J106:J108,J111)</f>
        <v>3.4979260907677534</v>
      </c>
      <c r="K105" s="1169">
        <f t="shared" ref="K105:O105" si="51">SUM(K106:K108,K111)</f>
        <v>3.4490374078520496</v>
      </c>
      <c r="L105" s="1169">
        <f t="shared" si="51"/>
        <v>3.4158423979750987</v>
      </c>
      <c r="M105" s="1169">
        <f t="shared" si="51"/>
        <v>3.3839533937619661</v>
      </c>
      <c r="N105" s="1169">
        <f t="shared" si="51"/>
        <v>3.3531577367616308</v>
      </c>
      <c r="O105" s="1170">
        <f t="shared" si="51"/>
        <v>3.3233948672779046</v>
      </c>
    </row>
    <row r="106" spans="1:15">
      <c r="B106" s="31"/>
      <c r="C106" s="1133" t="s">
        <v>1092</v>
      </c>
      <c r="D106" s="1133"/>
      <c r="E106" s="1157"/>
      <c r="F106" s="1157"/>
      <c r="G106" s="1161">
        <v>3.2561695914495226</v>
      </c>
      <c r="H106" s="1161">
        <v>3.1510804849639475</v>
      </c>
      <c r="I106" s="1161">
        <v>2.4753996840921535</v>
      </c>
      <c r="J106" s="1171">
        <f>H106*(1+J166)</f>
        <v>2.4753996840921535</v>
      </c>
      <c r="K106" s="1171">
        <f>J106*(1+K166)</f>
        <v>2.4580718863035083</v>
      </c>
      <c r="L106" s="1171">
        <f t="shared" ref="L106:O106" si="52">K106*(1+L166)</f>
        <v>2.4408653830993838</v>
      </c>
      <c r="M106" s="1171">
        <f t="shared" si="52"/>
        <v>2.423779325417688</v>
      </c>
      <c r="N106" s="1171">
        <f t="shared" si="52"/>
        <v>2.4068128701397642</v>
      </c>
      <c r="O106" s="1172">
        <f t="shared" si="52"/>
        <v>2.3899651800487858</v>
      </c>
    </row>
    <row r="107" spans="1:15">
      <c r="B107" s="31"/>
      <c r="C107" s="1133" t="s">
        <v>1093</v>
      </c>
      <c r="D107" s="1133"/>
      <c r="E107" s="1157"/>
      <c r="F107" s="1157"/>
      <c r="G107" s="1161">
        <v>0.37271107672956616</v>
      </c>
      <c r="H107" s="1161">
        <v>0.24286162602907552</v>
      </c>
      <c r="I107" s="1161">
        <v>0.24717838354603178</v>
      </c>
      <c r="J107" s="1171">
        <f>H107*(1+J167)</f>
        <v>0.24717838354603175</v>
      </c>
      <c r="K107" s="1171">
        <f t="shared" ref="K107:O107" si="53">J107*(1+K167)</f>
        <v>0.24717838354603175</v>
      </c>
      <c r="L107" s="1171">
        <f t="shared" si="53"/>
        <v>0.24717838354603175</v>
      </c>
      <c r="M107" s="1171">
        <f t="shared" si="53"/>
        <v>0.24717838354603175</v>
      </c>
      <c r="N107" s="1171">
        <f t="shared" si="53"/>
        <v>0.24717838354603175</v>
      </c>
      <c r="O107" s="1172">
        <f t="shared" si="53"/>
        <v>0.24717838354603175</v>
      </c>
    </row>
    <row r="108" spans="1:15">
      <c r="B108" s="31"/>
      <c r="C108" s="1133" t="s">
        <v>1094</v>
      </c>
      <c r="D108" s="1133"/>
      <c r="E108" s="1157"/>
      <c r="F108" s="1157"/>
      <c r="G108" s="1161">
        <v>0.83434165563130858</v>
      </c>
      <c r="H108" s="1161">
        <v>0.56361147506037257</v>
      </c>
      <c r="I108" s="1161">
        <v>0.6204328088112433</v>
      </c>
      <c r="J108" s="1171">
        <f>J109+J110</f>
        <v>0.6204328088112433</v>
      </c>
      <c r="K108" s="1171">
        <f t="shared" ref="K108:O108" si="54">K109+K110</f>
        <v>0.58887192368418495</v>
      </c>
      <c r="L108" s="1171">
        <f t="shared" si="54"/>
        <v>0.57288341701135848</v>
      </c>
      <c r="M108" s="1171">
        <f t="shared" si="54"/>
        <v>0.5580804704799216</v>
      </c>
      <c r="N108" s="1171">
        <f t="shared" si="54"/>
        <v>0.54425126875750984</v>
      </c>
      <c r="O108" s="1172">
        <f t="shared" si="54"/>
        <v>0.5313360893647624</v>
      </c>
    </row>
    <row r="109" spans="1:15">
      <c r="B109" s="31"/>
      <c r="C109" s="1133"/>
      <c r="D109" s="1133" t="s">
        <v>1127</v>
      </c>
      <c r="E109" s="1157"/>
      <c r="F109" s="1157"/>
      <c r="G109" s="1161">
        <f>G108*0.6</f>
        <v>0.50060499337878517</v>
      </c>
      <c r="H109" s="1161">
        <f t="shared" ref="H109:I109" si="55">H108*0.6</f>
        <v>0.33816688503622355</v>
      </c>
      <c r="I109" s="1161">
        <f t="shared" si="55"/>
        <v>0.37225968528674597</v>
      </c>
      <c r="J109" s="1171">
        <f>H109*(1+J169)</f>
        <v>0.37225968528674597</v>
      </c>
      <c r="K109" s="1171">
        <f t="shared" ref="K109" si="56">J109*(1+K169)</f>
        <v>0.37225968528674597</v>
      </c>
      <c r="L109" s="1171">
        <f t="shared" ref="L109" si="57">K109*(1+L169)</f>
        <v>0.37225968528674597</v>
      </c>
      <c r="M109" s="1171">
        <f t="shared" ref="M109" si="58">L109*(1+M169)</f>
        <v>0.37225968528674597</v>
      </c>
      <c r="N109" s="1171">
        <f t="shared" ref="N109" si="59">M109*(1+N169)</f>
        <v>0.37225968528674597</v>
      </c>
      <c r="O109" s="1172">
        <f t="shared" ref="O109" si="60">N109*(1+O169)</f>
        <v>0.37225968528674597</v>
      </c>
    </row>
    <row r="110" spans="1:15">
      <c r="B110" s="31"/>
      <c r="C110" s="1133"/>
      <c r="D110" s="1133" t="s">
        <v>1128</v>
      </c>
      <c r="E110" s="1157"/>
      <c r="F110" s="1157"/>
      <c r="G110" s="1161">
        <f>G108-G109</f>
        <v>0.33373666225252341</v>
      </c>
      <c r="H110" s="1161">
        <f t="shared" ref="H110:I110" si="61">H108-H109</f>
        <v>0.22544459002414902</v>
      </c>
      <c r="I110" s="1161">
        <f t="shared" si="61"/>
        <v>0.24817312352449733</v>
      </c>
      <c r="J110" s="1252">
        <f>I110</f>
        <v>0.24817312352449733</v>
      </c>
      <c r="K110" s="1252">
        <f>IF(产能及CAPEX!O170&lt;=0%,J110,J110*产能及CAPEX!O169/产能及CAPEX!P169)</f>
        <v>0.21661223839743896</v>
      </c>
      <c r="L110" s="1252">
        <f>IF(产能及CAPEX!P170&lt;=0%,K110,K110*产能及CAPEX!P169/产能及CAPEX!Q169)</f>
        <v>0.20062373172461248</v>
      </c>
      <c r="M110" s="1252">
        <f>IF(产能及CAPEX!Q170&lt;=0%,L110,L110*产能及CAPEX!Q169/产能及CAPEX!R169)</f>
        <v>0.18582078519317563</v>
      </c>
      <c r="N110" s="1252">
        <f>IF(产能及CAPEX!R170&lt;=0%,M110,M110*产能及CAPEX!R169/产能及CAPEX!S169)</f>
        <v>0.17199158347076393</v>
      </c>
      <c r="O110" s="1440">
        <f>IF(产能及CAPEX!S170&lt;=0%,N110,N110*产能及CAPEX!S169/产能及CAPEX!T169)</f>
        <v>0.15907640407801646</v>
      </c>
    </row>
    <row r="111" spans="1:15">
      <c r="B111" s="31"/>
      <c r="C111" s="1133" t="s">
        <v>1095</v>
      </c>
      <c r="D111" s="1133"/>
      <c r="E111" s="1157"/>
      <c r="F111" s="1157"/>
      <c r="G111" s="1161">
        <v>0.19990815478989493</v>
      </c>
      <c r="H111" s="1161">
        <v>0.33672848719431503</v>
      </c>
      <c r="I111" s="1161">
        <v>0.15491521431832475</v>
      </c>
      <c r="J111" s="1171">
        <f t="shared" ref="J111" si="62">H111*(1+J171)</f>
        <v>0.15491521431832472</v>
      </c>
      <c r="K111" s="1171">
        <f t="shared" ref="K111:O111" si="63">J111*(1+K171)</f>
        <v>0.15491521431832472</v>
      </c>
      <c r="L111" s="1171">
        <f t="shared" si="63"/>
        <v>0.15491521431832472</v>
      </c>
      <c r="M111" s="1171">
        <f t="shared" si="63"/>
        <v>0.15491521431832472</v>
      </c>
      <c r="N111" s="1171">
        <f t="shared" si="63"/>
        <v>0.15491521431832472</v>
      </c>
      <c r="O111" s="1172">
        <f t="shared" si="63"/>
        <v>0.15491521431832472</v>
      </c>
    </row>
    <row r="112" spans="1:15" s="236" customFormat="1">
      <c r="B112" s="874" t="s">
        <v>842</v>
      </c>
      <c r="C112" s="1135"/>
      <c r="D112" s="1135"/>
      <c r="E112" s="1158"/>
      <c r="F112" s="1158"/>
      <c r="G112" s="1162">
        <v>2.8384884054905464</v>
      </c>
      <c r="H112" s="1162">
        <v>3.1843211404977869</v>
      </c>
      <c r="I112" s="1162">
        <v>3.1491400820075204</v>
      </c>
      <c r="J112" s="1169">
        <f>SUM(J113:J115,J118)</f>
        <v>3.1490195817835516</v>
      </c>
      <c r="K112" s="1169">
        <f t="shared" ref="K112" si="64">SUM(K113:K115,K118)</f>
        <v>3.0858817937413185</v>
      </c>
      <c r="L112" s="1169">
        <f t="shared" ref="L112" si="65">SUM(L113:L115,L118)</f>
        <v>3.0002133404345797</v>
      </c>
      <c r="M112" s="1169">
        <f t="shared" ref="M112" si="66">SUM(M113:M115,M118)</f>
        <v>2.9626773798565309</v>
      </c>
      <c r="N112" s="1169">
        <f t="shared" ref="N112" si="67">SUM(N113:N115,N118)</f>
        <v>2.9405877671673286</v>
      </c>
      <c r="O112" s="1170">
        <f t="shared" ref="O112" si="68">SUM(O113:O115,O118)</f>
        <v>2.9196439659499394</v>
      </c>
    </row>
    <row r="113" spans="2:15">
      <c r="B113" s="31"/>
      <c r="C113" s="1133" t="s">
        <v>1092</v>
      </c>
      <c r="D113" s="1133"/>
      <c r="E113" s="1157"/>
      <c r="F113" s="1157"/>
      <c r="G113" s="1161">
        <v>2.6282372708431319</v>
      </c>
      <c r="H113" s="1161">
        <v>2.7877111969362542</v>
      </c>
      <c r="I113" s="1161">
        <v>2.8279295243837876</v>
      </c>
      <c r="J113" s="1171">
        <f>H113*(1+J173)</f>
        <v>2.8279295243837872</v>
      </c>
      <c r="K113" s="1171">
        <f>J113*(1+K173)</f>
        <v>2.8081340177131007</v>
      </c>
      <c r="L113" s="1171">
        <f t="shared" ref="L113:L114" si="69">K113*(1+L173)</f>
        <v>2.788477079589109</v>
      </c>
      <c r="M113" s="1171">
        <f t="shared" ref="M113:M114" si="70">L113*(1+M173)</f>
        <v>2.7689577400319854</v>
      </c>
      <c r="N113" s="1171">
        <f t="shared" ref="N113:N114" si="71">M113*(1+N173)</f>
        <v>2.7495750358517617</v>
      </c>
      <c r="O113" s="1172">
        <f t="shared" ref="O113:O114" si="72">N113*(1+O173)</f>
        <v>2.7303280106007994</v>
      </c>
    </row>
    <row r="114" spans="2:15">
      <c r="B114" s="31"/>
      <c r="C114" s="1133" t="s">
        <v>1093</v>
      </c>
      <c r="D114" s="1133"/>
      <c r="E114" s="1157"/>
      <c r="F114" s="1157"/>
      <c r="G114" s="1161">
        <v>4.4297530913423354E-3</v>
      </c>
      <c r="H114" s="1161">
        <v>0</v>
      </c>
      <c r="I114" s="1161">
        <v>1.2050101457358973E-4</v>
      </c>
      <c r="J114" s="1171">
        <f>H114*(1+J174)</f>
        <v>0</v>
      </c>
      <c r="K114" s="1171">
        <f t="shared" ref="K114" si="73">J114*(1+K174)</f>
        <v>0</v>
      </c>
      <c r="L114" s="1171">
        <f t="shared" si="69"/>
        <v>0</v>
      </c>
      <c r="M114" s="1171">
        <f t="shared" si="70"/>
        <v>0</v>
      </c>
      <c r="N114" s="1171">
        <f t="shared" si="71"/>
        <v>0</v>
      </c>
      <c r="O114" s="1172">
        <f t="shared" si="72"/>
        <v>0</v>
      </c>
    </row>
    <row r="115" spans="2:15">
      <c r="B115" s="31"/>
      <c r="C115" s="1133" t="s">
        <v>1094</v>
      </c>
      <c r="D115" s="1133"/>
      <c r="E115" s="1157"/>
      <c r="F115" s="1157"/>
      <c r="G115" s="1161">
        <v>2.5855006967656869E-3</v>
      </c>
      <c r="H115" s="1161">
        <v>0.12262613375776156</v>
      </c>
      <c r="I115" s="1161">
        <v>0.14772093191357877</v>
      </c>
      <c r="J115" s="1171">
        <f>J116+J117</f>
        <v>0.14772093191357877</v>
      </c>
      <c r="K115" s="1171">
        <f t="shared" ref="K115" si="74">K116+K117</f>
        <v>0.14772093191357877</v>
      </c>
      <c r="L115" s="1171">
        <f t="shared" ref="L115" si="75">L116+L117</f>
        <v>0.10771478555375957</v>
      </c>
      <c r="M115" s="1171">
        <f t="shared" ref="M115" si="76">M116+M117</f>
        <v>0.10010031206200561</v>
      </c>
      <c r="N115" s="1171">
        <f t="shared" ref="N115" si="77">N116+N117</f>
        <v>9.7393403553026808E-2</v>
      </c>
      <c r="O115" s="1172">
        <f t="shared" ref="O115" si="78">O116+O117</f>
        <v>9.5696627586599581E-2</v>
      </c>
    </row>
    <row r="116" spans="2:15">
      <c r="B116" s="31"/>
      <c r="C116" s="1133"/>
      <c r="D116" s="1133" t="s">
        <v>1127</v>
      </c>
      <c r="E116" s="1157"/>
      <c r="F116" s="1157"/>
      <c r="G116" s="1161">
        <f>G115*0.6</f>
        <v>1.5513004180594122E-3</v>
      </c>
      <c r="H116" s="1161">
        <f t="shared" ref="H116" si="79">H115*0.6</f>
        <v>7.3575680254656939E-2</v>
      </c>
      <c r="I116" s="1161">
        <f t="shared" ref="I116" si="80">I115*0.6</f>
        <v>8.8632559148147258E-2</v>
      </c>
      <c r="J116" s="1171">
        <f>H116*(1+J176)</f>
        <v>8.8632559148147258E-2</v>
      </c>
      <c r="K116" s="1171">
        <f t="shared" ref="K116" si="81">J116*(1+K176)</f>
        <v>8.8632559148147258E-2</v>
      </c>
      <c r="L116" s="1171">
        <f t="shared" ref="L116" si="82">K116*(1+L176)</f>
        <v>8.8632559148147258E-2</v>
      </c>
      <c r="M116" s="1171">
        <f t="shared" ref="M116" si="83">L116*(1+M176)</f>
        <v>8.8632559148147258E-2</v>
      </c>
      <c r="N116" s="1171">
        <f t="shared" ref="N116" si="84">M116*(1+N176)</f>
        <v>8.8632559148147258E-2</v>
      </c>
      <c r="O116" s="1172">
        <f t="shared" ref="O116" si="85">N116*(1+O176)</f>
        <v>8.8632559148147258E-2</v>
      </c>
    </row>
    <row r="117" spans="2:15">
      <c r="B117" s="31"/>
      <c r="C117" s="1133"/>
      <c r="D117" s="1133" t="s">
        <v>1128</v>
      </c>
      <c r="E117" s="1157"/>
      <c r="F117" s="1157"/>
      <c r="G117" s="1161">
        <f>G115-G116</f>
        <v>1.0342002787062747E-3</v>
      </c>
      <c r="H117" s="1161">
        <f t="shared" ref="H117:I117" si="86">H115-H116</f>
        <v>4.9050453503104621E-2</v>
      </c>
      <c r="I117" s="1161">
        <f t="shared" si="86"/>
        <v>5.908837276543151E-2</v>
      </c>
      <c r="J117" s="1252">
        <f>I117</f>
        <v>5.908837276543151E-2</v>
      </c>
      <c r="K117" s="1252">
        <f>IF(产能及CAPEX!O184&lt;=0%,J117,J117*产能及CAPEX!O183/产能及CAPEX!P183)</f>
        <v>5.908837276543151E-2</v>
      </c>
      <c r="L117" s="1252">
        <f>IF(产能及CAPEX!P184&lt;=0%,K117,K117*产能及CAPEX!P183/产能及CAPEX!Q183)</f>
        <v>1.9082226405612312E-2</v>
      </c>
      <c r="M117" s="1252">
        <f>IF(产能及CAPEX!Q184&lt;=0%,L117,L117*产能及CAPEX!Q183/产能及CAPEX!R183)</f>
        <v>1.1467752913858351E-2</v>
      </c>
      <c r="N117" s="1252">
        <f>IF(产能及CAPEX!R184&lt;=0%,M117,M117*产能及CAPEX!R183/产能及CAPEX!S183)</f>
        <v>8.760844404879552E-3</v>
      </c>
      <c r="O117" s="1440">
        <f>IF(产能及CAPEX!S184&lt;=0%,N117,N117*产能及CAPEX!S183/产能及CAPEX!T183)</f>
        <v>7.0640684384523271E-3</v>
      </c>
    </row>
    <row r="118" spans="2:15">
      <c r="B118" s="31"/>
      <c r="C118" s="1133" t="s">
        <v>1095</v>
      </c>
      <c r="D118" s="1133"/>
      <c r="E118" s="1157"/>
      <c r="F118" s="1157"/>
      <c r="G118" s="1161">
        <v>0.2032632013602865</v>
      </c>
      <c r="H118" s="1161">
        <v>0.27397853464387056</v>
      </c>
      <c r="I118" s="1161">
        <v>0.17336912548618552</v>
      </c>
      <c r="J118" s="1171">
        <f t="shared" ref="J118" si="87">H118*(1+J178)</f>
        <v>0.17336912548618552</v>
      </c>
      <c r="K118" s="1171">
        <f t="shared" ref="K118:O118" si="88">J118*(1+K178)</f>
        <v>0.13002684411463913</v>
      </c>
      <c r="L118" s="1171">
        <f t="shared" si="88"/>
        <v>0.10402147529171131</v>
      </c>
      <c r="M118" s="1171">
        <f t="shared" si="88"/>
        <v>9.3619327762540186E-2</v>
      </c>
      <c r="N118" s="1171">
        <f t="shared" si="88"/>
        <v>9.3619327762540186E-2</v>
      </c>
      <c r="O118" s="1172">
        <f t="shared" si="88"/>
        <v>9.3619327762540186E-2</v>
      </c>
    </row>
    <row r="119" spans="2:15" s="236" customFormat="1">
      <c r="B119" s="874" t="s">
        <v>843</v>
      </c>
      <c r="C119" s="1135"/>
      <c r="D119" s="1135"/>
      <c r="E119" s="1158"/>
      <c r="F119" s="1158"/>
      <c r="G119" s="1162">
        <v>5.1192317698730596</v>
      </c>
      <c r="H119" s="1162">
        <v>5.4249765408517563</v>
      </c>
      <c r="I119" s="1162">
        <v>5.2352762909369437</v>
      </c>
      <c r="J119" s="1169">
        <f>SUM(J120:J122,J125)</f>
        <v>5.228533078423439</v>
      </c>
      <c r="K119" s="1169">
        <f t="shared" ref="K119" si="89">SUM(K120:K122,K125)</f>
        <v>5.1538534772321958</v>
      </c>
      <c r="L119" s="1169">
        <f t="shared" ref="L119" si="90">SUM(L120:L122,L125)</f>
        <v>5.0995032949609254</v>
      </c>
      <c r="M119" s="1169">
        <f t="shared" ref="M119" si="91">SUM(M120:M122,M125)</f>
        <v>5.056919768336595</v>
      </c>
      <c r="N119" s="1169">
        <f t="shared" ref="N119" si="92">SUM(N120:N122,N125)</f>
        <v>5.0152598522552525</v>
      </c>
      <c r="O119" s="1170">
        <f t="shared" ref="O119" si="93">SUM(O120:O122,O125)</f>
        <v>4.9744457980099144</v>
      </c>
    </row>
    <row r="120" spans="2:15">
      <c r="B120" s="31"/>
      <c r="C120" s="1133" t="s">
        <v>1092</v>
      </c>
      <c r="D120" s="1133"/>
      <c r="E120" s="1157"/>
      <c r="F120" s="1157"/>
      <c r="G120" s="1161">
        <v>3.4309291669085837</v>
      </c>
      <c r="H120" s="1161">
        <v>3.4860814894111503</v>
      </c>
      <c r="I120" s="1161">
        <v>3.4687228664397889</v>
      </c>
      <c r="J120" s="1171">
        <f>H120*(1+J180)</f>
        <v>3.4687228664397889</v>
      </c>
      <c r="K120" s="1171">
        <f>J120*(1+K180)</f>
        <v>3.4444418063747104</v>
      </c>
      <c r="L120" s="1171">
        <f t="shared" ref="L120:L121" si="94">K120*(1+L180)</f>
        <v>3.4203307137300873</v>
      </c>
      <c r="M120" s="1171">
        <f t="shared" ref="M120:M121" si="95">L120*(1+M180)</f>
        <v>3.3963883987339769</v>
      </c>
      <c r="N120" s="1171">
        <f t="shared" ref="N120:N121" si="96">M120*(1+N180)</f>
        <v>3.3726136799428392</v>
      </c>
      <c r="O120" s="1172">
        <f t="shared" ref="O120:O121" si="97">N120*(1+O180)</f>
        <v>3.3490053841832395</v>
      </c>
    </row>
    <row r="121" spans="2:15">
      <c r="B121" s="31"/>
      <c r="C121" s="1133" t="s">
        <v>1093</v>
      </c>
      <c r="D121" s="1133"/>
      <c r="E121" s="1157"/>
      <c r="F121" s="1157"/>
      <c r="G121" s="1161">
        <v>0.41795794929327751</v>
      </c>
      <c r="H121" s="1161">
        <v>0.42665961377904743</v>
      </c>
      <c r="I121" s="1161">
        <v>0.43340282623101362</v>
      </c>
      <c r="J121" s="1171">
        <f>H121*(1+J181)</f>
        <v>0.42665961377904743</v>
      </c>
      <c r="K121" s="1171">
        <f t="shared" ref="K121" si="98">J121*(1+K181)</f>
        <v>0.42665961377904743</v>
      </c>
      <c r="L121" s="1171">
        <f t="shared" si="94"/>
        <v>0.42665961377904743</v>
      </c>
      <c r="M121" s="1171">
        <f t="shared" si="95"/>
        <v>0.42665961377904743</v>
      </c>
      <c r="N121" s="1171">
        <f t="shared" si="96"/>
        <v>0.42665961377904743</v>
      </c>
      <c r="O121" s="1172">
        <f t="shared" si="97"/>
        <v>0.42665961377904743</v>
      </c>
    </row>
    <row r="122" spans="2:15">
      <c r="B122" s="31"/>
      <c r="C122" s="1133" t="s">
        <v>1094</v>
      </c>
      <c r="D122" s="1133"/>
      <c r="E122" s="1157"/>
      <c r="F122" s="1157"/>
      <c r="G122" s="1161">
        <v>1.0012695145553723</v>
      </c>
      <c r="H122" s="1161">
        <v>1.0136362091236242</v>
      </c>
      <c r="I122" s="1161">
        <v>1.158015891349476</v>
      </c>
      <c r="J122" s="1171">
        <f>J123+J124</f>
        <v>1.1580158913494762</v>
      </c>
      <c r="K122" s="1171">
        <f t="shared" ref="K122" si="99">K123+K124</f>
        <v>1.1076173502233111</v>
      </c>
      <c r="L122" s="1171">
        <f t="shared" ref="L122" si="100">L123+L124</f>
        <v>1.077378260596664</v>
      </c>
      <c r="M122" s="1171">
        <f t="shared" ref="M122" si="101">M123+M124</f>
        <v>1.058737048968444</v>
      </c>
      <c r="N122" s="1171">
        <f t="shared" ref="N122" si="102">N123+N124</f>
        <v>1.040851851678239</v>
      </c>
      <c r="O122" s="1172">
        <f t="shared" ref="O122" si="103">O123+O124</f>
        <v>1.0236460931925007</v>
      </c>
    </row>
    <row r="123" spans="2:15">
      <c r="B123" s="31"/>
      <c r="C123" s="1133"/>
      <c r="D123" s="1133" t="s">
        <v>1127</v>
      </c>
      <c r="E123" s="1157"/>
      <c r="F123" s="1157"/>
      <c r="G123" s="1161">
        <f>G122*0.6</f>
        <v>0.60076170873322332</v>
      </c>
      <c r="H123" s="1161">
        <f t="shared" ref="H123" si="104">H122*0.6</f>
        <v>0.60818172547417448</v>
      </c>
      <c r="I123" s="1161">
        <f t="shared" ref="I123" si="105">I122*0.6</f>
        <v>0.69480953480968555</v>
      </c>
      <c r="J123" s="1171">
        <f>H123*(1+J183)</f>
        <v>0.69480953480968566</v>
      </c>
      <c r="K123" s="1171">
        <f t="shared" ref="K123" si="106">J123*(1+K183)</f>
        <v>0.69480953480968566</v>
      </c>
      <c r="L123" s="1171">
        <f t="shared" ref="L123" si="107">K123*(1+L183)</f>
        <v>0.69480953480968566</v>
      </c>
      <c r="M123" s="1171">
        <f t="shared" ref="M123" si="108">L123*(1+M183)</f>
        <v>0.69480953480968566</v>
      </c>
      <c r="N123" s="1171">
        <f t="shared" ref="N123" si="109">M123*(1+N183)</f>
        <v>0.69480953480968566</v>
      </c>
      <c r="O123" s="1172">
        <f t="shared" ref="O123" si="110">N123*(1+O183)</f>
        <v>0.69480953480968566</v>
      </c>
    </row>
    <row r="124" spans="2:15">
      <c r="B124" s="31"/>
      <c r="C124" s="1133"/>
      <c r="D124" s="1133" t="s">
        <v>1128</v>
      </c>
      <c r="E124" s="1157"/>
      <c r="F124" s="1157"/>
      <c r="G124" s="1161">
        <f>G122-G123</f>
        <v>0.40050780582214895</v>
      </c>
      <c r="H124" s="1161">
        <f t="shared" ref="H124:I124" si="111">H122-H123</f>
        <v>0.40545448364944969</v>
      </c>
      <c r="I124" s="1161">
        <f t="shared" si="111"/>
        <v>0.46320635653979048</v>
      </c>
      <c r="J124" s="1252">
        <f>I124</f>
        <v>0.46320635653979048</v>
      </c>
      <c r="K124" s="1252">
        <f>IF(产能及CAPEX!O198&lt;=0%,J124,J124*产能及CAPEX!O197/产能及CAPEX!P197)</f>
        <v>0.41280781541362532</v>
      </c>
      <c r="L124" s="1252">
        <f>IF(产能及CAPEX!P198&lt;=0%,K124,K124*产能及CAPEX!P197/产能及CAPEX!Q197)</f>
        <v>0.38256872578697837</v>
      </c>
      <c r="M124" s="1252">
        <f>IF(产能及CAPEX!Q198&lt;=0%,L124,L124*产能及CAPEX!Q197/产能及CAPEX!R197)</f>
        <v>0.3639275141587584</v>
      </c>
      <c r="N124" s="1252">
        <f>IF(产能及CAPEX!R198&lt;=0%,M124,M124*产能及CAPEX!R197/产能及CAPEX!S197)</f>
        <v>0.34604231686855336</v>
      </c>
      <c r="O124" s="1440">
        <f>IF(产能及CAPEX!S198&lt;=0%,N124,N124*产能及CAPEX!S197/产能及CAPEX!T197)</f>
        <v>0.32883655838281506</v>
      </c>
    </row>
    <row r="125" spans="2:15">
      <c r="B125" s="31"/>
      <c r="C125" s="1133" t="s">
        <v>1095</v>
      </c>
      <c r="D125" s="1133"/>
      <c r="E125" s="1157"/>
      <c r="F125" s="1157"/>
      <c r="G125" s="1161">
        <v>0.2667425317585756</v>
      </c>
      <c r="H125" s="1161">
        <v>0.49859817649684618</v>
      </c>
      <c r="I125" s="1161">
        <v>0.17513470685512605</v>
      </c>
      <c r="J125" s="1171">
        <f t="shared" ref="J125" si="112">H125*(1+J185)</f>
        <v>0.17513470685512608</v>
      </c>
      <c r="K125" s="1171">
        <f t="shared" ref="K125:O125" si="113">J125*(1+K185)</f>
        <v>0.17513470685512608</v>
      </c>
      <c r="L125" s="1171">
        <f t="shared" si="113"/>
        <v>0.17513470685512608</v>
      </c>
      <c r="M125" s="1171">
        <f t="shared" si="113"/>
        <v>0.17513470685512608</v>
      </c>
      <c r="N125" s="1171">
        <f t="shared" si="113"/>
        <v>0.17513470685512608</v>
      </c>
      <c r="O125" s="1172">
        <f t="shared" si="113"/>
        <v>0.17513470685512608</v>
      </c>
    </row>
    <row r="126" spans="2:15" s="236" customFormat="1">
      <c r="B126" s="874" t="s">
        <v>844</v>
      </c>
      <c r="C126" s="1135"/>
      <c r="D126" s="1135"/>
      <c r="E126" s="1158"/>
      <c r="F126" s="1158"/>
      <c r="G126" s="1162">
        <v>4.0126792685604409</v>
      </c>
      <c r="H126" s="1162">
        <v>3.2634104842334124</v>
      </c>
      <c r="I126" s="1162">
        <v>3.3680691899067989</v>
      </c>
      <c r="J126" s="1169">
        <f>SUM(J127:J129,J132)</f>
        <v>3.3680691900825157</v>
      </c>
      <c r="K126" s="1169">
        <f t="shared" ref="K126" si="114">SUM(K127:K129,K132)</f>
        <v>3.288435525514235</v>
      </c>
      <c r="L126" s="1169">
        <f t="shared" ref="L126" si="115">SUM(L127:L129,L132)</f>
        <v>3.2421960213206984</v>
      </c>
      <c r="M126" s="1169">
        <f t="shared" ref="M126" si="116">SUM(M127:M129,M132)</f>
        <v>3.2109606054460524</v>
      </c>
      <c r="N126" s="1169">
        <f t="shared" ref="N126" si="117">SUM(N127:N129,N132)</f>
        <v>3.182194080652577</v>
      </c>
      <c r="O126" s="1170">
        <f t="shared" ref="O126" si="118">SUM(O127:O129,O132)</f>
        <v>3.1549017378280779</v>
      </c>
    </row>
    <row r="127" spans="2:15">
      <c r="B127" s="31"/>
      <c r="C127" s="1133" t="s">
        <v>1092</v>
      </c>
      <c r="D127" s="1133"/>
      <c r="E127" s="1157"/>
      <c r="F127" s="1157"/>
      <c r="G127" s="1161">
        <v>2.532811352938193</v>
      </c>
      <c r="H127" s="1161">
        <v>2.1965117155232243</v>
      </c>
      <c r="I127" s="1161">
        <v>2.318261358231152</v>
      </c>
      <c r="J127" s="1171">
        <f>H127*(1+J187)</f>
        <v>2.318261358231152</v>
      </c>
      <c r="K127" s="1171">
        <f>J127*(1+K187)</f>
        <v>2.3020335287235341</v>
      </c>
      <c r="L127" s="1171">
        <f t="shared" ref="L127:L128" si="119">K127*(1+L187)</f>
        <v>2.2859192940224693</v>
      </c>
      <c r="M127" s="1171">
        <f t="shared" ref="M127:M128" si="120">L127*(1+M187)</f>
        <v>2.2699178589643121</v>
      </c>
      <c r="N127" s="1171">
        <f t="shared" ref="N127:N128" si="121">M127*(1+N187)</f>
        <v>2.2540284339515617</v>
      </c>
      <c r="O127" s="1172">
        <f t="shared" ref="O127:O128" si="122">N127*(1+O187)</f>
        <v>2.2382502349139006</v>
      </c>
    </row>
    <row r="128" spans="2:15">
      <c r="B128" s="31"/>
      <c r="C128" s="1133" t="s">
        <v>1093</v>
      </c>
      <c r="D128" s="1133"/>
      <c r="E128" s="1157"/>
      <c r="F128" s="1157"/>
      <c r="G128" s="1161">
        <v>0.30316594535263169</v>
      </c>
      <c r="H128" s="1161">
        <v>0.20299174374503909</v>
      </c>
      <c r="I128" s="1161">
        <v>0.21356329476538694</v>
      </c>
      <c r="J128" s="1171">
        <f>H128*(1+J188)</f>
        <v>0.21356329476538694</v>
      </c>
      <c r="K128" s="1171">
        <f t="shared" ref="K128" si="123">J128*(1+K188)</f>
        <v>0.21356329476538694</v>
      </c>
      <c r="L128" s="1171">
        <f t="shared" si="119"/>
        <v>0.21356329476538694</v>
      </c>
      <c r="M128" s="1171">
        <f t="shared" si="120"/>
        <v>0.21356329476538694</v>
      </c>
      <c r="N128" s="1171">
        <f t="shared" si="121"/>
        <v>0.21356329476538694</v>
      </c>
      <c r="O128" s="1172">
        <f t="shared" si="122"/>
        <v>0.21356329476538694</v>
      </c>
    </row>
    <row r="129" spans="2:15">
      <c r="B129" s="31"/>
      <c r="C129" s="1133" t="s">
        <v>1094</v>
      </c>
      <c r="D129" s="1133"/>
      <c r="E129" s="1157"/>
      <c r="F129" s="1157"/>
      <c r="G129" s="1161">
        <v>0.91735200563067232</v>
      </c>
      <c r="H129" s="1161">
        <v>0.59490311535397844</v>
      </c>
      <c r="I129" s="1161">
        <v>0.6949001506039354</v>
      </c>
      <c r="J129" s="1171">
        <f>J130+J131</f>
        <v>0.6949001506039354</v>
      </c>
      <c r="K129" s="1171">
        <f t="shared" ref="K129" si="124">K130+K131</f>
        <v>0.6314943155432724</v>
      </c>
      <c r="L129" s="1171">
        <f t="shared" ref="L129" si="125">L130+L131</f>
        <v>0.60136904605080066</v>
      </c>
      <c r="M129" s="1171">
        <f t="shared" ref="M129" si="126">M130+M131</f>
        <v>0.58613506523431169</v>
      </c>
      <c r="N129" s="1171">
        <f t="shared" ref="N129" si="127">N130+N131</f>
        <v>0.57325796545358676</v>
      </c>
      <c r="O129" s="1172">
        <f t="shared" ref="O129" si="128">O130+O131</f>
        <v>0.56174382166674852</v>
      </c>
    </row>
    <row r="130" spans="2:15">
      <c r="B130" s="31"/>
      <c r="C130" s="1133"/>
      <c r="D130" s="1133" t="s">
        <v>1127</v>
      </c>
      <c r="E130" s="1157"/>
      <c r="F130" s="1157"/>
      <c r="G130" s="1161">
        <f>G129*0.6</f>
        <v>0.55041120337840332</v>
      </c>
      <c r="H130" s="1161">
        <f t="shared" ref="H130" si="129">H129*0.6</f>
        <v>0.35694186921238708</v>
      </c>
      <c r="I130" s="1161">
        <f t="shared" ref="I130" si="130">I129*0.6</f>
        <v>0.41694009036236124</v>
      </c>
      <c r="J130" s="1171">
        <f>H130*(1+J190)</f>
        <v>0.41694009036236124</v>
      </c>
      <c r="K130" s="1171">
        <f t="shared" ref="K130" si="131">J130*(1+K190)</f>
        <v>0.41694009036236124</v>
      </c>
      <c r="L130" s="1171">
        <f t="shared" ref="L130" si="132">K130*(1+L190)</f>
        <v>0.41694009036236124</v>
      </c>
      <c r="M130" s="1171">
        <f t="shared" ref="M130" si="133">L130*(1+M190)</f>
        <v>0.41694009036236124</v>
      </c>
      <c r="N130" s="1171">
        <f t="shared" ref="N130" si="134">M130*(1+N190)</f>
        <v>0.41694009036236124</v>
      </c>
      <c r="O130" s="1172">
        <f t="shared" ref="O130" si="135">N130*(1+O190)</f>
        <v>0.41694009036236124</v>
      </c>
    </row>
    <row r="131" spans="2:15">
      <c r="B131" s="31"/>
      <c r="C131" s="1133"/>
      <c r="D131" s="1133" t="s">
        <v>1128</v>
      </c>
      <c r="E131" s="1157"/>
      <c r="F131" s="1157"/>
      <c r="G131" s="1161">
        <f>G129-G130</f>
        <v>0.36694080225226899</v>
      </c>
      <c r="H131" s="1161">
        <f t="shared" ref="H131:I131" si="136">H129-H130</f>
        <v>0.23796124614159136</v>
      </c>
      <c r="I131" s="1161">
        <f t="shared" si="136"/>
        <v>0.27796006024157416</v>
      </c>
      <c r="J131" s="1252">
        <f>I131</f>
        <v>0.27796006024157416</v>
      </c>
      <c r="K131" s="1252">
        <f>IF(产能及CAPEX!O212&lt;=0%,J131,J131*产能及CAPEX!O211/产能及CAPEX!P211)</f>
        <v>0.21455422518091111</v>
      </c>
      <c r="L131" s="1252">
        <f>IF(产能及CAPEX!P212&lt;=0%,K131,K131*产能及CAPEX!P211/产能及CAPEX!Q211)</f>
        <v>0.18442895568843939</v>
      </c>
      <c r="M131" s="1252">
        <f>IF(产能及CAPEX!Q212&lt;=0%,L131,L131*产能及CAPEX!Q211/产能及CAPEX!R211)</f>
        <v>0.16919497487195045</v>
      </c>
      <c r="N131" s="1252">
        <f>IF(产能及CAPEX!R212&lt;=0%,M131,M131*产能及CAPEX!R211/产能及CAPEX!S211)</f>
        <v>0.15631787509122552</v>
      </c>
      <c r="O131" s="1440">
        <f>IF(产能及CAPEX!S212&lt;=0%,N131,N131*产能及CAPEX!S211/产能及CAPEX!T211)</f>
        <v>0.14480373130438728</v>
      </c>
    </row>
    <row r="132" spans="2:15">
      <c r="B132" s="33"/>
      <c r="C132" s="34" t="s">
        <v>1095</v>
      </c>
      <c r="D132" s="34"/>
      <c r="E132" s="1159"/>
      <c r="F132" s="1159"/>
      <c r="G132" s="1163">
        <v>0.25930473992179698</v>
      </c>
      <c r="H132" s="1163">
        <v>0.26900523450297847</v>
      </c>
      <c r="I132" s="1163">
        <v>0.14134438648204181</v>
      </c>
      <c r="J132" s="1173">
        <f t="shared" ref="J132" si="137">H132*(1+J192)</f>
        <v>0.14134438648204181</v>
      </c>
      <c r="K132" s="1173">
        <f t="shared" ref="K132:O132" si="138">J132*(1+K192)</f>
        <v>0.14134438648204181</v>
      </c>
      <c r="L132" s="1173">
        <f t="shared" si="138"/>
        <v>0.14134438648204181</v>
      </c>
      <c r="M132" s="1173">
        <f t="shared" si="138"/>
        <v>0.14134438648204181</v>
      </c>
      <c r="N132" s="1173">
        <f t="shared" si="138"/>
        <v>0.14134438648204181</v>
      </c>
      <c r="O132" s="1174">
        <f t="shared" si="138"/>
        <v>0.14134438648204181</v>
      </c>
    </row>
    <row r="133" spans="2:15" s="1125" customFormat="1">
      <c r="E133" s="1137"/>
      <c r="F133" s="1137"/>
      <c r="G133" s="1137"/>
      <c r="H133" s="1137"/>
      <c r="I133" s="1137"/>
      <c r="J133" s="1139"/>
      <c r="K133" s="1139"/>
      <c r="L133" s="1139"/>
      <c r="M133" s="1139"/>
      <c r="N133" s="1139"/>
      <c r="O133" s="1139"/>
    </row>
    <row r="134" spans="2:15" s="206" customFormat="1">
      <c r="B134" s="89" t="s">
        <v>871</v>
      </c>
      <c r="C134" s="89"/>
      <c r="D134" s="89"/>
      <c r="E134" s="89"/>
      <c r="F134" s="89"/>
      <c r="G134" s="89"/>
      <c r="H134" s="89"/>
      <c r="I134" s="89"/>
      <c r="J134" s="880"/>
      <c r="K134" s="880"/>
      <c r="L134" s="880"/>
      <c r="M134" s="880"/>
      <c r="N134" s="880"/>
      <c r="O134" s="880"/>
    </row>
    <row r="135" spans="2:15" s="885" customFormat="1">
      <c r="B135" s="881" t="s">
        <v>841</v>
      </c>
      <c r="C135" s="882"/>
      <c r="D135" s="882"/>
      <c r="E135" s="1164"/>
      <c r="F135" s="1164"/>
      <c r="G135" s="883">
        <f>G105/G$105</f>
        <v>1</v>
      </c>
      <c r="H135" s="883">
        <f>H105/H$105</f>
        <v>1</v>
      </c>
      <c r="I135" s="883">
        <f t="shared" ref="I135:O135" si="139">I105/I$105</f>
        <v>1</v>
      </c>
      <c r="J135" s="883">
        <f t="shared" si="139"/>
        <v>1</v>
      </c>
      <c r="K135" s="883">
        <f t="shared" si="139"/>
        <v>1</v>
      </c>
      <c r="L135" s="883">
        <f t="shared" si="139"/>
        <v>1</v>
      </c>
      <c r="M135" s="883">
        <f t="shared" si="139"/>
        <v>1</v>
      </c>
      <c r="N135" s="883">
        <f t="shared" si="139"/>
        <v>1</v>
      </c>
      <c r="O135" s="884">
        <f t="shared" si="139"/>
        <v>1</v>
      </c>
    </row>
    <row r="136" spans="2:15" s="206" customFormat="1">
      <c r="B136" s="715"/>
      <c r="C136" s="1133" t="s">
        <v>1092</v>
      </c>
      <c r="D136" s="1133"/>
      <c r="E136" s="1165"/>
      <c r="F136" s="1165"/>
      <c r="G136" s="91">
        <f t="shared" ref="G136" si="140">G106/G$105</f>
        <v>0.69746150293816245</v>
      </c>
      <c r="H136" s="91">
        <f t="shared" ref="H136:O136" si="141">H106/H$105</f>
        <v>0.73378500622889398</v>
      </c>
      <c r="I136" s="91">
        <f t="shared" si="141"/>
        <v>0.70767638309883363</v>
      </c>
      <c r="J136" s="91">
        <f t="shared" si="141"/>
        <v>0.70767638305040137</v>
      </c>
      <c r="K136" s="91">
        <f t="shared" si="141"/>
        <v>0.71268345211550399</v>
      </c>
      <c r="L136" s="91">
        <f t="shared" si="141"/>
        <v>0.71457201437230289</v>
      </c>
      <c r="M136" s="91">
        <f t="shared" si="141"/>
        <v>0.71625671023889448</v>
      </c>
      <c r="N136" s="91">
        <f t="shared" si="141"/>
        <v>0.71777502255655434</v>
      </c>
      <c r="O136" s="804">
        <f t="shared" si="141"/>
        <v>0.71913367971418218</v>
      </c>
    </row>
    <row r="137" spans="2:15" s="206" customFormat="1">
      <c r="B137" s="715"/>
      <c r="C137" s="1133" t="s">
        <v>1093</v>
      </c>
      <c r="D137" s="1133"/>
      <c r="E137" s="1165"/>
      <c r="F137" s="1165"/>
      <c r="G137" s="91">
        <f t="shared" ref="G137" si="142">G107/G$105</f>
        <v>7.9833565309411117E-2</v>
      </c>
      <c r="H137" s="91">
        <f t="shared" ref="H137:O137" si="143">H107/H$105</f>
        <v>5.6554639152780459E-2</v>
      </c>
      <c r="I137" s="91">
        <f t="shared" si="143"/>
        <v>7.0664267096820096E-2</v>
      </c>
      <c r="J137" s="91">
        <f t="shared" si="143"/>
        <v>7.0664267091983923E-2</v>
      </c>
      <c r="K137" s="91">
        <f t="shared" si="143"/>
        <v>7.1665903936938322E-2</v>
      </c>
      <c r="L137" s="91">
        <f t="shared" si="143"/>
        <v>7.2362350116784768E-2</v>
      </c>
      <c r="M137" s="91">
        <f t="shared" si="143"/>
        <v>7.3044263553299627E-2</v>
      </c>
      <c r="N137" s="91">
        <f t="shared" si="143"/>
        <v>7.3715107653941889E-2</v>
      </c>
      <c r="O137" s="804">
        <f t="shared" si="143"/>
        <v>7.4375267886385196E-2</v>
      </c>
    </row>
    <row r="138" spans="2:15" s="206" customFormat="1">
      <c r="B138" s="715"/>
      <c r="C138" s="1133" t="s">
        <v>1094</v>
      </c>
      <c r="D138" s="1133"/>
      <c r="E138" s="1165"/>
      <c r="F138" s="1165"/>
      <c r="G138" s="91">
        <f t="shared" ref="G138" si="144">G108/G$105</f>
        <v>0.17871341426091941</v>
      </c>
      <c r="H138" s="91">
        <f t="shared" ref="H138:O138" si="145">H108/H$105</f>
        <v>0.13124693314286556</v>
      </c>
      <c r="I138" s="91">
        <f t="shared" si="145"/>
        <v>0.17737161756826234</v>
      </c>
      <c r="J138" s="91">
        <f t="shared" si="145"/>
        <v>0.17737161755612327</v>
      </c>
      <c r="K138" s="91">
        <f t="shared" si="145"/>
        <v>0.17073515130440861</v>
      </c>
      <c r="L138" s="91">
        <f t="shared" si="145"/>
        <v>0.16771365603722294</v>
      </c>
      <c r="M138" s="91">
        <f t="shared" si="145"/>
        <v>0.16491966807483108</v>
      </c>
      <c r="N138" s="91">
        <f t="shared" si="145"/>
        <v>0.16231007053164453</v>
      </c>
      <c r="O138" s="804">
        <f t="shared" si="145"/>
        <v>0.15987750796521036</v>
      </c>
    </row>
    <row r="139" spans="2:15" s="206" customFormat="1">
      <c r="B139" s="715"/>
      <c r="C139" s="1133"/>
      <c r="D139" s="1133" t="s">
        <v>1127</v>
      </c>
      <c r="E139" s="1165"/>
      <c r="F139" s="1165"/>
      <c r="G139" s="91">
        <f t="shared" ref="G139" si="146">G109/G$105</f>
        <v>0.10722804855655164</v>
      </c>
      <c r="H139" s="91">
        <f t="shared" ref="H139:O139" si="147">H109/H$105</f>
        <v>7.8748159885719343E-2</v>
      </c>
      <c r="I139" s="91">
        <f t="shared" si="147"/>
        <v>0.1064229705409574</v>
      </c>
      <c r="J139" s="91">
        <f t="shared" si="147"/>
        <v>0.10642297053367396</v>
      </c>
      <c r="K139" s="91">
        <f t="shared" si="147"/>
        <v>0.10793147225346489</v>
      </c>
      <c r="L139" s="91">
        <f t="shared" si="147"/>
        <v>0.10898034567034487</v>
      </c>
      <c r="M139" s="91">
        <f t="shared" si="147"/>
        <v>0.11000733224428429</v>
      </c>
      <c r="N139" s="91">
        <f t="shared" si="147"/>
        <v>0.11101764799357816</v>
      </c>
      <c r="O139" s="804">
        <f t="shared" si="147"/>
        <v>0.11201187344664011</v>
      </c>
    </row>
    <row r="140" spans="2:15" s="206" customFormat="1">
      <c r="B140" s="715"/>
      <c r="C140" s="1133"/>
      <c r="D140" s="1133" t="s">
        <v>1128</v>
      </c>
      <c r="E140" s="1165"/>
      <c r="F140" s="1165"/>
      <c r="G140" s="91">
        <f t="shared" ref="G140" si="148">G110/G$105</f>
        <v>7.1485365704367754E-2</v>
      </c>
      <c r="H140" s="91">
        <f t="shared" ref="H140:O140" si="149">H110/H$105</f>
        <v>5.2498773257146227E-2</v>
      </c>
      <c r="I140" s="91">
        <f t="shared" si="149"/>
        <v>7.094864702730494E-2</v>
      </c>
      <c r="J140" s="91">
        <f t="shared" si="149"/>
        <v>7.094864702244931E-2</v>
      </c>
      <c r="K140" s="91">
        <f t="shared" si="149"/>
        <v>6.2803679050943709E-2</v>
      </c>
      <c r="L140" s="91">
        <f t="shared" si="149"/>
        <v>5.873331036687806E-2</v>
      </c>
      <c r="M140" s="91">
        <f t="shared" si="149"/>
        <v>5.4912335830546791E-2</v>
      </c>
      <c r="N140" s="91">
        <f t="shared" si="149"/>
        <v>5.129242253806638E-2</v>
      </c>
      <c r="O140" s="804">
        <f t="shared" si="149"/>
        <v>4.7865634518570246E-2</v>
      </c>
    </row>
    <row r="141" spans="2:15" s="206" customFormat="1">
      <c r="B141" s="715"/>
      <c r="C141" s="1133" t="s">
        <v>1095</v>
      </c>
      <c r="D141" s="1133"/>
      <c r="E141" s="1165"/>
      <c r="F141" s="1165"/>
      <c r="G141" s="91">
        <f t="shared" ref="G141" si="150">G111/G$105</f>
        <v>4.2819711373597955E-2</v>
      </c>
      <c r="H141" s="91">
        <f t="shared" ref="H141:O141" si="151">H111/H$105</f>
        <v>7.8413203424143416E-2</v>
      </c>
      <c r="I141" s="91">
        <f t="shared" si="151"/>
        <v>4.4287732304522438E-2</v>
      </c>
      <c r="J141" s="91">
        <f t="shared" si="151"/>
        <v>4.4287732301491446E-2</v>
      </c>
      <c r="K141" s="91">
        <f t="shared" si="151"/>
        <v>4.4915492643149084E-2</v>
      </c>
      <c r="L141" s="91">
        <f t="shared" si="151"/>
        <v>4.5351979473689422E-2</v>
      </c>
      <c r="M141" s="91">
        <f t="shared" si="151"/>
        <v>4.5779358132974853E-2</v>
      </c>
      <c r="N141" s="91">
        <f t="shared" si="151"/>
        <v>4.6199799257859171E-2</v>
      </c>
      <c r="O141" s="804">
        <f t="shared" si="151"/>
        <v>4.6613544434222241E-2</v>
      </c>
    </row>
    <row r="142" spans="2:15" s="885" customFormat="1">
      <c r="B142" s="886" t="s">
        <v>842</v>
      </c>
      <c r="C142" s="1135"/>
      <c r="D142" s="1135"/>
      <c r="E142" s="1166"/>
      <c r="F142" s="1166"/>
      <c r="G142" s="887">
        <f>G112/G$112</f>
        <v>1</v>
      </c>
      <c r="H142" s="887">
        <f>H112/H$112</f>
        <v>1</v>
      </c>
      <c r="I142" s="887">
        <f t="shared" ref="I142:O142" si="152">I112/I$112</f>
        <v>1</v>
      </c>
      <c r="J142" s="887">
        <f>J112/J$112</f>
        <v>1</v>
      </c>
      <c r="K142" s="887">
        <f t="shared" si="152"/>
        <v>1</v>
      </c>
      <c r="L142" s="887">
        <f t="shared" si="152"/>
        <v>1</v>
      </c>
      <c r="M142" s="887">
        <f t="shared" si="152"/>
        <v>1</v>
      </c>
      <c r="N142" s="887">
        <f t="shared" si="152"/>
        <v>1</v>
      </c>
      <c r="O142" s="888">
        <f t="shared" si="152"/>
        <v>1</v>
      </c>
    </row>
    <row r="143" spans="2:15" s="206" customFormat="1">
      <c r="B143" s="715"/>
      <c r="C143" s="1133" t="s">
        <v>1092</v>
      </c>
      <c r="D143" s="1133"/>
      <c r="E143" s="1165"/>
      <c r="F143" s="1165"/>
      <c r="G143" s="91">
        <f t="shared" ref="G143" si="153">G113/G$112</f>
        <v>0.92592848565429353</v>
      </c>
      <c r="H143" s="91">
        <f t="shared" ref="H143:O143" si="154">H113/H$112</f>
        <v>0.8754491378028747</v>
      </c>
      <c r="I143" s="91">
        <f t="shared" si="154"/>
        <v>0.89800054959163111</v>
      </c>
      <c r="J143" s="91">
        <f t="shared" si="154"/>
        <v>0.89803491243522071</v>
      </c>
      <c r="K143" s="91">
        <f t="shared" si="154"/>
        <v>0.90999403263224909</v>
      </c>
      <c r="L143" s="91">
        <f t="shared" si="154"/>
        <v>0.92942626512859894</v>
      </c>
      <c r="M143" s="91">
        <f t="shared" si="154"/>
        <v>0.93461331930987146</v>
      </c>
      <c r="N143" s="91">
        <f t="shared" si="154"/>
        <v>0.93504266954780613</v>
      </c>
      <c r="O143" s="804">
        <f t="shared" si="154"/>
        <v>0.93515786254864686</v>
      </c>
    </row>
    <row r="144" spans="2:15" s="206" customFormat="1">
      <c r="B144" s="715"/>
      <c r="C144" s="1133" t="s">
        <v>1093</v>
      </c>
      <c r="D144" s="1133"/>
      <c r="E144" s="1165"/>
      <c r="F144" s="1165"/>
      <c r="G144" s="91">
        <f t="shared" ref="G144" si="155">G114/G$112</f>
        <v>1.5606028486055371E-3</v>
      </c>
      <c r="H144" s="91">
        <f t="shared" ref="H144:O144" si="156">H114/H$112</f>
        <v>0</v>
      </c>
      <c r="I144" s="91">
        <f t="shared" si="156"/>
        <v>3.8264736224999081E-5</v>
      </c>
      <c r="J144" s="91">
        <f t="shared" si="156"/>
        <v>0</v>
      </c>
      <c r="K144" s="91">
        <f t="shared" si="156"/>
        <v>0</v>
      </c>
      <c r="L144" s="91">
        <f t="shared" si="156"/>
        <v>0</v>
      </c>
      <c r="M144" s="91">
        <f t="shared" si="156"/>
        <v>0</v>
      </c>
      <c r="N144" s="91">
        <f t="shared" si="156"/>
        <v>0</v>
      </c>
      <c r="O144" s="804">
        <f t="shared" si="156"/>
        <v>0</v>
      </c>
    </row>
    <row r="145" spans="2:15" s="206" customFormat="1">
      <c r="B145" s="715"/>
      <c r="C145" s="1133" t="s">
        <v>1094</v>
      </c>
      <c r="D145" s="1133"/>
      <c r="E145" s="1165"/>
      <c r="F145" s="1165"/>
      <c r="G145" s="91">
        <f>G115/G$112</f>
        <v>9.1087238255562353E-4</v>
      </c>
      <c r="H145" s="91">
        <f t="shared" ref="H145:O145" si="157">H115/H$112</f>
        <v>3.8509348883885533E-2</v>
      </c>
      <c r="I145" s="91">
        <f t="shared" si="157"/>
        <v>4.6908339440844854E-2</v>
      </c>
      <c r="J145" s="91">
        <f t="shared" si="157"/>
        <v>4.6910134432988228E-2</v>
      </c>
      <c r="K145" s="91">
        <f t="shared" si="157"/>
        <v>4.7869925611921167E-2</v>
      </c>
      <c r="L145" s="91">
        <f t="shared" si="157"/>
        <v>3.590237537513153E-2</v>
      </c>
      <c r="M145" s="91">
        <f t="shared" si="157"/>
        <v>3.3787111867999958E-2</v>
      </c>
      <c r="N145" s="91">
        <f t="shared" si="157"/>
        <v>3.3120386556884165E-2</v>
      </c>
      <c r="O145" s="804">
        <f t="shared" si="157"/>
        <v>3.2776814126192128E-2</v>
      </c>
    </row>
    <row r="146" spans="2:15" s="206" customFormat="1">
      <c r="B146" s="715"/>
      <c r="C146" s="1133"/>
      <c r="D146" s="1133" t="s">
        <v>1127</v>
      </c>
      <c r="E146" s="1165"/>
      <c r="F146" s="1165"/>
      <c r="G146" s="91">
        <f t="shared" ref="G146" si="158">G116/G$112</f>
        <v>5.4652342953337419E-4</v>
      </c>
      <c r="H146" s="91">
        <f t="shared" ref="H146:O146" si="159">H116/H$112</f>
        <v>2.3105609330331321E-2</v>
      </c>
      <c r="I146" s="91">
        <f t="shared" si="159"/>
        <v>2.8145003664506913E-2</v>
      </c>
      <c r="J146" s="91">
        <f>J116/J$112</f>
        <v>2.8146080659792936E-2</v>
      </c>
      <c r="K146" s="91">
        <f t="shared" si="159"/>
        <v>2.8721955367152698E-2</v>
      </c>
      <c r="L146" s="91">
        <f t="shared" si="159"/>
        <v>2.9542085542259761E-2</v>
      </c>
      <c r="M146" s="91">
        <f t="shared" si="159"/>
        <v>2.9916372181043666E-2</v>
      </c>
      <c r="N146" s="91">
        <f t="shared" si="159"/>
        <v>3.0141103128347398E-2</v>
      </c>
      <c r="O146" s="804">
        <f t="shared" si="159"/>
        <v>3.0357317598246829E-2</v>
      </c>
    </row>
    <row r="147" spans="2:15" s="206" customFormat="1">
      <c r="B147" s="715"/>
      <c r="C147" s="1133"/>
      <c r="D147" s="1133" t="s">
        <v>1128</v>
      </c>
      <c r="E147" s="1165"/>
      <c r="F147" s="1165"/>
      <c r="G147" s="91">
        <f t="shared" ref="G147" si="160">G117/G$112</f>
        <v>3.643489530222494E-4</v>
      </c>
      <c r="H147" s="91">
        <f t="shared" ref="H147:O147" si="161">H117/H$112</f>
        <v>1.5403739553554213E-2</v>
      </c>
      <c r="I147" s="91">
        <f t="shared" si="161"/>
        <v>1.8763335776337944E-2</v>
      </c>
      <c r="J147" s="91">
        <f t="shared" si="161"/>
        <v>1.8764053773195292E-2</v>
      </c>
      <c r="K147" s="91">
        <f t="shared" si="161"/>
        <v>1.9147970244768466E-2</v>
      </c>
      <c r="L147" s="91">
        <f t="shared" si="161"/>
        <v>6.3602898328717714E-3</v>
      </c>
      <c r="M147" s="91">
        <f t="shared" si="161"/>
        <v>3.8707396869562907E-3</v>
      </c>
      <c r="N147" s="91">
        <f t="shared" si="161"/>
        <v>2.9792834285367661E-3</v>
      </c>
      <c r="O147" s="804">
        <f t="shared" si="161"/>
        <v>2.4194965279453009E-3</v>
      </c>
    </row>
    <row r="148" spans="2:15" s="206" customFormat="1">
      <c r="B148" s="715"/>
      <c r="C148" s="1133" t="s">
        <v>1095</v>
      </c>
      <c r="D148" s="1133"/>
      <c r="E148" s="1165"/>
      <c r="F148" s="1165"/>
      <c r="G148" s="91">
        <f t="shared" ref="G148" si="162">G118/G$112</f>
        <v>7.1609664132187514E-2</v>
      </c>
      <c r="H148" s="91">
        <f t="shared" ref="H148:O148" si="163">H118/H$112</f>
        <v>8.6039856709000481E-2</v>
      </c>
      <c r="I148" s="91">
        <f t="shared" si="163"/>
        <v>5.5052846482353306E-2</v>
      </c>
      <c r="J148" s="91">
        <f t="shared" si="163"/>
        <v>5.5054953131790998E-2</v>
      </c>
      <c r="K148" s="91">
        <f t="shared" si="163"/>
        <v>4.2136041755829794E-2</v>
      </c>
      <c r="L148" s="91">
        <f t="shared" si="163"/>
        <v>3.4671359496269635E-2</v>
      </c>
      <c r="M148" s="91">
        <f t="shared" si="163"/>
        <v>3.1599568822128637E-2</v>
      </c>
      <c r="N148" s="91">
        <f t="shared" si="163"/>
        <v>3.1836943895309673E-2</v>
      </c>
      <c r="O148" s="804">
        <f t="shared" si="163"/>
        <v>3.2065323325161009E-2</v>
      </c>
    </row>
    <row r="149" spans="2:15" s="885" customFormat="1">
      <c r="B149" s="886" t="s">
        <v>843</v>
      </c>
      <c r="C149" s="1135"/>
      <c r="D149" s="1135"/>
      <c r="E149" s="1166"/>
      <c r="F149" s="1166"/>
      <c r="G149" s="887">
        <f>G119/G$119</f>
        <v>1</v>
      </c>
      <c r="H149" s="887">
        <f>H119/H$119</f>
        <v>1</v>
      </c>
      <c r="I149" s="887">
        <f t="shared" ref="I149:O149" si="164">I119/I$119</f>
        <v>1</v>
      </c>
      <c r="J149" s="887">
        <f t="shared" si="164"/>
        <v>1</v>
      </c>
      <c r="K149" s="887">
        <f t="shared" si="164"/>
        <v>1</v>
      </c>
      <c r="L149" s="887">
        <f t="shared" si="164"/>
        <v>1</v>
      </c>
      <c r="M149" s="887">
        <f t="shared" si="164"/>
        <v>1</v>
      </c>
      <c r="N149" s="887">
        <f t="shared" si="164"/>
        <v>1</v>
      </c>
      <c r="O149" s="888">
        <f t="shared" si="164"/>
        <v>1</v>
      </c>
    </row>
    <row r="150" spans="2:15" s="206" customFormat="1">
      <c r="B150" s="715"/>
      <c r="C150" s="1133" t="s">
        <v>1092</v>
      </c>
      <c r="D150" s="1133"/>
      <c r="E150" s="1165"/>
      <c r="F150" s="1165"/>
      <c r="G150" s="91">
        <f t="shared" ref="G150" si="165">G120/G$119</f>
        <v>0.67020391362230891</v>
      </c>
      <c r="H150" s="91">
        <f t="shared" ref="H150:O150" si="166">H120/H$119</f>
        <v>0.64259844501812591</v>
      </c>
      <c r="I150" s="91">
        <f t="shared" si="166"/>
        <v>0.66256729801341596</v>
      </c>
      <c r="J150" s="91">
        <f t="shared" si="166"/>
        <v>0.66342180768715986</v>
      </c>
      <c r="K150" s="91">
        <f t="shared" si="166"/>
        <v>0.66832357993702596</v>
      </c>
      <c r="L150" s="91">
        <f t="shared" si="166"/>
        <v>0.6707184044983141</v>
      </c>
      <c r="M150" s="91">
        <f t="shared" si="166"/>
        <v>0.67163185384117197</v>
      </c>
      <c r="N150" s="91">
        <f t="shared" si="166"/>
        <v>0.67247037627098205</v>
      </c>
      <c r="O150" s="804">
        <f t="shared" si="166"/>
        <v>0.67324190878168755</v>
      </c>
    </row>
    <row r="151" spans="2:15" s="206" customFormat="1">
      <c r="B151" s="715"/>
      <c r="C151" s="1133" t="s">
        <v>1093</v>
      </c>
      <c r="D151" s="1133"/>
      <c r="E151" s="1165"/>
      <c r="F151" s="1165"/>
      <c r="G151" s="91">
        <f t="shared" ref="G151" si="167">G121/G$119</f>
        <v>8.1644662340349852E-2</v>
      </c>
      <c r="H151" s="91">
        <f t="shared" ref="H151:O151" si="168">H121/H$119</f>
        <v>7.8647273507298734E-2</v>
      </c>
      <c r="I151" s="91">
        <f t="shared" si="168"/>
        <v>8.2785091396475011E-2</v>
      </c>
      <c r="J151" s="91">
        <f t="shared" si="168"/>
        <v>8.1602164006524411E-2</v>
      </c>
      <c r="K151" s="91">
        <f t="shared" si="168"/>
        <v>8.2784583547799842E-2</v>
      </c>
      <c r="L151" s="91">
        <f t="shared" si="168"/>
        <v>8.3666896381977274E-2</v>
      </c>
      <c r="M151" s="91">
        <f t="shared" si="168"/>
        <v>8.4371442167331695E-2</v>
      </c>
      <c r="N151" s="91">
        <f t="shared" si="168"/>
        <v>8.5072284656833475E-2</v>
      </c>
      <c r="O151" s="804">
        <f t="shared" si="168"/>
        <v>8.5770280972754312E-2</v>
      </c>
    </row>
    <row r="152" spans="2:15" s="206" customFormat="1">
      <c r="B152" s="715"/>
      <c r="C152" s="1133" t="s">
        <v>1094</v>
      </c>
      <c r="D152" s="1133"/>
      <c r="E152" s="1165"/>
      <c r="F152" s="1165"/>
      <c r="G152" s="91">
        <f t="shared" ref="G152:O154" si="169">G122/G$119</f>
        <v>0.19558979932260431</v>
      </c>
      <c r="H152" s="91">
        <f t="shared" ref="H152:O152" si="170">H122/H$119</f>
        <v>0.18684619214306811</v>
      </c>
      <c r="I152" s="91">
        <f t="shared" si="170"/>
        <v>0.22119479985309981</v>
      </c>
      <c r="J152" s="91">
        <f t="shared" si="170"/>
        <v>0.22148007366124442</v>
      </c>
      <c r="K152" s="91">
        <f t="shared" si="170"/>
        <v>0.21491052376951572</v>
      </c>
      <c r="L152" s="91">
        <f t="shared" si="170"/>
        <v>0.21127121570080667</v>
      </c>
      <c r="M152" s="91">
        <f t="shared" si="170"/>
        <v>0.20936401949614106</v>
      </c>
      <c r="N152" s="91">
        <f t="shared" si="170"/>
        <v>0.20753697362464493</v>
      </c>
      <c r="O152" s="804">
        <f t="shared" si="170"/>
        <v>0.20578093213962093</v>
      </c>
    </row>
    <row r="153" spans="2:15" s="206" customFormat="1">
      <c r="B153" s="715"/>
      <c r="C153" s="1133"/>
      <c r="D153" s="1133" t="s">
        <v>1127</v>
      </c>
      <c r="E153" s="1165"/>
      <c r="F153" s="1165"/>
      <c r="G153" s="91">
        <f t="shared" si="169"/>
        <v>0.11735387959356258</v>
      </c>
      <c r="H153" s="91">
        <f t="shared" si="169"/>
        <v>0.11210771528584086</v>
      </c>
      <c r="I153" s="91">
        <f t="shared" si="169"/>
        <v>0.13271687991185988</v>
      </c>
      <c r="J153" s="91">
        <f t="shared" si="169"/>
        <v>0.13288804419674663</v>
      </c>
      <c r="K153" s="91">
        <f t="shared" si="169"/>
        <v>0.13481359877208293</v>
      </c>
      <c r="L153" s="91">
        <f t="shared" si="169"/>
        <v>0.13625043354639299</v>
      </c>
      <c r="M153" s="91">
        <f t="shared" si="169"/>
        <v>0.13739777703418732</v>
      </c>
      <c r="N153" s="91">
        <f t="shared" si="169"/>
        <v>0.13853908975369342</v>
      </c>
      <c r="O153" s="804">
        <f t="shared" si="169"/>
        <v>0.13967576751718802</v>
      </c>
    </row>
    <row r="154" spans="2:15" s="206" customFormat="1">
      <c r="B154" s="715"/>
      <c r="C154" s="1133"/>
      <c r="D154" s="1133" t="s">
        <v>1128</v>
      </c>
      <c r="E154" s="1165"/>
      <c r="F154" s="1165"/>
      <c r="G154" s="91">
        <f t="shared" si="169"/>
        <v>7.8235919729041731E-2</v>
      </c>
      <c r="H154" s="91">
        <f t="shared" si="169"/>
        <v>7.4738476857227246E-2</v>
      </c>
      <c r="I154" s="91">
        <f t="shared" si="169"/>
        <v>8.8477919941239935E-2</v>
      </c>
      <c r="J154" s="91">
        <f t="shared" si="169"/>
        <v>8.8592029464497762E-2</v>
      </c>
      <c r="K154" s="91">
        <f t="shared" si="169"/>
        <v>8.0096924997432775E-2</v>
      </c>
      <c r="L154" s="91">
        <f t="shared" si="169"/>
        <v>7.5020782154413684E-2</v>
      </c>
      <c r="M154" s="91">
        <f t="shared" si="169"/>
        <v>7.1966242461953753E-2</v>
      </c>
      <c r="N154" s="91">
        <f t="shared" si="169"/>
        <v>6.8997883870951515E-2</v>
      </c>
      <c r="O154" s="804">
        <f t="shared" si="169"/>
        <v>6.6105164622432919E-2</v>
      </c>
    </row>
    <row r="155" spans="2:15" s="206" customFormat="1">
      <c r="B155" s="715"/>
      <c r="C155" s="1133" t="s">
        <v>1095</v>
      </c>
      <c r="D155" s="1133"/>
      <c r="E155" s="1165"/>
      <c r="F155" s="1165"/>
      <c r="G155" s="91">
        <f t="shared" ref="G155" si="171">G125/G$119</f>
        <v>5.2105968971432201E-2</v>
      </c>
      <c r="H155" s="91">
        <f t="shared" ref="H155:O155" si="172">H125/H$119</f>
        <v>9.1907895406044104E-2</v>
      </c>
      <c r="I155" s="91">
        <f t="shared" si="172"/>
        <v>3.3452810725254516E-2</v>
      </c>
      <c r="J155" s="91">
        <f t="shared" si="172"/>
        <v>3.3495954645071213E-2</v>
      </c>
      <c r="K155" s="91">
        <f t="shared" si="172"/>
        <v>3.3981312745658361E-2</v>
      </c>
      <c r="L155" s="91">
        <f t="shared" si="172"/>
        <v>3.4343483418901886E-2</v>
      </c>
      <c r="M155" s="91">
        <f t="shared" si="172"/>
        <v>3.4632684495355219E-2</v>
      </c>
      <c r="N155" s="91">
        <f t="shared" si="172"/>
        <v>3.4920365447539438E-2</v>
      </c>
      <c r="O155" s="804">
        <f t="shared" si="172"/>
        <v>3.5206878105937103E-2</v>
      </c>
    </row>
    <row r="156" spans="2:15" s="885" customFormat="1">
      <c r="B156" s="886" t="s">
        <v>844</v>
      </c>
      <c r="C156" s="1135"/>
      <c r="D156" s="1135"/>
      <c r="E156" s="1166"/>
      <c r="F156" s="1166"/>
      <c r="G156" s="887">
        <f>G126/G$126</f>
        <v>1</v>
      </c>
      <c r="H156" s="887">
        <f>H126/H$126</f>
        <v>1</v>
      </c>
      <c r="I156" s="887">
        <f t="shared" ref="I156:O156" si="173">I126/I$126</f>
        <v>1</v>
      </c>
      <c r="J156" s="887">
        <f t="shared" si="173"/>
        <v>1</v>
      </c>
      <c r="K156" s="887">
        <f t="shared" si="173"/>
        <v>1</v>
      </c>
      <c r="L156" s="887">
        <f t="shared" si="173"/>
        <v>1</v>
      </c>
      <c r="M156" s="887">
        <f t="shared" si="173"/>
        <v>1</v>
      </c>
      <c r="N156" s="887">
        <f t="shared" si="173"/>
        <v>1</v>
      </c>
      <c r="O156" s="888">
        <f t="shared" si="173"/>
        <v>1</v>
      </c>
    </row>
    <row r="157" spans="2:15" s="206" customFormat="1">
      <c r="B157" s="715"/>
      <c r="C157" s="1133" t="s">
        <v>1092</v>
      </c>
      <c r="D157" s="1133"/>
      <c r="E157" s="1165"/>
      <c r="F157" s="1165"/>
      <c r="G157" s="91">
        <f t="shared" ref="G157" si="174">G127/G$126</f>
        <v>0.63120204317920625</v>
      </c>
      <c r="H157" s="91">
        <f t="shared" ref="H157:O157" si="175">H127/H$126</f>
        <v>0.6730724578275642</v>
      </c>
      <c r="I157" s="91">
        <f t="shared" si="175"/>
        <v>0.68830574062384475</v>
      </c>
      <c r="J157" s="91">
        <f t="shared" si="175"/>
        <v>0.68830574058793492</v>
      </c>
      <c r="K157" s="91">
        <f t="shared" si="175"/>
        <v>0.70003912525046375</v>
      </c>
      <c r="L157" s="91">
        <f t="shared" si="175"/>
        <v>0.70505277256225463</v>
      </c>
      <c r="M157" s="91">
        <f t="shared" si="175"/>
        <v>0.70692796888082188</v>
      </c>
      <c r="N157" s="91">
        <f t="shared" si="175"/>
        <v>0.7083252550986221</v>
      </c>
      <c r="O157" s="804">
        <f t="shared" si="175"/>
        <v>0.70945164728165966</v>
      </c>
    </row>
    <row r="158" spans="2:15" s="206" customFormat="1">
      <c r="B158" s="715"/>
      <c r="C158" s="1133" t="s">
        <v>1093</v>
      </c>
      <c r="D158" s="1133"/>
      <c r="E158" s="1165"/>
      <c r="F158" s="1165"/>
      <c r="G158" s="91">
        <f t="shared" ref="G158" si="176">G128/G$126</f>
        <v>7.5552000312597442E-2</v>
      </c>
      <c r="H158" s="91">
        <f t="shared" ref="H158:O158" si="177">H128/H$126</f>
        <v>6.2202332414435027E-2</v>
      </c>
      <c r="I158" s="91">
        <f t="shared" si="177"/>
        <v>6.3408226709053037E-2</v>
      </c>
      <c r="J158" s="91">
        <f t="shared" si="177"/>
        <v>6.3408226705744947E-2</v>
      </c>
      <c r="K158" s="91">
        <f t="shared" si="177"/>
        <v>6.4943737868173826E-2</v>
      </c>
      <c r="L158" s="91">
        <f t="shared" si="177"/>
        <v>6.5869951526987741E-2</v>
      </c>
      <c r="M158" s="91">
        <f t="shared" si="177"/>
        <v>6.6510717821690518E-2</v>
      </c>
      <c r="N158" s="91">
        <f t="shared" si="177"/>
        <v>6.7111964057701728E-2</v>
      </c>
      <c r="O158" s="804">
        <f t="shared" si="177"/>
        <v>6.7692534510570793E-2</v>
      </c>
    </row>
    <row r="159" spans="2:15" s="206" customFormat="1">
      <c r="B159" s="715"/>
      <c r="C159" s="1133" t="s">
        <v>1094</v>
      </c>
      <c r="D159" s="1133"/>
      <c r="E159" s="1165"/>
      <c r="F159" s="1165"/>
      <c r="G159" s="91">
        <f t="shared" ref="G159:O161" si="178">G129/G$126</f>
        <v>0.22861333892747793</v>
      </c>
      <c r="H159" s="91">
        <f t="shared" ref="H159:O159" si="179">H129/H$126</f>
        <v>0.18229490841809423</v>
      </c>
      <c r="I159" s="91">
        <f t="shared" si="179"/>
        <v>0.2063200342458418</v>
      </c>
      <c r="J159" s="91">
        <f t="shared" si="179"/>
        <v>0.2063200342350778</v>
      </c>
      <c r="K159" s="91">
        <f t="shared" si="179"/>
        <v>0.19203487817950188</v>
      </c>
      <c r="L159" s="91">
        <f t="shared" si="179"/>
        <v>0.18548201345513798</v>
      </c>
      <c r="M159" s="91">
        <f t="shared" si="179"/>
        <v>0.1825419671110815</v>
      </c>
      <c r="N159" s="91">
        <f t="shared" si="179"/>
        <v>0.18014550681837355</v>
      </c>
      <c r="O159" s="804">
        <f t="shared" si="179"/>
        <v>0.17805430037053027</v>
      </c>
    </row>
    <row r="160" spans="2:15" s="206" customFormat="1">
      <c r="B160" s="715"/>
      <c r="C160" s="1133"/>
      <c r="D160" s="1133" t="s">
        <v>1127</v>
      </c>
      <c r="E160" s="1165"/>
      <c r="F160" s="1165"/>
      <c r="G160" s="91">
        <f t="shared" si="178"/>
        <v>0.13716800335648674</v>
      </c>
      <c r="H160" s="91">
        <f t="shared" si="178"/>
        <v>0.10937694505085654</v>
      </c>
      <c r="I160" s="91">
        <f t="shared" si="178"/>
        <v>0.12379202054750507</v>
      </c>
      <c r="J160" s="91">
        <f t="shared" si="178"/>
        <v>0.12379202054104668</v>
      </c>
      <c r="K160" s="91">
        <f t="shared" si="178"/>
        <v>0.12678980236267867</v>
      </c>
      <c r="L160" s="91">
        <f t="shared" si="178"/>
        <v>0.12859805132711316</v>
      </c>
      <c r="M160" s="91">
        <f t="shared" si="178"/>
        <v>0.12984902077440522</v>
      </c>
      <c r="N160" s="91">
        <f t="shared" si="178"/>
        <v>0.13102283512414137</v>
      </c>
      <c r="O160" s="804">
        <f t="shared" si="178"/>
        <v>0.13215628409694763</v>
      </c>
    </row>
    <row r="161" spans="2:15" s="206" customFormat="1">
      <c r="B161" s="715"/>
      <c r="C161" s="1133"/>
      <c r="D161" s="1133" t="s">
        <v>1128</v>
      </c>
      <c r="E161" s="1165"/>
      <c r="F161" s="1165"/>
      <c r="G161" s="91">
        <f t="shared" si="178"/>
        <v>9.1445335570991187E-2</v>
      </c>
      <c r="H161" s="91">
        <f t="shared" si="178"/>
        <v>7.2917963367237687E-2</v>
      </c>
      <c r="I161" s="91">
        <f t="shared" si="178"/>
        <v>8.2528013698336719E-2</v>
      </c>
      <c r="J161" s="91">
        <f t="shared" si="178"/>
        <v>8.2528013694031122E-2</v>
      </c>
      <c r="K161" s="91">
        <f t="shared" si="178"/>
        <v>6.5245075816823206E-2</v>
      </c>
      <c r="L161" s="91">
        <f t="shared" si="178"/>
        <v>5.688396212802483E-2</v>
      </c>
      <c r="M161" s="91">
        <f t="shared" si="178"/>
        <v>5.2692946336676288E-2</v>
      </c>
      <c r="N161" s="91">
        <f t="shared" si="178"/>
        <v>4.9122671694232171E-2</v>
      </c>
      <c r="O161" s="804">
        <f t="shared" si="178"/>
        <v>4.5898016273582642E-2</v>
      </c>
    </row>
    <row r="162" spans="2:15" s="206" customFormat="1">
      <c r="B162" s="719"/>
      <c r="C162" s="34" t="s">
        <v>1095</v>
      </c>
      <c r="D162" s="34"/>
      <c r="E162" s="1168"/>
      <c r="F162" s="1168"/>
      <c r="G162" s="794">
        <f t="shared" ref="G162" si="180">G132/G$126</f>
        <v>6.4621347126709985E-2</v>
      </c>
      <c r="H162" s="794">
        <f t="shared" ref="H162:O162" si="181">H132/H$126</f>
        <v>8.2430707323712243E-2</v>
      </c>
      <c r="I162" s="794">
        <f t="shared" si="181"/>
        <v>4.1965998473431923E-2</v>
      </c>
      <c r="J162" s="794">
        <f t="shared" si="181"/>
        <v>4.1965998471242501E-2</v>
      </c>
      <c r="K162" s="794">
        <f t="shared" si="181"/>
        <v>4.2982258701860614E-2</v>
      </c>
      <c r="L162" s="794">
        <f t="shared" si="181"/>
        <v>4.3595262455619697E-2</v>
      </c>
      <c r="M162" s="794">
        <f t="shared" si="181"/>
        <v>4.4019346186406072E-2</v>
      </c>
      <c r="N162" s="794">
        <f t="shared" si="181"/>
        <v>4.4417274025302732E-2</v>
      </c>
      <c r="O162" s="805">
        <f t="shared" si="181"/>
        <v>4.480151783723927E-2</v>
      </c>
    </row>
    <row r="163" spans="2:15" s="206" customFormat="1"/>
    <row r="164" spans="2:15" s="206" customFormat="1">
      <c r="B164" s="89" t="s">
        <v>872</v>
      </c>
      <c r="C164" s="89"/>
      <c r="D164" s="89"/>
      <c r="E164" s="89"/>
      <c r="F164" s="89"/>
      <c r="G164" s="89"/>
      <c r="H164" s="89"/>
      <c r="I164" s="89"/>
      <c r="J164" s="880"/>
      <c r="K164" s="880"/>
      <c r="L164" s="880"/>
      <c r="M164" s="880"/>
      <c r="N164" s="880"/>
      <c r="O164" s="880"/>
    </row>
    <row r="165" spans="2:15" s="885" customFormat="1">
      <c r="B165" s="881" t="s">
        <v>841</v>
      </c>
      <c r="C165" s="882"/>
      <c r="D165" s="882"/>
      <c r="E165" s="883"/>
      <c r="F165" s="883"/>
      <c r="G165" s="883"/>
      <c r="H165" s="883"/>
      <c r="I165" s="883">
        <f>I105/H105-1</f>
        <v>-0.1854458398082045</v>
      </c>
      <c r="J165" s="1242">
        <f>J105/H105-1</f>
        <v>-0.18544583975245765</v>
      </c>
      <c r="K165" s="1242">
        <f>K105/J105-1</f>
        <v>-1.3976476817145422E-2</v>
      </c>
      <c r="L165" s="1242">
        <f>L105/K105-1</f>
        <v>-9.6244273261227864E-3</v>
      </c>
      <c r="M165" s="1242">
        <f>M105/L105-1</f>
        <v>-9.3356192990743381E-3</v>
      </c>
      <c r="N165" s="1242">
        <f>N105/M105-1</f>
        <v>-9.1004967908555612E-3</v>
      </c>
      <c r="O165" s="1243">
        <f>O105/N105-1</f>
        <v>-8.8760719954886769E-3</v>
      </c>
    </row>
    <row r="166" spans="2:15" s="206" customFormat="1">
      <c r="B166" s="715"/>
      <c r="C166" s="1133" t="s">
        <v>1092</v>
      </c>
      <c r="D166" s="1133"/>
      <c r="E166" s="91"/>
      <c r="F166" s="91"/>
      <c r="G166" s="91"/>
      <c r="H166" s="91"/>
      <c r="I166" s="91">
        <f>I106/H106-1</f>
        <v>-0.21442829026295873</v>
      </c>
      <c r="J166" s="471">
        <f>I166</f>
        <v>-0.21442829026295873</v>
      </c>
      <c r="K166" s="471">
        <v>-7.0000000000000001E-3</v>
      </c>
      <c r="L166" s="471">
        <v>-7.0000000000000001E-3</v>
      </c>
      <c r="M166" s="471">
        <v>-7.0000000000000001E-3</v>
      </c>
      <c r="N166" s="471">
        <v>-7.0000000000000001E-3</v>
      </c>
      <c r="O166" s="1244">
        <v>-7.0000000000000001E-3</v>
      </c>
    </row>
    <row r="167" spans="2:15" s="206" customFormat="1">
      <c r="B167" s="715"/>
      <c r="C167" s="1133" t="s">
        <v>1093</v>
      </c>
      <c r="D167" s="1133"/>
      <c r="E167" s="91"/>
      <c r="F167" s="91"/>
      <c r="G167" s="91"/>
      <c r="H167" s="91"/>
      <c r="I167" s="91">
        <f>I107/H107-1</f>
        <v>1.7774555772921641E-2</v>
      </c>
      <c r="J167" s="471">
        <f>I167</f>
        <v>1.7774555772921641E-2</v>
      </c>
      <c r="K167" s="471">
        <v>0</v>
      </c>
      <c r="L167" s="471">
        <v>0</v>
      </c>
      <c r="M167" s="471">
        <v>0</v>
      </c>
      <c r="N167" s="471">
        <v>0</v>
      </c>
      <c r="O167" s="1244">
        <v>0</v>
      </c>
    </row>
    <row r="168" spans="2:15" s="206" customFormat="1">
      <c r="B168" s="715"/>
      <c r="C168" s="1133" t="s">
        <v>1094</v>
      </c>
      <c r="D168" s="1133"/>
      <c r="E168" s="91"/>
      <c r="F168" s="91"/>
      <c r="G168" s="91"/>
      <c r="H168" s="91"/>
      <c r="I168" s="91">
        <f>I108/H108-1</f>
        <v>0.100816495520756</v>
      </c>
      <c r="J168" s="471">
        <f>I168</f>
        <v>0.100816495520756</v>
      </c>
      <c r="K168" s="471">
        <v>0</v>
      </c>
      <c r="L168" s="471">
        <v>0</v>
      </c>
      <c r="M168" s="471">
        <v>0</v>
      </c>
      <c r="N168" s="471">
        <v>0</v>
      </c>
      <c r="O168" s="1244">
        <v>0</v>
      </c>
    </row>
    <row r="169" spans="2:15" s="206" customFormat="1">
      <c r="B169" s="715"/>
      <c r="C169" s="1133"/>
      <c r="D169" s="1133" t="s">
        <v>1127</v>
      </c>
      <c r="E169" s="91"/>
      <c r="F169" s="91"/>
      <c r="G169" s="91"/>
      <c r="H169" s="91"/>
      <c r="I169" s="91">
        <f t="shared" ref="I169:I170" si="182">I109/H109-1</f>
        <v>0.100816495520756</v>
      </c>
      <c r="J169" s="471">
        <f>I169</f>
        <v>0.100816495520756</v>
      </c>
      <c r="K169" s="471">
        <v>0</v>
      </c>
      <c r="L169" s="471">
        <v>0</v>
      </c>
      <c r="M169" s="471">
        <v>0</v>
      </c>
      <c r="N169" s="471">
        <v>0</v>
      </c>
      <c r="O169" s="1244">
        <v>0</v>
      </c>
    </row>
    <row r="170" spans="2:15" s="206" customFormat="1">
      <c r="B170" s="715"/>
      <c r="C170" s="1133"/>
      <c r="D170" s="1133" t="s">
        <v>1128</v>
      </c>
      <c r="E170" s="91"/>
      <c r="F170" s="91"/>
      <c r="G170" s="91"/>
      <c r="H170" s="91"/>
      <c r="I170" s="91">
        <f t="shared" si="182"/>
        <v>0.100816495520756</v>
      </c>
      <c r="J170" s="1251">
        <f>J110/H110-1</f>
        <v>0.100816495520756</v>
      </c>
      <c r="K170" s="1251">
        <f>K110/J110-1</f>
        <v>-0.12717285691068392</v>
      </c>
      <c r="L170" s="1251">
        <f t="shared" ref="L170:O170" si="183">L110/K110-1</f>
        <v>-7.3811649753098618E-2</v>
      </c>
      <c r="M170" s="1251">
        <f t="shared" si="183"/>
        <v>-7.378462360453053E-2</v>
      </c>
      <c r="N170" s="1251">
        <f t="shared" si="183"/>
        <v>-7.4422254259851162E-2</v>
      </c>
      <c r="O170" s="1441">
        <f t="shared" si="183"/>
        <v>-7.5091926779910501E-2</v>
      </c>
    </row>
    <row r="171" spans="2:15" s="206" customFormat="1">
      <c r="B171" s="715"/>
      <c r="C171" s="1133" t="s">
        <v>1095</v>
      </c>
      <c r="D171" s="1133"/>
      <c r="E171" s="91"/>
      <c r="F171" s="91"/>
      <c r="G171" s="91"/>
      <c r="H171" s="91"/>
      <c r="I171" s="91">
        <f>I111/H111-1</f>
        <v>-0.5399402776726514</v>
      </c>
      <c r="J171" s="1247">
        <f>I171</f>
        <v>-0.5399402776726514</v>
      </c>
      <c r="K171" s="1247">
        <v>0</v>
      </c>
      <c r="L171" s="1247">
        <v>0</v>
      </c>
      <c r="M171" s="1247">
        <v>0</v>
      </c>
      <c r="N171" s="1247">
        <v>0</v>
      </c>
      <c r="O171" s="1247">
        <v>0</v>
      </c>
    </row>
    <row r="172" spans="2:15" s="885" customFormat="1">
      <c r="B172" s="886" t="s">
        <v>842</v>
      </c>
      <c r="C172" s="1135"/>
      <c r="D172" s="1135"/>
      <c r="E172" s="887"/>
      <c r="F172" s="887"/>
      <c r="G172" s="887"/>
      <c r="H172" s="887"/>
      <c r="I172" s="91">
        <f>I112/H112-1</f>
        <v>-1.1048213084678626E-2</v>
      </c>
      <c r="J172" s="1245">
        <f>J112/H112-1</f>
        <v>-1.1086054815663715E-2</v>
      </c>
      <c r="K172" s="1245">
        <f>K112/J112-1</f>
        <v>-2.004998266999436E-2</v>
      </c>
      <c r="L172" s="1245">
        <f>L112/K112-1</f>
        <v>-2.7761417653938913E-2</v>
      </c>
      <c r="M172" s="1245">
        <f>M112/L112-1</f>
        <v>-1.2511097151715167E-2</v>
      </c>
      <c r="N172" s="1245">
        <f>N112/M112-1</f>
        <v>-7.4559629203608813E-3</v>
      </c>
      <c r="O172" s="1246">
        <f>O112/N112-1</f>
        <v>-7.1223180111248396E-3</v>
      </c>
    </row>
    <row r="173" spans="2:15" s="206" customFormat="1">
      <c r="B173" s="715"/>
      <c r="C173" s="1133" t="s">
        <v>1092</v>
      </c>
      <c r="D173" s="1133"/>
      <c r="E173" s="91"/>
      <c r="F173" s="91"/>
      <c r="G173" s="91"/>
      <c r="H173" s="91"/>
      <c r="I173" s="91">
        <f>I113/H113-1</f>
        <v>1.4427006460258074E-2</v>
      </c>
      <c r="J173" s="471">
        <f>I173</f>
        <v>1.4427006460258074E-2</v>
      </c>
      <c r="K173" s="471">
        <v>-7.0000000000000001E-3</v>
      </c>
      <c r="L173" s="471">
        <v>-7.0000000000000001E-3</v>
      </c>
      <c r="M173" s="471">
        <v>-7.0000000000000001E-3</v>
      </c>
      <c r="N173" s="471">
        <v>-7.0000000000000001E-3</v>
      </c>
      <c r="O173" s="1244">
        <v>-7.0000000000000001E-3</v>
      </c>
    </row>
    <row r="174" spans="2:15" s="206" customFormat="1">
      <c r="B174" s="715"/>
      <c r="C174" s="1133" t="s">
        <v>1093</v>
      </c>
      <c r="D174" s="1133"/>
      <c r="E174" s="91"/>
      <c r="F174" s="91"/>
      <c r="G174" s="91"/>
      <c r="H174" s="91"/>
      <c r="I174" s="91">
        <v>0</v>
      </c>
      <c r="J174" s="471">
        <f>I174</f>
        <v>0</v>
      </c>
      <c r="K174" s="471">
        <v>0</v>
      </c>
      <c r="L174" s="471">
        <v>0</v>
      </c>
      <c r="M174" s="471">
        <v>0</v>
      </c>
      <c r="N174" s="471">
        <v>0</v>
      </c>
      <c r="O174" s="1244">
        <v>0</v>
      </c>
    </row>
    <row r="175" spans="2:15" s="206" customFormat="1">
      <c r="B175" s="715"/>
      <c r="C175" s="1133" t="s">
        <v>1094</v>
      </c>
      <c r="D175" s="1133"/>
      <c r="E175" s="91"/>
      <c r="F175" s="91"/>
      <c r="G175" s="91"/>
      <c r="H175" s="91"/>
      <c r="I175" s="91"/>
      <c r="J175" s="471">
        <f>I175</f>
        <v>0</v>
      </c>
      <c r="K175" s="471">
        <v>0</v>
      </c>
      <c r="L175" s="471">
        <v>0</v>
      </c>
      <c r="M175" s="471">
        <v>0</v>
      </c>
      <c r="N175" s="471">
        <v>0</v>
      </c>
      <c r="O175" s="1244">
        <v>0</v>
      </c>
    </row>
    <row r="176" spans="2:15" s="206" customFormat="1">
      <c r="B176" s="715"/>
      <c r="C176" s="1133"/>
      <c r="D176" s="1133" t="s">
        <v>1127</v>
      </c>
      <c r="E176" s="91"/>
      <c r="F176" s="91"/>
      <c r="G176" s="91"/>
      <c r="H176" s="91"/>
      <c r="I176" s="91">
        <f t="shared" ref="I176:I177" si="184">I116/H116-1</f>
        <v>0.20464477992423724</v>
      </c>
      <c r="J176" s="471">
        <f>I176</f>
        <v>0.20464477992423724</v>
      </c>
      <c r="K176" s="471">
        <v>0</v>
      </c>
      <c r="L176" s="471">
        <v>0</v>
      </c>
      <c r="M176" s="471">
        <v>0</v>
      </c>
      <c r="N176" s="471">
        <v>0</v>
      </c>
      <c r="O176" s="1244">
        <v>0</v>
      </c>
    </row>
    <row r="177" spans="2:15" s="206" customFormat="1">
      <c r="B177" s="715"/>
      <c r="C177" s="1133"/>
      <c r="D177" s="1133" t="s">
        <v>1128</v>
      </c>
      <c r="E177" s="91"/>
      <c r="F177" s="91"/>
      <c r="G177" s="91"/>
      <c r="H177" s="91"/>
      <c r="I177" s="91">
        <f t="shared" si="184"/>
        <v>0.20464477992423746</v>
      </c>
      <c r="J177" s="1251">
        <f>J117/H117-1</f>
        <v>0.20464477992423746</v>
      </c>
      <c r="K177" s="1251">
        <f>K117/J117-1</f>
        <v>0</v>
      </c>
      <c r="L177" s="1251">
        <f t="shared" ref="L177:O177" si="185">L117/K117-1</f>
        <v>-0.67705615313921808</v>
      </c>
      <c r="M177" s="1251">
        <f t="shared" si="185"/>
        <v>-0.39903485735367084</v>
      </c>
      <c r="N177" s="1251">
        <f t="shared" si="185"/>
        <v>-0.23604524175853159</v>
      </c>
      <c r="O177" s="1441">
        <f t="shared" si="185"/>
        <v>-0.19367721740180288</v>
      </c>
    </row>
    <row r="178" spans="2:15" s="206" customFormat="1">
      <c r="B178" s="715"/>
      <c r="C178" s="1133" t="s">
        <v>1095</v>
      </c>
      <c r="D178" s="1133"/>
      <c r="E178" s="91"/>
      <c r="F178" s="91"/>
      <c r="G178" s="91"/>
      <c r="H178" s="91"/>
      <c r="I178" s="91">
        <f>I118/H118-1</f>
        <v>-0.36721639265813877</v>
      </c>
      <c r="J178" s="1247">
        <f>I178</f>
        <v>-0.36721639265813877</v>
      </c>
      <c r="K178" s="1247">
        <v>-0.25</v>
      </c>
      <c r="L178" s="1247">
        <v>-0.2</v>
      </c>
      <c r="M178" s="1247">
        <v>-0.1</v>
      </c>
      <c r="N178" s="1247">
        <v>0</v>
      </c>
      <c r="O178" s="1244">
        <v>0</v>
      </c>
    </row>
    <row r="179" spans="2:15" s="885" customFormat="1">
      <c r="B179" s="886" t="s">
        <v>843</v>
      </c>
      <c r="C179" s="1135"/>
      <c r="D179" s="1135"/>
      <c r="E179" s="887"/>
      <c r="F179" s="887"/>
      <c r="G179" s="887"/>
      <c r="H179" s="887"/>
      <c r="I179" s="887">
        <f>I119/H119-1</f>
        <v>-3.4967939213434551E-2</v>
      </c>
      <c r="J179" s="1245">
        <f>J119/H119-1</f>
        <v>-3.6210933070223827E-2</v>
      </c>
      <c r="K179" s="1245">
        <f>K119/J119-1</f>
        <v>-1.428308859695715E-2</v>
      </c>
      <c r="L179" s="1245">
        <f>L119/K119-1</f>
        <v>-1.0545542769380134E-2</v>
      </c>
      <c r="M179" s="1245">
        <f>M119/L119-1</f>
        <v>-8.3505243866416334E-3</v>
      </c>
      <c r="N179" s="1245">
        <f>N119/M119-1</f>
        <v>-8.2381999299636632E-3</v>
      </c>
      <c r="O179" s="1246">
        <f>O119/N119-1</f>
        <v>-8.1379739929098305E-3</v>
      </c>
    </row>
    <row r="180" spans="2:15" s="206" customFormat="1">
      <c r="B180" s="715"/>
      <c r="C180" s="1133" t="s">
        <v>1092</v>
      </c>
      <c r="D180" s="1133"/>
      <c r="E180" s="91"/>
      <c r="F180" s="91"/>
      <c r="G180" s="91"/>
      <c r="H180" s="91"/>
      <c r="I180" s="91">
        <f>I120/H120-1</f>
        <v>-4.9794082622817148E-3</v>
      </c>
      <c r="J180" s="471">
        <f>I180</f>
        <v>-4.9794082622817148E-3</v>
      </c>
      <c r="K180" s="471">
        <v>-7.0000000000000001E-3</v>
      </c>
      <c r="L180" s="471">
        <v>-7.0000000000000001E-3</v>
      </c>
      <c r="M180" s="471">
        <v>-7.0000000000000001E-3</v>
      </c>
      <c r="N180" s="471">
        <v>-7.0000000000000001E-3</v>
      </c>
      <c r="O180" s="1244">
        <v>-7.0000000000000001E-3</v>
      </c>
    </row>
    <row r="181" spans="2:15" s="206" customFormat="1">
      <c r="B181" s="715"/>
      <c r="C181" s="1133" t="s">
        <v>1093</v>
      </c>
      <c r="D181" s="1133"/>
      <c r="E181" s="91"/>
      <c r="F181" s="91"/>
      <c r="G181" s="91"/>
      <c r="H181" s="91"/>
      <c r="I181" s="91"/>
      <c r="J181" s="471">
        <f>I181</f>
        <v>0</v>
      </c>
      <c r="K181" s="471"/>
      <c r="L181" s="471"/>
      <c r="M181" s="471"/>
      <c r="N181" s="471"/>
      <c r="O181" s="1244"/>
    </row>
    <row r="182" spans="2:15" s="206" customFormat="1">
      <c r="B182" s="715"/>
      <c r="C182" s="1133" t="s">
        <v>1094</v>
      </c>
      <c r="D182" s="1133"/>
      <c r="E182" s="91"/>
      <c r="F182" s="91"/>
      <c r="G182" s="91"/>
      <c r="H182" s="91"/>
      <c r="I182" s="91">
        <f>I122/H122-1</f>
        <v>0.14243737637458764</v>
      </c>
      <c r="J182" s="471">
        <f>I182</f>
        <v>0.14243737637458764</v>
      </c>
      <c r="K182" s="471">
        <v>0</v>
      </c>
      <c r="L182" s="471">
        <v>0</v>
      </c>
      <c r="M182" s="471">
        <v>0</v>
      </c>
      <c r="N182" s="471">
        <v>0</v>
      </c>
      <c r="O182" s="1244">
        <v>0</v>
      </c>
    </row>
    <row r="183" spans="2:15" s="206" customFormat="1">
      <c r="B183" s="715"/>
      <c r="C183" s="1133"/>
      <c r="D183" s="1133" t="s">
        <v>1127</v>
      </c>
      <c r="E183" s="91"/>
      <c r="F183" s="91"/>
      <c r="G183" s="91"/>
      <c r="H183" s="91"/>
      <c r="I183" s="91">
        <f t="shared" ref="I183:I184" si="186">I123/H123-1</f>
        <v>0.14243737637458764</v>
      </c>
      <c r="J183" s="471">
        <f>I183</f>
        <v>0.14243737637458764</v>
      </c>
      <c r="K183" s="471">
        <v>0</v>
      </c>
      <c r="L183" s="471">
        <v>0</v>
      </c>
      <c r="M183" s="471">
        <v>0</v>
      </c>
      <c r="N183" s="471">
        <v>0</v>
      </c>
      <c r="O183" s="1244">
        <v>0</v>
      </c>
    </row>
    <row r="184" spans="2:15" s="206" customFormat="1">
      <c r="B184" s="715"/>
      <c r="C184" s="1133"/>
      <c r="D184" s="1133" t="s">
        <v>1128</v>
      </c>
      <c r="E184" s="91"/>
      <c r="F184" s="91"/>
      <c r="G184" s="91"/>
      <c r="H184" s="91"/>
      <c r="I184" s="91">
        <f t="shared" si="186"/>
        <v>0.14243737637458764</v>
      </c>
      <c r="J184" s="1251">
        <f>J124/H124-1</f>
        <v>0.14243737637458764</v>
      </c>
      <c r="K184" s="1251">
        <f>K124/J124-1</f>
        <v>-0.10880364747722504</v>
      </c>
      <c r="L184" s="1251">
        <f t="shared" ref="L184:O184" si="187">L124/K124-1</f>
        <v>-7.3252221730220834E-2</v>
      </c>
      <c r="M184" s="1251">
        <f t="shared" si="187"/>
        <v>-4.8726438863692545E-2</v>
      </c>
      <c r="N184" s="1251">
        <f t="shared" si="187"/>
        <v>-4.9144943963766563E-2</v>
      </c>
      <c r="O184" s="1441">
        <f t="shared" si="187"/>
        <v>-4.9721544582866817E-2</v>
      </c>
    </row>
    <row r="185" spans="2:15" s="206" customFormat="1">
      <c r="B185" s="715"/>
      <c r="C185" s="1133" t="s">
        <v>1095</v>
      </c>
      <c r="D185" s="1133"/>
      <c r="E185" s="91"/>
      <c r="F185" s="91"/>
      <c r="G185" s="91"/>
      <c r="H185" s="91"/>
      <c r="I185" s="91">
        <f>I125/H125-1</f>
        <v>-0.64874579348519967</v>
      </c>
      <c r="J185" s="1247">
        <f>I185</f>
        <v>-0.64874579348519967</v>
      </c>
      <c r="K185" s="1247">
        <v>0</v>
      </c>
      <c r="L185" s="1247">
        <v>0</v>
      </c>
      <c r="M185" s="1247">
        <v>0</v>
      </c>
      <c r="N185" s="1247">
        <v>0</v>
      </c>
      <c r="O185" s="1247">
        <v>0</v>
      </c>
    </row>
    <row r="186" spans="2:15" s="885" customFormat="1">
      <c r="B186" s="886" t="s">
        <v>844</v>
      </c>
      <c r="C186" s="1135"/>
      <c r="D186" s="1135"/>
      <c r="E186" s="887"/>
      <c r="F186" s="887"/>
      <c r="G186" s="887"/>
      <c r="H186" s="887"/>
      <c r="I186" s="887">
        <f>I126/H126-1</f>
        <v>3.2070346706007946E-2</v>
      </c>
      <c r="J186" s="1245">
        <f>J126/H126-1</f>
        <v>3.2070346759852431E-2</v>
      </c>
      <c r="K186" s="1245">
        <f>K126/J126-1</f>
        <v>-2.3643713972019031E-2</v>
      </c>
      <c r="L186" s="1245">
        <f>L126/K126-1</f>
        <v>-1.406124700781719E-2</v>
      </c>
      <c r="M186" s="1245">
        <f>M126/L126-1</f>
        <v>-9.6340306598495795E-3</v>
      </c>
      <c r="N186" s="1245">
        <f>N126/M126-1</f>
        <v>-8.9588532306141833E-3</v>
      </c>
      <c r="O186" s="1246">
        <f>O126/N126-1</f>
        <v>-8.576580225082342E-3</v>
      </c>
    </row>
    <row r="187" spans="2:15" s="206" customFormat="1">
      <c r="B187" s="715"/>
      <c r="C187" s="1133" t="s">
        <v>1092</v>
      </c>
      <c r="D187" s="1133"/>
      <c r="E187" s="91"/>
      <c r="F187" s="91"/>
      <c r="G187" s="91"/>
      <c r="H187" s="91"/>
      <c r="I187" s="91">
        <f>I127/H127-1</f>
        <v>5.5428633431588992E-2</v>
      </c>
      <c r="J187" s="471">
        <f>I187</f>
        <v>5.5428633431588992E-2</v>
      </c>
      <c r="K187" s="471">
        <v>-7.0000000000000001E-3</v>
      </c>
      <c r="L187" s="471">
        <v>-7.0000000000000001E-3</v>
      </c>
      <c r="M187" s="471">
        <v>-7.0000000000000001E-3</v>
      </c>
      <c r="N187" s="471">
        <v>-7.0000000000000001E-3</v>
      </c>
      <c r="O187" s="1244">
        <v>-7.0000000000000001E-3</v>
      </c>
    </row>
    <row r="188" spans="2:15" s="206" customFormat="1">
      <c r="B188" s="715"/>
      <c r="C188" s="1133" t="s">
        <v>1093</v>
      </c>
      <c r="D188" s="1133"/>
      <c r="E188" s="91"/>
      <c r="F188" s="91"/>
      <c r="G188" s="91"/>
      <c r="H188" s="91"/>
      <c r="I188" s="91">
        <f>I128/H128-1</f>
        <v>5.2078724116119135E-2</v>
      </c>
      <c r="J188" s="471">
        <f>I188</f>
        <v>5.2078724116119135E-2</v>
      </c>
      <c r="K188" s="471">
        <v>0</v>
      </c>
      <c r="L188" s="471">
        <v>0</v>
      </c>
      <c r="M188" s="471">
        <v>0</v>
      </c>
      <c r="N188" s="471">
        <v>0</v>
      </c>
      <c r="O188" s="1244">
        <v>0</v>
      </c>
    </row>
    <row r="189" spans="2:15" s="206" customFormat="1">
      <c r="B189" s="715"/>
      <c r="C189" s="1133" t="s">
        <v>1094</v>
      </c>
      <c r="D189" s="1133"/>
      <c r="E189" s="91"/>
      <c r="F189" s="91"/>
      <c r="G189" s="91"/>
      <c r="H189" s="91"/>
      <c r="I189" s="91">
        <f>I129/H129-1</f>
        <v>0.16808961437436221</v>
      </c>
      <c r="J189" s="471">
        <f>I189</f>
        <v>0.16808961437436221</v>
      </c>
      <c r="K189" s="471">
        <v>0</v>
      </c>
      <c r="L189" s="471">
        <v>0</v>
      </c>
      <c r="M189" s="471">
        <v>0</v>
      </c>
      <c r="N189" s="471">
        <v>0</v>
      </c>
      <c r="O189" s="1244">
        <v>0</v>
      </c>
    </row>
    <row r="190" spans="2:15" s="206" customFormat="1">
      <c r="B190" s="715"/>
      <c r="C190" s="1133"/>
      <c r="D190" s="1133" t="s">
        <v>1127</v>
      </c>
      <c r="E190" s="91"/>
      <c r="F190" s="91"/>
      <c r="G190" s="91"/>
      <c r="H190" s="91"/>
      <c r="I190" s="91">
        <f t="shared" ref="I190:I191" si="188">I130/H130-1</f>
        <v>0.16808961437436221</v>
      </c>
      <c r="J190" s="471">
        <f>I190</f>
        <v>0.16808961437436221</v>
      </c>
      <c r="K190" s="471">
        <v>0</v>
      </c>
      <c r="L190" s="471">
        <v>0</v>
      </c>
      <c r="M190" s="471">
        <v>0</v>
      </c>
      <c r="N190" s="471">
        <v>0</v>
      </c>
      <c r="O190" s="1244">
        <v>0</v>
      </c>
    </row>
    <row r="191" spans="2:15" s="206" customFormat="1">
      <c r="B191" s="715"/>
      <c r="C191" s="1133"/>
      <c r="D191" s="1133" t="s">
        <v>1128</v>
      </c>
      <c r="E191" s="91"/>
      <c r="F191" s="91"/>
      <c r="G191" s="91"/>
      <c r="H191" s="91"/>
      <c r="I191" s="91">
        <f t="shared" si="188"/>
        <v>0.16808961437436221</v>
      </c>
      <c r="J191" s="1251">
        <f>J131/H131-1</f>
        <v>0.16808961437436221</v>
      </c>
      <c r="K191" s="1251">
        <f>K131/J131-1</f>
        <v>-0.22811131572484644</v>
      </c>
      <c r="L191" s="1251">
        <f t="shared" ref="L191:O191" si="189">L131/K131-1</f>
        <v>-0.14040865178520823</v>
      </c>
      <c r="M191" s="1251">
        <f t="shared" si="189"/>
        <v>-8.2600808314634122E-2</v>
      </c>
      <c r="N191" s="1251">
        <f t="shared" si="189"/>
        <v>-7.610805102498186E-2</v>
      </c>
      <c r="O191" s="1441">
        <f t="shared" si="189"/>
        <v>-7.3658522930398762E-2</v>
      </c>
    </row>
    <row r="192" spans="2:15" s="206" customFormat="1">
      <c r="B192" s="719"/>
      <c r="C192" s="34" t="s">
        <v>1095</v>
      </c>
      <c r="D192" s="34"/>
      <c r="E192" s="794"/>
      <c r="F192" s="794"/>
      <c r="G192" s="794"/>
      <c r="H192" s="794"/>
      <c r="I192" s="794">
        <f t="shared" ref="I192" si="190">I132/H132-1</f>
        <v>-0.47456640855634791</v>
      </c>
      <c r="J192" s="1250">
        <f>I192</f>
        <v>-0.47456640855634791</v>
      </c>
      <c r="K192" s="1247">
        <v>0</v>
      </c>
      <c r="L192" s="1247">
        <v>0</v>
      </c>
      <c r="M192" s="1247">
        <v>0</v>
      </c>
      <c r="N192" s="1247">
        <v>0</v>
      </c>
      <c r="O192" s="1247">
        <v>0</v>
      </c>
    </row>
    <row r="193" spans="2:15" s="1152" customFormat="1">
      <c r="B193" s="1153"/>
      <c r="C193" s="1153"/>
      <c r="D193" s="1153"/>
      <c r="E193" s="175"/>
      <c r="F193" s="175"/>
      <c r="G193" s="175"/>
      <c r="H193" s="175"/>
      <c r="I193" s="175"/>
      <c r="J193" s="1154"/>
      <c r="K193" s="1154"/>
      <c r="L193" s="1154"/>
      <c r="M193" s="1154"/>
      <c r="N193" s="1154"/>
      <c r="O193" s="1154"/>
    </row>
    <row r="194" spans="2:15">
      <c r="B194" s="1" t="s">
        <v>873</v>
      </c>
    </row>
    <row r="195" spans="2:15" s="885" customFormat="1">
      <c r="B195" s="881" t="s">
        <v>841</v>
      </c>
      <c r="C195" s="882"/>
      <c r="D195" s="882"/>
      <c r="E195" s="889"/>
      <c r="F195" s="889"/>
      <c r="G195" s="889"/>
      <c r="H195" s="889">
        <f>H105</f>
        <v>4.2942830096217746</v>
      </c>
      <c r="I195" s="889">
        <f t="shared" ref="I195:O195" si="191">I105</f>
        <v>3.4979260905283605</v>
      </c>
      <c r="J195" s="889">
        <f>J105</f>
        <v>3.4979260907677534</v>
      </c>
      <c r="K195" s="889">
        <f t="shared" si="191"/>
        <v>3.4490374078520496</v>
      </c>
      <c r="L195" s="889">
        <f t="shared" si="191"/>
        <v>3.4158423979750987</v>
      </c>
      <c r="M195" s="889">
        <f t="shared" si="191"/>
        <v>3.3839533937619661</v>
      </c>
      <c r="N195" s="889">
        <f t="shared" si="191"/>
        <v>3.3531577367616308</v>
      </c>
      <c r="O195" s="890">
        <f t="shared" si="191"/>
        <v>3.3233948672779046</v>
      </c>
    </row>
    <row r="196" spans="2:15" s="885" customFormat="1">
      <c r="B196" s="886" t="s">
        <v>842</v>
      </c>
      <c r="C196" s="1167"/>
      <c r="D196" s="1167"/>
      <c r="E196" s="891"/>
      <c r="F196" s="891"/>
      <c r="G196" s="891"/>
      <c r="H196" s="891">
        <f>H112</f>
        <v>3.1843211404977869</v>
      </c>
      <c r="I196" s="891">
        <f t="shared" ref="I196:O196" si="192">I112</f>
        <v>3.1491400820075204</v>
      </c>
      <c r="J196" s="891">
        <f t="shared" si="192"/>
        <v>3.1490195817835516</v>
      </c>
      <c r="K196" s="891">
        <f t="shared" si="192"/>
        <v>3.0858817937413185</v>
      </c>
      <c r="L196" s="891">
        <f t="shared" si="192"/>
        <v>3.0002133404345797</v>
      </c>
      <c r="M196" s="891">
        <f t="shared" si="192"/>
        <v>2.9626773798565309</v>
      </c>
      <c r="N196" s="891">
        <f t="shared" si="192"/>
        <v>2.9405877671673286</v>
      </c>
      <c r="O196" s="892">
        <f t="shared" si="192"/>
        <v>2.9196439659499394</v>
      </c>
    </row>
    <row r="197" spans="2:15" s="885" customFormat="1">
      <c r="B197" s="886" t="s">
        <v>843</v>
      </c>
      <c r="C197" s="1167"/>
      <c r="D197" s="1167"/>
      <c r="E197" s="891"/>
      <c r="F197" s="891"/>
      <c r="G197" s="891"/>
      <c r="H197" s="891">
        <f>H119</f>
        <v>5.4249765408517563</v>
      </c>
      <c r="I197" s="891">
        <f t="shared" ref="I197:O197" si="193">I119</f>
        <v>5.2352762909369437</v>
      </c>
      <c r="J197" s="891">
        <f t="shared" si="193"/>
        <v>5.228533078423439</v>
      </c>
      <c r="K197" s="891">
        <f t="shared" si="193"/>
        <v>5.1538534772321958</v>
      </c>
      <c r="L197" s="891">
        <f t="shared" si="193"/>
        <v>5.0995032949609254</v>
      </c>
      <c r="M197" s="891">
        <f t="shared" si="193"/>
        <v>5.056919768336595</v>
      </c>
      <c r="N197" s="891">
        <f t="shared" si="193"/>
        <v>5.0152598522552525</v>
      </c>
      <c r="O197" s="892">
        <f t="shared" si="193"/>
        <v>4.9744457980099144</v>
      </c>
    </row>
    <row r="198" spans="2:15" s="885" customFormat="1">
      <c r="B198" s="894" t="s">
        <v>844</v>
      </c>
      <c r="C198" s="895"/>
      <c r="D198" s="895"/>
      <c r="E198" s="896"/>
      <c r="F198" s="896"/>
      <c r="G198" s="896"/>
      <c r="H198" s="896">
        <f>H126</f>
        <v>3.2634104842334124</v>
      </c>
      <c r="I198" s="896">
        <f t="shared" ref="I198:O198" si="194">I126</f>
        <v>3.3680691899067989</v>
      </c>
      <c r="J198" s="896">
        <f t="shared" si="194"/>
        <v>3.3680691900825157</v>
      </c>
      <c r="K198" s="896">
        <f t="shared" si="194"/>
        <v>3.288435525514235</v>
      </c>
      <c r="L198" s="896">
        <f t="shared" si="194"/>
        <v>3.2421960213206984</v>
      </c>
      <c r="M198" s="896">
        <f t="shared" si="194"/>
        <v>3.2109606054460524</v>
      </c>
      <c r="N198" s="896">
        <f t="shared" si="194"/>
        <v>3.182194080652577</v>
      </c>
      <c r="O198" s="897">
        <f t="shared" si="194"/>
        <v>3.1549017378280779</v>
      </c>
    </row>
    <row r="199" spans="2:15" s="885" customFormat="1">
      <c r="B199" s="1167"/>
      <c r="C199" s="1167"/>
      <c r="D199" s="1167"/>
      <c r="E199" s="891"/>
      <c r="F199" s="891"/>
      <c r="G199" s="891"/>
      <c r="H199" s="891"/>
      <c r="I199" s="891"/>
      <c r="J199" s="891"/>
      <c r="K199" s="891"/>
      <c r="L199" s="891"/>
      <c r="M199" s="891"/>
      <c r="N199" s="891"/>
      <c r="O199" s="891"/>
    </row>
    <row r="200" spans="2:15" s="885" customFormat="1">
      <c r="B200" s="1167"/>
      <c r="C200" s="1167"/>
      <c r="D200" s="1167"/>
      <c r="E200" s="891"/>
      <c r="F200" s="891"/>
      <c r="G200" s="891"/>
      <c r="H200" s="891"/>
      <c r="I200" s="891"/>
      <c r="J200" s="891"/>
      <c r="K200" s="891"/>
      <c r="L200" s="891"/>
      <c r="M200" s="891"/>
      <c r="N200" s="891"/>
      <c r="O200" s="891"/>
    </row>
    <row r="202" spans="2:15" hidden="1">
      <c r="B202" s="1" t="s">
        <v>873</v>
      </c>
    </row>
    <row r="203" spans="2:15" hidden="1">
      <c r="B203" s="881" t="s">
        <v>841</v>
      </c>
      <c r="C203" s="882"/>
      <c r="D203" s="882"/>
      <c r="E203" s="883"/>
      <c r="F203" s="889"/>
      <c r="G203" s="889"/>
      <c r="H203" s="889"/>
      <c r="I203" s="889">
        <f>I195/H195</f>
        <v>0.8145541601917955</v>
      </c>
      <c r="J203" s="889">
        <f>J195/H195</f>
        <v>0.81455416024754235</v>
      </c>
      <c r="K203" s="889">
        <f>K195/J195</f>
        <v>0.98602352318285458</v>
      </c>
      <c r="L203" s="889">
        <f t="shared" ref="L203:L208" si="195">L195/K195</f>
        <v>0.99037557267387721</v>
      </c>
      <c r="M203" s="889">
        <f t="shared" ref="M203:M208" si="196">M195/L195</f>
        <v>0.99066438070092566</v>
      </c>
      <c r="N203" s="889">
        <f t="shared" ref="N203:N208" si="197">N195/M195</f>
        <v>0.99089950320914444</v>
      </c>
      <c r="O203" s="890">
        <f t="shared" ref="O203:O208" si="198">O195/N195</f>
        <v>0.99112392800451132</v>
      </c>
    </row>
    <row r="204" spans="2:15" hidden="1">
      <c r="B204" s="886" t="s">
        <v>842</v>
      </c>
      <c r="C204" s="1167"/>
      <c r="D204" s="1167"/>
      <c r="E204" s="887"/>
      <c r="F204" s="891"/>
      <c r="G204" s="891"/>
      <c r="H204" s="891"/>
      <c r="I204" s="891">
        <f t="shared" ref="I204:I208" si="199">I196/H196</f>
        <v>0.98895178691532137</v>
      </c>
      <c r="J204" s="891">
        <f t="shared" ref="J204:J208" si="200">J196/H196</f>
        <v>0.98891394518433628</v>
      </c>
      <c r="K204" s="891">
        <f t="shared" ref="K204:K208" si="201">K196/J196</f>
        <v>0.97995001733000564</v>
      </c>
      <c r="L204" s="891">
        <f t="shared" si="195"/>
        <v>0.97223858234606109</v>
      </c>
      <c r="M204" s="891">
        <f t="shared" si="196"/>
        <v>0.98748890284828483</v>
      </c>
      <c r="N204" s="891">
        <f t="shared" si="197"/>
        <v>0.99254403707963912</v>
      </c>
      <c r="O204" s="892">
        <f t="shared" si="198"/>
        <v>0.99287768198887516</v>
      </c>
    </row>
    <row r="205" spans="2:15" hidden="1">
      <c r="B205" s="886" t="s">
        <v>843</v>
      </c>
      <c r="C205" s="1167"/>
      <c r="D205" s="1167"/>
      <c r="E205" s="887"/>
      <c r="F205" s="891"/>
      <c r="G205" s="891"/>
      <c r="H205" s="891"/>
      <c r="I205" s="891">
        <f t="shared" si="199"/>
        <v>0.96503206078656545</v>
      </c>
      <c r="J205" s="891">
        <f t="shared" si="200"/>
        <v>0.96378906692977617</v>
      </c>
      <c r="K205" s="891">
        <f t="shared" si="201"/>
        <v>0.98571691140304285</v>
      </c>
      <c r="L205" s="891">
        <f t="shared" si="195"/>
        <v>0.98945445723061987</v>
      </c>
      <c r="M205" s="891">
        <f t="shared" si="196"/>
        <v>0.99164947561335837</v>
      </c>
      <c r="N205" s="891">
        <f t="shared" si="197"/>
        <v>0.99176180007003634</v>
      </c>
      <c r="O205" s="892">
        <f t="shared" si="198"/>
        <v>0.99186202600709017</v>
      </c>
    </row>
    <row r="206" spans="2:15" hidden="1">
      <c r="B206" s="886" t="s">
        <v>844</v>
      </c>
      <c r="C206" s="1167"/>
      <c r="D206" s="1167"/>
      <c r="E206" s="887"/>
      <c r="F206" s="891"/>
      <c r="G206" s="891"/>
      <c r="H206" s="891"/>
      <c r="I206" s="891">
        <f t="shared" si="199"/>
        <v>1.0320703467060079</v>
      </c>
      <c r="J206" s="891">
        <f t="shared" si="200"/>
        <v>1.0320703467598524</v>
      </c>
      <c r="K206" s="891">
        <f t="shared" si="201"/>
        <v>0.97635628602798097</v>
      </c>
      <c r="L206" s="891">
        <f t="shared" si="195"/>
        <v>0.98593875299218281</v>
      </c>
      <c r="M206" s="891">
        <f t="shared" si="196"/>
        <v>0.99036596934015042</v>
      </c>
      <c r="N206" s="891">
        <f t="shared" si="197"/>
        <v>0.99104114676938582</v>
      </c>
      <c r="O206" s="892">
        <f t="shared" si="198"/>
        <v>0.99142341977491766</v>
      </c>
    </row>
    <row r="207" spans="2:15" hidden="1">
      <c r="B207" s="886" t="s">
        <v>665</v>
      </c>
      <c r="C207" s="1167"/>
      <c r="D207" s="1167"/>
      <c r="E207" s="887"/>
      <c r="F207" s="891"/>
      <c r="G207" s="891"/>
      <c r="H207" s="891"/>
      <c r="I207" s="891" t="e">
        <f t="shared" si="199"/>
        <v>#DIV/0!</v>
      </c>
      <c r="J207" s="891" t="e">
        <f t="shared" si="200"/>
        <v>#DIV/0!</v>
      </c>
      <c r="K207" s="891" t="e">
        <f t="shared" si="201"/>
        <v>#DIV/0!</v>
      </c>
      <c r="L207" s="891" t="e">
        <f t="shared" si="195"/>
        <v>#DIV/0!</v>
      </c>
      <c r="M207" s="891" t="e">
        <f t="shared" si="196"/>
        <v>#DIV/0!</v>
      </c>
      <c r="N207" s="891" t="e">
        <f t="shared" si="197"/>
        <v>#DIV/0!</v>
      </c>
      <c r="O207" s="892" t="e">
        <f t="shared" si="198"/>
        <v>#DIV/0!</v>
      </c>
    </row>
    <row r="208" spans="2:15" hidden="1">
      <c r="B208" s="894" t="s">
        <v>870</v>
      </c>
      <c r="C208" s="895"/>
      <c r="D208" s="895"/>
      <c r="E208" s="898"/>
      <c r="F208" s="896"/>
      <c r="G208" s="896"/>
      <c r="H208" s="896"/>
      <c r="I208" s="896" t="e">
        <f t="shared" si="199"/>
        <v>#DIV/0!</v>
      </c>
      <c r="J208" s="896" t="e">
        <f t="shared" si="200"/>
        <v>#DIV/0!</v>
      </c>
      <c r="K208" s="896" t="e">
        <f t="shared" si="201"/>
        <v>#DIV/0!</v>
      </c>
      <c r="L208" s="896" t="e">
        <f t="shared" si="195"/>
        <v>#DIV/0!</v>
      </c>
      <c r="M208" s="896" t="e">
        <f t="shared" si="196"/>
        <v>#DIV/0!</v>
      </c>
      <c r="N208" s="896" t="e">
        <f t="shared" si="197"/>
        <v>#DIV/0!</v>
      </c>
      <c r="O208" s="897" t="e">
        <f t="shared" si="198"/>
        <v>#DIV/0!</v>
      </c>
    </row>
    <row r="209" spans="2:15" hidden="1">
      <c r="B209" s="1167"/>
      <c r="C209" s="1167"/>
      <c r="D209" s="1167"/>
      <c r="E209" s="887"/>
      <c r="F209" s="891"/>
      <c r="G209" s="891"/>
      <c r="H209" s="891"/>
      <c r="I209" s="891"/>
      <c r="J209" s="891"/>
      <c r="K209" s="891"/>
      <c r="L209" s="891"/>
      <c r="M209" s="891"/>
      <c r="N209" s="891"/>
      <c r="O209" s="891"/>
    </row>
    <row r="210" spans="2:15" hidden="1">
      <c r="B210" s="1" t="s">
        <v>873</v>
      </c>
    </row>
    <row r="211" spans="2:15" hidden="1">
      <c r="B211" s="881" t="s">
        <v>841</v>
      </c>
      <c r="C211" s="882"/>
      <c r="D211" s="882"/>
      <c r="E211" s="883"/>
      <c r="F211" s="889"/>
      <c r="G211" s="889"/>
      <c r="H211" s="889"/>
      <c r="I211" s="889"/>
      <c r="J211" s="1043">
        <v>-0.05</v>
      </c>
      <c r="K211" s="1043">
        <v>-0.05</v>
      </c>
      <c r="L211" s="1043">
        <v>-0.03</v>
      </c>
      <c r="M211" s="1043">
        <v>-0.01</v>
      </c>
      <c r="N211" s="1043">
        <v>-0.01</v>
      </c>
      <c r="O211" s="1043">
        <v>0</v>
      </c>
    </row>
    <row r="212" spans="2:15" hidden="1">
      <c r="B212" s="886" t="s">
        <v>842</v>
      </c>
      <c r="C212" s="89"/>
      <c r="D212" s="89"/>
      <c r="E212" s="887"/>
      <c r="F212" s="891"/>
      <c r="G212" s="891"/>
      <c r="H212" s="891"/>
      <c r="I212" s="891"/>
      <c r="J212" s="1043">
        <v>-0.05</v>
      </c>
      <c r="K212" s="1043">
        <v>-0.05</v>
      </c>
      <c r="L212" s="1043">
        <v>-0.03</v>
      </c>
      <c r="M212" s="1043">
        <v>-0.01</v>
      </c>
      <c r="N212" s="1043">
        <v>-0.01</v>
      </c>
      <c r="O212" s="1043">
        <v>0</v>
      </c>
    </row>
    <row r="213" spans="2:15" hidden="1">
      <c r="B213" s="886" t="s">
        <v>843</v>
      </c>
      <c r="C213" s="89"/>
      <c r="D213" s="89"/>
      <c r="E213" s="887"/>
      <c r="F213" s="891"/>
      <c r="G213" s="891"/>
      <c r="H213" s="891"/>
      <c r="I213" s="891"/>
      <c r="J213" s="1043">
        <v>-0.05</v>
      </c>
      <c r="K213" s="1043">
        <v>-0.05</v>
      </c>
      <c r="L213" s="1043">
        <v>-0.03</v>
      </c>
      <c r="M213" s="1043">
        <v>-0.01</v>
      </c>
      <c r="N213" s="1043">
        <v>-0.01</v>
      </c>
      <c r="O213" s="1043">
        <v>0</v>
      </c>
    </row>
    <row r="214" spans="2:15" hidden="1">
      <c r="B214" s="886" t="s">
        <v>844</v>
      </c>
      <c r="C214" s="89"/>
      <c r="D214" s="89"/>
      <c r="E214" s="887"/>
      <c r="F214" s="891"/>
      <c r="G214" s="891"/>
      <c r="H214" s="891"/>
      <c r="I214" s="891"/>
      <c r="J214" s="1043">
        <v>-0.05</v>
      </c>
      <c r="K214" s="1043">
        <v>-0.05</v>
      </c>
      <c r="L214" s="1043">
        <v>-0.03</v>
      </c>
      <c r="M214" s="1043">
        <v>-0.01</v>
      </c>
      <c r="N214" s="1043">
        <v>-0.01</v>
      </c>
      <c r="O214" s="1043">
        <v>0</v>
      </c>
    </row>
    <row r="215" spans="2:15" hidden="1">
      <c r="B215" s="886" t="s">
        <v>665</v>
      </c>
      <c r="C215" s="89"/>
      <c r="D215" s="89"/>
      <c r="E215" s="887"/>
      <c r="F215" s="891"/>
      <c r="G215" s="891"/>
      <c r="H215" s="891"/>
      <c r="I215" s="891"/>
      <c r="J215" s="1043">
        <v>-0.05</v>
      </c>
      <c r="K215" s="1043">
        <v>-0.05</v>
      </c>
      <c r="L215" s="1043">
        <v>-0.03</v>
      </c>
      <c r="M215" s="1043">
        <v>-0.01</v>
      </c>
      <c r="N215" s="1043">
        <v>-0.01</v>
      </c>
      <c r="O215" s="1043">
        <v>0</v>
      </c>
    </row>
    <row r="216" spans="2:15" hidden="1">
      <c r="B216" s="894" t="s">
        <v>870</v>
      </c>
      <c r="C216" s="895"/>
      <c r="D216" s="895"/>
      <c r="E216" s="898"/>
      <c r="F216" s="896"/>
      <c r="G216" s="896"/>
      <c r="H216" s="896"/>
      <c r="I216" s="896"/>
      <c r="J216" s="1043">
        <v>-0.05</v>
      </c>
      <c r="K216" s="1043">
        <v>-0.05</v>
      </c>
      <c r="L216" s="1043">
        <v>-0.03</v>
      </c>
      <c r="M216" s="1043">
        <v>-0.01</v>
      </c>
      <c r="N216" s="1043">
        <v>-0.01</v>
      </c>
      <c r="O216" s="1043">
        <v>0</v>
      </c>
    </row>
  </sheetData>
  <phoneticPr fontId="5" type="noConversion"/>
  <conditionalFormatting sqref="E3:I4 E133:J133 L133:O133">
    <cfRule type="containsText" dxfId="14" priority="9" operator="containsText" text="Error">
      <formula>NOT(ISERROR(SEARCH("Error",E3)))</formula>
    </cfRule>
  </conditionalFormatting>
  <conditionalFormatting sqref="E103:J103">
    <cfRule type="containsText" dxfId="13" priority="5" operator="containsText" text="Error">
      <formula>NOT(ISERROR(SEARCH("Error",E103)))</formula>
    </cfRule>
  </conditionalFormatting>
  <conditionalFormatting sqref="J3:J5 L3:O5">
    <cfRule type="containsText" dxfId="12" priority="13" operator="containsText" text="Error">
      <formula>NOT(ISERROR(SEARCH("Error",J3)))</formula>
    </cfRule>
  </conditionalFormatting>
  <conditionalFormatting sqref="J32 L32:O32">
    <cfRule type="containsText" dxfId="11" priority="8" operator="containsText" text="Error">
      <formula>NOT(ISERROR(SEARCH("Error",J32)))</formula>
    </cfRule>
  </conditionalFormatting>
  <conditionalFormatting sqref="J59 L59:O59">
    <cfRule type="containsText" dxfId="10" priority="7" operator="containsText" text="Error">
      <formula>NOT(ISERROR(SEARCH("Error",J59)))</formula>
    </cfRule>
  </conditionalFormatting>
  <conditionalFormatting sqref="L103:O103">
    <cfRule type="containsText" dxfId="9" priority="6" operator="containsText" text="Error">
      <formula>NOT(ISERROR(SEARCH("Error",L103)))</formula>
    </cfRule>
  </conditionalFormatting>
  <conditionalFormatting sqref="J104 L104:O104">
    <cfRule type="containsText" dxfId="8" priority="4" operator="containsText" text="Error">
      <formula>NOT(ISERROR(SEARCH("Error",J104)))</formula>
    </cfRule>
  </conditionalFormatting>
  <conditionalFormatting sqref="J134 L134:O134">
    <cfRule type="containsText" dxfId="7" priority="3" operator="containsText" text="Error">
      <formula>NOT(ISERROR(SEARCH("Error",J134)))</formula>
    </cfRule>
  </conditionalFormatting>
  <conditionalFormatting sqref="J164 L164:O164">
    <cfRule type="containsText" dxfId="6" priority="2" operator="containsText" text="Error">
      <formula>NOT(ISERROR(SEARCH("Error",J164)))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/>
  </sheetPr>
  <dimension ref="A1:AJ319"/>
  <sheetViews>
    <sheetView showGridLines="0" view="pageBreakPreview" topLeftCell="A3" zoomScale="70" zoomScaleNormal="100" zoomScaleSheetLayoutView="70" workbookViewId="0">
      <pane xSplit="8" ySplit="9" topLeftCell="I84" activePane="bottomRight" state="frozen"/>
      <selection activeCell="F87" sqref="F87"/>
      <selection pane="topRight" activeCell="F87" sqref="F87"/>
      <selection pane="bottomLeft" activeCell="F87" sqref="F87"/>
      <selection pane="bottomRight" activeCell="K173" sqref="K173"/>
    </sheetView>
  </sheetViews>
  <sheetFormatPr defaultColWidth="9.4140625" defaultRowHeight="14.5" outlineLevelRow="1"/>
  <cols>
    <col min="1" max="1" width="0.83203125" style="962" customWidth="1"/>
    <col min="2" max="2" width="1" style="962" customWidth="1"/>
    <col min="3" max="3" width="6.08203125" style="96" customWidth="1"/>
    <col min="4" max="4" width="2.58203125" style="96" customWidth="1"/>
    <col min="5" max="7" width="2.58203125" style="962" customWidth="1"/>
    <col min="8" max="8" width="29.58203125" style="962" customWidth="1"/>
    <col min="9" max="12" width="10.1640625" style="962" customWidth="1"/>
    <col min="13" max="14" width="10.58203125" style="962" customWidth="1"/>
    <col min="15" max="20" width="11.5" style="962" customWidth="1"/>
    <col min="21" max="21" width="3.58203125" style="962" customWidth="1"/>
    <col min="22" max="22" width="1.4140625" style="962" customWidth="1"/>
    <col min="23" max="30" width="0" style="962" hidden="1" customWidth="1"/>
    <col min="31" max="31" width="1.1640625" style="962" customWidth="1"/>
    <col min="32" max="32" width="1" style="962" customWidth="1"/>
    <col min="33" max="33" width="34.1640625" style="962" customWidth="1"/>
    <col min="34" max="36" width="23" style="962" customWidth="1"/>
    <col min="37" max="16384" width="9.4140625" style="962"/>
  </cols>
  <sheetData>
    <row r="1" spans="1:36" s="900" customFormat="1" outlineLevel="1">
      <c r="C1" s="96"/>
      <c r="D1" s="96"/>
      <c r="K1" s="901"/>
      <c r="L1" s="901"/>
      <c r="T1" s="901"/>
      <c r="AH1" s="899"/>
    </row>
    <row r="2" spans="1:36" s="900" customFormat="1" outlineLevel="1">
      <c r="C2" s="96"/>
      <c r="D2" s="96"/>
      <c r="K2" s="901"/>
      <c r="L2" s="901"/>
      <c r="T2" s="901"/>
      <c r="AH2" s="899"/>
    </row>
    <row r="3" spans="1:36" s="902" customFormat="1" ht="18" customHeight="1">
      <c r="A3" s="1579" t="s">
        <v>0</v>
      </c>
      <c r="B3" s="1579"/>
      <c r="C3" s="1579"/>
      <c r="D3" s="1579"/>
      <c r="E3" s="1579"/>
      <c r="F3" s="1579"/>
      <c r="G3" s="1579"/>
      <c r="H3" s="1579"/>
      <c r="I3" s="1579"/>
      <c r="J3" s="1579"/>
      <c r="K3" s="1579"/>
      <c r="L3" s="1579"/>
      <c r="M3" s="1579"/>
      <c r="N3" s="1579"/>
      <c r="O3" s="1579"/>
      <c r="P3" s="1579"/>
      <c r="Q3" s="1579"/>
      <c r="R3" s="1579"/>
      <c r="S3" s="1579"/>
      <c r="T3" s="1579"/>
      <c r="AH3" s="903"/>
    </row>
    <row r="4" spans="1:36" s="902" customFormat="1" ht="13.5" customHeight="1">
      <c r="A4" s="1579" t="s">
        <v>496</v>
      </c>
      <c r="B4" s="1579"/>
      <c r="C4" s="1579"/>
      <c r="D4" s="1579"/>
      <c r="E4" s="1579"/>
      <c r="F4" s="1579"/>
      <c r="G4" s="1579"/>
      <c r="H4" s="1579"/>
      <c r="I4" s="1579"/>
      <c r="J4" s="1579"/>
      <c r="K4" s="1579"/>
      <c r="L4" s="1579"/>
      <c r="M4" s="1579"/>
      <c r="N4" s="1579"/>
      <c r="O4" s="1579"/>
      <c r="P4" s="1579"/>
      <c r="Q4" s="1579"/>
      <c r="R4" s="1579"/>
      <c r="S4" s="1579"/>
      <c r="T4" s="1579"/>
      <c r="AH4" s="903"/>
    </row>
    <row r="5" spans="1:36" s="900" customFormat="1" ht="13.5" customHeight="1">
      <c r="C5" s="206"/>
      <c r="D5" s="96"/>
      <c r="K5" s="901"/>
      <c r="L5" s="901"/>
      <c r="T5" s="901"/>
      <c r="AH5" s="899"/>
    </row>
    <row r="6" spans="1:36" s="900" customFormat="1" hidden="1" outlineLevel="1">
      <c r="B6" s="904"/>
      <c r="C6" s="96"/>
      <c r="D6" s="96"/>
      <c r="H6" s="905"/>
      <c r="I6" s="906"/>
      <c r="J6" s="906"/>
      <c r="K6" s="906"/>
      <c r="L6" s="906"/>
      <c r="M6" s="906"/>
      <c r="N6" s="906"/>
      <c r="O6" s="906"/>
      <c r="P6" s="906"/>
      <c r="Q6" s="906"/>
      <c r="R6" s="906"/>
      <c r="S6" s="906"/>
      <c r="T6" s="901"/>
    </row>
    <row r="7" spans="1:36" s="905" customFormat="1" hidden="1" outlineLevel="1">
      <c r="B7" s="907"/>
      <c r="C7" s="908"/>
      <c r="D7" s="908"/>
      <c r="I7" s="906"/>
      <c r="J7" s="906"/>
      <c r="K7" s="906"/>
      <c r="L7" s="906"/>
      <c r="M7" s="906"/>
      <c r="N7" s="906"/>
      <c r="O7" s="906"/>
      <c r="P7" s="906"/>
      <c r="Q7" s="906"/>
      <c r="R7" s="906"/>
      <c r="S7" s="906"/>
    </row>
    <row r="8" spans="1:36" s="905" customFormat="1" hidden="1" outlineLevel="1">
      <c r="B8" s="907"/>
      <c r="C8" s="908"/>
      <c r="D8" s="908"/>
      <c r="I8" s="906"/>
      <c r="J8" s="906"/>
      <c r="K8" s="906"/>
      <c r="L8" s="906"/>
      <c r="M8" s="906"/>
      <c r="N8" s="906"/>
      <c r="O8" s="906"/>
      <c r="P8" s="906"/>
      <c r="Q8" s="906"/>
      <c r="R8" s="906"/>
      <c r="S8" s="906"/>
    </row>
    <row r="9" spans="1:36" s="905" customFormat="1" hidden="1" outlineLevel="1">
      <c r="B9" s="907"/>
      <c r="C9" s="908"/>
      <c r="D9" s="908"/>
      <c r="I9" s="906"/>
      <c r="J9" s="906"/>
      <c r="K9" s="906"/>
      <c r="L9" s="906"/>
      <c r="M9" s="906"/>
      <c r="N9" s="906"/>
      <c r="O9" s="906"/>
      <c r="P9" s="906"/>
      <c r="Q9" s="906"/>
      <c r="R9" s="906"/>
      <c r="S9" s="906"/>
    </row>
    <row r="10" spans="1:36" s="909" customFormat="1" ht="16.5" collapsed="1">
      <c r="C10" s="58"/>
      <c r="D10" s="910"/>
      <c r="E10" s="911"/>
      <c r="F10" s="911"/>
      <c r="G10" s="911"/>
      <c r="H10" s="911"/>
      <c r="I10" s="912" t="s">
        <v>3</v>
      </c>
      <c r="J10" s="912"/>
      <c r="K10" s="912"/>
      <c r="L10" s="912"/>
      <c r="M10" s="912"/>
      <c r="N10" s="912"/>
      <c r="O10" s="912" t="s">
        <v>963</v>
      </c>
      <c r="P10" s="913"/>
      <c r="Q10" s="913"/>
      <c r="R10" s="913"/>
      <c r="S10" s="913"/>
      <c r="T10" s="914"/>
      <c r="AH10" s="915"/>
    </row>
    <row r="11" spans="1:36" s="909" customFormat="1">
      <c r="C11" s="58" t="s">
        <v>962</v>
      </c>
      <c r="D11" s="910"/>
      <c r="E11" s="911"/>
      <c r="F11" s="911"/>
      <c r="G11" s="911"/>
      <c r="H11" s="911"/>
      <c r="I11" s="916">
        <v>2021</v>
      </c>
      <c r="J11" s="916">
        <f t="shared" ref="J11:T11" si="0">+I11+1</f>
        <v>2022</v>
      </c>
      <c r="K11" s="917">
        <f t="shared" si="0"/>
        <v>2023</v>
      </c>
      <c r="L11" s="7" t="s">
        <v>5</v>
      </c>
      <c r="M11" s="917">
        <f>+K11+1</f>
        <v>2024</v>
      </c>
      <c r="N11" s="8" t="s">
        <v>838</v>
      </c>
      <c r="O11" s="918">
        <f>+M11+1</f>
        <v>2025</v>
      </c>
      <c r="P11" s="918">
        <f t="shared" si="0"/>
        <v>2026</v>
      </c>
      <c r="Q11" s="918">
        <f t="shared" si="0"/>
        <v>2027</v>
      </c>
      <c r="R11" s="918">
        <f t="shared" si="0"/>
        <v>2028</v>
      </c>
      <c r="S11" s="918">
        <f t="shared" si="0"/>
        <v>2029</v>
      </c>
      <c r="T11" s="918">
        <f t="shared" si="0"/>
        <v>2030</v>
      </c>
      <c r="W11" s="917" t="s">
        <v>874</v>
      </c>
      <c r="X11" s="917"/>
      <c r="Y11" s="917" t="s">
        <v>875</v>
      </c>
      <c r="Z11" s="917" t="s">
        <v>876</v>
      </c>
      <c r="AB11" s="919" t="s">
        <v>877</v>
      </c>
      <c r="AC11" s="919" t="s">
        <v>878</v>
      </c>
      <c r="AG11" s="920"/>
      <c r="AH11" s="920"/>
      <c r="AI11" s="920"/>
      <c r="AJ11" s="920"/>
    </row>
    <row r="12" spans="1:36" s="900" customFormat="1">
      <c r="C12" s="96"/>
      <c r="D12" s="96"/>
    </row>
    <row r="13" spans="1:36" s="900" customFormat="1" ht="12" hidden="1" customHeight="1" outlineLevel="1">
      <c r="B13" s="904"/>
      <c r="C13" s="96"/>
      <c r="D13" s="96"/>
      <c r="I13" s="924"/>
      <c r="J13" s="924"/>
      <c r="K13" s="924"/>
      <c r="L13" s="924"/>
      <c r="M13" s="924"/>
      <c r="N13" s="924"/>
      <c r="O13" s="924"/>
      <c r="P13" s="924"/>
      <c r="Q13" s="924"/>
      <c r="R13" s="924"/>
      <c r="S13" s="924"/>
      <c r="T13" s="924"/>
      <c r="W13" s="921"/>
      <c r="X13" s="921"/>
      <c r="Y13" s="921"/>
      <c r="Z13" s="921"/>
      <c r="AA13" s="921"/>
      <c r="AB13" s="922"/>
      <c r="AC13" s="923"/>
    </row>
    <row r="14" spans="1:36" s="900" customFormat="1" ht="12" hidden="1" customHeight="1" outlineLevel="1">
      <c r="B14" s="904"/>
      <c r="C14" s="96"/>
      <c r="D14" s="96"/>
      <c r="I14" s="924"/>
      <c r="J14" s="924"/>
      <c r="K14" s="924"/>
      <c r="L14" s="924"/>
      <c r="M14" s="924"/>
      <c r="N14" s="924"/>
      <c r="O14" s="924"/>
      <c r="P14" s="924"/>
      <c r="Q14" s="924"/>
      <c r="R14" s="924"/>
      <c r="S14" s="924"/>
      <c r="T14" s="924"/>
      <c r="W14" s="921"/>
      <c r="X14" s="921"/>
      <c r="Y14" s="921"/>
      <c r="Z14" s="921"/>
      <c r="AA14" s="921"/>
      <c r="AB14" s="922"/>
      <c r="AC14" s="923"/>
    </row>
    <row r="15" spans="1:36" s="900" customFormat="1" ht="12" hidden="1" customHeight="1" outlineLevel="1">
      <c r="B15" s="904"/>
      <c r="C15" s="96"/>
      <c r="D15" s="96"/>
      <c r="I15" s="924"/>
      <c r="J15" s="924"/>
      <c r="K15" s="924"/>
      <c r="L15" s="924"/>
      <c r="M15" s="924"/>
      <c r="N15" s="924"/>
      <c r="O15" s="924"/>
      <c r="P15" s="924"/>
      <c r="Q15" s="924"/>
      <c r="R15" s="924"/>
      <c r="S15" s="924"/>
      <c r="T15" s="924"/>
      <c r="W15" s="921"/>
      <c r="X15" s="921"/>
      <c r="Y15" s="921"/>
      <c r="Z15" s="921"/>
      <c r="AA15" s="921"/>
      <c r="AB15" s="922"/>
      <c r="AC15" s="921"/>
    </row>
    <row r="16" spans="1:36" s="900" customFormat="1" ht="12" hidden="1" customHeight="1" outlineLevel="1">
      <c r="B16" s="904"/>
      <c r="C16" s="96"/>
      <c r="D16" s="96"/>
      <c r="I16" s="924"/>
      <c r="J16" s="924"/>
      <c r="K16" s="924"/>
      <c r="L16" s="924"/>
      <c r="M16" s="924"/>
      <c r="N16" s="924"/>
      <c r="O16" s="924"/>
      <c r="P16" s="924"/>
      <c r="Q16" s="924"/>
      <c r="R16" s="924"/>
      <c r="S16" s="924"/>
      <c r="T16" s="924"/>
      <c r="X16" s="921"/>
      <c r="Y16" s="921"/>
      <c r="Z16" s="921"/>
      <c r="AA16" s="921"/>
      <c r="AB16" s="922"/>
      <c r="AC16" s="923"/>
    </row>
    <row r="17" spans="2:33" s="900" customFormat="1" ht="12" customHeight="1" collapsed="1">
      <c r="B17" s="904"/>
      <c r="C17" s="96"/>
      <c r="D17" s="96"/>
      <c r="I17" s="925"/>
      <c r="J17" s="925"/>
      <c r="K17" s="925"/>
      <c r="L17" s="925"/>
      <c r="M17" s="925"/>
      <c r="N17" s="925"/>
      <c r="O17" s="925"/>
      <c r="P17" s="925"/>
      <c r="Q17" s="925"/>
      <c r="R17" s="925"/>
      <c r="S17" s="925"/>
      <c r="T17" s="926"/>
      <c r="X17" s="921"/>
      <c r="Y17" s="921"/>
      <c r="Z17" s="921"/>
      <c r="AA17" s="921"/>
      <c r="AB17" s="922"/>
      <c r="AC17" s="923"/>
    </row>
    <row r="18" spans="2:33" s="900" customFormat="1" ht="12" customHeight="1">
      <c r="B18" s="927" t="s">
        <v>879</v>
      </c>
      <c r="C18" s="928" t="s">
        <v>961</v>
      </c>
      <c r="D18" s="928"/>
      <c r="E18" s="929"/>
      <c r="F18" s="929"/>
      <c r="G18" s="929"/>
      <c r="H18" s="929"/>
      <c r="I18" s="930"/>
      <c r="J18" s="930"/>
      <c r="K18" s="930"/>
      <c r="L18" s="930"/>
      <c r="M18" s="930"/>
      <c r="N18" s="930"/>
      <c r="O18" s="930"/>
      <c r="P18" s="930"/>
      <c r="Q18" s="930"/>
      <c r="R18" s="930"/>
      <c r="S18" s="930"/>
      <c r="T18" s="930"/>
    </row>
    <row r="19" spans="2:33" s="900" customFormat="1" ht="12" customHeight="1">
      <c r="B19" s="904"/>
      <c r="C19" s="1"/>
      <c r="D19" s="1"/>
      <c r="E19" s="922"/>
      <c r="F19" s="922"/>
      <c r="G19" s="922"/>
      <c r="H19" s="922"/>
      <c r="I19" s="925"/>
      <c r="J19" s="925"/>
      <c r="K19" s="925"/>
      <c r="L19" s="925"/>
      <c r="M19" s="925"/>
      <c r="N19" s="925"/>
      <c r="O19" s="925"/>
      <c r="P19" s="925"/>
      <c r="Q19" s="925"/>
      <c r="R19" s="925"/>
      <c r="S19" s="925"/>
      <c r="T19" s="926"/>
      <c r="X19" s="921"/>
      <c r="Y19" s="921"/>
      <c r="Z19" s="921"/>
      <c r="AA19" s="921"/>
      <c r="AB19" s="922"/>
      <c r="AC19" s="923"/>
    </row>
    <row r="20" spans="2:33" s="900" customFormat="1" ht="17.5" customHeight="1">
      <c r="C20" s="1"/>
      <c r="D20" s="1" t="s">
        <v>1108</v>
      </c>
      <c r="E20" s="922"/>
      <c r="F20" s="922"/>
      <c r="G20" s="922"/>
      <c r="H20" s="922"/>
      <c r="I20" s="931">
        <f>SUM(I28,I152,I229,I266)</f>
        <v>10046.058353408025</v>
      </c>
      <c r="J20" s="931">
        <f>SUM(J28,J152,J229,J266)</f>
        <v>10337.695443209606</v>
      </c>
      <c r="K20" s="931">
        <f>SUM(K28,K152,K229,K266)</f>
        <v>12305.510949588228</v>
      </c>
      <c r="L20" s="931"/>
      <c r="M20" s="931">
        <f>SUM(M28,M152,M229,M266)</f>
        <v>14681.035810389647</v>
      </c>
      <c r="N20" s="931"/>
      <c r="O20" s="931">
        <f t="shared" ref="O20:T20" si="1">SUM(O28,O152,O229,O266)</f>
        <v>17089.000491903218</v>
      </c>
      <c r="P20" s="931">
        <f t="shared" si="1"/>
        <v>17759.10054109354</v>
      </c>
      <c r="Q20" s="931">
        <f t="shared" si="1"/>
        <v>18496.210595202894</v>
      </c>
      <c r="R20" s="931">
        <f t="shared" si="1"/>
        <v>19307.031654723185</v>
      </c>
      <c r="S20" s="931">
        <f t="shared" si="1"/>
        <v>20198.934820195504</v>
      </c>
      <c r="T20" s="931">
        <f t="shared" si="1"/>
        <v>21180.028302215054</v>
      </c>
    </row>
    <row r="21" spans="2:33" s="900" customFormat="1" ht="17.5" customHeight="1">
      <c r="C21" s="1"/>
      <c r="D21" s="1" t="s">
        <v>1110</v>
      </c>
      <c r="E21" s="922"/>
      <c r="F21" s="922"/>
      <c r="G21" s="922"/>
      <c r="H21" s="922"/>
      <c r="I21" s="931">
        <f>SUM(I45,I157,I234,I274)</f>
        <v>31692.99890641278</v>
      </c>
      <c r="J21" s="931">
        <f>SUM(J45,J157,J234,J274)</f>
        <v>25924.452940359108</v>
      </c>
      <c r="K21" s="931">
        <f>SUM(K45,K157,K234,K274)</f>
        <v>7586.5243504070822</v>
      </c>
      <c r="L21" s="931"/>
      <c r="M21" s="931">
        <f>SUM(M45,M157,M234,M274)</f>
        <v>13365.386739376139</v>
      </c>
      <c r="N21" s="931"/>
      <c r="O21" s="931">
        <f t="shared" ref="O21:T21" si="2">SUM(O45,O157,O234,O274)</f>
        <v>23828.023825133561</v>
      </c>
      <c r="P21" s="931">
        <f t="shared" si="2"/>
        <v>37609.511454569969</v>
      </c>
      <c r="Q21" s="931">
        <f t="shared" si="2"/>
        <v>42606.62956195046</v>
      </c>
      <c r="R21" s="931">
        <f t="shared" si="2"/>
        <v>18352.894679332487</v>
      </c>
      <c r="S21" s="931">
        <f t="shared" si="2"/>
        <v>6000</v>
      </c>
      <c r="T21" s="931">
        <f t="shared" si="2"/>
        <v>0</v>
      </c>
    </row>
    <row r="22" spans="2:33" s="932" customFormat="1" ht="17.5" customHeight="1">
      <c r="B22" s="904"/>
      <c r="C22" s="18"/>
      <c r="D22" s="868" t="s">
        <v>1112</v>
      </c>
      <c r="E22" s="933"/>
      <c r="F22" s="933"/>
      <c r="G22" s="933"/>
      <c r="H22" s="933"/>
      <c r="I22" s="934">
        <f>SUM(I20:I21)</f>
        <v>41739.057259820809</v>
      </c>
      <c r="J22" s="934">
        <f t="shared" ref="J22:S22" si="3">SUM(J20:J21)</f>
        <v>36262.14838356871</v>
      </c>
      <c r="K22" s="934">
        <f t="shared" si="3"/>
        <v>19892.03529999531</v>
      </c>
      <c r="L22" s="934"/>
      <c r="M22" s="934">
        <f t="shared" si="3"/>
        <v>28046.422549765786</v>
      </c>
      <c r="N22" s="934"/>
      <c r="O22" s="934">
        <f>SUM(O20:O21)</f>
        <v>40917.024317036776</v>
      </c>
      <c r="P22" s="934">
        <f t="shared" si="3"/>
        <v>55368.611995663508</v>
      </c>
      <c r="Q22" s="934">
        <f t="shared" si="3"/>
        <v>61102.840157153354</v>
      </c>
      <c r="R22" s="934">
        <f t="shared" si="3"/>
        <v>37659.926334055672</v>
      </c>
      <c r="S22" s="934">
        <f t="shared" si="3"/>
        <v>26198.934820195504</v>
      </c>
      <c r="T22" s="934">
        <f t="shared" ref="T22" si="4">SUM(T20:T21)</f>
        <v>21180.028302215054</v>
      </c>
    </row>
    <row r="23" spans="2:33" s="900" customFormat="1" ht="12" customHeight="1">
      <c r="B23" s="904"/>
      <c r="C23" s="1"/>
      <c r="D23" s="1"/>
      <c r="E23" s="922"/>
      <c r="F23" s="922"/>
      <c r="G23" s="922"/>
      <c r="H23" s="922"/>
      <c r="I23" s="925"/>
      <c r="J23" s="925"/>
      <c r="K23" s="925"/>
      <c r="L23" s="925"/>
      <c r="M23" s="925"/>
      <c r="N23" s="925"/>
      <c r="O23" s="925"/>
      <c r="P23" s="925"/>
      <c r="Q23" s="925"/>
      <c r="R23" s="925"/>
      <c r="S23" s="925"/>
      <c r="T23" s="926"/>
      <c r="X23" s="921"/>
      <c r="Y23" s="921"/>
      <c r="Z23" s="921"/>
      <c r="AA23" s="921"/>
      <c r="AB23" s="922"/>
      <c r="AC23" s="923"/>
    </row>
    <row r="24" spans="2:33" s="900" customFormat="1">
      <c r="B24" s="927" t="s">
        <v>879</v>
      </c>
      <c r="C24" s="928" t="s">
        <v>864</v>
      </c>
      <c r="D24" s="928"/>
      <c r="E24" s="929"/>
      <c r="F24" s="929"/>
      <c r="G24" s="929"/>
      <c r="H24" s="929"/>
      <c r="I24" s="930"/>
      <c r="J24" s="930"/>
      <c r="K24" s="930"/>
      <c r="L24" s="930"/>
      <c r="M24" s="930"/>
      <c r="N24" s="930"/>
      <c r="O24" s="930"/>
      <c r="P24" s="930"/>
      <c r="Q24" s="930"/>
      <c r="R24" s="930"/>
      <c r="S24" s="930"/>
      <c r="T24" s="930"/>
    </row>
    <row r="25" spans="2:33" s="900" customFormat="1">
      <c r="C25" s="349"/>
      <c r="D25" s="1"/>
      <c r="E25" s="922"/>
      <c r="F25" s="922"/>
      <c r="G25" s="922"/>
      <c r="H25" s="922"/>
      <c r="AG25" s="927"/>
    </row>
    <row r="26" spans="2:33" s="932" customFormat="1">
      <c r="C26" s="349"/>
      <c r="D26" s="18" t="s">
        <v>1112</v>
      </c>
      <c r="E26" s="935"/>
      <c r="F26" s="935"/>
      <c r="G26" s="935"/>
      <c r="H26" s="935"/>
      <c r="I26" s="936">
        <f>SUM(I28,I45)</f>
        <v>14221.819140195028</v>
      </c>
      <c r="J26" s="936">
        <f t="shared" ref="J26:S26" si="5">SUM(J28,J45)</f>
        <v>10930.12891571639</v>
      </c>
      <c r="K26" s="936">
        <f t="shared" si="5"/>
        <v>8013.992753055747</v>
      </c>
      <c r="L26" s="936"/>
      <c r="M26" s="936">
        <f t="shared" si="5"/>
        <v>20938.109506625275</v>
      </c>
      <c r="N26" s="936"/>
      <c r="O26" s="936">
        <f t="shared" si="5"/>
        <v>25729.024317036779</v>
      </c>
      <c r="P26" s="936">
        <f>SUM(P28,P45)</f>
        <v>26375.410825795516</v>
      </c>
      <c r="Q26" s="936">
        <f t="shared" si="5"/>
        <v>46509.638987285362</v>
      </c>
      <c r="R26" s="936">
        <f t="shared" si="5"/>
        <v>17066.725164187679</v>
      </c>
      <c r="S26" s="936">
        <f t="shared" si="5"/>
        <v>9810.9348201955036</v>
      </c>
      <c r="T26" s="936">
        <f t="shared" ref="T26" si="6">SUM(T28,T45)</f>
        <v>10792.028302215054</v>
      </c>
      <c r="AG26" s="904"/>
    </row>
    <row r="27" spans="2:33" s="900" customFormat="1">
      <c r="C27" s="349"/>
      <c r="D27" s="1"/>
      <c r="E27" s="922"/>
      <c r="F27" s="922"/>
      <c r="G27" s="922"/>
      <c r="H27" s="922"/>
      <c r="AG27" s="927"/>
    </row>
    <row r="28" spans="2:33" s="932" customFormat="1">
      <c r="C28" s="18"/>
      <c r="D28" s="18" t="s">
        <v>1108</v>
      </c>
      <c r="E28" s="935"/>
      <c r="F28" s="935"/>
      <c r="G28" s="935"/>
      <c r="H28" s="935"/>
      <c r="I28" s="936">
        <f>SUM(I29:I43)</f>
        <v>5392.7724291893401</v>
      </c>
      <c r="J28" s="936">
        <f>SUM(J29:J43)</f>
        <v>4258.745733783323</v>
      </c>
      <c r="K28" s="936">
        <f>SUM(K29:K43)</f>
        <v>6210.6007474746029</v>
      </c>
      <c r="L28" s="936"/>
      <c r="M28" s="936">
        <f>SUM(M29:M43)</f>
        <v>10066.62367161606</v>
      </c>
      <c r="N28" s="936"/>
      <c r="O28" s="936">
        <f>SUM(O29:O43)</f>
        <v>6701.0004919032172</v>
      </c>
      <c r="P28" s="1425">
        <f>O28*1.1</f>
        <v>7371.1005410935395</v>
      </c>
      <c r="Q28" s="1425">
        <f>P28*1.1</f>
        <v>8108.2105952028942</v>
      </c>
      <c r="R28" s="1425">
        <f>Q28*1.1</f>
        <v>8919.0316547231851</v>
      </c>
      <c r="S28" s="1425">
        <f>R28*1.1</f>
        <v>9810.9348201955036</v>
      </c>
      <c r="T28" s="1425">
        <f>S28*1.1</f>
        <v>10792.028302215054</v>
      </c>
      <c r="AG28" s="927"/>
    </row>
    <row r="29" spans="2:33" s="932" customFormat="1">
      <c r="C29" s="18"/>
      <c r="D29" s="18"/>
      <c r="E29" s="922" t="s">
        <v>880</v>
      </c>
      <c r="F29" s="935"/>
      <c r="G29" s="935"/>
      <c r="H29" s="922" t="s">
        <v>881</v>
      </c>
      <c r="I29" s="1426">
        <v>0</v>
      </c>
      <c r="J29" s="1426">
        <v>0</v>
      </c>
      <c r="K29" s="1426">
        <v>0</v>
      </c>
      <c r="L29" s="1426"/>
      <c r="M29" s="1426">
        <v>868.43789196347859</v>
      </c>
      <c r="N29" s="1426"/>
      <c r="O29" s="1255">
        <v>3450.7501173700693</v>
      </c>
      <c r="P29" s="1428"/>
      <c r="Q29" s="1428"/>
      <c r="R29" s="1428"/>
      <c r="S29" s="1428"/>
      <c r="T29" s="1428"/>
    </row>
    <row r="30" spans="2:33" s="932" customFormat="1">
      <c r="C30" s="18"/>
      <c r="D30" s="18"/>
      <c r="E30" s="922" t="s">
        <v>882</v>
      </c>
      <c r="F30" s="935"/>
      <c r="G30" s="935"/>
      <c r="H30" s="922" t="s">
        <v>883</v>
      </c>
      <c r="I30" s="1426">
        <v>0</v>
      </c>
      <c r="J30" s="1426">
        <v>0</v>
      </c>
      <c r="K30" s="1426">
        <v>1100.7932058117929</v>
      </c>
      <c r="L30" s="1426"/>
      <c r="M30" s="1426">
        <v>385.02764327907448</v>
      </c>
      <c r="N30" s="1426"/>
      <c r="O30" s="1255">
        <v>585.14368198667239</v>
      </c>
      <c r="P30" s="1428"/>
      <c r="Q30" s="1428"/>
      <c r="R30" s="1428"/>
      <c r="S30" s="1428"/>
      <c r="T30" s="1428"/>
    </row>
    <row r="31" spans="2:33" s="932" customFormat="1">
      <c r="C31" s="18"/>
      <c r="D31" s="18"/>
      <c r="E31" s="922" t="s">
        <v>884</v>
      </c>
      <c r="F31" s="935"/>
      <c r="G31" s="935"/>
      <c r="H31" s="922" t="s">
        <v>885</v>
      </c>
      <c r="I31" s="1426">
        <v>0</v>
      </c>
      <c r="J31" s="1426">
        <v>0</v>
      </c>
      <c r="K31" s="1426">
        <v>0</v>
      </c>
      <c r="L31" s="1426"/>
      <c r="M31" s="1426">
        <v>335.63495455851336</v>
      </c>
      <c r="N31" s="1426"/>
      <c r="O31" s="1255">
        <v>615.36952302205157</v>
      </c>
      <c r="P31" s="1428"/>
      <c r="Q31" s="1428"/>
      <c r="R31" s="1428"/>
      <c r="S31" s="1428"/>
      <c r="T31" s="1428"/>
    </row>
    <row r="32" spans="2:33" s="932" customFormat="1">
      <c r="C32" s="18"/>
      <c r="D32" s="18"/>
      <c r="E32" s="922" t="s">
        <v>886</v>
      </c>
      <c r="F32" s="935"/>
      <c r="G32" s="935"/>
      <c r="H32" s="922" t="s">
        <v>887</v>
      </c>
      <c r="I32" s="1426">
        <v>0</v>
      </c>
      <c r="J32" s="1426">
        <v>977.80288726007643</v>
      </c>
      <c r="K32" s="1426">
        <v>1273.3881002043095</v>
      </c>
      <c r="L32" s="1426"/>
      <c r="M32" s="1426">
        <v>845.98019774229033</v>
      </c>
      <c r="N32" s="1426"/>
      <c r="O32" s="1255">
        <v>149.70682007693873</v>
      </c>
      <c r="P32" s="1428"/>
      <c r="Q32" s="1428"/>
      <c r="R32" s="1428"/>
      <c r="S32" s="1428"/>
      <c r="T32" s="1428"/>
    </row>
    <row r="33" spans="3:33" s="932" customFormat="1">
      <c r="C33" s="18"/>
      <c r="D33" s="18"/>
      <c r="E33" s="922" t="s">
        <v>888</v>
      </c>
      <c r="F33" s="935"/>
      <c r="G33" s="935"/>
      <c r="H33" s="922" t="s">
        <v>889</v>
      </c>
      <c r="I33" s="1426">
        <v>0</v>
      </c>
      <c r="J33" s="1426">
        <v>0</v>
      </c>
      <c r="K33" s="1426">
        <v>0</v>
      </c>
      <c r="L33" s="1426"/>
      <c r="M33" s="1426">
        <v>0</v>
      </c>
      <c r="N33" s="1426"/>
      <c r="O33" s="1255">
        <v>91.199915913980007</v>
      </c>
      <c r="P33" s="1428"/>
      <c r="Q33" s="1428"/>
      <c r="R33" s="1428"/>
      <c r="S33" s="1428"/>
      <c r="T33" s="1428"/>
    </row>
    <row r="34" spans="3:33" s="932" customFormat="1">
      <c r="C34" s="18"/>
      <c r="D34" s="18"/>
      <c r="E34" s="922" t="s">
        <v>890</v>
      </c>
      <c r="F34" s="935"/>
      <c r="G34" s="935"/>
      <c r="H34" s="922" t="s">
        <v>891</v>
      </c>
      <c r="I34" s="1426">
        <v>0</v>
      </c>
      <c r="J34" s="1426">
        <v>0</v>
      </c>
      <c r="K34" s="1426">
        <v>0</v>
      </c>
      <c r="L34" s="1426"/>
      <c r="M34" s="1426">
        <v>0</v>
      </c>
      <c r="N34" s="1426"/>
      <c r="O34" s="1255">
        <v>34.895698299360241</v>
      </c>
      <c r="P34" s="1428"/>
      <c r="Q34" s="1428"/>
      <c r="R34" s="1428"/>
      <c r="S34" s="1428"/>
      <c r="T34" s="1428"/>
    </row>
    <row r="35" spans="3:33" s="932" customFormat="1">
      <c r="C35" s="18"/>
      <c r="D35" s="18"/>
      <c r="E35" s="922" t="s">
        <v>892</v>
      </c>
      <c r="F35" s="935"/>
      <c r="G35" s="935"/>
      <c r="H35" s="922" t="s">
        <v>893</v>
      </c>
      <c r="I35" s="1426">
        <v>0</v>
      </c>
      <c r="J35" s="1426">
        <v>304.2267539881953</v>
      </c>
      <c r="K35" s="1426">
        <v>0</v>
      </c>
      <c r="L35" s="1426"/>
      <c r="M35" s="1426">
        <v>0</v>
      </c>
      <c r="N35" s="1426"/>
      <c r="O35" s="1255">
        <v>0</v>
      </c>
      <c r="P35" s="1428"/>
      <c r="Q35" s="1428"/>
      <c r="R35" s="1428"/>
      <c r="S35" s="1428"/>
      <c r="T35" s="1428"/>
    </row>
    <row r="36" spans="3:33" s="932" customFormat="1">
      <c r="C36" s="18"/>
      <c r="D36" s="18"/>
      <c r="E36" s="922" t="s">
        <v>894</v>
      </c>
      <c r="F36" s="935"/>
      <c r="G36" s="935"/>
      <c r="H36" s="922" t="s">
        <v>895</v>
      </c>
      <c r="I36" s="1426">
        <v>301.0712680030386</v>
      </c>
      <c r="J36" s="1426">
        <v>0</v>
      </c>
      <c r="K36" s="1426">
        <v>0</v>
      </c>
      <c r="L36" s="1426"/>
      <c r="M36" s="1426">
        <v>0</v>
      </c>
      <c r="N36" s="1426"/>
      <c r="O36" s="1255">
        <v>0</v>
      </c>
      <c r="P36" s="1428"/>
      <c r="Q36" s="1428"/>
      <c r="R36" s="1428"/>
      <c r="S36" s="1428"/>
      <c r="T36" s="1428"/>
    </row>
    <row r="37" spans="3:33" s="932" customFormat="1">
      <c r="C37" s="18"/>
      <c r="D37" s="18"/>
      <c r="E37" s="922" t="s">
        <v>896</v>
      </c>
      <c r="F37" s="935"/>
      <c r="G37" s="935"/>
      <c r="H37" s="922" t="s">
        <v>897</v>
      </c>
      <c r="I37" s="1426">
        <v>589.58498054354061</v>
      </c>
      <c r="J37" s="1426">
        <v>0</v>
      </c>
      <c r="K37" s="1426">
        <v>0</v>
      </c>
      <c r="L37" s="1426"/>
      <c r="M37" s="1426">
        <v>0</v>
      </c>
      <c r="N37" s="1426"/>
      <c r="O37" s="1255">
        <v>0</v>
      </c>
      <c r="P37" s="1428"/>
      <c r="Q37" s="1428"/>
      <c r="R37" s="1428"/>
      <c r="S37" s="1428"/>
      <c r="T37" s="1428"/>
    </row>
    <row r="38" spans="3:33" s="932" customFormat="1">
      <c r="C38" s="18"/>
      <c r="D38" s="18"/>
      <c r="E38" s="922" t="s">
        <v>898</v>
      </c>
      <c r="F38" s="935"/>
      <c r="G38" s="935"/>
      <c r="H38" s="922" t="s">
        <v>899</v>
      </c>
      <c r="I38" s="1426">
        <v>0</v>
      </c>
      <c r="J38" s="1426">
        <v>0</v>
      </c>
      <c r="K38" s="1426">
        <v>0</v>
      </c>
      <c r="L38" s="1426"/>
      <c r="M38" s="1426">
        <v>3087.4659837013269</v>
      </c>
      <c r="N38" s="1426"/>
      <c r="O38" s="1255">
        <v>0</v>
      </c>
      <c r="P38" s="1428"/>
      <c r="Q38" s="1428"/>
      <c r="R38" s="1428"/>
      <c r="S38" s="1428"/>
      <c r="T38" s="1428"/>
    </row>
    <row r="39" spans="3:33" s="932" customFormat="1">
      <c r="C39" s="18"/>
      <c r="D39" s="18"/>
      <c r="E39" s="922" t="s">
        <v>900</v>
      </c>
      <c r="F39" s="935"/>
      <c r="G39" s="935"/>
      <c r="H39" s="922" t="s">
        <v>901</v>
      </c>
      <c r="I39" s="1426">
        <v>84.492194161511861</v>
      </c>
      <c r="J39" s="1426">
        <v>0</v>
      </c>
      <c r="K39" s="1426">
        <v>0</v>
      </c>
      <c r="L39" s="1426"/>
      <c r="M39" s="1426">
        <v>0</v>
      </c>
      <c r="N39" s="1426"/>
      <c r="O39" s="1255">
        <v>0</v>
      </c>
      <c r="P39" s="1428"/>
      <c r="Q39" s="1428"/>
      <c r="R39" s="1428"/>
      <c r="S39" s="1428"/>
      <c r="T39" s="1428"/>
    </row>
    <row r="40" spans="3:33" s="932" customFormat="1">
      <c r="C40" s="18"/>
      <c r="D40" s="18"/>
      <c r="E40" s="922" t="s">
        <v>902</v>
      </c>
      <c r="F40" s="935"/>
      <c r="G40" s="935"/>
      <c r="H40" s="922" t="s">
        <v>903</v>
      </c>
      <c r="I40" s="1426">
        <v>0</v>
      </c>
      <c r="J40" s="1426">
        <v>1879.2465172982859</v>
      </c>
      <c r="K40" s="1426">
        <v>899.81704669224678</v>
      </c>
      <c r="L40" s="1426"/>
      <c r="M40" s="1426">
        <v>0</v>
      </c>
      <c r="N40" s="1426"/>
      <c r="O40" s="1255">
        <v>0</v>
      </c>
      <c r="P40" s="1428"/>
      <c r="Q40" s="1428"/>
      <c r="R40" s="1428"/>
      <c r="S40" s="1428"/>
      <c r="T40" s="1428"/>
    </row>
    <row r="41" spans="3:33" s="932" customFormat="1">
      <c r="C41" s="18"/>
      <c r="D41" s="18"/>
      <c r="E41" s="922" t="s">
        <v>904</v>
      </c>
      <c r="F41" s="935"/>
      <c r="G41" s="935"/>
      <c r="H41" s="922" t="s">
        <v>905</v>
      </c>
      <c r="I41" s="1426">
        <v>0</v>
      </c>
      <c r="J41" s="1426">
        <v>147.91632595411903</v>
      </c>
      <c r="K41" s="1426">
        <v>0</v>
      </c>
      <c r="L41" s="1426"/>
      <c r="M41" s="1426">
        <v>0</v>
      </c>
      <c r="N41" s="1426"/>
      <c r="O41" s="1255">
        <v>0</v>
      </c>
      <c r="P41" s="1428"/>
      <c r="Q41" s="1428"/>
      <c r="R41" s="1428"/>
      <c r="S41" s="1428"/>
      <c r="T41" s="1428"/>
    </row>
    <row r="42" spans="3:33" s="932" customFormat="1">
      <c r="C42" s="18"/>
      <c r="D42" s="18"/>
      <c r="E42" s="922" t="s">
        <v>906</v>
      </c>
      <c r="F42" s="935"/>
      <c r="G42" s="935"/>
      <c r="H42" s="922" t="s">
        <v>907</v>
      </c>
      <c r="I42" s="1426">
        <v>0</v>
      </c>
      <c r="J42" s="1426">
        <v>0</v>
      </c>
      <c r="K42" s="1426">
        <v>0</v>
      </c>
      <c r="L42" s="1426"/>
      <c r="M42" s="1426">
        <v>347.13511922696915</v>
      </c>
      <c r="N42" s="1426"/>
      <c r="O42" s="1255">
        <v>0</v>
      </c>
      <c r="P42" s="1428"/>
      <c r="Q42" s="1428"/>
      <c r="R42" s="1428"/>
      <c r="S42" s="1428"/>
      <c r="T42" s="1428"/>
    </row>
    <row r="43" spans="3:33" s="932" customFormat="1">
      <c r="C43" s="18"/>
      <c r="D43" s="18"/>
      <c r="E43" s="922" t="s">
        <v>908</v>
      </c>
      <c r="F43" s="935"/>
      <c r="G43" s="935"/>
      <c r="H43" s="922" t="s">
        <v>909</v>
      </c>
      <c r="I43" s="1426">
        <v>4417.6239864812487</v>
      </c>
      <c r="J43" s="1426">
        <v>949.55324928264633</v>
      </c>
      <c r="K43" s="1426">
        <v>2936.6023947662543</v>
      </c>
      <c r="L43" s="1426"/>
      <c r="M43" s="1426">
        <v>4196.9418811444084</v>
      </c>
      <c r="N43" s="1426"/>
      <c r="O43" s="1255">
        <v>1773.9347352341445</v>
      </c>
      <c r="P43" s="1428"/>
      <c r="Q43" s="1428"/>
      <c r="R43" s="1428"/>
      <c r="S43" s="1428"/>
      <c r="T43" s="1428"/>
    </row>
    <row r="44" spans="3:33" s="932" customFormat="1">
      <c r="C44" s="18"/>
      <c r="D44" s="18"/>
      <c r="E44" s="922"/>
      <c r="F44" s="935"/>
      <c r="G44" s="935"/>
      <c r="H44" s="935"/>
    </row>
    <row r="45" spans="3:33" s="932" customFormat="1">
      <c r="C45" s="18"/>
      <c r="D45" s="18" t="s">
        <v>1110</v>
      </c>
      <c r="E45" s="935"/>
      <c r="F45" s="935"/>
      <c r="G45" s="935"/>
      <c r="H45" s="1431"/>
      <c r="I45" s="936">
        <f t="shared" ref="I45:M45" si="7">SUM(I46:I61)</f>
        <v>8829.0467110056888</v>
      </c>
      <c r="J45" s="936">
        <f t="shared" si="7"/>
        <v>6671.3831819330671</v>
      </c>
      <c r="K45" s="936">
        <f t="shared" si="7"/>
        <v>1803.3920055811436</v>
      </c>
      <c r="L45" s="936"/>
      <c r="M45" s="936">
        <f t="shared" si="7"/>
        <v>10871.485835009213</v>
      </c>
      <c r="N45" s="936"/>
      <c r="O45" s="936">
        <f>O73+O86+O99+O112+O125+O134</f>
        <v>19028.023825133561</v>
      </c>
      <c r="P45" s="936">
        <f t="shared" ref="P45:T45" si="8">P73+P86+P99+P112+P125+P134</f>
        <v>19004.310284701976</v>
      </c>
      <c r="Q45" s="936">
        <f t="shared" si="8"/>
        <v>38401.428392082467</v>
      </c>
      <c r="R45" s="936">
        <f t="shared" si="8"/>
        <v>8147.6935094644923</v>
      </c>
      <c r="S45" s="936">
        <f t="shared" si="8"/>
        <v>0</v>
      </c>
      <c r="T45" s="936">
        <f t="shared" si="8"/>
        <v>0</v>
      </c>
      <c r="AG45" s="927"/>
    </row>
    <row r="46" spans="3:33" s="932" customFormat="1" hidden="1">
      <c r="C46" s="18"/>
      <c r="D46" s="18"/>
      <c r="E46" s="922" t="s">
        <v>880</v>
      </c>
      <c r="F46" s="935"/>
      <c r="G46" s="935"/>
      <c r="H46" s="922" t="s">
        <v>910</v>
      </c>
      <c r="I46" s="1427">
        <v>0</v>
      </c>
      <c r="J46" s="1427">
        <v>0</v>
      </c>
      <c r="K46" s="1427">
        <v>0</v>
      </c>
      <c r="L46" s="1427"/>
      <c r="M46" s="1427">
        <v>6365.3873913013012</v>
      </c>
      <c r="N46" s="1427"/>
      <c r="O46" s="1429">
        <v>20701.482674776296</v>
      </c>
      <c r="P46" s="1430"/>
      <c r="Q46" s="1430"/>
      <c r="R46" s="1430"/>
      <c r="S46" s="1430"/>
      <c r="T46" s="1430"/>
      <c r="AG46" s="939"/>
    </row>
    <row r="47" spans="3:33" s="932" customFormat="1" hidden="1">
      <c r="C47" s="18"/>
      <c r="D47" s="18"/>
      <c r="E47" s="922" t="s">
        <v>882</v>
      </c>
      <c r="F47" s="935"/>
      <c r="G47" s="935"/>
      <c r="H47" s="922" t="s">
        <v>911</v>
      </c>
      <c r="I47" s="937">
        <v>0</v>
      </c>
      <c r="J47" s="937">
        <v>0</v>
      </c>
      <c r="K47" s="937">
        <v>0</v>
      </c>
      <c r="L47" s="937"/>
      <c r="M47" s="937">
        <v>2870.6434682680379</v>
      </c>
      <c r="N47" s="937"/>
      <c r="O47" s="985">
        <v>5955.4175921968181</v>
      </c>
      <c r="P47" s="938"/>
      <c r="Q47" s="938"/>
      <c r="R47" s="938"/>
      <c r="S47" s="938"/>
      <c r="T47" s="938"/>
      <c r="AG47" s="939"/>
    </row>
    <row r="48" spans="3:33" s="932" customFormat="1" hidden="1">
      <c r="C48" s="18"/>
      <c r="D48" s="18"/>
      <c r="E48" s="922" t="s">
        <v>884</v>
      </c>
      <c r="F48" s="935"/>
      <c r="G48" s="935"/>
      <c r="H48" s="922" t="s">
        <v>912</v>
      </c>
      <c r="I48" s="937">
        <v>0</v>
      </c>
      <c r="J48" s="937">
        <v>0</v>
      </c>
      <c r="K48" s="937">
        <v>457.50667388038977</v>
      </c>
      <c r="L48" s="937"/>
      <c r="M48" s="937">
        <v>1635.4549754398747</v>
      </c>
      <c r="N48" s="937"/>
      <c r="O48" s="985">
        <v>464.90634919522671</v>
      </c>
      <c r="P48" s="938"/>
      <c r="Q48" s="938"/>
      <c r="R48" s="938"/>
      <c r="S48" s="938"/>
      <c r="T48" s="938"/>
    </row>
    <row r="49" spans="3:34" s="932" customFormat="1" hidden="1">
      <c r="C49" s="18"/>
      <c r="D49" s="18"/>
      <c r="E49" s="922" t="s">
        <v>886</v>
      </c>
      <c r="F49" s="935"/>
      <c r="G49" s="935"/>
      <c r="H49" s="922" t="s">
        <v>913</v>
      </c>
      <c r="I49" s="937">
        <v>4566.6093049935662</v>
      </c>
      <c r="J49" s="937">
        <v>1937.0088387029634</v>
      </c>
      <c r="K49" s="937">
        <v>294.78412221565708</v>
      </c>
      <c r="L49" s="937"/>
      <c r="M49" s="937">
        <v>0</v>
      </c>
      <c r="N49" s="937"/>
      <c r="O49" s="985">
        <v>0</v>
      </c>
      <c r="P49" s="938"/>
      <c r="Q49" s="938"/>
      <c r="R49" s="938"/>
      <c r="S49" s="938"/>
      <c r="T49" s="938"/>
    </row>
    <row r="50" spans="3:34" s="932" customFormat="1" hidden="1">
      <c r="C50" s="18"/>
      <c r="D50" s="18"/>
      <c r="E50" s="922" t="s">
        <v>888</v>
      </c>
      <c r="F50" s="935"/>
      <c r="G50" s="935"/>
      <c r="H50" s="922" t="s">
        <v>914</v>
      </c>
      <c r="I50" s="937">
        <v>0</v>
      </c>
      <c r="J50" s="937">
        <v>3690.695804403741</v>
      </c>
      <c r="K50" s="937">
        <v>492.02740882589529</v>
      </c>
      <c r="L50" s="937"/>
      <c r="M50" s="937">
        <v>0</v>
      </c>
      <c r="N50" s="937"/>
      <c r="O50" s="985">
        <v>0</v>
      </c>
      <c r="P50" s="938"/>
      <c r="Q50" s="938"/>
      <c r="R50" s="938"/>
      <c r="S50" s="938"/>
      <c r="T50" s="938"/>
    </row>
    <row r="51" spans="3:34" s="932" customFormat="1" hidden="1">
      <c r="C51" s="18"/>
      <c r="D51" s="18"/>
      <c r="E51" s="922" t="s">
        <v>890</v>
      </c>
      <c r="F51" s="935"/>
      <c r="G51" s="935"/>
      <c r="H51" s="922" t="s">
        <v>915</v>
      </c>
      <c r="I51" s="937">
        <v>0</v>
      </c>
      <c r="J51" s="937">
        <v>0</v>
      </c>
      <c r="K51" s="937">
        <v>379.8222718956668</v>
      </c>
      <c r="L51" s="937"/>
      <c r="M51" s="937">
        <v>0</v>
      </c>
      <c r="N51" s="937"/>
      <c r="O51" s="985">
        <v>0</v>
      </c>
      <c r="P51" s="938"/>
      <c r="Q51" s="938"/>
      <c r="R51" s="938"/>
      <c r="S51" s="938"/>
      <c r="T51" s="938"/>
    </row>
    <row r="52" spans="3:34" s="932" customFormat="1" hidden="1">
      <c r="C52" s="18"/>
      <c r="D52" s="18"/>
      <c r="E52" s="922" t="s">
        <v>892</v>
      </c>
      <c r="F52" s="935"/>
      <c r="G52" s="935"/>
      <c r="H52" s="922" t="s">
        <v>916</v>
      </c>
      <c r="I52" s="937">
        <v>0</v>
      </c>
      <c r="J52" s="937">
        <v>0</v>
      </c>
      <c r="K52" s="937">
        <v>179.25152876353459</v>
      </c>
      <c r="L52" s="937"/>
      <c r="M52" s="937">
        <v>0</v>
      </c>
      <c r="N52" s="937"/>
      <c r="O52" s="985">
        <v>0</v>
      </c>
      <c r="P52" s="938"/>
      <c r="Q52" s="938"/>
      <c r="R52" s="938"/>
      <c r="S52" s="938"/>
      <c r="T52" s="938"/>
    </row>
    <row r="53" spans="3:34" s="932" customFormat="1" hidden="1">
      <c r="C53" s="18"/>
      <c r="D53" s="18"/>
      <c r="E53" s="922" t="s">
        <v>894</v>
      </c>
      <c r="F53" s="935"/>
      <c r="G53" s="935"/>
      <c r="H53" s="922" t="s">
        <v>917</v>
      </c>
      <c r="I53" s="937">
        <v>881.66441870920733</v>
      </c>
      <c r="J53" s="937">
        <v>142.24977624477779</v>
      </c>
      <c r="K53" s="937">
        <v>0</v>
      </c>
      <c r="L53" s="937"/>
      <c r="M53" s="937">
        <v>0</v>
      </c>
      <c r="N53" s="937"/>
      <c r="O53" s="985">
        <v>0</v>
      </c>
      <c r="P53" s="938"/>
      <c r="Q53" s="938"/>
      <c r="R53" s="938"/>
      <c r="S53" s="938"/>
      <c r="T53" s="938"/>
    </row>
    <row r="54" spans="3:34" s="932" customFormat="1" hidden="1">
      <c r="C54" s="18"/>
      <c r="D54" s="18"/>
      <c r="E54" s="922" t="s">
        <v>896</v>
      </c>
      <c r="F54" s="935"/>
      <c r="G54" s="935"/>
      <c r="H54" s="922" t="s">
        <v>918</v>
      </c>
      <c r="I54" s="937">
        <v>2673.6740926778598</v>
      </c>
      <c r="J54" s="937">
        <v>0</v>
      </c>
      <c r="K54" s="937">
        <v>0</v>
      </c>
      <c r="L54" s="937"/>
      <c r="M54" s="937">
        <v>0</v>
      </c>
      <c r="N54" s="937"/>
      <c r="O54" s="985">
        <v>0</v>
      </c>
      <c r="P54" s="938"/>
      <c r="Q54" s="938"/>
      <c r="R54" s="938"/>
      <c r="S54" s="938"/>
      <c r="T54" s="938"/>
    </row>
    <row r="55" spans="3:34" s="932" customFormat="1" hidden="1">
      <c r="C55" s="18"/>
      <c r="D55" s="18"/>
      <c r="E55" s="922" t="s">
        <v>898</v>
      </c>
      <c r="F55" s="935"/>
      <c r="G55" s="935"/>
      <c r="H55" s="922" t="s">
        <v>919</v>
      </c>
      <c r="I55" s="937">
        <v>513.4644900237198</v>
      </c>
      <c r="J55" s="937">
        <v>0</v>
      </c>
      <c r="K55" s="937">
        <v>0</v>
      </c>
      <c r="L55" s="937"/>
      <c r="M55" s="937">
        <v>0</v>
      </c>
      <c r="N55" s="937"/>
      <c r="O55" s="985">
        <v>0</v>
      </c>
      <c r="P55" s="938"/>
      <c r="Q55" s="938"/>
      <c r="R55" s="938"/>
      <c r="S55" s="938"/>
      <c r="T55" s="938"/>
    </row>
    <row r="56" spans="3:34" s="932" customFormat="1" hidden="1">
      <c r="C56" s="18"/>
      <c r="D56" s="18"/>
      <c r="E56" s="922" t="s">
        <v>900</v>
      </c>
      <c r="F56" s="935"/>
      <c r="G56" s="935"/>
      <c r="H56" s="922" t="s">
        <v>920</v>
      </c>
      <c r="I56" s="937">
        <v>193.63440460133637</v>
      </c>
      <c r="J56" s="937">
        <v>0</v>
      </c>
      <c r="K56" s="937">
        <v>0</v>
      </c>
      <c r="L56" s="937"/>
      <c r="M56" s="937">
        <v>0</v>
      </c>
      <c r="N56" s="937"/>
      <c r="O56" s="985">
        <v>0</v>
      </c>
      <c r="P56" s="938"/>
      <c r="Q56" s="938"/>
      <c r="R56" s="938"/>
      <c r="S56" s="938"/>
      <c r="T56" s="938"/>
      <c r="AG56" s="939"/>
    </row>
    <row r="57" spans="3:34" s="932" customFormat="1" hidden="1">
      <c r="C57" s="18"/>
      <c r="D57" s="18"/>
      <c r="E57" s="922" t="s">
        <v>902</v>
      </c>
      <c r="F57" s="935"/>
      <c r="G57" s="935"/>
      <c r="H57" s="922" t="s">
        <v>921</v>
      </c>
      <c r="I57" s="937">
        <v>0</v>
      </c>
      <c r="J57" s="937">
        <v>901.42876258158515</v>
      </c>
      <c r="K57" s="937">
        <v>0</v>
      </c>
      <c r="L57" s="937"/>
      <c r="M57" s="937">
        <v>0</v>
      </c>
      <c r="N57" s="937"/>
      <c r="O57" s="985">
        <v>0</v>
      </c>
      <c r="P57" s="938"/>
      <c r="Q57" s="938"/>
      <c r="R57" s="938"/>
      <c r="S57" s="938"/>
      <c r="T57" s="938"/>
    </row>
    <row r="58" spans="3:34" s="932" customFormat="1" hidden="1">
      <c r="C58" s="18"/>
      <c r="D58" s="18"/>
      <c r="E58" s="922" t="s">
        <v>904</v>
      </c>
      <c r="F58" s="935"/>
      <c r="G58" s="935"/>
      <c r="H58" s="922" t="s">
        <v>922</v>
      </c>
      <c r="I58" s="937"/>
      <c r="J58" s="937"/>
      <c r="K58" s="937"/>
      <c r="L58" s="937"/>
      <c r="M58" s="937"/>
      <c r="N58" s="937"/>
      <c r="O58" s="985">
        <v>4204.3009999229207</v>
      </c>
      <c r="P58" s="938">
        <v>12225.805999537526</v>
      </c>
      <c r="Q58" s="938">
        <v>18408.601999845843</v>
      </c>
      <c r="R58" s="938">
        <v>7204.3009999229207</v>
      </c>
      <c r="S58" s="938"/>
      <c r="T58" s="938"/>
      <c r="AG58" s="939"/>
      <c r="AH58" s="939"/>
    </row>
    <row r="59" spans="3:34" s="932" customFormat="1" hidden="1">
      <c r="C59" s="18"/>
      <c r="D59" s="18"/>
      <c r="E59" s="922" t="s">
        <v>906</v>
      </c>
      <c r="F59" s="935"/>
      <c r="G59" s="935"/>
      <c r="H59" s="922" t="s">
        <v>923</v>
      </c>
      <c r="I59" s="937"/>
      <c r="J59" s="937"/>
      <c r="K59" s="937"/>
      <c r="L59" s="937"/>
      <c r="M59" s="937"/>
      <c r="N59" s="937"/>
      <c r="O59" s="985"/>
      <c r="P59" s="938">
        <v>981.00356664868161</v>
      </c>
      <c r="Q59" s="938"/>
      <c r="R59" s="938"/>
      <c r="S59" s="938"/>
      <c r="T59" s="938"/>
    </row>
    <row r="60" spans="3:34" s="932" customFormat="1" hidden="1">
      <c r="C60" s="18"/>
      <c r="D60" s="18"/>
      <c r="E60" s="922" t="s">
        <v>908</v>
      </c>
      <c r="F60" s="935"/>
      <c r="G60" s="935"/>
      <c r="H60" s="922" t="s">
        <v>924</v>
      </c>
      <c r="I60" s="937"/>
      <c r="J60" s="937"/>
      <c r="K60" s="937"/>
      <c r="L60" s="937"/>
      <c r="M60" s="937"/>
      <c r="N60" s="937"/>
      <c r="O60" s="985"/>
      <c r="P60" s="938">
        <v>6867.0249665407709</v>
      </c>
      <c r="Q60" s="938">
        <v>1962.0071332973632</v>
      </c>
      <c r="R60" s="938">
        <v>981.00356664868161</v>
      </c>
      <c r="S60" s="938"/>
      <c r="T60" s="938"/>
      <c r="AG60" s="939"/>
    </row>
    <row r="61" spans="3:34" s="932" customFormat="1" hidden="1">
      <c r="C61" s="18"/>
      <c r="D61" s="18"/>
      <c r="E61" s="922" t="s">
        <v>925</v>
      </c>
      <c r="F61" s="935"/>
      <c r="G61" s="935"/>
      <c r="H61" s="922" t="s">
        <v>926</v>
      </c>
      <c r="I61" s="937"/>
      <c r="J61" s="937"/>
      <c r="K61" s="937"/>
      <c r="L61" s="937"/>
      <c r="M61" s="937"/>
      <c r="N61" s="937"/>
      <c r="O61" s="985"/>
      <c r="P61" s="938">
        <v>3000</v>
      </c>
      <c r="Q61" s="938">
        <v>3000</v>
      </c>
      <c r="R61" s="938">
        <v>3000</v>
      </c>
      <c r="S61" s="938"/>
      <c r="T61" s="938"/>
    </row>
    <row r="62" spans="3:34" s="932" customFormat="1" hidden="1">
      <c r="C62" s="18"/>
      <c r="D62" s="18"/>
      <c r="E62" s="922"/>
      <c r="F62" s="935"/>
      <c r="G62" s="935"/>
      <c r="H62" s="922"/>
      <c r="I62" s="937"/>
      <c r="J62" s="937"/>
      <c r="K62" s="937"/>
      <c r="L62" s="937"/>
      <c r="M62" s="937"/>
      <c r="N62" s="937"/>
      <c r="O62" s="985"/>
      <c r="P62" s="938"/>
      <c r="Q62" s="938"/>
      <c r="R62" s="938"/>
      <c r="S62" s="938"/>
      <c r="T62" s="938"/>
    </row>
    <row r="63" spans="3:34" s="932" customFormat="1">
      <c r="C63" s="18"/>
      <c r="D63" s="18"/>
      <c r="E63" s="935"/>
      <c r="F63" s="935"/>
      <c r="G63" s="935"/>
      <c r="H63" s="935"/>
    </row>
    <row r="64" spans="3:34" s="900" customFormat="1">
      <c r="C64" s="1"/>
      <c r="D64" s="349" t="s">
        <v>841</v>
      </c>
      <c r="E64" s="922"/>
      <c r="F64" s="922"/>
      <c r="G64" s="922"/>
      <c r="H64" s="922"/>
      <c r="O64" s="984"/>
      <c r="P64" s="984"/>
      <c r="Q64" s="984"/>
      <c r="R64" s="984"/>
      <c r="S64" s="984"/>
      <c r="T64" s="984"/>
    </row>
    <row r="65" spans="3:33" s="900" customFormat="1">
      <c r="C65" s="1"/>
      <c r="D65" s="1" t="s">
        <v>965</v>
      </c>
      <c r="E65" s="922"/>
      <c r="F65" s="922"/>
      <c r="G65" s="922"/>
      <c r="H65" s="922"/>
      <c r="I65" s="968">
        <v>0</v>
      </c>
      <c r="J65" s="945">
        <f t="shared" ref="J65:M65" si="9">I67</f>
        <v>0</v>
      </c>
      <c r="K65" s="945">
        <f t="shared" si="9"/>
        <v>0</v>
      </c>
      <c r="L65" s="945">
        <f t="shared" si="9"/>
        <v>0</v>
      </c>
      <c r="M65" s="945">
        <f t="shared" si="9"/>
        <v>0</v>
      </c>
      <c r="N65" s="945">
        <f>M67/12*7</f>
        <v>0</v>
      </c>
      <c r="O65" s="945">
        <f>M67</f>
        <v>0</v>
      </c>
      <c r="P65" s="945">
        <f t="shared" ref="P65:T65" si="10">O67</f>
        <v>3280</v>
      </c>
      <c r="Q65" s="945">
        <f t="shared" si="10"/>
        <v>3280</v>
      </c>
      <c r="R65" s="945">
        <f t="shared" si="10"/>
        <v>3280</v>
      </c>
      <c r="S65" s="945">
        <f t="shared" si="10"/>
        <v>3280</v>
      </c>
      <c r="T65" s="945">
        <f t="shared" si="10"/>
        <v>3280</v>
      </c>
    </row>
    <row r="66" spans="3:33" s="900" customFormat="1">
      <c r="C66" s="1"/>
      <c r="D66" s="1" t="s">
        <v>966</v>
      </c>
      <c r="E66" s="922"/>
      <c r="F66" s="922"/>
      <c r="G66" s="922"/>
      <c r="H66" s="922"/>
      <c r="O66" s="967">
        <v>3280</v>
      </c>
      <c r="P66" s="981"/>
      <c r="Q66" s="981">
        <v>0</v>
      </c>
      <c r="R66" s="981">
        <v>0</v>
      </c>
      <c r="S66" s="981"/>
      <c r="T66" s="981">
        <v>0</v>
      </c>
      <c r="AG66" s="904"/>
    </row>
    <row r="67" spans="3:33" s="932" customFormat="1">
      <c r="C67" s="18"/>
      <c r="D67" s="18" t="s">
        <v>967</v>
      </c>
      <c r="E67" s="935"/>
      <c r="F67" s="935"/>
      <c r="G67" s="935"/>
      <c r="H67" s="935"/>
      <c r="I67" s="941">
        <f t="shared" ref="I67" si="11">SUM(I65:I66)</f>
        <v>0</v>
      </c>
      <c r="J67" s="941">
        <f t="shared" ref="J67" si="12">SUM(J65:J66)</f>
        <v>0</v>
      </c>
      <c r="K67" s="941">
        <f t="shared" ref="K67" si="13">SUM(K65:K66)</f>
        <v>0</v>
      </c>
      <c r="L67" s="941">
        <f t="shared" ref="L67" si="14">SUM(L65:L66)</f>
        <v>0</v>
      </c>
      <c r="M67" s="941">
        <f t="shared" ref="M67" si="15">SUM(M65:M66)</f>
        <v>0</v>
      </c>
      <c r="N67" s="941">
        <f>SUM(N65:N66)</f>
        <v>0</v>
      </c>
      <c r="O67" s="941">
        <f t="shared" ref="O67" si="16">SUM(O65:O66)</f>
        <v>3280</v>
      </c>
      <c r="P67" s="941">
        <f>SUM(P65:P66)</f>
        <v>3280</v>
      </c>
      <c r="Q67" s="941">
        <f t="shared" ref="Q67" si="17">SUM(Q65:Q66)</f>
        <v>3280</v>
      </c>
      <c r="R67" s="941">
        <f t="shared" ref="R67" si="18">SUM(R65:R66)</f>
        <v>3280</v>
      </c>
      <c r="S67" s="941">
        <f t="shared" ref="S67" si="19">SUM(S65:S66)</f>
        <v>3280</v>
      </c>
      <c r="T67" s="941">
        <f t="shared" ref="T67" si="20">SUM(T65:T66)</f>
        <v>3280</v>
      </c>
    </row>
    <row r="68" spans="3:33" s="982" customFormat="1">
      <c r="C68" s="885"/>
      <c r="D68" s="206"/>
      <c r="E68" s="982" t="s">
        <v>475</v>
      </c>
      <c r="I68" s="983">
        <f t="shared" ref="I68:T68" si="21">IF(I67&gt;I69,0,I69-I67)</f>
        <v>400.93716799999993</v>
      </c>
      <c r="J68" s="983">
        <f t="shared" si="21"/>
        <v>414.66015599999997</v>
      </c>
      <c r="K68" s="983">
        <f t="shared" si="21"/>
        <v>402.13812799999999</v>
      </c>
      <c r="L68" s="983">
        <f t="shared" si="21"/>
        <v>0</v>
      </c>
      <c r="M68" s="983">
        <f t="shared" si="21"/>
        <v>1009.907286</v>
      </c>
      <c r="N68" s="983">
        <f t="shared" si="21"/>
        <v>345.08010000000002</v>
      </c>
      <c r="O68" s="983">
        <f t="shared" si="21"/>
        <v>0</v>
      </c>
      <c r="P68" s="983">
        <f t="shared" si="21"/>
        <v>0</v>
      </c>
      <c r="Q68" s="983">
        <f t="shared" si="21"/>
        <v>0</v>
      </c>
      <c r="R68" s="983">
        <f t="shared" si="21"/>
        <v>0</v>
      </c>
      <c r="S68" s="983">
        <f t="shared" si="21"/>
        <v>0</v>
      </c>
      <c r="T68" s="983">
        <f t="shared" si="21"/>
        <v>0</v>
      </c>
    </row>
    <row r="69" spans="3:33" s="932" customFormat="1">
      <c r="C69" s="18"/>
      <c r="D69" s="18" t="s">
        <v>968</v>
      </c>
      <c r="E69" s="935"/>
      <c r="F69" s="935"/>
      <c r="G69" s="935"/>
      <c r="H69" s="935"/>
      <c r="I69" s="946">
        <v>400.93716799999993</v>
      </c>
      <c r="J69" s="946">
        <v>414.66015599999997</v>
      </c>
      <c r="K69" s="946">
        <v>402.13812799999999</v>
      </c>
      <c r="L69" s="963"/>
      <c r="M69" s="946">
        <v>1009.907286</v>
      </c>
      <c r="N69" s="946">
        <v>345.08010000000002</v>
      </c>
      <c r="O69" s="941">
        <f>O71/O72</f>
        <v>1174.6824692989728</v>
      </c>
      <c r="P69" s="941">
        <f>P71/P72</f>
        <v>1490.037670228973</v>
      </c>
      <c r="Q69" s="941">
        <f t="shared" ref="Q69:T69" si="22">Q71/Q72</f>
        <v>1835.5367318784729</v>
      </c>
      <c r="R69" s="941">
        <f t="shared" si="22"/>
        <v>2152.5650431923486</v>
      </c>
      <c r="S69" s="941">
        <f t="shared" si="22"/>
        <v>2476.6185713180921</v>
      </c>
      <c r="T69" s="941">
        <f t="shared" si="22"/>
        <v>2794.0134285819563</v>
      </c>
      <c r="U69" s="973"/>
      <c r="V69" s="974"/>
    </row>
    <row r="70" spans="3:33" s="932" customFormat="1">
      <c r="C70" s="18"/>
      <c r="D70" s="1" t="s">
        <v>969</v>
      </c>
      <c r="E70" s="935"/>
      <c r="F70" s="935"/>
      <c r="G70" s="935"/>
      <c r="H70" s="935"/>
      <c r="I70" s="964"/>
      <c r="J70" s="964"/>
      <c r="K70" s="964"/>
      <c r="L70" s="964"/>
      <c r="M70" s="964"/>
      <c r="N70" s="964"/>
      <c r="O70" s="947">
        <f t="shared" ref="O70" si="23">O69/O67</f>
        <v>0.35813489917651609</v>
      </c>
      <c r="P70" s="947">
        <f t="shared" ref="P70" si="24">P69/P67</f>
        <v>0.45427977750883319</v>
      </c>
      <c r="Q70" s="947">
        <f t="shared" ref="Q70" si="25">Q69/Q67</f>
        <v>0.55961485728002225</v>
      </c>
      <c r="R70" s="947">
        <f t="shared" ref="R70" si="26">R69/R67</f>
        <v>0.65626983024156971</v>
      </c>
      <c r="S70" s="947">
        <f t="shared" ref="S70" si="27">S69/S67</f>
        <v>0.75506663759697934</v>
      </c>
      <c r="T70" s="947">
        <f t="shared" ref="T70" si="28">T69/T67</f>
        <v>0.8518333623725477</v>
      </c>
      <c r="U70" s="975"/>
      <c r="V70" s="974"/>
    </row>
    <row r="71" spans="3:33" s="900" customFormat="1">
      <c r="C71" s="1"/>
      <c r="D71" s="18" t="s">
        <v>970</v>
      </c>
      <c r="E71" s="922"/>
      <c r="F71" s="922"/>
      <c r="G71" s="922"/>
      <c r="H71" s="922"/>
      <c r="I71" s="948">
        <f>(中国!H31+中国!H913)/1000</f>
        <v>419.82591399999995</v>
      </c>
      <c r="J71" s="948">
        <f>(中国!I31+中国!I913)/1000</f>
        <v>427.10401400000012</v>
      </c>
      <c r="K71" s="948">
        <f>(中国!J31+中国!J913)/1000</f>
        <v>380.95016399999997</v>
      </c>
      <c r="L71" s="948">
        <f>(中国!K31+中国!K913)/1000</f>
        <v>747.71699999999998</v>
      </c>
      <c r="M71" s="948">
        <f>(中国!L31+中国!L913)/1000</f>
        <v>936.5061726989727</v>
      </c>
      <c r="N71" s="948">
        <f>(中国!M31+中国!M913)/1000</f>
        <v>654.70894770672589</v>
      </c>
      <c r="O71" s="948">
        <f>(中国!N31+中国!N913)/1000</f>
        <v>1174.6824692989728</v>
      </c>
      <c r="P71" s="948">
        <f>(中国!O31+中国!O913)/1000</f>
        <v>1490.037670228973</v>
      </c>
      <c r="Q71" s="948">
        <f>(中国!P31+中国!P913)/1000</f>
        <v>1835.5367318784729</v>
      </c>
      <c r="R71" s="948">
        <f>(中国!Q31+中国!Q913)/1000</f>
        <v>2152.5650431923486</v>
      </c>
      <c r="S71" s="948">
        <f>(中国!R31+中国!R913)/1000</f>
        <v>2476.6185713180921</v>
      </c>
      <c r="T71" s="948">
        <f>(中国!S31+中国!S913)/1000</f>
        <v>2794.0134285819563</v>
      </c>
      <c r="U71" s="976"/>
      <c r="V71" s="977"/>
      <c r="W71" s="948"/>
      <c r="X71" s="948"/>
      <c r="Y71" s="948"/>
      <c r="Z71" s="948"/>
      <c r="AA71" s="948"/>
      <c r="AB71" s="948"/>
      <c r="AC71" s="948"/>
      <c r="AD71" s="948"/>
      <c r="AE71" s="948"/>
      <c r="AF71" s="948"/>
    </row>
    <row r="72" spans="3:33" s="900" customFormat="1">
      <c r="C72" s="1"/>
      <c r="D72" s="1" t="s">
        <v>971</v>
      </c>
      <c r="E72" s="922"/>
      <c r="F72" s="922"/>
      <c r="G72" s="922"/>
      <c r="H72" s="922"/>
      <c r="I72" s="947">
        <f>I71/I69</f>
        <v>1.0471114865559186</v>
      </c>
      <c r="J72" s="947">
        <f t="shared" ref="J72" si="29">J71/J69</f>
        <v>1.0300097750409378</v>
      </c>
      <c r="K72" s="947">
        <f>K71/K69</f>
        <v>0.94731172568645361</v>
      </c>
      <c r="L72" s="964"/>
      <c r="M72" s="947">
        <f t="shared" ref="M72" si="30">M71/M69</f>
        <v>0.9273189585632643</v>
      </c>
      <c r="N72" s="947">
        <f t="shared" ref="N72" si="31">N71/N69</f>
        <v>1.8972665989917294</v>
      </c>
      <c r="O72" s="965">
        <v>1</v>
      </c>
      <c r="P72" s="965">
        <v>1</v>
      </c>
      <c r="Q72" s="965">
        <v>1</v>
      </c>
      <c r="R72" s="965">
        <v>1</v>
      </c>
      <c r="S72" s="965">
        <v>1</v>
      </c>
      <c r="T72" s="971">
        <v>1</v>
      </c>
      <c r="U72" s="975"/>
      <c r="V72" s="978"/>
    </row>
    <row r="73" spans="3:33" s="900" customFormat="1">
      <c r="C73" s="1"/>
      <c r="D73" s="1" t="s">
        <v>973</v>
      </c>
      <c r="E73" s="922"/>
      <c r="F73" s="922"/>
      <c r="G73" s="922"/>
      <c r="H73" s="922"/>
      <c r="O73" s="931">
        <f>O74/集团!N$9</f>
        <v>1307.0345520233229</v>
      </c>
      <c r="P73" s="931">
        <f>P74/集团!O$9</f>
        <v>0</v>
      </c>
      <c r="Q73" s="931">
        <f>Q74/集团!P$9</f>
        <v>0</v>
      </c>
      <c r="R73" s="931">
        <f>R74/集团!Q$9</f>
        <v>0</v>
      </c>
      <c r="S73" s="931">
        <f>S74/集团!R$9</f>
        <v>0</v>
      </c>
      <c r="T73" s="931">
        <f>T74/集团!S$9</f>
        <v>0</v>
      </c>
      <c r="U73" s="979"/>
      <c r="V73" s="978"/>
    </row>
    <row r="74" spans="3:33" s="900" customFormat="1">
      <c r="C74" s="1"/>
      <c r="D74" s="1" t="s">
        <v>974</v>
      </c>
      <c r="E74" s="922"/>
      <c r="F74" s="922"/>
      <c r="G74" s="922"/>
      <c r="H74" s="922"/>
      <c r="O74" s="967">
        <v>9370</v>
      </c>
      <c r="P74" s="931">
        <f>P75*P66*10000/1000</f>
        <v>0</v>
      </c>
      <c r="Q74" s="931">
        <f>Q75*Q66*10000/1000</f>
        <v>0</v>
      </c>
      <c r="R74" s="931">
        <f>R75*R66*10000/1000</f>
        <v>0</v>
      </c>
      <c r="S74" s="931">
        <f>S75*S66*10000/1000</f>
        <v>0</v>
      </c>
      <c r="T74" s="931">
        <f>T75*T66*10000/1000</f>
        <v>0</v>
      </c>
      <c r="U74" s="979"/>
      <c r="V74" s="978"/>
      <c r="AG74" s="900">
        <f>O74/2500000</f>
        <v>3.748E-3</v>
      </c>
    </row>
    <row r="75" spans="3:33" s="900" customFormat="1">
      <c r="C75" s="1"/>
      <c r="D75" s="1" t="s">
        <v>972</v>
      </c>
      <c r="E75" s="922"/>
      <c r="F75" s="922"/>
      <c r="G75" s="922"/>
      <c r="H75" s="922"/>
      <c r="M75" s="966"/>
      <c r="N75" s="950"/>
      <c r="O75" s="969">
        <f>O74*1000/(O66*10000)</f>
        <v>0.28567073170731705</v>
      </c>
      <c r="P75" s="951">
        <f t="shared" ref="P75:T75" si="32">O75</f>
        <v>0.28567073170731705</v>
      </c>
      <c r="Q75" s="951">
        <f t="shared" si="32"/>
        <v>0.28567073170731705</v>
      </c>
      <c r="R75" s="951">
        <f t="shared" si="32"/>
        <v>0.28567073170731705</v>
      </c>
      <c r="S75" s="951">
        <f t="shared" si="32"/>
        <v>0.28567073170731705</v>
      </c>
      <c r="T75" s="972">
        <f t="shared" si="32"/>
        <v>0.28567073170731705</v>
      </c>
      <c r="U75" s="980"/>
      <c r="V75" s="978"/>
    </row>
    <row r="76" spans="3:33" s="900" customFormat="1">
      <c r="C76" s="1"/>
      <c r="D76" s="1"/>
      <c r="E76" s="922"/>
      <c r="F76" s="922"/>
      <c r="G76" s="922"/>
      <c r="H76" s="922"/>
    </row>
    <row r="77" spans="3:33" s="900" customFormat="1">
      <c r="C77" s="1"/>
      <c r="D77" s="349" t="s">
        <v>842</v>
      </c>
      <c r="E77" s="922"/>
      <c r="F77" s="922"/>
      <c r="G77" s="922"/>
      <c r="H77" s="922"/>
    </row>
    <row r="78" spans="3:33" s="900" customFormat="1">
      <c r="C78" s="1"/>
      <c r="D78" s="1" t="s">
        <v>965</v>
      </c>
      <c r="E78" s="922"/>
      <c r="F78" s="922"/>
      <c r="G78" s="922"/>
      <c r="H78" s="922"/>
      <c r="I78" s="968">
        <v>2000</v>
      </c>
      <c r="J78" s="945">
        <f t="shared" ref="J78:M78" si="33">I80</f>
        <v>2000</v>
      </c>
      <c r="K78" s="945">
        <f t="shared" si="33"/>
        <v>2000</v>
      </c>
      <c r="L78" s="945">
        <f t="shared" si="33"/>
        <v>2000</v>
      </c>
      <c r="M78" s="945">
        <f t="shared" si="33"/>
        <v>2000</v>
      </c>
      <c r="N78" s="945">
        <f>M80/12*7</f>
        <v>1166.6666666666665</v>
      </c>
      <c r="O78" s="945">
        <f>M80</f>
        <v>2000</v>
      </c>
      <c r="P78" s="945">
        <f t="shared" ref="P78:T78" si="34">O80</f>
        <v>3000</v>
      </c>
      <c r="Q78" s="945">
        <f t="shared" si="34"/>
        <v>4500</v>
      </c>
      <c r="R78" s="945">
        <f t="shared" si="34"/>
        <v>4500</v>
      </c>
      <c r="S78" s="945">
        <f t="shared" si="34"/>
        <v>4500</v>
      </c>
      <c r="T78" s="945">
        <f t="shared" si="34"/>
        <v>4500</v>
      </c>
    </row>
    <row r="79" spans="3:33" s="900" customFormat="1">
      <c r="C79" s="1"/>
      <c r="D79" s="1" t="s">
        <v>966</v>
      </c>
      <c r="E79" s="922"/>
      <c r="F79" s="922"/>
      <c r="G79" s="922"/>
      <c r="H79" s="922"/>
      <c r="O79" s="967">
        <v>1000</v>
      </c>
      <c r="P79" s="970">
        <v>1500</v>
      </c>
      <c r="Q79" s="981">
        <v>0</v>
      </c>
      <c r="R79" s="970">
        <v>0</v>
      </c>
      <c r="S79" s="970">
        <v>0</v>
      </c>
      <c r="T79" s="970">
        <v>0</v>
      </c>
      <c r="AG79" s="904"/>
    </row>
    <row r="80" spans="3:33" s="932" customFormat="1">
      <c r="C80" s="18"/>
      <c r="D80" s="18" t="s">
        <v>967</v>
      </c>
      <c r="E80" s="935"/>
      <c r="F80" s="935"/>
      <c r="G80" s="935"/>
      <c r="H80" s="935"/>
      <c r="I80" s="941">
        <f t="shared" ref="I80" si="35">SUM(I78:I79)</f>
        <v>2000</v>
      </c>
      <c r="J80" s="941">
        <f t="shared" ref="J80" si="36">SUM(J78:J79)</f>
        <v>2000</v>
      </c>
      <c r="K80" s="941">
        <f t="shared" ref="K80" si="37">SUM(K78:K79)</f>
        <v>2000</v>
      </c>
      <c r="L80" s="941">
        <f t="shared" ref="L80" si="38">SUM(L78:L79)</f>
        <v>2000</v>
      </c>
      <c r="M80" s="941">
        <f t="shared" ref="M80" si="39">SUM(M78:M79)</f>
        <v>2000</v>
      </c>
      <c r="N80" s="941">
        <f t="shared" ref="N80" si="40">SUM(N78:N79)</f>
        <v>1166.6666666666665</v>
      </c>
      <c r="O80" s="941">
        <f t="shared" ref="O80" si="41">SUM(O78:O79)</f>
        <v>3000</v>
      </c>
      <c r="P80" s="941">
        <f>SUM(P78:P79)</f>
        <v>4500</v>
      </c>
      <c r="Q80" s="941">
        <f t="shared" ref="Q80" si="42">SUM(Q78:Q79)</f>
        <v>4500</v>
      </c>
      <c r="R80" s="941">
        <f t="shared" ref="R80" si="43">SUM(R78:R79)</f>
        <v>4500</v>
      </c>
      <c r="S80" s="941">
        <f t="shared" ref="S80" si="44">SUM(S78:S79)</f>
        <v>4500</v>
      </c>
      <c r="T80" s="941">
        <f t="shared" ref="T80" si="45">SUM(T78:T79)</f>
        <v>4500</v>
      </c>
    </row>
    <row r="81" spans="3:33" s="982" customFormat="1">
      <c r="C81" s="885"/>
      <c r="D81" s="206"/>
      <c r="E81" s="982" t="s">
        <v>475</v>
      </c>
      <c r="I81" s="983">
        <f t="shared" ref="I81:T81" si="46">IF(I80&gt;I82,0,I82-I80)</f>
        <v>0</v>
      </c>
      <c r="J81" s="983">
        <f t="shared" si="46"/>
        <v>0</v>
      </c>
      <c r="K81" s="983">
        <f t="shared" si="46"/>
        <v>0</v>
      </c>
      <c r="L81" s="983">
        <f t="shared" si="46"/>
        <v>0</v>
      </c>
      <c r="M81" s="983">
        <f t="shared" si="46"/>
        <v>0</v>
      </c>
      <c r="N81" s="983">
        <f t="shared" si="46"/>
        <v>0</v>
      </c>
      <c r="O81" s="983">
        <f t="shared" si="46"/>
        <v>0</v>
      </c>
      <c r="P81" s="983">
        <f t="shared" si="46"/>
        <v>0</v>
      </c>
      <c r="Q81" s="983">
        <f t="shared" si="46"/>
        <v>0</v>
      </c>
      <c r="R81" s="983">
        <f t="shared" si="46"/>
        <v>0</v>
      </c>
      <c r="S81" s="983">
        <f t="shared" si="46"/>
        <v>0</v>
      </c>
      <c r="T81" s="983">
        <f t="shared" si="46"/>
        <v>0</v>
      </c>
    </row>
    <row r="82" spans="3:33" s="932" customFormat="1">
      <c r="C82" s="18"/>
      <c r="D82" s="18" t="s">
        <v>968</v>
      </c>
      <c r="E82" s="935"/>
      <c r="F82" s="935"/>
      <c r="G82" s="935"/>
      <c r="H82" s="935"/>
      <c r="I82" s="946">
        <v>394.80891499999996</v>
      </c>
      <c r="J82" s="946">
        <v>968.05945399999996</v>
      </c>
      <c r="K82" s="946">
        <v>1130.7842000000003</v>
      </c>
      <c r="L82" s="963"/>
      <c r="M82" s="946">
        <v>1840.464086</v>
      </c>
      <c r="N82" s="946">
        <v>1079.1344120000001</v>
      </c>
      <c r="O82" s="941">
        <f>O84/O85</f>
        <v>2069.3067700100651</v>
      </c>
      <c r="P82" s="941">
        <f>P84/P85</f>
        <v>2312.8766025119239</v>
      </c>
      <c r="Q82" s="941">
        <f t="shared" ref="Q82:T82" si="47">Q84/Q85</f>
        <v>2504.0768778453753</v>
      </c>
      <c r="R82" s="941">
        <f t="shared" si="47"/>
        <v>2747.6272412803492</v>
      </c>
      <c r="S82" s="941">
        <f t="shared" si="47"/>
        <v>3018.8640837723074</v>
      </c>
      <c r="T82" s="941">
        <f t="shared" si="47"/>
        <v>3291.0619213131399</v>
      </c>
      <c r="U82" s="973"/>
      <c r="V82" s="974"/>
    </row>
    <row r="83" spans="3:33" s="932" customFormat="1">
      <c r="C83" s="18"/>
      <c r="D83" s="1" t="s">
        <v>969</v>
      </c>
      <c r="E83" s="935"/>
      <c r="F83" s="935"/>
      <c r="G83" s="935"/>
      <c r="H83" s="935"/>
      <c r="I83" s="947">
        <f>I82/I80</f>
        <v>0.19740445749999999</v>
      </c>
      <c r="J83" s="947">
        <f>J82/J80</f>
        <v>0.48402972699999997</v>
      </c>
      <c r="K83" s="947">
        <f>K82/K80</f>
        <v>0.56539210000000018</v>
      </c>
      <c r="L83" s="964"/>
      <c r="M83" s="947">
        <f>M82/M80</f>
        <v>0.92023204299999994</v>
      </c>
      <c r="N83" s="947">
        <f>N82/N80</f>
        <v>0.92497235314285731</v>
      </c>
      <c r="O83" s="947">
        <f t="shared" ref="O83:T83" si="48">O82/O80</f>
        <v>0.68976892333668838</v>
      </c>
      <c r="P83" s="947">
        <f t="shared" si="48"/>
        <v>0.51397257833598309</v>
      </c>
      <c r="Q83" s="947">
        <f t="shared" si="48"/>
        <v>0.55646152841008345</v>
      </c>
      <c r="R83" s="947">
        <f t="shared" si="48"/>
        <v>0.6105838313956331</v>
      </c>
      <c r="S83" s="947">
        <f t="shared" si="48"/>
        <v>0.67085868528273496</v>
      </c>
      <c r="T83" s="947">
        <f t="shared" si="48"/>
        <v>0.73134709362514216</v>
      </c>
      <c r="U83" s="975"/>
      <c r="V83" s="974"/>
    </row>
    <row r="84" spans="3:33" s="900" customFormat="1">
      <c r="C84" s="1"/>
      <c r="D84" s="18" t="s">
        <v>970</v>
      </c>
      <c r="E84" s="922"/>
      <c r="F84" s="922"/>
      <c r="G84" s="922"/>
      <c r="H84" s="922"/>
      <c r="I84" s="948">
        <f>(中国!H32+中国!H914)/1000</f>
        <v>426.989195</v>
      </c>
      <c r="J84" s="948">
        <f>(中国!I32+中国!I914)/1000</f>
        <v>895.47079399949996</v>
      </c>
      <c r="K84" s="948">
        <f>(中国!J32+中国!J914)/1000</f>
        <v>1102.676929</v>
      </c>
      <c r="L84" s="948">
        <f>(中国!K32+中国!K914)/1000</f>
        <v>1615.1780000000001</v>
      </c>
      <c r="M84" s="948">
        <f>(中国!L32+中国!L914)/1000</f>
        <v>1882.614360074961</v>
      </c>
      <c r="N84" s="948">
        <f>(中国!M32+中国!M914)/1000</f>
        <v>1097.2551493111728</v>
      </c>
      <c r="O84" s="948">
        <f>(中国!N32+中国!N914)/1000</f>
        <v>2069.3067700100651</v>
      </c>
      <c r="P84" s="948">
        <f>(中国!O32+中国!O914)/1000</f>
        <v>2312.8766025119239</v>
      </c>
      <c r="Q84" s="948">
        <f>(中国!P32+中国!P914)/1000</f>
        <v>2504.0768778453753</v>
      </c>
      <c r="R84" s="948">
        <f>(中国!Q32+中国!Q914)/1000</f>
        <v>2747.6272412803492</v>
      </c>
      <c r="S84" s="948">
        <f>(中国!R32+中国!R914)/1000</f>
        <v>3018.8640837723074</v>
      </c>
      <c r="T84" s="948">
        <f>(中国!S32+中国!S914)/1000</f>
        <v>3291.0619213131399</v>
      </c>
      <c r="U84" s="976"/>
      <c r="V84" s="977"/>
      <c r="W84" s="948"/>
      <c r="X84" s="948"/>
      <c r="Y84" s="948"/>
      <c r="Z84" s="948"/>
      <c r="AA84" s="948"/>
      <c r="AB84" s="948"/>
      <c r="AC84" s="948"/>
      <c r="AD84" s="948"/>
      <c r="AE84" s="948"/>
      <c r="AF84" s="948"/>
    </row>
    <row r="85" spans="3:33" s="900" customFormat="1">
      <c r="C85" s="1"/>
      <c r="D85" s="1" t="s">
        <v>971</v>
      </c>
      <c r="E85" s="922"/>
      <c r="F85" s="922"/>
      <c r="G85" s="922"/>
      <c r="H85" s="922"/>
      <c r="I85" s="947">
        <f>I84/I82</f>
        <v>1.0815084937988293</v>
      </c>
      <c r="J85" s="947">
        <f t="shared" ref="J85" si="49">J84/J82</f>
        <v>0.9250163203297429</v>
      </c>
      <c r="K85" s="947">
        <f>K84/K82</f>
        <v>0.97514355877982706</v>
      </c>
      <c r="L85" s="964"/>
      <c r="M85" s="947">
        <f t="shared" ref="M85" si="50">M84/M82</f>
        <v>1.0229019812967766</v>
      </c>
      <c r="N85" s="947">
        <f t="shared" ref="N85" si="51">N84/N82</f>
        <v>1.0167919186986065</v>
      </c>
      <c r="O85" s="965">
        <v>1</v>
      </c>
      <c r="P85" s="965">
        <v>1</v>
      </c>
      <c r="Q85" s="965">
        <v>1</v>
      </c>
      <c r="R85" s="965">
        <v>1</v>
      </c>
      <c r="S85" s="965">
        <v>1</v>
      </c>
      <c r="T85" s="971">
        <v>1</v>
      </c>
      <c r="U85" s="975"/>
      <c r="V85" s="978"/>
    </row>
    <row r="86" spans="3:33" s="900" customFormat="1">
      <c r="C86" s="1"/>
      <c r="D86" s="1" t="s">
        <v>973</v>
      </c>
      <c r="E86" s="922"/>
      <c r="F86" s="922"/>
      <c r="G86" s="922"/>
      <c r="H86" s="922"/>
      <c r="O86" s="931">
        <f>O87/集团!N$9</f>
        <v>13944.956687915859</v>
      </c>
      <c r="P86" s="931">
        <f>P87/集团!O$9</f>
        <v>0</v>
      </c>
      <c r="Q86" s="931">
        <f>Q87/集团!P$9</f>
        <v>0</v>
      </c>
      <c r="R86" s="931">
        <f>R87/集团!Q$9</f>
        <v>0</v>
      </c>
      <c r="S86" s="931">
        <f>S87/集团!R$9</f>
        <v>0</v>
      </c>
      <c r="T86" s="931">
        <f>T87/集团!S$9</f>
        <v>0</v>
      </c>
      <c r="U86" s="979"/>
      <c r="V86" s="978"/>
    </row>
    <row r="87" spans="3:33" s="900" customFormat="1">
      <c r="C87" s="1"/>
      <c r="D87" s="1" t="s">
        <v>974</v>
      </c>
      <c r="E87" s="922"/>
      <c r="F87" s="922"/>
      <c r="G87" s="922"/>
      <c r="H87" s="922"/>
      <c r="O87" s="1262">
        <v>99970</v>
      </c>
      <c r="P87" s="1262">
        <f>99970-O87</f>
        <v>0</v>
      </c>
      <c r="Q87" s="931">
        <f>Q88*Q79*10000/1000</f>
        <v>0</v>
      </c>
      <c r="R87" s="931">
        <f>R88*R79*10000/1000</f>
        <v>0</v>
      </c>
      <c r="S87" s="931">
        <f>S88*S79*10000/1000</f>
        <v>0</v>
      </c>
      <c r="T87" s="931">
        <f>T88*T79*10000/1000</f>
        <v>0</v>
      </c>
      <c r="U87" s="979"/>
      <c r="V87" s="978"/>
    </row>
    <row r="88" spans="3:33" s="900" customFormat="1">
      <c r="C88" s="1"/>
      <c r="D88" s="1" t="s">
        <v>972</v>
      </c>
      <c r="E88" s="922"/>
      <c r="F88" s="922"/>
      <c r="G88" s="922"/>
      <c r="H88" s="922"/>
      <c r="M88" s="966"/>
      <c r="N88" s="950"/>
      <c r="O88" s="969">
        <f>99970000/25000000</f>
        <v>3.9988000000000001</v>
      </c>
      <c r="P88" s="1261">
        <f t="shared" ref="P88:T88" si="52">O88</f>
        <v>3.9988000000000001</v>
      </c>
      <c r="Q88" s="951">
        <f t="shared" si="52"/>
        <v>3.9988000000000001</v>
      </c>
      <c r="R88" s="951">
        <f t="shared" si="52"/>
        <v>3.9988000000000001</v>
      </c>
      <c r="S88" s="951">
        <f t="shared" si="52"/>
        <v>3.9988000000000001</v>
      </c>
      <c r="T88" s="972">
        <f t="shared" si="52"/>
        <v>3.9988000000000001</v>
      </c>
      <c r="U88" s="980"/>
      <c r="V88" s="978"/>
    </row>
    <row r="89" spans="3:33" s="900" customFormat="1">
      <c r="C89" s="1"/>
      <c r="D89" s="1"/>
      <c r="E89" s="922"/>
      <c r="F89" s="922"/>
      <c r="G89" s="922"/>
      <c r="H89" s="922"/>
      <c r="M89" s="927"/>
      <c r="N89" s="927"/>
      <c r="O89" s="927"/>
    </row>
    <row r="90" spans="3:33" s="900" customFormat="1">
      <c r="C90" s="1"/>
      <c r="D90" s="349" t="s">
        <v>843</v>
      </c>
      <c r="E90" s="922"/>
      <c r="F90" s="922"/>
      <c r="G90" s="922"/>
      <c r="H90" s="922"/>
    </row>
    <row r="91" spans="3:33" s="900" customFormat="1">
      <c r="C91" s="1"/>
      <c r="D91" s="1" t="s">
        <v>965</v>
      </c>
      <c r="E91" s="922"/>
      <c r="F91" s="922"/>
      <c r="G91" s="922"/>
      <c r="H91" s="922"/>
      <c r="I91" s="968">
        <v>4500</v>
      </c>
      <c r="J91" s="945">
        <f t="shared" ref="J91:M91" si="53">I93</f>
        <v>4500</v>
      </c>
      <c r="K91" s="945">
        <f t="shared" si="53"/>
        <v>4500</v>
      </c>
      <c r="L91" s="945">
        <f t="shared" si="53"/>
        <v>4500</v>
      </c>
      <c r="M91" s="945">
        <f t="shared" si="53"/>
        <v>4500</v>
      </c>
      <c r="N91" s="945">
        <f>M93/12*7</f>
        <v>2625</v>
      </c>
      <c r="O91" s="945">
        <f>M93</f>
        <v>4500</v>
      </c>
      <c r="P91" s="945">
        <f t="shared" ref="P91:T91" si="54">O93</f>
        <v>5500</v>
      </c>
      <c r="Q91" s="945">
        <f t="shared" si="54"/>
        <v>5500</v>
      </c>
      <c r="R91" s="945">
        <f t="shared" si="54"/>
        <v>10300</v>
      </c>
      <c r="S91" s="945">
        <f t="shared" si="54"/>
        <v>10300</v>
      </c>
      <c r="T91" s="945">
        <f t="shared" si="54"/>
        <v>10300</v>
      </c>
    </row>
    <row r="92" spans="3:33" s="900" customFormat="1">
      <c r="C92" s="1"/>
      <c r="D92" s="1" t="s">
        <v>966</v>
      </c>
      <c r="E92" s="922"/>
      <c r="F92" s="922"/>
      <c r="G92" s="922"/>
      <c r="H92" s="922"/>
      <c r="O92" s="967">
        <v>1000</v>
      </c>
      <c r="P92" s="970"/>
      <c r="Q92" s="970">
        <v>4800</v>
      </c>
      <c r="R92" s="970"/>
      <c r="S92" s="970"/>
      <c r="T92" s="970">
        <v>0</v>
      </c>
      <c r="AG92" s="904"/>
    </row>
    <row r="93" spans="3:33" s="932" customFormat="1">
      <c r="C93" s="18"/>
      <c r="D93" s="18" t="s">
        <v>967</v>
      </c>
      <c r="E93" s="935"/>
      <c r="F93" s="935"/>
      <c r="G93" s="935"/>
      <c r="H93" s="935"/>
      <c r="I93" s="941">
        <f t="shared" ref="I93:O93" si="55">SUM(I91:I92)</f>
        <v>4500</v>
      </c>
      <c r="J93" s="941">
        <f t="shared" si="55"/>
        <v>4500</v>
      </c>
      <c r="K93" s="941">
        <f t="shared" si="55"/>
        <v>4500</v>
      </c>
      <c r="L93" s="941">
        <f t="shared" si="55"/>
        <v>4500</v>
      </c>
      <c r="M93" s="941">
        <f t="shared" si="55"/>
        <v>4500</v>
      </c>
      <c r="N93" s="941">
        <f t="shared" si="55"/>
        <v>2625</v>
      </c>
      <c r="O93" s="941">
        <f t="shared" si="55"/>
        <v>5500</v>
      </c>
      <c r="P93" s="941">
        <f>SUM(P91:P92)</f>
        <v>5500</v>
      </c>
      <c r="Q93" s="941">
        <f t="shared" ref="Q93" si="56">SUM(Q91:Q92)</f>
        <v>10300</v>
      </c>
      <c r="R93" s="941">
        <f t="shared" ref="R93" si="57">SUM(R91:R92)</f>
        <v>10300</v>
      </c>
      <c r="S93" s="941">
        <f t="shared" ref="S93" si="58">SUM(S91:S92)</f>
        <v>10300</v>
      </c>
      <c r="T93" s="941">
        <f t="shared" ref="T93" si="59">SUM(T91:T92)</f>
        <v>10300</v>
      </c>
    </row>
    <row r="94" spans="3:33" s="982" customFormat="1">
      <c r="C94" s="885"/>
      <c r="D94" s="206"/>
      <c r="E94" s="982" t="s">
        <v>475</v>
      </c>
      <c r="I94" s="983">
        <f>IF(I93&gt;I95,0,I95-I93)</f>
        <v>0</v>
      </c>
      <c r="J94" s="983">
        <f t="shared" ref="J94:T94" si="60">IF(J93&gt;J95,0,J95-J93)</f>
        <v>0</v>
      </c>
      <c r="K94" s="983">
        <f t="shared" si="60"/>
        <v>0</v>
      </c>
      <c r="L94" s="983">
        <f t="shared" si="60"/>
        <v>0</v>
      </c>
      <c r="M94" s="983">
        <f t="shared" si="60"/>
        <v>0</v>
      </c>
      <c r="N94" s="983">
        <f t="shared" si="60"/>
        <v>0</v>
      </c>
      <c r="O94" s="983">
        <f t="shared" si="60"/>
        <v>0</v>
      </c>
      <c r="P94" s="983">
        <f t="shared" si="60"/>
        <v>0</v>
      </c>
      <c r="Q94" s="983">
        <f t="shared" si="60"/>
        <v>0</v>
      </c>
      <c r="R94" s="983">
        <f t="shared" si="60"/>
        <v>0</v>
      </c>
      <c r="S94" s="983">
        <f t="shared" si="60"/>
        <v>0</v>
      </c>
      <c r="T94" s="983">
        <f t="shared" si="60"/>
        <v>0</v>
      </c>
    </row>
    <row r="95" spans="3:33" s="932" customFormat="1">
      <c r="C95" s="18"/>
      <c r="D95" s="18" t="s">
        <v>968</v>
      </c>
      <c r="E95" s="935"/>
      <c r="F95" s="935"/>
      <c r="G95" s="935"/>
      <c r="H95" s="935"/>
      <c r="I95" s="946">
        <v>2557.1155120000003</v>
      </c>
      <c r="J95" s="946">
        <v>2108.8096480000004</v>
      </c>
      <c r="K95" s="946">
        <v>3061.5755399999998</v>
      </c>
      <c r="L95" s="963"/>
      <c r="M95" s="946">
        <v>4045.871001</v>
      </c>
      <c r="N95" s="946">
        <v>2456.3527509999999</v>
      </c>
      <c r="O95" s="941">
        <f>O97/O98</f>
        <v>4317.1487980185702</v>
      </c>
      <c r="P95" s="941">
        <f>P97/P98</f>
        <v>5283.2861971496923</v>
      </c>
      <c r="Q95" s="941">
        <f t="shared" ref="Q95:T95" si="61">Q97/Q98</f>
        <v>6275.7840248194998</v>
      </c>
      <c r="R95" s="941">
        <f t="shared" si="61"/>
        <v>7255.9478353014802</v>
      </c>
      <c r="S95" s="941">
        <f t="shared" si="61"/>
        <v>8276.6425128401279</v>
      </c>
      <c r="T95" s="941">
        <f t="shared" si="61"/>
        <v>9243.9029655090089</v>
      </c>
      <c r="U95" s="973"/>
      <c r="V95" s="974"/>
    </row>
    <row r="96" spans="3:33" s="932" customFormat="1">
      <c r="C96" s="18"/>
      <c r="D96" s="1" t="s">
        <v>969</v>
      </c>
      <c r="E96" s="935"/>
      <c r="F96" s="935"/>
      <c r="G96" s="935"/>
      <c r="H96" s="935"/>
      <c r="I96" s="947">
        <f>I95/I93</f>
        <v>0.56824789155555566</v>
      </c>
      <c r="J96" s="947">
        <f>J95/J93</f>
        <v>0.46862436622222231</v>
      </c>
      <c r="K96" s="947">
        <f>K95/K93</f>
        <v>0.68035011999999995</v>
      </c>
      <c r="L96" s="964"/>
      <c r="M96" s="947">
        <f>M95/M93</f>
        <v>0.89908244466666665</v>
      </c>
      <c r="N96" s="947">
        <f>N95/N93</f>
        <v>0.93575342895238089</v>
      </c>
      <c r="O96" s="947">
        <f t="shared" ref="O96:T96" si="62">O95/O93</f>
        <v>0.78493614509428544</v>
      </c>
      <c r="P96" s="947">
        <f t="shared" si="62"/>
        <v>0.96059749039085318</v>
      </c>
      <c r="Q96" s="947">
        <f t="shared" si="62"/>
        <v>0.60929941988538838</v>
      </c>
      <c r="R96" s="947">
        <f t="shared" si="62"/>
        <v>0.7044609548836388</v>
      </c>
      <c r="S96" s="947">
        <f t="shared" si="62"/>
        <v>0.80355752551845905</v>
      </c>
      <c r="T96" s="947">
        <f t="shared" si="62"/>
        <v>0.89746630733097177</v>
      </c>
      <c r="U96" s="975"/>
      <c r="V96" s="974"/>
    </row>
    <row r="97" spans="3:32" s="900" customFormat="1">
      <c r="C97" s="1"/>
      <c r="D97" s="18" t="s">
        <v>970</v>
      </c>
      <c r="E97" s="922"/>
      <c r="F97" s="922"/>
      <c r="G97" s="922"/>
      <c r="H97" s="922"/>
      <c r="I97" s="948">
        <f>(中国!H33+中国!H915)/1000</f>
        <v>2522.1613430000016</v>
      </c>
      <c r="J97" s="948">
        <f>(中国!I33+中国!I915)/1000</f>
        <v>2108.4612419999994</v>
      </c>
      <c r="K97" s="948">
        <f>(中国!J33+中国!J915)/1000</f>
        <v>3029.936051000001</v>
      </c>
      <c r="L97" s="948">
        <f>(中国!K33+中国!K915)/1000</f>
        <v>3105.8150000000001</v>
      </c>
      <c r="M97" s="948">
        <f>(中国!L33+中国!L915)/1000</f>
        <v>3740.7434674657147</v>
      </c>
      <c r="N97" s="948">
        <f>(中国!M33+中国!M915)/1000</f>
        <v>2626.3935469679213</v>
      </c>
      <c r="O97" s="948">
        <f>(中国!N33+中国!N915)/1000</f>
        <v>4317.1487980185702</v>
      </c>
      <c r="P97" s="948">
        <f>(中国!O33+中国!O915)/1000</f>
        <v>5283.2861971496923</v>
      </c>
      <c r="Q97" s="948">
        <f>(中国!P33+中国!P915)/1000</f>
        <v>6275.7840248194998</v>
      </c>
      <c r="R97" s="948">
        <f>(中国!Q33+中国!Q915)/1000</f>
        <v>7255.9478353014802</v>
      </c>
      <c r="S97" s="948">
        <f>(中国!R33+中国!R915)/1000</f>
        <v>8276.6425128401279</v>
      </c>
      <c r="T97" s="948">
        <f>(中国!S33+中国!S915)/1000</f>
        <v>9243.9029655090089</v>
      </c>
      <c r="U97" s="976"/>
      <c r="V97" s="977"/>
      <c r="W97" s="948"/>
      <c r="X97" s="948"/>
      <c r="Y97" s="948"/>
      <c r="Z97" s="948"/>
      <c r="AA97" s="948"/>
      <c r="AB97" s="948"/>
      <c r="AC97" s="948"/>
      <c r="AD97" s="948"/>
      <c r="AE97" s="948"/>
      <c r="AF97" s="948"/>
    </row>
    <row r="98" spans="3:32" s="900" customFormat="1">
      <c r="C98" s="1"/>
      <c r="D98" s="1" t="s">
        <v>971</v>
      </c>
      <c r="E98" s="922"/>
      <c r="F98" s="922"/>
      <c r="G98" s="922"/>
      <c r="H98" s="922"/>
      <c r="I98" s="947">
        <f>I97/I95</f>
        <v>0.98633062572419339</v>
      </c>
      <c r="J98" s="947">
        <f t="shared" ref="J98:N98" si="63">J97/J95</f>
        <v>0.99983478546755922</v>
      </c>
      <c r="K98" s="947">
        <f>K97/K95</f>
        <v>0.98966561870297709</v>
      </c>
      <c r="L98" s="964"/>
      <c r="M98" s="947">
        <f t="shared" si="63"/>
        <v>0.92458298016450147</v>
      </c>
      <c r="N98" s="947">
        <f t="shared" si="63"/>
        <v>1.0692249091254082</v>
      </c>
      <c r="O98" s="965">
        <v>1</v>
      </c>
      <c r="P98" s="965">
        <v>1</v>
      </c>
      <c r="Q98" s="965">
        <v>1</v>
      </c>
      <c r="R98" s="965">
        <v>1</v>
      </c>
      <c r="S98" s="965">
        <v>1</v>
      </c>
      <c r="T98" s="971">
        <v>1</v>
      </c>
      <c r="U98" s="975"/>
      <c r="V98" s="978"/>
    </row>
    <row r="99" spans="3:32" s="900" customFormat="1">
      <c r="C99" s="1"/>
      <c r="D99" s="1" t="s">
        <v>973</v>
      </c>
      <c r="E99" s="922"/>
      <c r="F99" s="922"/>
      <c r="G99" s="922"/>
      <c r="H99" s="922"/>
      <c r="O99" s="931">
        <f>O100/集团!N$9</f>
        <v>3776.0325851943812</v>
      </c>
      <c r="P99" s="931">
        <f>P100/集团!O$9</f>
        <v>0</v>
      </c>
      <c r="Q99" s="931">
        <f>Q100/集团!P$9</f>
        <v>18124.956408933027</v>
      </c>
      <c r="R99" s="931">
        <f>R100/集团!Q$9</f>
        <v>0</v>
      </c>
      <c r="S99" s="931">
        <f>S100/集团!R$9</f>
        <v>0</v>
      </c>
      <c r="T99" s="931">
        <f>T100/集团!S$9</f>
        <v>0</v>
      </c>
      <c r="U99" s="979"/>
      <c r="V99" s="978"/>
    </row>
    <row r="100" spans="3:32" s="900" customFormat="1">
      <c r="C100" s="1"/>
      <c r="D100" s="1" t="s">
        <v>974</v>
      </c>
      <c r="E100" s="922"/>
      <c r="F100" s="922"/>
      <c r="G100" s="922"/>
      <c r="H100" s="922"/>
      <c r="O100" s="967">
        <f>54140/2</f>
        <v>27070</v>
      </c>
      <c r="P100" s="931">
        <f>P101*P92*10000/1000</f>
        <v>0</v>
      </c>
      <c r="Q100" s="931">
        <f t="shared" ref="Q100:T100" si="64">Q101*Q92*10000/1000</f>
        <v>129935.99999999999</v>
      </c>
      <c r="R100" s="931">
        <f t="shared" si="64"/>
        <v>0</v>
      </c>
      <c r="S100" s="931">
        <f t="shared" si="64"/>
        <v>0</v>
      </c>
      <c r="T100" s="931">
        <f t="shared" si="64"/>
        <v>0</v>
      </c>
      <c r="U100" s="979"/>
      <c r="V100" s="978"/>
    </row>
    <row r="101" spans="3:32" s="900" customFormat="1">
      <c r="C101" s="1"/>
      <c r="D101" s="1" t="s">
        <v>972</v>
      </c>
      <c r="E101" s="922"/>
      <c r="F101" s="922"/>
      <c r="G101" s="922"/>
      <c r="H101" s="922"/>
      <c r="M101" s="966"/>
      <c r="N101" s="950"/>
      <c r="O101" s="969">
        <f>O100*1000/(O92*10000)</f>
        <v>2.7069999999999999</v>
      </c>
      <c r="P101" s="951">
        <f t="shared" ref="P101:T101" si="65">O101</f>
        <v>2.7069999999999999</v>
      </c>
      <c r="Q101" s="951">
        <f t="shared" si="65"/>
        <v>2.7069999999999999</v>
      </c>
      <c r="R101" s="951">
        <f t="shared" si="65"/>
        <v>2.7069999999999999</v>
      </c>
      <c r="S101" s="951">
        <f t="shared" si="65"/>
        <v>2.7069999999999999</v>
      </c>
      <c r="T101" s="972">
        <f t="shared" si="65"/>
        <v>2.7069999999999999</v>
      </c>
      <c r="U101" s="980"/>
      <c r="V101" s="978"/>
    </row>
    <row r="102" spans="3:32" s="900" customFormat="1">
      <c r="C102" s="1"/>
      <c r="D102" s="1"/>
      <c r="E102" s="922"/>
      <c r="F102" s="922"/>
      <c r="G102" s="922"/>
      <c r="H102" s="922"/>
      <c r="U102" s="978"/>
      <c r="V102" s="978"/>
    </row>
    <row r="103" spans="3:32" s="900" customFormat="1">
      <c r="C103" s="1"/>
      <c r="D103" s="349" t="s">
        <v>844</v>
      </c>
      <c r="E103" s="922"/>
      <c r="F103" s="922"/>
      <c r="G103" s="922"/>
      <c r="H103" s="922"/>
      <c r="U103" s="978"/>
      <c r="V103" s="978"/>
    </row>
    <row r="104" spans="3:32" s="900" customFormat="1">
      <c r="C104" s="1"/>
      <c r="D104" s="1" t="s">
        <v>965</v>
      </c>
      <c r="E104" s="922"/>
      <c r="F104" s="922"/>
      <c r="G104" s="922"/>
      <c r="H104" s="922"/>
      <c r="I104" s="968">
        <f>6550+11020</f>
        <v>17570</v>
      </c>
      <c r="J104" s="945">
        <f t="shared" ref="J104:M104" si="66">I106</f>
        <v>17570</v>
      </c>
      <c r="K104" s="945">
        <f t="shared" si="66"/>
        <v>17570</v>
      </c>
      <c r="L104" s="945">
        <f t="shared" si="66"/>
        <v>17570</v>
      </c>
      <c r="M104" s="945">
        <f t="shared" si="66"/>
        <v>17570</v>
      </c>
      <c r="N104" s="945">
        <f>M106/12*7</f>
        <v>10249.166666666668</v>
      </c>
      <c r="O104" s="945">
        <f>M106</f>
        <v>17570</v>
      </c>
      <c r="P104" s="945">
        <f t="shared" ref="P104:T104" si="67">O106</f>
        <v>17570</v>
      </c>
      <c r="Q104" s="945">
        <f t="shared" si="67"/>
        <v>17570</v>
      </c>
      <c r="R104" s="945">
        <f t="shared" si="67"/>
        <v>17570</v>
      </c>
      <c r="S104" s="945">
        <f t="shared" si="67"/>
        <v>17570</v>
      </c>
      <c r="T104" s="945">
        <f t="shared" si="67"/>
        <v>17570</v>
      </c>
    </row>
    <row r="105" spans="3:32" s="900" customFormat="1">
      <c r="C105" s="1"/>
      <c r="D105" s="1" t="s">
        <v>966</v>
      </c>
      <c r="E105" s="922"/>
      <c r="F105" s="922"/>
      <c r="G105" s="922"/>
      <c r="H105" s="922"/>
      <c r="O105" s="970">
        <v>0</v>
      </c>
      <c r="P105" s="970">
        <v>0</v>
      </c>
      <c r="Q105" s="970">
        <v>0</v>
      </c>
      <c r="R105" s="970">
        <v>0</v>
      </c>
      <c r="S105" s="970">
        <v>0</v>
      </c>
      <c r="T105" s="970">
        <v>0</v>
      </c>
    </row>
    <row r="106" spans="3:32" s="932" customFormat="1">
      <c r="C106" s="18"/>
      <c r="D106" s="18" t="s">
        <v>967</v>
      </c>
      <c r="E106" s="935"/>
      <c r="F106" s="935"/>
      <c r="G106" s="935"/>
      <c r="H106" s="935"/>
      <c r="I106" s="941">
        <f t="shared" ref="I106:L106" si="68">SUM(I104:I105)</f>
        <v>17570</v>
      </c>
      <c r="J106" s="941">
        <f t="shared" si="68"/>
        <v>17570</v>
      </c>
      <c r="K106" s="941">
        <f t="shared" si="68"/>
        <v>17570</v>
      </c>
      <c r="L106" s="941">
        <f t="shared" si="68"/>
        <v>17570</v>
      </c>
      <c r="M106" s="941">
        <f>SUM(M104:M105)</f>
        <v>17570</v>
      </c>
      <c r="N106" s="941">
        <f>SUM(N104:N105)</f>
        <v>10249.166666666668</v>
      </c>
      <c r="O106" s="941">
        <f>SUM(O104:O105)</f>
        <v>17570</v>
      </c>
      <c r="P106" s="941">
        <f>SUM(P104:P105)</f>
        <v>17570</v>
      </c>
      <c r="Q106" s="941">
        <f t="shared" ref="Q106" si="69">SUM(Q104:Q105)</f>
        <v>17570</v>
      </c>
      <c r="R106" s="941">
        <f t="shared" ref="R106" si="70">SUM(R104:R105)</f>
        <v>17570</v>
      </c>
      <c r="S106" s="941">
        <f t="shared" ref="S106" si="71">SUM(S104:S105)</f>
        <v>17570</v>
      </c>
      <c r="T106" s="941">
        <f t="shared" ref="T106" si="72">SUM(T104:T105)</f>
        <v>17570</v>
      </c>
    </row>
    <row r="107" spans="3:32" s="982" customFormat="1">
      <c r="C107" s="885"/>
      <c r="D107" s="206"/>
      <c r="E107" s="982" t="s">
        <v>475</v>
      </c>
      <c r="I107" s="983">
        <f>IF(I106&gt;I108,0,I108-I106)</f>
        <v>0</v>
      </c>
      <c r="J107" s="983">
        <f t="shared" ref="J107" si="73">IF(J106&gt;J108,0,J108-J106)</f>
        <v>0</v>
      </c>
      <c r="K107" s="983">
        <f t="shared" ref="K107" si="74">IF(K106&gt;K108,0,K108-K106)</f>
        <v>0</v>
      </c>
      <c r="L107" s="983">
        <f t="shared" ref="L107" si="75">IF(L106&gt;L108,0,L108-L106)</f>
        <v>0</v>
      </c>
      <c r="M107" s="983">
        <f t="shared" ref="M107" si="76">IF(M106&gt;M108,0,M108-M106)</f>
        <v>0</v>
      </c>
      <c r="N107" s="983">
        <f t="shared" ref="N107" si="77">IF(N106&gt;N108,0,N108-N106)</f>
        <v>0</v>
      </c>
      <c r="O107" s="983">
        <f t="shared" ref="O107" si="78">IF(O106&gt;O108,0,O108-O106)</f>
        <v>0</v>
      </c>
      <c r="P107" s="983">
        <f t="shared" ref="P107" si="79">IF(P106&gt;P108,0,P108-P106)</f>
        <v>0</v>
      </c>
      <c r="Q107" s="983">
        <f t="shared" ref="Q107" si="80">IF(Q106&gt;Q108,0,Q108-Q106)</f>
        <v>0</v>
      </c>
      <c r="R107" s="983">
        <f t="shared" ref="R107" si="81">IF(R106&gt;R108,0,R108-R106)</f>
        <v>0</v>
      </c>
      <c r="S107" s="983">
        <f t="shared" ref="S107" si="82">IF(S106&gt;S108,0,S108-S106)</f>
        <v>0</v>
      </c>
      <c r="T107" s="983">
        <f t="shared" ref="T107" si="83">IF(T106&gt;T108,0,T108-T106)</f>
        <v>0</v>
      </c>
    </row>
    <row r="108" spans="3:32" s="932" customFormat="1">
      <c r="C108" s="18"/>
      <c r="D108" s="18" t="s">
        <v>968</v>
      </c>
      <c r="E108" s="935"/>
      <c r="F108" s="935"/>
      <c r="G108" s="935"/>
      <c r="H108" s="935"/>
      <c r="I108" s="946">
        <v>12731.678975999999</v>
      </c>
      <c r="J108" s="946">
        <v>9938.900324000002</v>
      </c>
      <c r="K108" s="946">
        <v>10877.515121</v>
      </c>
      <c r="L108" s="963"/>
      <c r="M108" s="946">
        <v>15735.183210000001</v>
      </c>
      <c r="N108" s="946">
        <v>9090</v>
      </c>
      <c r="O108" s="941">
        <f>O110/O111</f>
        <v>14100.055587473926</v>
      </c>
      <c r="P108" s="941">
        <f t="shared" ref="P108:T108" si="84">P110/P111</f>
        <v>13436.56726863883</v>
      </c>
      <c r="Q108" s="941">
        <f t="shared" si="84"/>
        <v>13786.523784313256</v>
      </c>
      <c r="R108" s="941">
        <f t="shared" si="84"/>
        <v>14522.726033745315</v>
      </c>
      <c r="S108" s="941">
        <f t="shared" si="84"/>
        <v>15415.704743114249</v>
      </c>
      <c r="T108" s="941">
        <f t="shared" si="84"/>
        <v>16469.960892699492</v>
      </c>
    </row>
    <row r="109" spans="3:32" s="932" customFormat="1">
      <c r="C109" s="18"/>
      <c r="D109" s="1" t="s">
        <v>969</v>
      </c>
      <c r="E109" s="935"/>
      <c r="F109" s="935"/>
      <c r="G109" s="935"/>
      <c r="H109" s="935"/>
      <c r="I109" s="947">
        <f>I108/I106</f>
        <v>0.7246260088787706</v>
      </c>
      <c r="J109" s="947">
        <f t="shared" ref="J109:M109" si="85">J108/J106</f>
        <v>0.56567446351735928</v>
      </c>
      <c r="K109" s="947">
        <f t="shared" si="85"/>
        <v>0.61909590899260103</v>
      </c>
      <c r="L109" s="964"/>
      <c r="M109" s="947">
        <f t="shared" si="85"/>
        <v>0.89557104211724536</v>
      </c>
      <c r="N109" s="947">
        <f>N108/N106</f>
        <v>0.88690137409545478</v>
      </c>
      <c r="O109" s="947">
        <f>O108/O106</f>
        <v>0.80250743241172029</v>
      </c>
      <c r="P109" s="947">
        <f t="shared" ref="P109" si="86">P108/P106</f>
        <v>0.76474486446436141</v>
      </c>
      <c r="Q109" s="947">
        <f t="shared" ref="Q109" si="87">Q108/Q106</f>
        <v>0.78466270827053253</v>
      </c>
      <c r="R109" s="947">
        <f t="shared" ref="R109" si="88">R108/R106</f>
        <v>0.82656380385573791</v>
      </c>
      <c r="S109" s="947">
        <f t="shared" ref="S109" si="89">S108/S106</f>
        <v>0.87738786244247291</v>
      </c>
      <c r="T109" s="947">
        <f t="shared" ref="T109" si="90">T108/T106</f>
        <v>0.93739105820714241</v>
      </c>
    </row>
    <row r="110" spans="3:32" s="900" customFormat="1">
      <c r="C110" s="1"/>
      <c r="D110" s="18" t="s">
        <v>970</v>
      </c>
      <c r="E110" s="922"/>
      <c r="F110" s="922"/>
      <c r="G110" s="922"/>
      <c r="H110" s="922"/>
      <c r="I110" s="948">
        <f>(中国!H34+中国!H916)/1000</f>
        <v>12532.9836769997</v>
      </c>
      <c r="J110" s="948">
        <f>(中国!I34+中国!I916)/1000</f>
        <v>9698.5765359999914</v>
      </c>
      <c r="K110" s="948">
        <f>(中国!J34+中国!J916)/1000</f>
        <v>10550.8127549944</v>
      </c>
      <c r="L110" s="948">
        <f>(中国!K34+中国!K916)/1000</f>
        <v>12464.934999999999</v>
      </c>
      <c r="M110" s="948">
        <f>(中国!L34+中国!L916)/1000</f>
        <v>15466.286386146914</v>
      </c>
      <c r="N110" s="948">
        <f>(中国!M34+中国!M916)/1000</f>
        <v>8574.5894854058715</v>
      </c>
      <c r="O110" s="948">
        <f>(中国!N34+中国!N916)/1000</f>
        <v>14100.055587473926</v>
      </c>
      <c r="P110" s="948">
        <f>(中国!O34+中国!O916)/1000</f>
        <v>13436.56726863883</v>
      </c>
      <c r="Q110" s="948">
        <f>(中国!P34+中国!P916)/1000</f>
        <v>13786.523784313256</v>
      </c>
      <c r="R110" s="948">
        <f>(中国!Q34+中国!Q916)/1000</f>
        <v>14522.726033745315</v>
      </c>
      <c r="S110" s="948">
        <f>(中国!R34+中国!R916)/1000</f>
        <v>15415.704743114249</v>
      </c>
      <c r="T110" s="948">
        <f>(中国!S34+中国!S916)/1000</f>
        <v>16469.960892699492</v>
      </c>
      <c r="U110" s="948"/>
      <c r="V110" s="948"/>
      <c r="W110" s="948"/>
      <c r="X110" s="948"/>
      <c r="Y110" s="948"/>
      <c r="Z110" s="948"/>
      <c r="AA110" s="948"/>
      <c r="AB110" s="948"/>
      <c r="AC110" s="948"/>
      <c r="AD110" s="948"/>
      <c r="AE110" s="948"/>
      <c r="AF110" s="948"/>
    </row>
    <row r="111" spans="3:32" s="900" customFormat="1">
      <c r="C111" s="1"/>
      <c r="D111" s="1" t="s">
        <v>971</v>
      </c>
      <c r="E111" s="922"/>
      <c r="F111" s="922"/>
      <c r="G111" s="922"/>
      <c r="H111" s="922"/>
      <c r="I111" s="947">
        <f>I110/I108</f>
        <v>0.98439362951462628</v>
      </c>
      <c r="J111" s="947">
        <f t="shared" ref="J111:K111" si="91">J110/J108</f>
        <v>0.97581988145915022</v>
      </c>
      <c r="K111" s="947">
        <f t="shared" si="91"/>
        <v>0.96996534940458301</v>
      </c>
      <c r="L111" s="964"/>
      <c r="M111" s="947">
        <f>M110/M108</f>
        <v>0.98291110943772186</v>
      </c>
      <c r="N111" s="947">
        <f>N110/N108</f>
        <v>0.9432991733119771</v>
      </c>
      <c r="O111" s="965">
        <v>1</v>
      </c>
      <c r="P111" s="965">
        <v>1</v>
      </c>
      <c r="Q111" s="965">
        <v>1</v>
      </c>
      <c r="R111" s="965">
        <v>1</v>
      </c>
      <c r="S111" s="965">
        <v>1</v>
      </c>
      <c r="T111" s="965">
        <v>1</v>
      </c>
    </row>
    <row r="112" spans="3:32" s="900" customFormat="1">
      <c r="C112" s="1"/>
      <c r="D112" s="1" t="s">
        <v>973</v>
      </c>
      <c r="E112" s="922"/>
      <c r="F112" s="922"/>
      <c r="G112" s="922"/>
      <c r="H112" s="922"/>
      <c r="O112" s="949">
        <f>O113/集团!N$9</f>
        <v>0</v>
      </c>
      <c r="P112" s="931">
        <f>P113/集团!O$9</f>
        <v>0</v>
      </c>
      <c r="Q112" s="931">
        <f>Q113/集团!P$9</f>
        <v>0</v>
      </c>
      <c r="R112" s="931">
        <f>R113/集团!Q$9</f>
        <v>0</v>
      </c>
      <c r="S112" s="931">
        <f>S113/集团!R$9</f>
        <v>0</v>
      </c>
      <c r="T112" s="931">
        <f>T113/集团!S$9</f>
        <v>0</v>
      </c>
    </row>
    <row r="113" spans="3:33" s="900" customFormat="1">
      <c r="C113" s="1"/>
      <c r="D113" s="1" t="s">
        <v>974</v>
      </c>
      <c r="E113" s="922"/>
      <c r="F113" s="922"/>
      <c r="G113" s="922"/>
      <c r="H113" s="922"/>
      <c r="O113" s="931">
        <f>O114*O105*10000/1000</f>
        <v>0</v>
      </c>
      <c r="P113" s="931">
        <f>P114*P105*10000/1000</f>
        <v>0</v>
      </c>
      <c r="Q113" s="931">
        <f t="shared" ref="Q113" si="92">Q114*Q105*10000/1000</f>
        <v>0</v>
      </c>
      <c r="R113" s="931">
        <f t="shared" ref="R113" si="93">R114*R105*10000/1000</f>
        <v>0</v>
      </c>
      <c r="S113" s="931">
        <f t="shared" ref="S113" si="94">S114*S105*10000/1000</f>
        <v>0</v>
      </c>
      <c r="T113" s="931">
        <f t="shared" ref="T113" si="95">T114*T105*10000/1000</f>
        <v>0</v>
      </c>
    </row>
    <row r="114" spans="3:33" s="900" customFormat="1">
      <c r="C114" s="1"/>
      <c r="D114" s="1" t="s">
        <v>972</v>
      </c>
      <c r="E114" s="922"/>
      <c r="F114" s="922"/>
      <c r="G114" s="922"/>
      <c r="H114" s="922"/>
      <c r="M114" s="966">
        <v>1.1579999999999999</v>
      </c>
      <c r="N114" s="950"/>
      <c r="O114" s="951">
        <f>M114</f>
        <v>1.1579999999999999</v>
      </c>
      <c r="P114" s="951">
        <f t="shared" ref="P114:T114" si="96">O114</f>
        <v>1.1579999999999999</v>
      </c>
      <c r="Q114" s="951">
        <f t="shared" si="96"/>
        <v>1.1579999999999999</v>
      </c>
      <c r="R114" s="951">
        <f t="shared" si="96"/>
        <v>1.1579999999999999</v>
      </c>
      <c r="S114" s="951">
        <f t="shared" si="96"/>
        <v>1.1579999999999999</v>
      </c>
      <c r="T114" s="951">
        <f t="shared" si="96"/>
        <v>1.1579999999999999</v>
      </c>
    </row>
    <row r="115" spans="3:33" s="900" customFormat="1">
      <c r="C115" s="1"/>
      <c r="D115" s="1"/>
      <c r="E115" s="922"/>
      <c r="F115" s="922"/>
      <c r="G115" s="922"/>
      <c r="H115" s="922"/>
    </row>
    <row r="116" spans="3:33" s="900" customFormat="1">
      <c r="C116" s="1"/>
      <c r="D116" s="349" t="s">
        <v>870</v>
      </c>
      <c r="E116" s="922"/>
      <c r="F116" s="922"/>
      <c r="G116" s="922"/>
      <c r="H116" s="922"/>
    </row>
    <row r="117" spans="3:33" s="900" customFormat="1">
      <c r="C117" s="1"/>
      <c r="D117" s="1" t="s">
        <v>975</v>
      </c>
      <c r="E117" s="922"/>
      <c r="F117" s="922"/>
      <c r="G117" s="922"/>
      <c r="H117" s="922"/>
      <c r="I117" s="968">
        <v>4000</v>
      </c>
      <c r="J117" s="945">
        <f>I119</f>
        <v>4000</v>
      </c>
      <c r="K117" s="945">
        <v>4000</v>
      </c>
      <c r="L117" s="945">
        <f t="shared" ref="L117:M117" si="97">K119</f>
        <v>4000</v>
      </c>
      <c r="M117" s="945">
        <f t="shared" si="97"/>
        <v>4000</v>
      </c>
      <c r="N117" s="945">
        <f>M119/12*7</f>
        <v>2333.333333333333</v>
      </c>
      <c r="O117" s="945">
        <f>M119</f>
        <v>4000</v>
      </c>
      <c r="P117" s="945">
        <f t="shared" ref="P117:T117" si="98">O119</f>
        <v>4000</v>
      </c>
      <c r="Q117" s="945">
        <f t="shared" si="98"/>
        <v>6800</v>
      </c>
      <c r="R117" s="945">
        <f t="shared" si="98"/>
        <v>7600</v>
      </c>
      <c r="S117" s="945">
        <f t="shared" si="98"/>
        <v>8000</v>
      </c>
      <c r="T117" s="945">
        <f t="shared" si="98"/>
        <v>8000</v>
      </c>
    </row>
    <row r="118" spans="3:33" s="900" customFormat="1">
      <c r="C118" s="1"/>
      <c r="D118" s="1" t="s">
        <v>976</v>
      </c>
      <c r="E118" s="922"/>
      <c r="F118" s="922"/>
      <c r="G118" s="922"/>
      <c r="H118" s="922"/>
      <c r="O118" s="970">
        <v>0</v>
      </c>
      <c r="P118" s="970">
        <v>2800</v>
      </c>
      <c r="Q118" s="970">
        <v>800</v>
      </c>
      <c r="R118" s="970">
        <v>400</v>
      </c>
      <c r="S118" s="970">
        <v>0</v>
      </c>
      <c r="T118" s="970">
        <v>0</v>
      </c>
      <c r="AG118" s="904"/>
    </row>
    <row r="119" spans="3:33" s="932" customFormat="1">
      <c r="C119" s="18"/>
      <c r="D119" s="18" t="s">
        <v>967</v>
      </c>
      <c r="E119" s="935"/>
      <c r="F119" s="935"/>
      <c r="G119" s="935"/>
      <c r="H119" s="935"/>
      <c r="I119" s="941">
        <f>SUM(I117:I118)</f>
        <v>4000</v>
      </c>
      <c r="J119" s="941">
        <f t="shared" ref="J119" si="99">SUM(J117:J118)</f>
        <v>4000</v>
      </c>
      <c r="K119" s="941">
        <f t="shared" ref="K119" si="100">SUM(K117:K118)</f>
        <v>4000</v>
      </c>
      <c r="L119" s="941">
        <f t="shared" ref="L119" si="101">SUM(L117:L118)</f>
        <v>4000</v>
      </c>
      <c r="M119" s="941">
        <f>SUM(M117:M118)</f>
        <v>4000</v>
      </c>
      <c r="N119" s="941">
        <f>SUM(N117:N118)</f>
        <v>2333.333333333333</v>
      </c>
      <c r="O119" s="941">
        <f>SUM(O117:O118)</f>
        <v>4000</v>
      </c>
      <c r="P119" s="941">
        <f>SUM(P117:P118)</f>
        <v>6800</v>
      </c>
      <c r="Q119" s="941">
        <f t="shared" ref="Q119" si="102">SUM(Q117:Q118)</f>
        <v>7600</v>
      </c>
      <c r="R119" s="941">
        <f t="shared" ref="R119" si="103">SUM(R117:R118)</f>
        <v>8000</v>
      </c>
      <c r="S119" s="941">
        <f t="shared" ref="S119" si="104">SUM(S117:S118)</f>
        <v>8000</v>
      </c>
      <c r="T119" s="941">
        <f t="shared" ref="T119" si="105">SUM(T117:T118)</f>
        <v>8000</v>
      </c>
    </row>
    <row r="120" spans="3:33" s="982" customFormat="1">
      <c r="C120" s="885"/>
      <c r="D120" s="206"/>
      <c r="E120" s="982" t="s">
        <v>475</v>
      </c>
      <c r="I120" s="983">
        <f>IF(I119&gt;I121,0,I121-I119)</f>
        <v>0</v>
      </c>
      <c r="J120" s="983">
        <f t="shared" ref="J120" si="106">IF(J119&gt;J121,0,J121-J119)</f>
        <v>0</v>
      </c>
      <c r="K120" s="983">
        <f t="shared" ref="K120" si="107">IF(K119&gt;K121,0,K121-K119)</f>
        <v>0</v>
      </c>
      <c r="L120" s="983">
        <f t="shared" ref="L120" si="108">IF(L119&gt;L121,0,L121-L119)</f>
        <v>0</v>
      </c>
      <c r="M120" s="983">
        <f t="shared" ref="M120" si="109">IF(M119&gt;M121,0,M121-M119)</f>
        <v>0</v>
      </c>
      <c r="N120" s="983">
        <f t="shared" ref="N120" si="110">IF(N119&gt;N121,0,N121-N119)</f>
        <v>0</v>
      </c>
      <c r="O120" s="983">
        <f t="shared" ref="O120" si="111">IF(O119&gt;O121,0,O121-O119)</f>
        <v>0</v>
      </c>
      <c r="P120" s="983">
        <f t="shared" ref="P120" si="112">IF(P119&gt;P121,0,P121-P119)</f>
        <v>0</v>
      </c>
      <c r="Q120" s="983">
        <f t="shared" ref="Q120" si="113">IF(Q119&gt;Q121,0,Q121-Q119)</f>
        <v>0</v>
      </c>
      <c r="R120" s="983">
        <f t="shared" ref="R120" si="114">IF(R119&gt;R121,0,R121-R119)</f>
        <v>0</v>
      </c>
      <c r="S120" s="983">
        <f t="shared" ref="S120" si="115">IF(S119&gt;S121,0,S121-S119)</f>
        <v>0</v>
      </c>
      <c r="T120" s="983">
        <f t="shared" ref="T120" si="116">IF(T119&gt;T121,0,T121-T119)</f>
        <v>0</v>
      </c>
    </row>
    <row r="121" spans="3:33" s="932" customFormat="1">
      <c r="C121" s="18"/>
      <c r="D121" s="18" t="s">
        <v>968</v>
      </c>
      <c r="E121" s="935"/>
      <c r="F121" s="935"/>
      <c r="G121" s="935"/>
      <c r="H121" s="935"/>
      <c r="I121" s="946">
        <v>598</v>
      </c>
      <c r="J121" s="946">
        <v>1080</v>
      </c>
      <c r="K121" s="946">
        <v>1343</v>
      </c>
      <c r="L121" s="963"/>
      <c r="M121" s="946">
        <v>2065</v>
      </c>
      <c r="N121" s="946">
        <v>1785</v>
      </c>
      <c r="O121" s="941">
        <f>O123/O124</f>
        <v>3753.931468810204</v>
      </c>
      <c r="P121" s="941">
        <f t="shared" ref="P121:T121" si="117">P123/P124</f>
        <v>4317.0211891317349</v>
      </c>
      <c r="Q121" s="941">
        <f t="shared" si="117"/>
        <v>4964.5743675014946</v>
      </c>
      <c r="R121" s="941">
        <f t="shared" si="117"/>
        <v>5709.2605226267187</v>
      </c>
      <c r="S121" s="941">
        <f t="shared" si="117"/>
        <v>6565.6496010207265</v>
      </c>
      <c r="T121" s="941">
        <f t="shared" si="117"/>
        <v>7550.4970411738341</v>
      </c>
    </row>
    <row r="122" spans="3:33" s="932" customFormat="1">
      <c r="C122" s="18"/>
      <c r="D122" s="1" t="s">
        <v>969</v>
      </c>
      <c r="E122" s="935"/>
      <c r="F122" s="935"/>
      <c r="G122" s="935"/>
      <c r="H122" s="935"/>
      <c r="I122" s="947">
        <f>I121/I119</f>
        <v>0.14949999999999999</v>
      </c>
      <c r="J122" s="947">
        <f t="shared" ref="J122" si="118">J121/J119</f>
        <v>0.27</v>
      </c>
      <c r="K122" s="947">
        <f t="shared" ref="K122" si="119">K121/K119</f>
        <v>0.33574999999999999</v>
      </c>
      <c r="L122" s="964"/>
      <c r="M122" s="947">
        <f t="shared" ref="M122" si="120">M121/M119</f>
        <v>0.51624999999999999</v>
      </c>
      <c r="N122" s="947">
        <f t="shared" ref="N122" si="121">N121/N119</f>
        <v>0.76500000000000012</v>
      </c>
      <c r="O122" s="947">
        <f t="shared" ref="O122" si="122">O121/O119</f>
        <v>0.93848286720255103</v>
      </c>
      <c r="P122" s="947">
        <f t="shared" ref="P122" si="123">P121/P119</f>
        <v>0.63485605722525518</v>
      </c>
      <c r="Q122" s="947">
        <f t="shared" ref="Q122" si="124">Q121/Q119</f>
        <v>0.65323346940809135</v>
      </c>
      <c r="R122" s="947">
        <f t="shared" ref="R122" si="125">R121/R119</f>
        <v>0.71365756532833979</v>
      </c>
      <c r="S122" s="947">
        <f t="shared" ref="S122" si="126">S121/S119</f>
        <v>0.82070620012759077</v>
      </c>
      <c r="T122" s="947">
        <f t="shared" ref="T122" si="127">T121/T119</f>
        <v>0.94381213014672927</v>
      </c>
    </row>
    <row r="123" spans="3:33" s="900" customFormat="1">
      <c r="C123" s="1"/>
      <c r="D123" s="18" t="s">
        <v>970</v>
      </c>
      <c r="E123" s="922"/>
      <c r="F123" s="922"/>
      <c r="G123" s="922"/>
      <c r="H123" s="922"/>
      <c r="I123" s="948">
        <f>中国!H951</f>
        <v>598</v>
      </c>
      <c r="J123" s="948">
        <f>中国!I951</f>
        <v>1080</v>
      </c>
      <c r="K123" s="948">
        <f>中国!J951</f>
        <v>1343</v>
      </c>
      <c r="L123" s="948">
        <f>中国!K951</f>
        <v>1637</v>
      </c>
      <c r="M123" s="948">
        <f>中国!L951</f>
        <v>2134.7445691888661</v>
      </c>
      <c r="N123" s="948">
        <f>中国!M951</f>
        <v>2189.7933568059525</v>
      </c>
      <c r="O123" s="948">
        <f>中国!N951</f>
        <v>3753.931468810204</v>
      </c>
      <c r="P123" s="948">
        <f>中国!O951</f>
        <v>4317.0211891317349</v>
      </c>
      <c r="Q123" s="948">
        <f>中国!P951</f>
        <v>4964.5743675014946</v>
      </c>
      <c r="R123" s="948">
        <f>中国!Q951</f>
        <v>5709.2605226267187</v>
      </c>
      <c r="S123" s="948">
        <f>中国!R951</f>
        <v>6565.6496010207265</v>
      </c>
      <c r="T123" s="948">
        <f>中国!S951</f>
        <v>7550.4970411738341</v>
      </c>
      <c r="U123" s="948"/>
      <c r="V123" s="948"/>
      <c r="W123" s="948"/>
      <c r="X123" s="948"/>
      <c r="Y123" s="948"/>
      <c r="Z123" s="948"/>
      <c r="AA123" s="948"/>
      <c r="AB123" s="948"/>
      <c r="AC123" s="948"/>
      <c r="AD123" s="948"/>
      <c r="AE123" s="948"/>
      <c r="AF123" s="948"/>
    </row>
    <row r="124" spans="3:33" s="900" customFormat="1">
      <c r="C124" s="1"/>
      <c r="D124" s="1" t="s">
        <v>971</v>
      </c>
      <c r="E124" s="922"/>
      <c r="F124" s="922"/>
      <c r="G124" s="922"/>
      <c r="H124" s="922"/>
      <c r="I124" s="947">
        <f>I123/I121</f>
        <v>1</v>
      </c>
      <c r="J124" s="947">
        <f t="shared" ref="J124" si="128">J123/J121</f>
        <v>1</v>
      </c>
      <c r="K124" s="947">
        <f t="shared" ref="K124" si="129">K123/K121</f>
        <v>1</v>
      </c>
      <c r="L124" s="964"/>
      <c r="M124" s="947">
        <f>M123/M121</f>
        <v>1.0337746097766907</v>
      </c>
      <c r="N124" s="947">
        <f>N123/N121</f>
        <v>1.2267749898072564</v>
      </c>
      <c r="O124" s="965">
        <v>1</v>
      </c>
      <c r="P124" s="965">
        <v>1</v>
      </c>
      <c r="Q124" s="965">
        <v>1</v>
      </c>
      <c r="R124" s="965">
        <v>1</v>
      </c>
      <c r="S124" s="965">
        <v>1</v>
      </c>
      <c r="T124" s="965">
        <v>1</v>
      </c>
    </row>
    <row r="125" spans="3:33" s="900" customFormat="1">
      <c r="C125" s="1"/>
      <c r="D125" s="1" t="s">
        <v>973</v>
      </c>
      <c r="E125" s="922"/>
      <c r="F125" s="922"/>
      <c r="G125" s="922"/>
      <c r="H125" s="922"/>
      <c r="O125" s="949">
        <f>O126/集团!N$9</f>
        <v>0</v>
      </c>
      <c r="P125" s="931">
        <f>P126/集团!O$9</f>
        <v>6835.0793008690316</v>
      </c>
      <c r="Q125" s="931">
        <f>Q126/集团!P$9</f>
        <v>1952.8798002482947</v>
      </c>
      <c r="R125" s="931">
        <f>R126/集团!Q$9</f>
        <v>976.43990012414736</v>
      </c>
      <c r="S125" s="931">
        <f>S126/集团!R$9</f>
        <v>0</v>
      </c>
      <c r="T125" s="931">
        <f>T126/集团!S$9</f>
        <v>0</v>
      </c>
    </row>
    <row r="126" spans="3:33" s="900" customFormat="1">
      <c r="C126" s="1"/>
      <c r="D126" s="1" t="s">
        <v>974</v>
      </c>
      <c r="E126" s="922"/>
      <c r="F126" s="922"/>
      <c r="G126" s="922"/>
      <c r="H126" s="922"/>
      <c r="O126" s="931">
        <f>O127*O118/1000</f>
        <v>0</v>
      </c>
      <c r="P126" s="931">
        <f t="shared" ref="P126:T126" si="130">P127*P118/1000</f>
        <v>49000</v>
      </c>
      <c r="Q126" s="931">
        <f t="shared" si="130"/>
        <v>14000</v>
      </c>
      <c r="R126" s="931">
        <f t="shared" si="130"/>
        <v>7000</v>
      </c>
      <c r="S126" s="931">
        <f t="shared" si="130"/>
        <v>0</v>
      </c>
      <c r="T126" s="931">
        <f t="shared" si="130"/>
        <v>0</v>
      </c>
    </row>
    <row r="127" spans="3:33" s="900" customFormat="1">
      <c r="C127" s="1"/>
      <c r="D127" s="1" t="s">
        <v>977</v>
      </c>
      <c r="E127" s="922"/>
      <c r="F127" s="922"/>
      <c r="G127" s="922"/>
      <c r="H127" s="922"/>
      <c r="M127" s="966"/>
      <c r="N127" s="950"/>
      <c r="O127" s="951">
        <f>70000000/4000</f>
        <v>17500</v>
      </c>
      <c r="P127" s="951">
        <f t="shared" ref="P127:T127" si="131">O127</f>
        <v>17500</v>
      </c>
      <c r="Q127" s="951">
        <f t="shared" si="131"/>
        <v>17500</v>
      </c>
      <c r="R127" s="951">
        <f t="shared" si="131"/>
        <v>17500</v>
      </c>
      <c r="S127" s="951">
        <f t="shared" si="131"/>
        <v>17500</v>
      </c>
      <c r="T127" s="951">
        <f t="shared" si="131"/>
        <v>17500</v>
      </c>
    </row>
    <row r="128" spans="3:33" s="932" customFormat="1">
      <c r="C128" s="18"/>
      <c r="D128" s="18"/>
      <c r="E128" s="935"/>
      <c r="F128" s="935"/>
      <c r="G128" s="935"/>
      <c r="H128" s="935"/>
      <c r="I128" s="900"/>
      <c r="J128" s="900"/>
      <c r="K128" s="900"/>
      <c r="L128" s="900"/>
      <c r="M128" s="944"/>
      <c r="N128" s="944"/>
      <c r="O128" s="944"/>
      <c r="P128" s="944"/>
      <c r="Q128" s="944"/>
      <c r="R128" s="944"/>
      <c r="S128" s="944"/>
      <c r="T128" s="944"/>
    </row>
    <row r="129" spans="3:33" s="900" customFormat="1">
      <c r="C129" s="1"/>
      <c r="D129" s="1"/>
      <c r="E129" s="922"/>
      <c r="F129" s="922"/>
      <c r="G129" s="922"/>
      <c r="H129" s="922"/>
    </row>
    <row r="130" spans="3:33" s="900" customFormat="1">
      <c r="C130" s="1"/>
      <c r="D130" s="349" t="s">
        <v>964</v>
      </c>
      <c r="E130" s="922"/>
      <c r="F130" s="922"/>
      <c r="G130" s="922"/>
      <c r="H130" s="922"/>
    </row>
    <row r="131" spans="3:33" s="900" customFormat="1" hidden="1">
      <c r="C131" s="1"/>
      <c r="D131" s="1" t="s">
        <v>1130</v>
      </c>
      <c r="E131" s="922"/>
      <c r="F131" s="922"/>
      <c r="G131" s="922"/>
      <c r="H131" s="922"/>
      <c r="I131" s="941"/>
      <c r="J131" s="941"/>
      <c r="K131" s="941"/>
      <c r="L131" s="941"/>
      <c r="M131" s="941"/>
      <c r="N131" s="941"/>
      <c r="O131" s="1254"/>
      <c r="P131" s="1254"/>
      <c r="Q131" s="1254"/>
      <c r="R131" s="1254"/>
      <c r="S131" s="1254"/>
      <c r="T131" s="1254"/>
      <c r="U131" s="978"/>
    </row>
    <row r="132" spans="3:33" s="900" customFormat="1" hidden="1">
      <c r="C132" s="1"/>
      <c r="D132" s="1" t="s">
        <v>1131</v>
      </c>
      <c r="E132" s="922"/>
      <c r="F132" s="922"/>
      <c r="G132" s="922"/>
      <c r="H132" s="922"/>
      <c r="I132" s="941"/>
      <c r="J132" s="941"/>
      <c r="K132" s="941"/>
      <c r="L132" s="941"/>
      <c r="M132" s="941"/>
      <c r="N132" s="941"/>
      <c r="O132" s="1255"/>
      <c r="P132" s="1255"/>
      <c r="Q132" s="1255"/>
      <c r="R132" s="1255"/>
      <c r="S132" s="1255"/>
      <c r="T132" s="1255"/>
      <c r="U132" s="978"/>
      <c r="AG132" s="904"/>
    </row>
    <row r="133" spans="3:33" s="932" customFormat="1" hidden="1">
      <c r="C133" s="18"/>
      <c r="D133" s="18" t="s">
        <v>967</v>
      </c>
      <c r="E133" s="935"/>
      <c r="F133" s="935"/>
      <c r="G133" s="935"/>
      <c r="H133" s="935"/>
      <c r="I133" s="941"/>
      <c r="J133" s="941"/>
      <c r="K133" s="941"/>
      <c r="L133" s="941"/>
      <c r="M133" s="941"/>
      <c r="N133" s="941"/>
      <c r="O133" s="1253"/>
      <c r="P133" s="1253"/>
      <c r="Q133" s="1253"/>
      <c r="R133" s="1253"/>
      <c r="S133" s="1253"/>
      <c r="T133" s="1253"/>
      <c r="U133" s="974"/>
    </row>
    <row r="134" spans="3:33" s="900" customFormat="1">
      <c r="C134" s="1"/>
      <c r="D134" s="1" t="s">
        <v>1129</v>
      </c>
      <c r="E134" s="922"/>
      <c r="F134" s="922"/>
      <c r="G134" s="922"/>
      <c r="H134" s="922"/>
      <c r="I134" s="941"/>
      <c r="J134" s="941"/>
      <c r="K134" s="941"/>
      <c r="L134" s="941"/>
      <c r="M134" s="941"/>
      <c r="N134" s="941"/>
      <c r="O134" s="1255"/>
      <c r="P134" s="1255">
        <f>87240/集团!O9</f>
        <v>12169.230983832946</v>
      </c>
      <c r="Q134" s="1255">
        <f>131360/集团!P9</f>
        <v>18323.592182901142</v>
      </c>
      <c r="R134" s="1255">
        <f>51410/集团!Q9</f>
        <v>7171.2536093403451</v>
      </c>
      <c r="S134" s="1255">
        <v>0</v>
      </c>
      <c r="T134" s="1255">
        <v>0</v>
      </c>
      <c r="U134" s="978"/>
    </row>
    <row r="135" spans="3:33" s="900" customFormat="1">
      <c r="C135" s="1"/>
      <c r="D135" s="1"/>
      <c r="E135" s="922"/>
      <c r="F135" s="922"/>
      <c r="G135" s="922"/>
      <c r="H135" s="922"/>
    </row>
    <row r="136" spans="3:33" s="900" customFormat="1" hidden="1">
      <c r="C136" s="1"/>
      <c r="D136" s="349" t="s">
        <v>932</v>
      </c>
      <c r="E136" s="922"/>
      <c r="F136" s="922"/>
      <c r="G136" s="922"/>
      <c r="H136" s="922"/>
    </row>
    <row r="137" spans="3:33" s="900" customFormat="1" hidden="1">
      <c r="C137" s="1"/>
      <c r="D137" s="1" t="s">
        <v>933</v>
      </c>
      <c r="E137" s="922"/>
      <c r="F137" s="922"/>
      <c r="G137" s="922"/>
      <c r="H137" s="922"/>
      <c r="I137" s="940"/>
      <c r="J137" s="940"/>
      <c r="K137" s="940"/>
      <c r="L137" s="940"/>
      <c r="M137" s="937"/>
      <c r="N137" s="937"/>
      <c r="O137" s="937"/>
      <c r="P137" s="937"/>
      <c r="Q137" s="937"/>
      <c r="R137" s="937"/>
      <c r="S137" s="937"/>
      <c r="T137" s="937"/>
    </row>
    <row r="138" spans="3:33" s="900" customFormat="1" hidden="1">
      <c r="C138" s="1"/>
      <c r="D138" s="1" t="s">
        <v>927</v>
      </c>
      <c r="E138" s="922"/>
      <c r="F138" s="922"/>
      <c r="G138" s="922"/>
      <c r="H138" s="922"/>
      <c r="I138" s="940"/>
      <c r="J138" s="940"/>
      <c r="K138" s="940"/>
      <c r="L138" s="940"/>
      <c r="M138" s="937"/>
      <c r="N138" s="937"/>
      <c r="O138" s="937"/>
      <c r="P138" s="937"/>
      <c r="Q138" s="937"/>
      <c r="R138" s="937"/>
      <c r="S138" s="937"/>
      <c r="T138" s="937"/>
      <c r="AG138" s="904"/>
    </row>
    <row r="139" spans="3:33" s="932" customFormat="1" hidden="1">
      <c r="C139" s="18"/>
      <c r="D139" s="18" t="s">
        <v>928</v>
      </c>
      <c r="E139" s="935"/>
      <c r="F139" s="935"/>
      <c r="G139" s="935"/>
      <c r="H139" s="935"/>
      <c r="I139" s="900"/>
      <c r="J139" s="900"/>
      <c r="K139" s="900"/>
      <c r="L139" s="900"/>
      <c r="M139" s="944"/>
      <c r="N139" s="944"/>
      <c r="O139" s="944"/>
      <c r="P139" s="944"/>
      <c r="Q139" s="944"/>
      <c r="R139" s="944"/>
      <c r="S139" s="944"/>
      <c r="T139" s="944"/>
    </row>
    <row r="140" spans="3:33" s="900" customFormat="1" hidden="1">
      <c r="C140" s="1"/>
      <c r="D140" s="1" t="s">
        <v>929</v>
      </c>
      <c r="E140" s="922"/>
      <c r="F140" s="922"/>
      <c r="G140" s="922"/>
      <c r="H140" s="922"/>
      <c r="I140" s="942"/>
      <c r="J140" s="942"/>
      <c r="K140" s="942"/>
      <c r="L140" s="942"/>
      <c r="M140" s="943"/>
      <c r="N140" s="943"/>
      <c r="O140" s="943"/>
    </row>
    <row r="141" spans="3:33" s="900" customFormat="1" hidden="1">
      <c r="C141" s="1"/>
      <c r="D141" s="1"/>
      <c r="E141" s="922"/>
      <c r="F141" s="922"/>
      <c r="G141" s="922"/>
      <c r="H141" s="922"/>
    </row>
    <row r="142" spans="3:33" s="900" customFormat="1" hidden="1">
      <c r="C142" s="1"/>
      <c r="D142" s="349" t="s">
        <v>934</v>
      </c>
      <c r="E142" s="922"/>
      <c r="F142" s="922"/>
      <c r="G142" s="922"/>
      <c r="H142" s="922"/>
    </row>
    <row r="143" spans="3:33" s="900" customFormat="1" hidden="1">
      <c r="C143" s="1"/>
      <c r="D143" s="1" t="s">
        <v>935</v>
      </c>
      <c r="E143" s="922"/>
      <c r="F143" s="922"/>
      <c r="G143" s="922"/>
      <c r="H143" s="922"/>
      <c r="I143" s="940"/>
      <c r="J143" s="940"/>
      <c r="K143" s="940"/>
      <c r="L143" s="940"/>
      <c r="M143" s="937"/>
      <c r="N143" s="937"/>
      <c r="O143" s="937"/>
      <c r="P143" s="937"/>
      <c r="Q143" s="937"/>
      <c r="R143" s="937"/>
      <c r="S143" s="937"/>
    </row>
    <row r="144" spans="3:33" s="900" customFormat="1" hidden="1">
      <c r="C144" s="1"/>
      <c r="D144" s="1" t="s">
        <v>927</v>
      </c>
      <c r="E144" s="922"/>
      <c r="F144" s="922"/>
      <c r="G144" s="922"/>
      <c r="H144" s="922"/>
      <c r="I144" s="940"/>
      <c r="J144" s="940"/>
      <c r="K144" s="940"/>
      <c r="L144" s="940"/>
      <c r="M144" s="937"/>
      <c r="N144" s="937"/>
      <c r="O144" s="937"/>
      <c r="P144" s="937"/>
      <c r="Q144" s="937"/>
      <c r="R144" s="937"/>
      <c r="S144" s="937"/>
      <c r="AG144" s="904"/>
    </row>
    <row r="145" spans="2:33" s="932" customFormat="1" hidden="1">
      <c r="C145" s="18"/>
      <c r="D145" s="18" t="s">
        <v>928</v>
      </c>
      <c r="E145" s="935"/>
      <c r="F145" s="935"/>
      <c r="G145" s="935"/>
      <c r="H145" s="935"/>
      <c r="I145" s="900"/>
      <c r="J145" s="900"/>
      <c r="K145" s="900"/>
      <c r="L145" s="900"/>
      <c r="M145" s="944"/>
      <c r="N145" s="944"/>
      <c r="O145" s="944"/>
      <c r="P145" s="944"/>
      <c r="Q145" s="944"/>
      <c r="R145" s="944"/>
      <c r="S145" s="944"/>
    </row>
    <row r="146" spans="2:33" s="900" customFormat="1" hidden="1">
      <c r="C146" s="1"/>
      <c r="D146" s="1" t="s">
        <v>929</v>
      </c>
      <c r="E146" s="922"/>
      <c r="F146" s="922"/>
      <c r="G146" s="922"/>
      <c r="H146" s="922"/>
      <c r="I146" s="942"/>
      <c r="J146" s="942"/>
      <c r="K146" s="942"/>
      <c r="L146" s="942"/>
      <c r="M146" s="943"/>
      <c r="N146" s="943"/>
      <c r="O146" s="943"/>
    </row>
    <row r="147" spans="2:33" s="900" customFormat="1">
      <c r="C147" s="1"/>
      <c r="D147" s="1"/>
      <c r="E147" s="922"/>
      <c r="F147" s="922"/>
      <c r="G147" s="922"/>
      <c r="H147" s="922"/>
    </row>
    <row r="148" spans="2:33" s="900" customFormat="1">
      <c r="B148" s="927" t="s">
        <v>879</v>
      </c>
      <c r="C148" s="928" t="s">
        <v>936</v>
      </c>
      <c r="D148" s="952"/>
      <c r="E148" s="953"/>
      <c r="F148" s="953"/>
      <c r="G148" s="953"/>
      <c r="H148" s="953"/>
      <c r="I148" s="930"/>
      <c r="J148" s="930"/>
      <c r="K148" s="930"/>
      <c r="L148" s="930"/>
      <c r="M148" s="930"/>
      <c r="N148" s="930"/>
      <c r="O148" s="930"/>
      <c r="P148" s="930"/>
      <c r="Q148" s="930"/>
      <c r="R148" s="930"/>
      <c r="S148" s="930"/>
      <c r="T148" s="930"/>
    </row>
    <row r="149" spans="2:33" s="900" customFormat="1">
      <c r="C149" s="1"/>
      <c r="D149" s="1"/>
      <c r="E149" s="922"/>
      <c r="F149" s="922"/>
      <c r="G149" s="922"/>
      <c r="H149" s="922"/>
    </row>
    <row r="150" spans="2:33" s="932" customFormat="1">
      <c r="C150" s="349"/>
      <c r="D150" s="18" t="s">
        <v>1112</v>
      </c>
      <c r="E150" s="935"/>
      <c r="F150" s="935"/>
      <c r="G150" s="935"/>
      <c r="H150" s="935"/>
      <c r="I150" s="936">
        <f t="shared" ref="I150:S150" si="132">SUM(I152,I157)</f>
        <v>20938.02940000001</v>
      </c>
      <c r="J150" s="936">
        <f t="shared" si="132"/>
        <v>18142.980589999999</v>
      </c>
      <c r="K150" s="936">
        <f t="shared" si="132"/>
        <v>4973.3024700000005</v>
      </c>
      <c r="L150" s="936"/>
      <c r="M150" s="936">
        <f t="shared" si="132"/>
        <v>2418.1590000000001</v>
      </c>
      <c r="N150" s="936"/>
      <c r="O150" s="936">
        <f>SUM(O152,O157)</f>
        <v>8402</v>
      </c>
      <c r="P150" s="936">
        <f t="shared" si="132"/>
        <v>22207.201169867993</v>
      </c>
      <c r="Q150" s="936">
        <f t="shared" si="132"/>
        <v>7807.2011698679953</v>
      </c>
      <c r="R150" s="936">
        <f t="shared" si="132"/>
        <v>7807.2011698679953</v>
      </c>
      <c r="S150" s="936">
        <f t="shared" si="132"/>
        <v>3602</v>
      </c>
      <c r="T150" s="936">
        <f t="shared" ref="T150" si="133">SUM(T152,T157)</f>
        <v>3602</v>
      </c>
      <c r="AG150" s="904"/>
    </row>
    <row r="151" spans="2:33" s="899" customFormat="1">
      <c r="C151" s="954"/>
      <c r="D151" s="22"/>
      <c r="E151" s="955"/>
      <c r="F151" s="955"/>
      <c r="G151" s="955"/>
      <c r="H151" s="955"/>
      <c r="J151" s="956"/>
      <c r="K151" s="956"/>
      <c r="L151" s="956"/>
      <c r="M151" s="956"/>
      <c r="N151" s="956"/>
      <c r="O151" s="956"/>
      <c r="P151" s="956"/>
      <c r="Q151" s="956"/>
      <c r="R151" s="956"/>
      <c r="S151" s="956"/>
      <c r="T151" s="956"/>
      <c r="AG151" s="957"/>
    </row>
    <row r="152" spans="2:33" s="932" customFormat="1">
      <c r="C152" s="18"/>
      <c r="D152" s="18" t="s">
        <v>1108</v>
      </c>
      <c r="E152" s="935"/>
      <c r="F152" s="935"/>
      <c r="G152" s="935"/>
      <c r="H152" s="935"/>
      <c r="I152" s="1426">
        <v>3324.0825100000102</v>
      </c>
      <c r="J152" s="1426">
        <v>2671.1316500000003</v>
      </c>
      <c r="K152" s="1426">
        <v>1714.2735400000004</v>
      </c>
      <c r="L152" s="1426"/>
      <c r="M152" s="1426">
        <v>2396.3870000000002</v>
      </c>
      <c r="N152" s="1426"/>
      <c r="O152" s="936">
        <f>SUM(O153:O155)</f>
        <v>3602</v>
      </c>
      <c r="P152" s="1425">
        <f>O152</f>
        <v>3602</v>
      </c>
      <c r="Q152" s="1425">
        <f>P152</f>
        <v>3602</v>
      </c>
      <c r="R152" s="1425">
        <f>Q152</f>
        <v>3602</v>
      </c>
      <c r="S152" s="1425">
        <f>R152</f>
        <v>3602</v>
      </c>
      <c r="T152" s="1425">
        <f>S152</f>
        <v>3602</v>
      </c>
    </row>
    <row r="153" spans="2:33" s="932" customFormat="1">
      <c r="C153" s="18"/>
      <c r="D153" s="18"/>
      <c r="E153" s="922" t="s">
        <v>880</v>
      </c>
      <c r="F153" s="935"/>
      <c r="G153" s="935"/>
      <c r="H153" s="922" t="s">
        <v>937</v>
      </c>
      <c r="I153" s="1428"/>
      <c r="J153" s="1428"/>
      <c r="K153" s="1428"/>
      <c r="L153" s="1428"/>
      <c r="M153" s="1428"/>
      <c r="N153" s="1428"/>
      <c r="O153" s="1255">
        <v>1016</v>
      </c>
      <c r="P153" s="1428"/>
      <c r="Q153" s="1428"/>
      <c r="R153" s="1428"/>
      <c r="S153" s="1428"/>
      <c r="T153" s="1428"/>
    </row>
    <row r="154" spans="2:33" s="932" customFormat="1">
      <c r="C154" s="18"/>
      <c r="D154" s="18"/>
      <c r="E154" s="922" t="s">
        <v>882</v>
      </c>
      <c r="F154" s="935"/>
      <c r="G154" s="935"/>
      <c r="H154" s="922" t="s">
        <v>938</v>
      </c>
      <c r="I154" s="1428"/>
      <c r="J154" s="1428"/>
      <c r="K154" s="1428"/>
      <c r="L154" s="1428"/>
      <c r="M154" s="1428"/>
      <c r="N154" s="1428"/>
      <c r="O154" s="1255">
        <v>1848</v>
      </c>
      <c r="P154" s="1428"/>
      <c r="Q154" s="1428"/>
      <c r="R154" s="1428"/>
      <c r="S154" s="1428"/>
      <c r="T154" s="1428"/>
    </row>
    <row r="155" spans="2:33" s="932" customFormat="1">
      <c r="C155" s="18"/>
      <c r="D155" s="18"/>
      <c r="E155" s="922" t="s">
        <v>884</v>
      </c>
      <c r="F155" s="935"/>
      <c r="G155" s="935"/>
      <c r="H155" s="922" t="s">
        <v>939</v>
      </c>
      <c r="I155" s="1428"/>
      <c r="J155" s="1428"/>
      <c r="K155" s="1428"/>
      <c r="L155" s="1428"/>
      <c r="M155" s="1428"/>
      <c r="N155" s="1428"/>
      <c r="O155" s="1255">
        <v>738</v>
      </c>
      <c r="P155" s="1428"/>
      <c r="Q155" s="1428"/>
      <c r="R155" s="1428"/>
      <c r="S155" s="1428"/>
      <c r="T155" s="1428"/>
    </row>
    <row r="156" spans="2:33" s="932" customFormat="1">
      <c r="C156" s="18"/>
      <c r="D156" s="18"/>
      <c r="E156" s="922"/>
      <c r="F156" s="935"/>
      <c r="G156" s="935"/>
      <c r="H156" s="935"/>
    </row>
    <row r="157" spans="2:33" s="932" customFormat="1">
      <c r="C157" s="18"/>
      <c r="D157" s="18" t="s">
        <v>1110</v>
      </c>
      <c r="E157" s="935"/>
      <c r="F157" s="935"/>
      <c r="G157" s="935"/>
      <c r="H157" s="935"/>
      <c r="I157" s="1426">
        <v>17613.946889999999</v>
      </c>
      <c r="J157" s="1426">
        <v>15471.848939999998</v>
      </c>
      <c r="K157" s="1426">
        <v>3259.0289299999999</v>
      </c>
      <c r="L157" s="1426"/>
      <c r="M157" s="1426">
        <v>21.771999999999998</v>
      </c>
      <c r="N157" s="1426"/>
      <c r="O157" s="936">
        <f>SUM(O174,O188,O202,O216,O221)</f>
        <v>4800</v>
      </c>
      <c r="P157" s="936">
        <f t="shared" ref="P157:T157" si="134">SUM(P174,P188,P202,P216,P221)</f>
        <v>18605.201169867993</v>
      </c>
      <c r="Q157" s="936">
        <f t="shared" si="134"/>
        <v>4205.2011698679953</v>
      </c>
      <c r="R157" s="936">
        <f t="shared" si="134"/>
        <v>4205.2011698679953</v>
      </c>
      <c r="S157" s="936">
        <f t="shared" si="134"/>
        <v>0</v>
      </c>
      <c r="T157" s="936">
        <f t="shared" si="134"/>
        <v>0</v>
      </c>
      <c r="AG157" s="904"/>
    </row>
    <row r="158" spans="2:33" s="932" customFormat="1" hidden="1">
      <c r="C158" s="18"/>
      <c r="D158" s="18"/>
      <c r="E158" s="922" t="s">
        <v>880</v>
      </c>
      <c r="F158" s="935"/>
      <c r="G158" s="935"/>
      <c r="H158" s="922" t="s">
        <v>940</v>
      </c>
      <c r="I158" s="940"/>
      <c r="J158" s="940"/>
      <c r="K158" s="940"/>
      <c r="L158" s="940"/>
      <c r="M158" s="940"/>
      <c r="N158" s="940"/>
      <c r="O158" s="1427">
        <v>3453</v>
      </c>
      <c r="P158" s="1427">
        <v>12000</v>
      </c>
      <c r="Q158" s="1427">
        <v>15000</v>
      </c>
      <c r="R158" s="1427"/>
      <c r="S158" s="1427"/>
      <c r="AG158" s="904"/>
    </row>
    <row r="159" spans="2:33" s="932" customFormat="1" hidden="1">
      <c r="C159" s="18"/>
      <c r="D159" s="18"/>
      <c r="E159" s="922" t="s">
        <v>882</v>
      </c>
      <c r="F159" s="935"/>
      <c r="G159" s="935"/>
      <c r="H159" s="922" t="s">
        <v>941</v>
      </c>
      <c r="I159" s="940"/>
      <c r="J159" s="940"/>
      <c r="K159" s="940"/>
      <c r="L159" s="940"/>
      <c r="M159" s="940"/>
      <c r="N159" s="940"/>
      <c r="O159" s="937">
        <v>2945</v>
      </c>
      <c r="P159" s="937"/>
      <c r="Q159" s="937"/>
      <c r="R159" s="937"/>
      <c r="S159" s="937"/>
    </row>
    <row r="160" spans="2:33" s="932" customFormat="1" hidden="1">
      <c r="C160" s="18"/>
      <c r="D160" s="18"/>
      <c r="E160" s="922" t="s">
        <v>884</v>
      </c>
      <c r="F160" s="935"/>
      <c r="G160" s="935"/>
      <c r="H160" s="922" t="s">
        <v>942</v>
      </c>
      <c r="I160" s="940"/>
      <c r="J160" s="940"/>
      <c r="K160" s="940"/>
      <c r="L160" s="940"/>
      <c r="M160" s="940"/>
      <c r="N160" s="940"/>
      <c r="O160" s="937">
        <v>2437</v>
      </c>
      <c r="P160" s="937"/>
      <c r="Q160" s="937"/>
      <c r="R160" s="937"/>
      <c r="S160" s="937"/>
    </row>
    <row r="161" spans="3:33" s="932" customFormat="1" hidden="1">
      <c r="C161" s="18"/>
      <c r="D161" s="18"/>
      <c r="E161" s="922" t="s">
        <v>888</v>
      </c>
      <c r="F161" s="935"/>
      <c r="G161" s="935"/>
      <c r="H161" s="922" t="s">
        <v>943</v>
      </c>
      <c r="I161" s="940"/>
      <c r="J161" s="940"/>
      <c r="K161" s="940"/>
      <c r="L161" s="940"/>
      <c r="M161" s="940"/>
      <c r="N161" s="940"/>
      <c r="O161" s="937">
        <v>1200</v>
      </c>
      <c r="P161" s="958"/>
      <c r="Q161" s="958"/>
      <c r="R161" s="958"/>
      <c r="S161" s="958"/>
    </row>
    <row r="162" spans="3:33" s="932" customFormat="1" hidden="1">
      <c r="C162" s="18"/>
      <c r="D162" s="18"/>
      <c r="E162" s="922" t="s">
        <v>890</v>
      </c>
      <c r="F162" s="935"/>
      <c r="G162" s="935"/>
      <c r="H162" s="922" t="s">
        <v>944</v>
      </c>
      <c r="I162" s="940"/>
      <c r="J162" s="940"/>
      <c r="K162" s="940"/>
      <c r="L162" s="940"/>
      <c r="M162" s="940"/>
      <c r="N162" s="940"/>
      <c r="O162" s="937">
        <f>1500/集团!N9</f>
        <v>209.23712145517445</v>
      </c>
      <c r="P162" s="958"/>
      <c r="Q162" s="958"/>
      <c r="R162" s="958"/>
      <c r="S162" s="958"/>
    </row>
    <row r="163" spans="3:33" s="932" customFormat="1">
      <c r="C163" s="18"/>
      <c r="D163" s="18"/>
      <c r="E163" s="935"/>
      <c r="F163" s="935"/>
      <c r="G163" s="935"/>
      <c r="H163" s="935"/>
    </row>
    <row r="164" spans="3:33" s="900" customFormat="1">
      <c r="C164" s="1"/>
      <c r="D164" s="349" t="s">
        <v>841</v>
      </c>
      <c r="E164" s="922"/>
      <c r="F164" s="922"/>
      <c r="G164" s="922"/>
      <c r="H164" s="1432">
        <f>(N169*N173+N171)/N172</f>
        <v>123.89318022707461</v>
      </c>
    </row>
    <row r="165" spans="3:33" s="900" customFormat="1">
      <c r="C165" s="1"/>
      <c r="D165" s="1" t="s">
        <v>965</v>
      </c>
      <c r="E165" s="922"/>
      <c r="F165" s="922"/>
      <c r="G165" s="922"/>
      <c r="H165" s="922"/>
      <c r="I165" s="1010">
        <v>2100</v>
      </c>
      <c r="J165" s="1011">
        <f>I165</f>
        <v>2100</v>
      </c>
      <c r="K165" s="1011">
        <f t="shared" ref="K165:M165" si="135">J165</f>
        <v>2100</v>
      </c>
      <c r="L165" s="1011">
        <f t="shared" si="135"/>
        <v>2100</v>
      </c>
      <c r="M165" s="1011">
        <f t="shared" si="135"/>
        <v>2100</v>
      </c>
      <c r="N165" s="1011">
        <f>M165/12*7</f>
        <v>1225</v>
      </c>
      <c r="O165" s="945">
        <f>M167</f>
        <v>2100</v>
      </c>
      <c r="P165" s="945">
        <f t="shared" ref="P165" si="136">O167</f>
        <v>2100</v>
      </c>
      <c r="Q165" s="945">
        <f t="shared" ref="Q165" si="137">P167</f>
        <v>2100</v>
      </c>
      <c r="R165" s="945">
        <f t="shared" ref="R165" si="138">Q167</f>
        <v>2100</v>
      </c>
      <c r="S165" s="945">
        <f t="shared" ref="S165" si="139">R167</f>
        <v>2100</v>
      </c>
      <c r="T165" s="945">
        <f t="shared" ref="T165" si="140">S167</f>
        <v>2100</v>
      </c>
    </row>
    <row r="166" spans="3:33" s="900" customFormat="1">
      <c r="C166" s="1"/>
      <c r="D166" s="1" t="s">
        <v>966</v>
      </c>
      <c r="E166" s="922"/>
      <c r="F166" s="922"/>
      <c r="G166" s="922"/>
      <c r="H166" s="922"/>
      <c r="O166" s="981">
        <v>0</v>
      </c>
      <c r="P166" s="981">
        <v>0</v>
      </c>
      <c r="Q166" s="981">
        <v>0</v>
      </c>
      <c r="R166" s="981">
        <v>0</v>
      </c>
      <c r="S166" s="981">
        <v>0</v>
      </c>
      <c r="T166" s="981">
        <v>0</v>
      </c>
      <c r="AG166" s="904"/>
    </row>
    <row r="167" spans="3:33" s="932" customFormat="1">
      <c r="C167" s="18"/>
      <c r="D167" s="18" t="s">
        <v>967</v>
      </c>
      <c r="E167" s="935"/>
      <c r="F167" s="935"/>
      <c r="G167" s="935"/>
      <c r="H167" s="935"/>
      <c r="I167" s="941">
        <f t="shared" ref="I167" si="141">SUM(I165:I166)</f>
        <v>2100</v>
      </c>
      <c r="J167" s="941">
        <f t="shared" ref="J167:O167" si="142">SUM(J165:J166)</f>
        <v>2100</v>
      </c>
      <c r="K167" s="941">
        <f t="shared" si="142"/>
        <v>2100</v>
      </c>
      <c r="L167" s="941">
        <f t="shared" si="142"/>
        <v>2100</v>
      </c>
      <c r="M167" s="941">
        <f t="shared" si="142"/>
        <v>2100</v>
      </c>
      <c r="N167" s="941">
        <f t="shared" si="142"/>
        <v>1225</v>
      </c>
      <c r="O167" s="941">
        <f t="shared" si="142"/>
        <v>2100</v>
      </c>
      <c r="P167" s="941">
        <f>SUM(P165:P166)</f>
        <v>2100</v>
      </c>
      <c r="Q167" s="941">
        <f t="shared" ref="Q167:T167" si="143">SUM(Q165:Q166)</f>
        <v>2100</v>
      </c>
      <c r="R167" s="941">
        <f t="shared" si="143"/>
        <v>2100</v>
      </c>
      <c r="S167" s="941">
        <f t="shared" si="143"/>
        <v>2100</v>
      </c>
      <c r="T167" s="941">
        <f t="shared" si="143"/>
        <v>2100</v>
      </c>
    </row>
    <row r="168" spans="3:33" s="982" customFormat="1">
      <c r="C168" s="885"/>
      <c r="D168" s="206"/>
      <c r="E168" s="982" t="s">
        <v>475</v>
      </c>
      <c r="I168" s="983">
        <f t="shared" ref="I168:T168" si="144">IF(I167&gt;I169,0,I169-I167)</f>
        <v>0</v>
      </c>
      <c r="J168" s="983">
        <f t="shared" si="144"/>
        <v>0</v>
      </c>
      <c r="K168" s="983">
        <f t="shared" si="144"/>
        <v>0</v>
      </c>
      <c r="L168" s="983">
        <f t="shared" si="144"/>
        <v>0</v>
      </c>
      <c r="M168" s="983">
        <f t="shared" si="144"/>
        <v>0</v>
      </c>
      <c r="N168" s="983">
        <f t="shared" si="144"/>
        <v>0</v>
      </c>
      <c r="O168" s="983">
        <f t="shared" si="144"/>
        <v>0</v>
      </c>
      <c r="P168" s="983">
        <f t="shared" si="144"/>
        <v>0</v>
      </c>
      <c r="Q168" s="983">
        <f t="shared" si="144"/>
        <v>0</v>
      </c>
      <c r="R168" s="983">
        <f t="shared" si="144"/>
        <v>0</v>
      </c>
      <c r="S168" s="983">
        <f t="shared" si="144"/>
        <v>0</v>
      </c>
      <c r="T168" s="983">
        <f t="shared" si="144"/>
        <v>0</v>
      </c>
    </row>
    <row r="169" spans="3:33" s="932" customFormat="1">
      <c r="C169" s="18"/>
      <c r="D169" s="18" t="s">
        <v>1059</v>
      </c>
      <c r="E169" s="935"/>
      <c r="F169" s="935"/>
      <c r="G169" s="935"/>
      <c r="H169" s="935"/>
      <c r="I169" s="1124"/>
      <c r="J169" s="1124"/>
      <c r="K169" s="1124"/>
      <c r="L169" s="1124"/>
      <c r="M169" s="1124"/>
      <c r="N169" s="1112">
        <f>N167*N170</f>
        <v>441</v>
      </c>
      <c r="O169" s="941">
        <f>(O172*$H$164-O171)/O173</f>
        <v>878.8497790278177</v>
      </c>
      <c r="P169" s="941">
        <f t="shared" ref="P169:T169" si="145">(P172*$H$164-P171)/P173</f>
        <v>1006.9001473959493</v>
      </c>
      <c r="Q169" s="941">
        <f t="shared" si="145"/>
        <v>1087.1440427074385</v>
      </c>
      <c r="R169" s="941">
        <f t="shared" si="145"/>
        <v>1173.7486446600049</v>
      </c>
      <c r="S169" s="941">
        <f t="shared" si="145"/>
        <v>1268.125395259372</v>
      </c>
      <c r="T169" s="941">
        <f t="shared" si="145"/>
        <v>1371.0826318602271</v>
      </c>
      <c r="U169" s="973"/>
      <c r="V169" s="974"/>
    </row>
    <row r="170" spans="3:33" s="932" customFormat="1">
      <c r="C170" s="18"/>
      <c r="D170" s="1" t="s">
        <v>969</v>
      </c>
      <c r="E170" s="935"/>
      <c r="F170" s="935"/>
      <c r="G170" s="935"/>
      <c r="H170" s="935"/>
      <c r="I170" s="964"/>
      <c r="J170" s="964"/>
      <c r="K170" s="964"/>
      <c r="L170" s="964"/>
      <c r="M170" s="964"/>
      <c r="N170" s="1110">
        <v>0.36</v>
      </c>
      <c r="O170" s="947">
        <f>O169/O167</f>
        <v>0.41849989477515126</v>
      </c>
      <c r="P170" s="947">
        <f t="shared" ref="P170:T170" si="146">P169/P167</f>
        <v>0.47947626066473775</v>
      </c>
      <c r="Q170" s="947">
        <f t="shared" si="146"/>
        <v>0.51768763938449458</v>
      </c>
      <c r="R170" s="947">
        <f t="shared" si="146"/>
        <v>0.55892792602857377</v>
      </c>
      <c r="S170" s="947">
        <f t="shared" si="146"/>
        <v>0.60386923583779617</v>
      </c>
      <c r="T170" s="947">
        <f t="shared" si="146"/>
        <v>0.65289649136201289</v>
      </c>
      <c r="U170" s="975"/>
      <c r="V170" s="974"/>
    </row>
    <row r="171" spans="3:33" s="932" customFormat="1">
      <c r="C171" s="18"/>
      <c r="D171" s="18" t="s">
        <v>980</v>
      </c>
      <c r="E171" s="935"/>
      <c r="F171" s="935"/>
      <c r="G171" s="935"/>
      <c r="H171" s="935"/>
      <c r="I171" s="948">
        <f>(中国!H83+中国!H200)/1000</f>
        <v>130.38792000000001</v>
      </c>
      <c r="J171" s="948">
        <f>(中国!I83+中国!I200)/1000</f>
        <v>105.60056</v>
      </c>
      <c r="K171" s="948">
        <f>(中国!J83+中国!J200)/1000</f>
        <v>104.83095999999996</v>
      </c>
      <c r="L171" s="948">
        <f>(中国!K83+中国!K200)/1000</f>
        <v>128.024</v>
      </c>
      <c r="M171" s="948">
        <f>(中国!L83+中国!L200)/1000</f>
        <v>188.47853999999998</v>
      </c>
      <c r="N171" s="948">
        <f>(中国!M83+中国!M200)/1000</f>
        <v>181.70984999999999</v>
      </c>
      <c r="O171" s="948">
        <f>(中国!N83+中国!N200)/1000</f>
        <v>200.72588400000001</v>
      </c>
      <c r="P171" s="948">
        <f>(中国!O83+中国!O200)/1000</f>
        <v>199.594368</v>
      </c>
      <c r="Q171" s="948">
        <f>(中国!P83+中国!P200)/1000</f>
        <v>199.19833740000001</v>
      </c>
      <c r="R171" s="948">
        <f>(中国!Q83+中国!Q200)/1000</f>
        <v>199.08612873000001</v>
      </c>
      <c r="S171" s="948">
        <f>(中国!R83+中国!R200)/1000</f>
        <v>199.08612873000001</v>
      </c>
      <c r="T171" s="948">
        <f>(中国!S83+中国!S200)/1000</f>
        <v>199.08612873000001</v>
      </c>
      <c r="U171" s="975"/>
      <c r="V171" s="974"/>
    </row>
    <row r="172" spans="3:33" s="900" customFormat="1">
      <c r="C172" s="1113"/>
      <c r="D172" s="18" t="s">
        <v>1060</v>
      </c>
      <c r="E172" s="922"/>
      <c r="F172" s="922"/>
      <c r="G172" s="922"/>
      <c r="I172" s="948">
        <f>(美国!H11)/1000</f>
        <v>10.345000000000001</v>
      </c>
      <c r="J172" s="964"/>
      <c r="K172" s="948">
        <f>(美国!J11)/1000</f>
        <v>7.8419999999999996</v>
      </c>
      <c r="L172" s="948">
        <f>(美国!K11)/1000</f>
        <v>7.1310000000000002</v>
      </c>
      <c r="M172" s="948">
        <f>(美国!L11)/1000</f>
        <v>8.4677987343430399</v>
      </c>
      <c r="N172" s="948">
        <f>(美国!M11)/1000</f>
        <v>5.0261834336537436</v>
      </c>
      <c r="O172" s="948">
        <f>(美国!N11)/1000</f>
        <v>8.7137618152116492</v>
      </c>
      <c r="P172" s="948">
        <f>(美国!O11)/1000</f>
        <v>9.7381834349933953</v>
      </c>
      <c r="Q172" s="948">
        <f>(美国!P11)/1000</f>
        <v>10.382673023243063</v>
      </c>
      <c r="R172" s="948">
        <f>(美国!Q11)/1000</f>
        <v>11.080793719830567</v>
      </c>
      <c r="S172" s="948">
        <f>(美国!R11)/1000</f>
        <v>11.842552764407444</v>
      </c>
      <c r="T172" s="948">
        <f>(美国!S11)/1000</f>
        <v>12.673568938277162</v>
      </c>
      <c r="U172" s="976"/>
      <c r="V172" s="977"/>
      <c r="W172" s="948"/>
      <c r="X172" s="948"/>
      <c r="Y172" s="948"/>
      <c r="Z172" s="948"/>
      <c r="AA172" s="948"/>
      <c r="AB172" s="948"/>
      <c r="AC172" s="948"/>
      <c r="AD172" s="948"/>
      <c r="AE172" s="948"/>
      <c r="AF172" s="948"/>
    </row>
    <row r="173" spans="3:33" s="900" customFormat="1">
      <c r="C173" s="1"/>
      <c r="D173" s="1" t="s">
        <v>971</v>
      </c>
      <c r="E173" s="922"/>
      <c r="F173" s="922"/>
      <c r="G173" s="922"/>
      <c r="H173" s="922"/>
      <c r="I173" s="1433">
        <v>1</v>
      </c>
      <c r="J173" s="1433">
        <v>1</v>
      </c>
      <c r="K173" s="1433">
        <v>1</v>
      </c>
      <c r="L173" s="1433">
        <v>1</v>
      </c>
      <c r="M173" s="1433">
        <v>1</v>
      </c>
      <c r="N173" s="1433">
        <v>1</v>
      </c>
      <c r="O173" s="965">
        <v>1</v>
      </c>
      <c r="P173" s="965">
        <v>1</v>
      </c>
      <c r="Q173" s="965">
        <v>1</v>
      </c>
      <c r="R173" s="965">
        <v>1</v>
      </c>
      <c r="S173" s="965">
        <v>1</v>
      </c>
      <c r="T173" s="965">
        <v>1</v>
      </c>
      <c r="U173" s="975"/>
      <c r="V173" s="978"/>
    </row>
    <row r="174" spans="3:33" s="900" customFormat="1">
      <c r="C174" s="1"/>
      <c r="D174" s="1" t="s">
        <v>973</v>
      </c>
      <c r="E174" s="922"/>
      <c r="F174" s="922"/>
      <c r="G174" s="922"/>
      <c r="H174" s="922"/>
      <c r="O174" s="931">
        <f>O175/集团!N$9</f>
        <v>0</v>
      </c>
      <c r="P174" s="931">
        <f>P175/集团!O$9</f>
        <v>0</v>
      </c>
      <c r="Q174" s="931">
        <f>Q175/集团!P$9</f>
        <v>0</v>
      </c>
      <c r="R174" s="931">
        <f>R175/集团!Q$9</f>
        <v>0</v>
      </c>
      <c r="S174" s="931">
        <f>S175/集团!R$9</f>
        <v>0</v>
      </c>
      <c r="T174" s="931">
        <f>T175/集团!S$9</f>
        <v>0</v>
      </c>
      <c r="U174" s="979"/>
      <c r="V174" s="978"/>
    </row>
    <row r="175" spans="3:33" s="900" customFormat="1">
      <c r="C175" s="1"/>
      <c r="D175" s="1" t="s">
        <v>974</v>
      </c>
      <c r="E175" s="922"/>
      <c r="F175" s="922"/>
      <c r="G175" s="922"/>
      <c r="H175" s="922"/>
      <c r="O175" s="967"/>
      <c r="P175" s="931">
        <f>P176*P166*10000/1000</f>
        <v>0</v>
      </c>
      <c r="Q175" s="931">
        <f>Q176*Q166*10000/1000</f>
        <v>0</v>
      </c>
      <c r="R175" s="931">
        <f>R176*R166*10000/1000</f>
        <v>0</v>
      </c>
      <c r="S175" s="931">
        <f>S176*S166*10000/1000</f>
        <v>0</v>
      </c>
      <c r="T175" s="931">
        <f>T176*T166*10000/1000</f>
        <v>0</v>
      </c>
      <c r="U175" s="979"/>
      <c r="V175" s="978"/>
    </row>
    <row r="176" spans="3:33" s="900" customFormat="1">
      <c r="C176" s="1"/>
      <c r="D176" s="1" t="s">
        <v>972</v>
      </c>
      <c r="E176" s="922"/>
      <c r="F176" s="922"/>
      <c r="G176" s="922"/>
      <c r="H176" s="922"/>
      <c r="M176" s="966"/>
      <c r="N176" s="950"/>
      <c r="O176" s="969">
        <v>0</v>
      </c>
      <c r="P176" s="951">
        <f t="shared" ref="P176" si="147">O176</f>
        <v>0</v>
      </c>
      <c r="Q176" s="951">
        <f t="shared" ref="Q176" si="148">P176</f>
        <v>0</v>
      </c>
      <c r="R176" s="951">
        <f t="shared" ref="R176" si="149">Q176</f>
        <v>0</v>
      </c>
      <c r="S176" s="951">
        <f t="shared" ref="S176" si="150">R176</f>
        <v>0</v>
      </c>
      <c r="T176" s="951">
        <f t="shared" ref="T176" si="151">S176</f>
        <v>0</v>
      </c>
      <c r="U176" s="980"/>
      <c r="V176" s="978"/>
    </row>
    <row r="177" spans="3:33" s="900" customFormat="1">
      <c r="C177" s="1"/>
      <c r="D177" s="1"/>
      <c r="E177" s="922"/>
      <c r="F177" s="922"/>
      <c r="G177" s="922"/>
      <c r="H177" s="922"/>
      <c r="M177" s="966"/>
      <c r="N177" s="950"/>
      <c r="O177" s="969"/>
      <c r="P177" s="1009"/>
      <c r="Q177" s="1009"/>
      <c r="R177" s="1009"/>
      <c r="S177" s="1009"/>
      <c r="T177" s="1009"/>
      <c r="U177" s="1009"/>
    </row>
    <row r="178" spans="3:33" s="900" customFormat="1">
      <c r="C178" s="1"/>
      <c r="D178" s="349" t="s">
        <v>842</v>
      </c>
      <c r="E178" s="922"/>
      <c r="F178" s="922"/>
      <c r="G178" s="922"/>
      <c r="H178" s="1432">
        <f>(N183*N187+N185)/N186</f>
        <v>112.69308146031513</v>
      </c>
    </row>
    <row r="179" spans="3:33" s="900" customFormat="1">
      <c r="C179" s="1"/>
      <c r="D179" s="1" t="s">
        <v>965</v>
      </c>
      <c r="E179" s="922"/>
      <c r="F179" s="922"/>
      <c r="G179" s="922"/>
      <c r="H179" s="922"/>
      <c r="I179" s="1010"/>
      <c r="J179" s="1011"/>
      <c r="K179" s="1011"/>
      <c r="L179" s="1011"/>
      <c r="M179" s="968"/>
      <c r="N179" s="945"/>
      <c r="O179" s="945">
        <f>M181</f>
        <v>0</v>
      </c>
      <c r="P179" s="945">
        <f t="shared" ref="P179" si="152">O181</f>
        <v>500</v>
      </c>
      <c r="Q179" s="945">
        <f t="shared" ref="Q179" si="153">P181</f>
        <v>2000</v>
      </c>
      <c r="R179" s="945">
        <f t="shared" ref="R179" si="154">Q181</f>
        <v>2000</v>
      </c>
      <c r="S179" s="945">
        <f t="shared" ref="S179" si="155">R181</f>
        <v>2000</v>
      </c>
      <c r="T179" s="945">
        <f t="shared" ref="T179" si="156">S181</f>
        <v>2000</v>
      </c>
    </row>
    <row r="180" spans="3:33" s="900" customFormat="1">
      <c r="C180" s="1"/>
      <c r="D180" s="1" t="s">
        <v>966</v>
      </c>
      <c r="E180" s="922"/>
      <c r="F180" s="922"/>
      <c r="G180" s="922"/>
      <c r="H180" s="922"/>
      <c r="O180" s="981">
        <v>500</v>
      </c>
      <c r="P180" s="981">
        <v>1500</v>
      </c>
      <c r="Q180" s="981"/>
      <c r="R180" s="981">
        <v>0</v>
      </c>
      <c r="S180" s="981">
        <v>0</v>
      </c>
      <c r="T180" s="981">
        <v>0</v>
      </c>
      <c r="AG180" s="904"/>
    </row>
    <row r="181" spans="3:33" s="932" customFormat="1">
      <c r="C181" s="18"/>
      <c r="D181" s="18" t="s">
        <v>967</v>
      </c>
      <c r="E181" s="935"/>
      <c r="F181" s="935"/>
      <c r="G181" s="935"/>
      <c r="H181" s="935"/>
      <c r="I181" s="941"/>
      <c r="J181" s="941"/>
      <c r="K181" s="941"/>
      <c r="L181" s="941"/>
      <c r="M181" s="941"/>
      <c r="N181" s="941"/>
      <c r="O181" s="941">
        <f t="shared" ref="O181" si="157">SUM(O179:O180)</f>
        <v>500</v>
      </c>
      <c r="P181" s="941">
        <f>SUM(P179:P180)</f>
        <v>2000</v>
      </c>
      <c r="Q181" s="941">
        <f t="shared" ref="Q181:T181" si="158">SUM(Q179:Q180)</f>
        <v>2000</v>
      </c>
      <c r="R181" s="941">
        <f t="shared" si="158"/>
        <v>2000</v>
      </c>
      <c r="S181" s="941">
        <f t="shared" si="158"/>
        <v>2000</v>
      </c>
      <c r="T181" s="941">
        <f t="shared" si="158"/>
        <v>2000</v>
      </c>
    </row>
    <row r="182" spans="3:33" s="982" customFormat="1">
      <c r="C182" s="885"/>
      <c r="D182" s="206"/>
      <c r="E182" s="982" t="s">
        <v>475</v>
      </c>
      <c r="I182" s="983"/>
      <c r="J182" s="983"/>
      <c r="K182" s="983"/>
      <c r="L182" s="983"/>
      <c r="M182" s="983"/>
      <c r="N182" s="983"/>
      <c r="O182" s="983">
        <f t="shared" ref="O182:T182" si="159">IF(O181&gt;O183,0,O183-O181)</f>
        <v>0</v>
      </c>
      <c r="P182" s="983">
        <f t="shared" si="159"/>
        <v>0</v>
      </c>
      <c r="Q182" s="983">
        <f t="shared" si="159"/>
        <v>0</v>
      </c>
      <c r="R182" s="983">
        <f t="shared" si="159"/>
        <v>0</v>
      </c>
      <c r="S182" s="983">
        <f t="shared" si="159"/>
        <v>0</v>
      </c>
      <c r="T182" s="983">
        <f t="shared" si="159"/>
        <v>0</v>
      </c>
    </row>
    <row r="183" spans="3:33" s="932" customFormat="1">
      <c r="C183" s="18"/>
      <c r="D183" s="18" t="s">
        <v>1059</v>
      </c>
      <c r="E183" s="935"/>
      <c r="F183" s="935"/>
      <c r="G183" s="935"/>
      <c r="H183" s="935"/>
      <c r="I183" s="1111"/>
      <c r="J183" s="1111"/>
      <c r="K183" s="1111"/>
      <c r="L183" s="1111"/>
      <c r="M183" s="1111"/>
      <c r="N183" s="1111">
        <v>0</v>
      </c>
      <c r="O183" s="941">
        <f>(O186*$H$178-O185)/O187</f>
        <v>-59.227530797300687</v>
      </c>
      <c r="P183" s="941">
        <f t="shared" ref="P183:T183" si="160">(P186*$H$178-P185)/P187</f>
        <v>107.59628317852344</v>
      </c>
      <c r="Q183" s="941">
        <f t="shared" si="160"/>
        <v>333.17334956038712</v>
      </c>
      <c r="R183" s="941">
        <f t="shared" si="160"/>
        <v>554.39712874738439</v>
      </c>
      <c r="S183" s="941">
        <f t="shared" si="160"/>
        <v>725.69366545152434</v>
      </c>
      <c r="T183" s="941">
        <f t="shared" si="160"/>
        <v>900.00392040658551</v>
      </c>
      <c r="U183" s="973"/>
      <c r="V183" s="974"/>
    </row>
    <row r="184" spans="3:33" s="932" customFormat="1">
      <c r="C184" s="18"/>
      <c r="D184" s="1" t="s">
        <v>969</v>
      </c>
      <c r="E184" s="935"/>
      <c r="F184" s="935"/>
      <c r="G184" s="935"/>
      <c r="H184" s="935"/>
      <c r="I184" s="1114"/>
      <c r="J184" s="1114"/>
      <c r="K184" s="1114"/>
      <c r="L184" s="1114"/>
      <c r="M184" s="1114"/>
      <c r="N184" s="1116">
        <v>0</v>
      </c>
      <c r="O184" s="947">
        <f t="shared" ref="O184:T184" si="161">O183/O181</f>
        <v>-0.11845506159460137</v>
      </c>
      <c r="P184" s="947">
        <f t="shared" si="161"/>
        <v>5.3798141589261717E-2</v>
      </c>
      <c r="Q184" s="947">
        <f t="shared" si="161"/>
        <v>0.16658667478019357</v>
      </c>
      <c r="R184" s="947">
        <f t="shared" si="161"/>
        <v>0.27719856437369217</v>
      </c>
      <c r="S184" s="947">
        <f t="shared" si="161"/>
        <v>0.36284683272576218</v>
      </c>
      <c r="T184" s="947">
        <f t="shared" si="161"/>
        <v>0.45000196020329275</v>
      </c>
      <c r="U184" s="975"/>
      <c r="V184" s="974"/>
    </row>
    <row r="185" spans="3:33" s="932" customFormat="1">
      <c r="C185" s="18"/>
      <c r="D185" s="18" t="s">
        <v>980</v>
      </c>
      <c r="E185" s="935"/>
      <c r="F185" s="935"/>
      <c r="G185" s="935"/>
      <c r="H185" s="935"/>
      <c r="I185" s="948">
        <f>(中国!H201+中国!H84)/1000</f>
        <v>323.35808000000003</v>
      </c>
      <c r="J185" s="948">
        <f>(中国!I201+中国!I84)/1000</f>
        <v>638.3216480000001</v>
      </c>
      <c r="K185" s="948">
        <f>(中国!J201+中国!J84)/1000</f>
        <v>610.68075199999976</v>
      </c>
      <c r="L185" s="948">
        <f>(中国!K201+中国!K84)/1000</f>
        <v>1043.528</v>
      </c>
      <c r="M185" s="948">
        <f>(中国!L201+中国!L84)/1000</f>
        <v>1191.9205900000004</v>
      </c>
      <c r="N185" s="948">
        <f>(中国!M201+中国!M84)/1000</f>
        <v>663.23893200000066</v>
      </c>
      <c r="O185" s="948">
        <f>(中国!N201+中国!N84)/1000</f>
        <v>1190.5528780000006</v>
      </c>
      <c r="P185" s="948">
        <f>(中国!O201+中国!O84)/1000</f>
        <v>1130.797282100001</v>
      </c>
      <c r="Q185" s="948">
        <f>(中国!P201+中国!P84)/1000</f>
        <v>1017.6856406100007</v>
      </c>
      <c r="R185" s="948">
        <f>(中国!Q201+中国!Q84)/1000</f>
        <v>915.9442028370006</v>
      </c>
      <c r="S185" s="948">
        <f>(中国!R201+中国!R84)/1000</f>
        <v>870.17276266875047</v>
      </c>
      <c r="T185" s="948">
        <f>(中国!S201+中国!S84)/1000</f>
        <v>826.68989450891297</v>
      </c>
      <c r="U185" s="975"/>
      <c r="V185" s="974"/>
    </row>
    <row r="186" spans="3:33" s="900" customFormat="1">
      <c r="C186" s="1"/>
      <c r="D186" s="18" t="s">
        <v>1061</v>
      </c>
      <c r="E186" s="922"/>
      <c r="F186" s="922"/>
      <c r="G186" s="922"/>
      <c r="H186" s="922"/>
      <c r="I186" s="948">
        <f>美国!H12/1000</f>
        <v>5.375</v>
      </c>
      <c r="J186" s="964"/>
      <c r="K186" s="948">
        <f>美国!J12/1000</f>
        <v>6.2949999999999999</v>
      </c>
      <c r="L186" s="948">
        <f>美国!K12/1000</f>
        <v>7.33</v>
      </c>
      <c r="M186" s="948">
        <f>美国!L12/1000</f>
        <v>9.0912480846676882</v>
      </c>
      <c r="N186" s="948">
        <f>美国!M12/1000</f>
        <v>5.8853562561740782</v>
      </c>
      <c r="O186" s="948">
        <f>美国!N12/1000</f>
        <v>10.03899558466769</v>
      </c>
      <c r="P186" s="948">
        <f>美国!O12/1000</f>
        <v>10.989082463901076</v>
      </c>
      <c r="Q186" s="948">
        <f>美国!P12/1000</f>
        <v>11.987062317096129</v>
      </c>
      <c r="R186" s="948">
        <f>美国!Q12/1000</f>
        <v>13.047307896200937</v>
      </c>
      <c r="S186" s="948">
        <f>美国!R12/1000</f>
        <v>14.161174824935985</v>
      </c>
      <c r="T186" s="948">
        <f>美国!S12/1000</f>
        <v>15.322092470455285</v>
      </c>
      <c r="U186" s="976"/>
      <c r="V186" s="977"/>
      <c r="W186" s="948"/>
      <c r="X186" s="948"/>
      <c r="Y186" s="948"/>
      <c r="Z186" s="948"/>
      <c r="AA186" s="948"/>
      <c r="AB186" s="948"/>
      <c r="AC186" s="948"/>
      <c r="AD186" s="948"/>
      <c r="AE186" s="948"/>
      <c r="AF186" s="948"/>
    </row>
    <row r="187" spans="3:33" s="900" customFormat="1">
      <c r="C187" s="1"/>
      <c r="D187" s="1" t="s">
        <v>971</v>
      </c>
      <c r="E187" s="922"/>
      <c r="F187" s="922"/>
      <c r="G187" s="922"/>
      <c r="H187" s="922"/>
      <c r="I187" s="1433">
        <v>1</v>
      </c>
      <c r="J187" s="1433">
        <v>1</v>
      </c>
      <c r="K187" s="1433">
        <v>1</v>
      </c>
      <c r="L187" s="1433">
        <v>1</v>
      </c>
      <c r="M187" s="1433">
        <v>1</v>
      </c>
      <c r="N187" s="1433">
        <v>1</v>
      </c>
      <c r="O187" s="965">
        <v>1</v>
      </c>
      <c r="P187" s="965">
        <v>1</v>
      </c>
      <c r="Q187" s="965">
        <v>1</v>
      </c>
      <c r="R187" s="965">
        <v>1</v>
      </c>
      <c r="S187" s="965">
        <v>1</v>
      </c>
      <c r="T187" s="965">
        <v>1</v>
      </c>
      <c r="U187" s="975"/>
      <c r="V187" s="978"/>
    </row>
    <row r="188" spans="3:33" s="900" customFormat="1">
      <c r="C188" s="1"/>
      <c r="D188" s="1" t="s">
        <v>973</v>
      </c>
      <c r="E188" s="922"/>
      <c r="F188" s="922"/>
      <c r="G188" s="922"/>
      <c r="H188" s="922"/>
      <c r="N188" s="967">
        <v>4800</v>
      </c>
      <c r="O188" s="967">
        <v>4800</v>
      </c>
      <c r="P188" s="931">
        <f>P189/集团!O$9</f>
        <v>14399.999999999998</v>
      </c>
      <c r="Q188" s="931">
        <f>Q189/集团!P$9</f>
        <v>0</v>
      </c>
      <c r="R188" s="931">
        <f>R189/集团!Q$9</f>
        <v>0</v>
      </c>
      <c r="S188" s="931">
        <f>S189/集团!R$9</f>
        <v>0</v>
      </c>
      <c r="T188" s="931">
        <f>T189/集团!S$9</f>
        <v>0</v>
      </c>
      <c r="U188" s="979"/>
      <c r="V188" s="978"/>
    </row>
    <row r="189" spans="3:33" s="900" customFormat="1">
      <c r="C189" s="1"/>
      <c r="D189" s="1" t="s">
        <v>974</v>
      </c>
      <c r="E189" s="922"/>
      <c r="F189" s="922"/>
      <c r="G189" s="922"/>
      <c r="H189" s="922"/>
      <c r="O189" s="931">
        <f>O188*集团!N9</f>
        <v>34410.720000000001</v>
      </c>
      <c r="P189" s="931">
        <f>P190*P180*10</f>
        <v>103232.15999999999</v>
      </c>
      <c r="Q189" s="931">
        <f t="shared" ref="Q189" si="162">Q190*Q180*10</f>
        <v>0</v>
      </c>
      <c r="R189" s="931">
        <f t="shared" ref="R189" si="163">R190*R180*10</f>
        <v>0</v>
      </c>
      <c r="S189" s="931">
        <f t="shared" ref="S189" si="164">S190*S180*10</f>
        <v>0</v>
      </c>
      <c r="T189" s="931">
        <f t="shared" ref="T189" si="165">T190*T180*10</f>
        <v>0</v>
      </c>
      <c r="U189" s="979"/>
      <c r="V189" s="978"/>
    </row>
    <row r="190" spans="3:33" s="900" customFormat="1">
      <c r="C190" s="1"/>
      <c r="D190" s="1" t="s">
        <v>972</v>
      </c>
      <c r="E190" s="922"/>
      <c r="F190" s="922"/>
      <c r="G190" s="922"/>
      <c r="H190" s="922"/>
      <c r="M190" s="966"/>
      <c r="N190" s="950"/>
      <c r="O190" s="949">
        <f>O189/O181/10</f>
        <v>6.8821439999999994</v>
      </c>
      <c r="P190" s="1115">
        <f t="shared" ref="P190" si="166">O190</f>
        <v>6.8821439999999994</v>
      </c>
      <c r="Q190" s="1115">
        <f t="shared" ref="Q190" si="167">P190</f>
        <v>6.8821439999999994</v>
      </c>
      <c r="R190" s="1115">
        <f t="shared" ref="R190" si="168">Q190</f>
        <v>6.8821439999999994</v>
      </c>
      <c r="S190" s="1115">
        <f t="shared" ref="S190" si="169">R190</f>
        <v>6.8821439999999994</v>
      </c>
      <c r="T190" s="1115">
        <f t="shared" ref="T190" si="170">S190</f>
        <v>6.8821439999999994</v>
      </c>
      <c r="U190" s="980"/>
      <c r="V190" s="978"/>
    </row>
    <row r="191" spans="3:33" s="900" customFormat="1">
      <c r="C191" s="1"/>
      <c r="D191" s="1"/>
      <c r="E191" s="922"/>
      <c r="F191" s="922"/>
      <c r="G191" s="922"/>
      <c r="H191" s="922"/>
      <c r="M191" s="966"/>
      <c r="N191" s="950"/>
      <c r="O191" s="969"/>
      <c r="P191" s="1009"/>
      <c r="Q191" s="1009"/>
      <c r="R191" s="1009"/>
      <c r="S191" s="1009"/>
      <c r="T191" s="1009"/>
      <c r="U191" s="1009"/>
    </row>
    <row r="192" spans="3:33" s="900" customFormat="1">
      <c r="C192" s="1"/>
      <c r="D192" s="349" t="s">
        <v>843</v>
      </c>
      <c r="E192" s="922"/>
      <c r="F192" s="922"/>
      <c r="G192" s="1117"/>
      <c r="H192" s="1432">
        <f>(N197*N201+N199)/N200</f>
        <v>188.54255082558151</v>
      </c>
    </row>
    <row r="193" spans="3:33" s="900" customFormat="1">
      <c r="C193" s="1"/>
      <c r="D193" s="1" t="s">
        <v>965</v>
      </c>
      <c r="E193" s="922"/>
      <c r="F193" s="922"/>
      <c r="G193" s="922"/>
      <c r="H193" s="922"/>
      <c r="I193" s="968">
        <v>7300</v>
      </c>
      <c r="J193" s="968">
        <v>7300</v>
      </c>
      <c r="K193" s="968">
        <v>7300</v>
      </c>
      <c r="L193" s="968">
        <v>7300</v>
      </c>
      <c r="M193" s="968">
        <v>7300</v>
      </c>
      <c r="N193" s="945">
        <f>M195/12*7</f>
        <v>4258.3333333333339</v>
      </c>
      <c r="O193" s="945">
        <f>M195</f>
        <v>7300</v>
      </c>
      <c r="P193" s="945">
        <f t="shared" ref="P193" si="171">O195</f>
        <v>7300</v>
      </c>
      <c r="Q193" s="945">
        <f t="shared" ref="Q193" si="172">P195</f>
        <v>7300</v>
      </c>
      <c r="R193" s="945">
        <f t="shared" ref="R193" si="173">Q195</f>
        <v>7300</v>
      </c>
      <c r="S193" s="945">
        <f t="shared" ref="S193" si="174">R195</f>
        <v>7300</v>
      </c>
      <c r="T193" s="945">
        <f t="shared" ref="T193" si="175">S195</f>
        <v>7300</v>
      </c>
    </row>
    <row r="194" spans="3:33" s="900" customFormat="1">
      <c r="C194" s="1"/>
      <c r="D194" s="1" t="s">
        <v>966</v>
      </c>
      <c r="E194" s="922"/>
      <c r="F194" s="922"/>
      <c r="G194" s="922"/>
      <c r="H194" s="922"/>
      <c r="O194" s="981">
        <v>0</v>
      </c>
      <c r="P194" s="981">
        <v>0</v>
      </c>
      <c r="Q194" s="981">
        <v>0</v>
      </c>
      <c r="R194" s="981">
        <v>0</v>
      </c>
      <c r="S194" s="981">
        <v>0</v>
      </c>
      <c r="T194" s="981">
        <v>0</v>
      </c>
      <c r="AG194" s="904"/>
    </row>
    <row r="195" spans="3:33" s="932" customFormat="1">
      <c r="C195" s="18"/>
      <c r="D195" s="18" t="s">
        <v>967</v>
      </c>
      <c r="E195" s="935"/>
      <c r="F195" s="935"/>
      <c r="G195" s="935"/>
      <c r="H195" s="935"/>
      <c r="I195" s="941">
        <f t="shared" ref="I195" si="176">SUM(I193:I194)</f>
        <v>7300</v>
      </c>
      <c r="J195" s="941">
        <f t="shared" ref="J195:O195" si="177">SUM(J193:J194)</f>
        <v>7300</v>
      </c>
      <c r="K195" s="941">
        <f t="shared" si="177"/>
        <v>7300</v>
      </c>
      <c r="L195" s="941">
        <f t="shared" si="177"/>
        <v>7300</v>
      </c>
      <c r="M195" s="941">
        <f t="shared" si="177"/>
        <v>7300</v>
      </c>
      <c r="N195" s="941">
        <f t="shared" si="177"/>
        <v>4258.3333333333339</v>
      </c>
      <c r="O195" s="941">
        <f t="shared" si="177"/>
        <v>7300</v>
      </c>
      <c r="P195" s="941">
        <f>SUM(P193:P194)</f>
        <v>7300</v>
      </c>
      <c r="Q195" s="941">
        <f t="shared" ref="Q195:T195" si="178">SUM(Q193:Q194)</f>
        <v>7300</v>
      </c>
      <c r="R195" s="941">
        <f t="shared" si="178"/>
        <v>7300</v>
      </c>
      <c r="S195" s="941">
        <f t="shared" si="178"/>
        <v>7300</v>
      </c>
      <c r="T195" s="941">
        <f t="shared" si="178"/>
        <v>7300</v>
      </c>
    </row>
    <row r="196" spans="3:33" s="982" customFormat="1">
      <c r="C196" s="885"/>
      <c r="D196" s="206"/>
      <c r="E196" s="982" t="s">
        <v>475</v>
      </c>
      <c r="I196" s="983">
        <f t="shared" ref="I196:T196" si="179">IF(I195&gt;I197,0,I197-I195)</f>
        <v>0</v>
      </c>
      <c r="J196" s="983">
        <f t="shared" si="179"/>
        <v>0</v>
      </c>
      <c r="K196" s="983">
        <f t="shared" si="179"/>
        <v>0</v>
      </c>
      <c r="L196" s="983">
        <f t="shared" si="179"/>
        <v>0</v>
      </c>
      <c r="M196" s="983">
        <f t="shared" si="179"/>
        <v>0</v>
      </c>
      <c r="N196" s="983">
        <f t="shared" si="179"/>
        <v>0</v>
      </c>
      <c r="O196" s="983">
        <f t="shared" si="179"/>
        <v>0</v>
      </c>
      <c r="P196" s="983">
        <f t="shared" si="179"/>
        <v>0</v>
      </c>
      <c r="Q196" s="983">
        <f t="shared" si="179"/>
        <v>0</v>
      </c>
      <c r="R196" s="983">
        <f t="shared" si="179"/>
        <v>0</v>
      </c>
      <c r="S196" s="983">
        <f t="shared" si="179"/>
        <v>0</v>
      </c>
      <c r="T196" s="983">
        <f t="shared" si="179"/>
        <v>0</v>
      </c>
    </row>
    <row r="197" spans="3:33" s="932" customFormat="1">
      <c r="C197" s="18"/>
      <c r="D197" s="18" t="s">
        <v>1059</v>
      </c>
      <c r="E197" s="935"/>
      <c r="F197" s="935"/>
      <c r="G197" s="935"/>
      <c r="H197" s="935"/>
      <c r="I197" s="1112"/>
      <c r="J197" s="1112"/>
      <c r="K197" s="1112"/>
      <c r="L197" s="1112"/>
      <c r="M197" s="1112"/>
      <c r="N197" s="1112">
        <f>N195*N198</f>
        <v>1490.4166666666667</v>
      </c>
      <c r="O197" s="941">
        <f>(O200*$H$192-O199)/O201</f>
        <v>3426.6078282633707</v>
      </c>
      <c r="P197" s="941">
        <f t="shared" ref="P197:T197" si="180">(P200*$H$192-P199)/P201</f>
        <v>3844.9527071822276</v>
      </c>
      <c r="Q197" s="941">
        <f t="shared" si="180"/>
        <v>4148.8663877464942</v>
      </c>
      <c r="R197" s="941">
        <f t="shared" si="180"/>
        <v>4361.3809499663002</v>
      </c>
      <c r="S197" s="941">
        <f t="shared" si="180"/>
        <v>4586.7989261657822</v>
      </c>
      <c r="T197" s="941">
        <f t="shared" si="180"/>
        <v>4826.7946095361767</v>
      </c>
      <c r="U197" s="973"/>
      <c r="V197" s="974"/>
    </row>
    <row r="198" spans="3:33" s="932" customFormat="1">
      <c r="C198" s="18"/>
      <c r="D198" s="1" t="s">
        <v>969</v>
      </c>
      <c r="E198" s="935"/>
      <c r="F198" s="935"/>
      <c r="G198" s="935"/>
      <c r="H198" s="935"/>
      <c r="I198" s="947"/>
      <c r="J198" s="947"/>
      <c r="K198" s="947"/>
      <c r="L198" s="947"/>
      <c r="M198" s="1110"/>
      <c r="N198" s="1110">
        <v>0.35</v>
      </c>
      <c r="O198" s="947">
        <f t="shared" ref="O198:T198" si="181">O197/O195</f>
        <v>0.46939833263881792</v>
      </c>
      <c r="P198" s="947">
        <f t="shared" si="181"/>
        <v>0.52670585029893524</v>
      </c>
      <c r="Q198" s="947">
        <f t="shared" si="181"/>
        <v>0.5683378613351362</v>
      </c>
      <c r="R198" s="947">
        <f t="shared" si="181"/>
        <v>0.59744944520086307</v>
      </c>
      <c r="S198" s="947">
        <f t="shared" si="181"/>
        <v>0.62832862002270984</v>
      </c>
      <c r="T198" s="947">
        <f t="shared" si="181"/>
        <v>0.66120474103235294</v>
      </c>
      <c r="U198" s="975"/>
      <c r="V198" s="974"/>
    </row>
    <row r="199" spans="3:33" s="932" customFormat="1">
      <c r="C199" s="18"/>
      <c r="D199" s="18" t="s">
        <v>980</v>
      </c>
      <c r="E199" s="935"/>
      <c r="F199" s="935"/>
      <c r="G199" s="935"/>
      <c r="H199" s="935"/>
      <c r="I199" s="948">
        <f>(中国!H85+中国!H202)/1000</f>
        <v>756.44550000000015</v>
      </c>
      <c r="J199" s="948">
        <f>(中国!I85+中国!I202)/1000</f>
        <v>704.09703999999965</v>
      </c>
      <c r="K199" s="948">
        <f>(中国!J85+中国!J202)/1000</f>
        <v>1159.9412200000004</v>
      </c>
      <c r="L199" s="948">
        <f>(中国!K85+中国!K202)/1000</f>
        <v>902.24199999999996</v>
      </c>
      <c r="M199" s="948">
        <f>(中国!L85+中国!L202)/1000</f>
        <v>1039.7911572868099</v>
      </c>
      <c r="N199" s="948">
        <f>(中国!M85+中国!M202)/1000</f>
        <v>825.09545593939526</v>
      </c>
      <c r="O199" s="948">
        <f>(中国!N85+中国!N202)/1000</f>
        <v>875.6526494147239</v>
      </c>
      <c r="P199" s="948">
        <f>(中国!O85+中国!O202)/1000</f>
        <v>786.63496949030673</v>
      </c>
      <c r="Q199" s="948">
        <f>(中国!P85+中国!P202)/1000</f>
        <v>746.79487577176064</v>
      </c>
      <c r="R199" s="948">
        <f>(中国!Q85+中国!Q202)/1000</f>
        <v>746.57882904304745</v>
      </c>
      <c r="S199" s="948">
        <f>(中国!R85+中国!R202)/1000</f>
        <v>746.57882904304745</v>
      </c>
      <c r="T199" s="948">
        <f>(中国!S85+中国!S202)/1000</f>
        <v>746.57882904304745</v>
      </c>
      <c r="U199" s="975"/>
      <c r="V199" s="974"/>
    </row>
    <row r="200" spans="3:33" s="900" customFormat="1">
      <c r="C200" s="1"/>
      <c r="D200" s="18" t="s">
        <v>1064</v>
      </c>
      <c r="E200" s="922"/>
      <c r="F200" s="922"/>
      <c r="G200" s="922"/>
      <c r="H200" s="922"/>
      <c r="I200" s="948">
        <f>美国!H13/1000</f>
        <v>18.417999999999999</v>
      </c>
      <c r="J200" s="948"/>
      <c r="K200" s="948">
        <f>美国!J13/1000</f>
        <v>27.209</v>
      </c>
      <c r="L200" s="948">
        <f>美国!K13/1000</f>
        <v>21.562000000000001</v>
      </c>
      <c r="M200" s="948">
        <f>美国!L13/1000</f>
        <v>25.004720762878343</v>
      </c>
      <c r="N200" s="948">
        <f>美国!M13/1000</f>
        <v>12.281111677268623</v>
      </c>
      <c r="O200" s="948">
        <f>美国!N13/1000</f>
        <v>22.818512101589548</v>
      </c>
      <c r="P200" s="948">
        <f>美国!O13/1000</f>
        <v>24.565211706280358</v>
      </c>
      <c r="Q200" s="948">
        <f>美国!P13/1000</f>
        <v>25.9658164275457</v>
      </c>
      <c r="R200" s="948">
        <f>美国!Q13/1000</f>
        <v>27.091814323307108</v>
      </c>
      <c r="S200" s="948">
        <f>美国!R13/1000</f>
        <v>28.287395772759403</v>
      </c>
      <c r="T200" s="948">
        <f>美国!S13/1000</f>
        <v>29.560295085511417</v>
      </c>
      <c r="U200" s="976"/>
      <c r="V200" s="977"/>
      <c r="W200" s="948"/>
      <c r="X200" s="948"/>
      <c r="Y200" s="948"/>
      <c r="Z200" s="948"/>
      <c r="AA200" s="948"/>
      <c r="AB200" s="948"/>
      <c r="AC200" s="948"/>
      <c r="AD200" s="948"/>
      <c r="AE200" s="948"/>
      <c r="AF200" s="948"/>
    </row>
    <row r="201" spans="3:33" s="900" customFormat="1">
      <c r="C201" s="1"/>
      <c r="D201" s="1" t="s">
        <v>971</v>
      </c>
      <c r="E201" s="922"/>
      <c r="F201" s="922"/>
      <c r="G201" s="922"/>
      <c r="H201" s="922"/>
      <c r="I201" s="1433">
        <v>1</v>
      </c>
      <c r="J201" s="1433">
        <v>1</v>
      </c>
      <c r="K201" s="1433">
        <v>1</v>
      </c>
      <c r="L201" s="1433">
        <v>1</v>
      </c>
      <c r="M201" s="1433">
        <v>1</v>
      </c>
      <c r="N201" s="1433">
        <v>1</v>
      </c>
      <c r="O201" s="965">
        <v>1</v>
      </c>
      <c r="P201" s="965">
        <v>1</v>
      </c>
      <c r="Q201" s="965">
        <v>1</v>
      </c>
      <c r="R201" s="965">
        <v>1</v>
      </c>
      <c r="S201" s="965">
        <v>1</v>
      </c>
      <c r="T201" s="971">
        <v>1</v>
      </c>
      <c r="U201" s="975"/>
      <c r="V201" s="978"/>
    </row>
    <row r="202" spans="3:33" s="900" customFormat="1">
      <c r="C202" s="1"/>
      <c r="D202" s="1" t="s">
        <v>973</v>
      </c>
      <c r="E202" s="922"/>
      <c r="F202" s="922"/>
      <c r="G202" s="922"/>
      <c r="H202" s="922"/>
      <c r="O202" s="931">
        <f>O203/集团!N$9</f>
        <v>0</v>
      </c>
      <c r="P202" s="1012">
        <f>P203/集团!O$9</f>
        <v>0</v>
      </c>
      <c r="Q202" s="931">
        <f>Q203/集团!P$9</f>
        <v>0</v>
      </c>
      <c r="R202" s="931">
        <f>R203/集团!Q$9</f>
        <v>0</v>
      </c>
      <c r="S202" s="931">
        <f>S203/集团!R$9</f>
        <v>0</v>
      </c>
      <c r="T202" s="931">
        <f>T203/集团!S$9</f>
        <v>0</v>
      </c>
      <c r="U202" s="979"/>
      <c r="V202" s="978"/>
    </row>
    <row r="203" spans="3:33" s="900" customFormat="1">
      <c r="C203" s="1"/>
      <c r="D203" s="1" t="s">
        <v>974</v>
      </c>
      <c r="E203" s="922"/>
      <c r="F203" s="922"/>
      <c r="G203" s="922"/>
      <c r="H203" s="922"/>
      <c r="O203" s="967"/>
      <c r="P203" s="1012">
        <f>P204*P194*10000/1000</f>
        <v>0</v>
      </c>
      <c r="Q203" s="931">
        <f>Q204*Q194*10000/1000</f>
        <v>0</v>
      </c>
      <c r="R203" s="931">
        <f>R204*R194*10000/1000</f>
        <v>0</v>
      </c>
      <c r="S203" s="931">
        <f>S204*S194*10000/1000</f>
        <v>0</v>
      </c>
      <c r="T203" s="931">
        <f>T204*T194*10000/1000</f>
        <v>0</v>
      </c>
      <c r="U203" s="979"/>
      <c r="V203" s="978"/>
    </row>
    <row r="204" spans="3:33" s="900" customFormat="1">
      <c r="C204" s="1"/>
      <c r="D204" s="1" t="s">
        <v>972</v>
      </c>
      <c r="E204" s="922"/>
      <c r="F204" s="922"/>
      <c r="G204" s="922"/>
      <c r="H204" s="922"/>
      <c r="M204" s="966"/>
      <c r="N204" s="950"/>
      <c r="O204" s="969">
        <v>0</v>
      </c>
      <c r="P204" s="951">
        <f t="shared" ref="P204" si="182">O204</f>
        <v>0</v>
      </c>
      <c r="Q204" s="951">
        <f t="shared" ref="Q204" si="183">P204</f>
        <v>0</v>
      </c>
      <c r="R204" s="951">
        <f t="shared" ref="R204" si="184">Q204</f>
        <v>0</v>
      </c>
      <c r="S204" s="951">
        <f t="shared" ref="S204" si="185">R204</f>
        <v>0</v>
      </c>
      <c r="T204" s="951">
        <f t="shared" ref="T204" si="186">S204</f>
        <v>0</v>
      </c>
      <c r="U204" s="980"/>
      <c r="V204" s="978"/>
    </row>
    <row r="205" spans="3:33" s="900" customFormat="1">
      <c r="C205" s="1"/>
      <c r="D205" s="349"/>
      <c r="E205" s="922"/>
      <c r="F205" s="922"/>
      <c r="G205" s="922"/>
      <c r="H205" s="922"/>
      <c r="O205" s="1118"/>
    </row>
    <row r="206" spans="3:33" s="900" customFormat="1">
      <c r="C206" s="1"/>
      <c r="D206" s="349" t="s">
        <v>844</v>
      </c>
      <c r="E206" s="922"/>
      <c r="F206" s="922"/>
      <c r="G206" s="922"/>
      <c r="H206" s="1432">
        <f>(N211*N215+N213)/N214</f>
        <v>188.32857159167648</v>
      </c>
    </row>
    <row r="207" spans="3:33" s="900" customFormat="1">
      <c r="C207" s="1"/>
      <c r="D207" s="1" t="s">
        <v>965</v>
      </c>
      <c r="E207" s="922"/>
      <c r="F207" s="922"/>
      <c r="G207" s="922"/>
      <c r="H207" s="922"/>
      <c r="I207" s="968">
        <v>23300</v>
      </c>
      <c r="J207" s="968">
        <v>23300</v>
      </c>
      <c r="K207" s="968">
        <v>23300</v>
      </c>
      <c r="L207" s="968">
        <v>23300</v>
      </c>
      <c r="M207" s="968">
        <v>23300</v>
      </c>
      <c r="N207" s="945">
        <f>M209/12*7</f>
        <v>13591.666666666668</v>
      </c>
      <c r="O207" s="945">
        <f>M209</f>
        <v>23300</v>
      </c>
      <c r="P207" s="945">
        <f t="shared" ref="P207" si="187">O209</f>
        <v>23300</v>
      </c>
      <c r="Q207" s="945">
        <f t="shared" ref="Q207" si="188">P209</f>
        <v>23300</v>
      </c>
      <c r="R207" s="945">
        <f t="shared" ref="R207" si="189">Q209</f>
        <v>23300</v>
      </c>
      <c r="S207" s="945">
        <f t="shared" ref="S207" si="190">R209</f>
        <v>23300</v>
      </c>
      <c r="T207" s="945">
        <f t="shared" ref="T207" si="191">S209</f>
        <v>23300</v>
      </c>
    </row>
    <row r="208" spans="3:33" s="900" customFormat="1">
      <c r="C208" s="1"/>
      <c r="D208" s="1" t="s">
        <v>966</v>
      </c>
      <c r="E208" s="922"/>
      <c r="F208" s="922"/>
      <c r="G208" s="922"/>
      <c r="H208" s="922"/>
      <c r="O208" s="981">
        <v>0</v>
      </c>
      <c r="P208" s="981">
        <v>0</v>
      </c>
      <c r="Q208" s="981">
        <v>0</v>
      </c>
      <c r="R208" s="981">
        <v>0</v>
      </c>
      <c r="S208" s="981">
        <v>0</v>
      </c>
      <c r="T208" s="981">
        <v>0</v>
      </c>
      <c r="AG208" s="904"/>
    </row>
    <row r="209" spans="3:32" s="932" customFormat="1">
      <c r="C209" s="18"/>
      <c r="D209" s="18" t="s">
        <v>967</v>
      </c>
      <c r="E209" s="935"/>
      <c r="F209" s="935"/>
      <c r="G209" s="935"/>
      <c r="H209" s="935"/>
      <c r="I209" s="941">
        <f t="shared" ref="I209" si="192">SUM(I207:I208)</f>
        <v>23300</v>
      </c>
      <c r="J209" s="941">
        <f t="shared" ref="J209:O209" si="193">SUM(J207:J208)</f>
        <v>23300</v>
      </c>
      <c r="K209" s="941">
        <f t="shared" si="193"/>
        <v>23300</v>
      </c>
      <c r="L209" s="941">
        <f t="shared" si="193"/>
        <v>23300</v>
      </c>
      <c r="M209" s="941">
        <f t="shared" si="193"/>
        <v>23300</v>
      </c>
      <c r="N209" s="941">
        <f t="shared" si="193"/>
        <v>13591.666666666668</v>
      </c>
      <c r="O209" s="941">
        <f t="shared" si="193"/>
        <v>23300</v>
      </c>
      <c r="P209" s="941">
        <f>SUM(P207:P208)</f>
        <v>23300</v>
      </c>
      <c r="Q209" s="941">
        <f t="shared" ref="Q209:T209" si="194">SUM(Q207:Q208)</f>
        <v>23300</v>
      </c>
      <c r="R209" s="941">
        <f t="shared" si="194"/>
        <v>23300</v>
      </c>
      <c r="S209" s="941">
        <f t="shared" si="194"/>
        <v>23300</v>
      </c>
      <c r="T209" s="941">
        <f t="shared" si="194"/>
        <v>23300</v>
      </c>
    </row>
    <row r="210" spans="3:32" s="982" customFormat="1">
      <c r="C210" s="885"/>
      <c r="D210" s="206"/>
      <c r="E210" s="982" t="s">
        <v>475</v>
      </c>
      <c r="I210" s="983">
        <f t="shared" ref="I210:T210" si="195">IF(I209&gt;I211,0,I211-I209)</f>
        <v>0</v>
      </c>
      <c r="J210" s="983">
        <f t="shared" si="195"/>
        <v>0</v>
      </c>
      <c r="K210" s="983">
        <f t="shared" si="195"/>
        <v>0</v>
      </c>
      <c r="L210" s="983">
        <f t="shared" si="195"/>
        <v>0</v>
      </c>
      <c r="M210" s="983">
        <f t="shared" si="195"/>
        <v>0</v>
      </c>
      <c r="N210" s="983">
        <f t="shared" si="195"/>
        <v>0</v>
      </c>
      <c r="O210" s="983">
        <f>IF(O209&gt;O211,0,O211-O209)</f>
        <v>0</v>
      </c>
      <c r="P210" s="983">
        <f t="shared" si="195"/>
        <v>0</v>
      </c>
      <c r="Q210" s="983">
        <f t="shared" si="195"/>
        <v>0</v>
      </c>
      <c r="R210" s="983">
        <f t="shared" si="195"/>
        <v>0</v>
      </c>
      <c r="S210" s="983">
        <f t="shared" si="195"/>
        <v>0</v>
      </c>
      <c r="T210" s="983">
        <f t="shared" si="195"/>
        <v>0</v>
      </c>
    </row>
    <row r="211" spans="3:32" s="932" customFormat="1">
      <c r="C211" s="18"/>
      <c r="D211" s="18" t="s">
        <v>968</v>
      </c>
      <c r="E211" s="935"/>
      <c r="F211" s="935"/>
      <c r="G211" s="935"/>
      <c r="H211" s="935"/>
      <c r="I211" s="1111"/>
      <c r="J211" s="1111"/>
      <c r="K211" s="1111"/>
      <c r="L211" s="1111"/>
      <c r="M211" s="1111"/>
      <c r="N211" s="1112">
        <f>N209*N212</f>
        <v>4621.166666666667</v>
      </c>
      <c r="O211" s="941">
        <f>(O214*$H$206-O213)/O215</f>
        <v>9242.2962005365116</v>
      </c>
      <c r="P211" s="941">
        <f t="shared" ref="P211:T211" si="196">(P214*$H$206-P213)/P215</f>
        <v>11973.612761554527</v>
      </c>
      <c r="Q211" s="941">
        <f t="shared" si="196"/>
        <v>13929.424471781214</v>
      </c>
      <c r="R211" s="941">
        <f t="shared" si="196"/>
        <v>15183.602294428982</v>
      </c>
      <c r="S211" s="941">
        <f t="shared" si="196"/>
        <v>16434.391826093881</v>
      </c>
      <c r="T211" s="941">
        <f t="shared" si="196"/>
        <v>17741.181014675727</v>
      </c>
      <c r="U211" s="973"/>
      <c r="V211" s="974"/>
    </row>
    <row r="212" spans="3:32" s="932" customFormat="1">
      <c r="C212" s="18"/>
      <c r="D212" s="1" t="s">
        <v>969</v>
      </c>
      <c r="E212" s="935"/>
      <c r="F212" s="935"/>
      <c r="G212" s="935"/>
      <c r="H212" s="935"/>
      <c r="I212" s="1114"/>
      <c r="J212" s="1114"/>
      <c r="K212" s="1114"/>
      <c r="L212" s="1114"/>
      <c r="M212" s="1114"/>
      <c r="N212" s="1110">
        <v>0.34</v>
      </c>
      <c r="O212" s="947">
        <f t="shared" ref="O212:T212" si="197">O211/O209</f>
        <v>0.39666507298439962</v>
      </c>
      <c r="P212" s="947">
        <f t="shared" si="197"/>
        <v>0.51388895972337023</v>
      </c>
      <c r="Q212" s="947">
        <f t="shared" si="197"/>
        <v>0.59782937647129675</v>
      </c>
      <c r="R212" s="947">
        <f t="shared" si="197"/>
        <v>0.65165675083386188</v>
      </c>
      <c r="S212" s="947">
        <f t="shared" si="197"/>
        <v>0.70533870498257001</v>
      </c>
      <c r="T212" s="947">
        <f t="shared" si="197"/>
        <v>0.76142407788307842</v>
      </c>
      <c r="U212" s="975"/>
      <c r="V212" s="974"/>
    </row>
    <row r="213" spans="3:32" s="932" customFormat="1">
      <c r="C213" s="18"/>
      <c r="D213" s="18" t="s">
        <v>980</v>
      </c>
      <c r="E213" s="935"/>
      <c r="F213" s="935"/>
      <c r="G213" s="935"/>
      <c r="H213" s="935"/>
      <c r="I213" s="948">
        <f>(中国!H203+中国!H86)/1000</f>
        <v>5867.0312800000002</v>
      </c>
      <c r="J213" s="948">
        <f>(中国!I203+中国!I86)/1000</f>
        <v>4854.1105989999924</v>
      </c>
      <c r="K213" s="948">
        <f>(中国!J203+中国!J86)/1000</f>
        <v>4823.0738600000013</v>
      </c>
      <c r="L213" s="948">
        <f>(中国!K203+中国!K86)/1000</f>
        <v>7099.2979999999998</v>
      </c>
      <c r="M213" s="948">
        <f>(中国!L203+中国!L86)/1000</f>
        <v>8780.1890950456109</v>
      </c>
      <c r="N213" s="948">
        <f>(中国!M203+中国!M86)/1000</f>
        <v>4366.2228254968359</v>
      </c>
      <c r="O213" s="948">
        <f>(中国!N203+中国!N86)/1000</f>
        <v>6967.2558860182426</v>
      </c>
      <c r="P213" s="948">
        <f>(中国!O203+中国!O86)/1000</f>
        <v>5568.1151698127696</v>
      </c>
      <c r="Q213" s="948">
        <f>(中国!P203+中国!P86)/1000</f>
        <v>5009.3123141808546</v>
      </c>
      <c r="R213" s="948">
        <f>(中国!Q203+中国!Q86)/1000</f>
        <v>4709.0921029006113</v>
      </c>
      <c r="S213" s="948">
        <f>(中国!R203+中国!R86)/1000</f>
        <v>4475.2455037159716</v>
      </c>
      <c r="T213" s="948">
        <f>(中国!S203+中国!S86)/1000</f>
        <v>4253.0912344905628</v>
      </c>
      <c r="U213" s="975"/>
      <c r="V213" s="974"/>
    </row>
    <row r="214" spans="3:32" s="900" customFormat="1">
      <c r="C214" s="1"/>
      <c r="D214" s="18" t="s">
        <v>1065</v>
      </c>
      <c r="E214" s="922"/>
      <c r="F214" s="922"/>
      <c r="G214" s="922"/>
      <c r="H214" s="922"/>
      <c r="I214" s="948">
        <f>美国!H14/1000</f>
        <v>57.082999999999998</v>
      </c>
      <c r="J214" s="948">
        <f>美国!I14/1000</f>
        <v>0</v>
      </c>
      <c r="K214" s="948">
        <f>美国!J14/1000</f>
        <v>73.168000000000006</v>
      </c>
      <c r="L214" s="948">
        <f>美国!K14/1000</f>
        <v>72.647000000000006</v>
      </c>
      <c r="M214" s="948">
        <f>美国!L14/1000</f>
        <v>87.244413066585722</v>
      </c>
      <c r="N214" s="948">
        <f>美国!M14/1000</f>
        <v>47.721858750404913</v>
      </c>
      <c r="O214" s="948">
        <f>美国!N14/1000</f>
        <v>86.070594331801146</v>
      </c>
      <c r="P214" s="948">
        <f>美国!O14/1000</f>
        <v>93.14427324070769</v>
      </c>
      <c r="Q214" s="948">
        <f>美国!P14/1000</f>
        <v>100.56220692324892</v>
      </c>
      <c r="R214" s="948">
        <f>美国!Q14/1000</f>
        <v>105.62759664773451</v>
      </c>
      <c r="S214" s="948">
        <f>美国!R14/1000</f>
        <v>111.02743016149967</v>
      </c>
      <c r="T214" s="948">
        <f>美国!S14/1000</f>
        <v>116.78669924207276</v>
      </c>
      <c r="U214" s="976"/>
      <c r="V214" s="977"/>
      <c r="W214" s="948"/>
      <c r="X214" s="948"/>
      <c r="Y214" s="948"/>
      <c r="Z214" s="948"/>
      <c r="AA214" s="948"/>
      <c r="AB214" s="948"/>
      <c r="AC214" s="948"/>
      <c r="AD214" s="948"/>
      <c r="AE214" s="948"/>
      <c r="AF214" s="948"/>
    </row>
    <row r="215" spans="3:32" s="900" customFormat="1">
      <c r="C215" s="1"/>
      <c r="D215" s="1" t="s">
        <v>971</v>
      </c>
      <c r="E215" s="922"/>
      <c r="F215" s="922"/>
      <c r="G215" s="922"/>
      <c r="H215" s="922"/>
      <c r="I215" s="1433">
        <v>1</v>
      </c>
      <c r="J215" s="1433">
        <v>1</v>
      </c>
      <c r="K215" s="1433">
        <v>1</v>
      </c>
      <c r="L215" s="1433">
        <v>1</v>
      </c>
      <c r="M215" s="1433">
        <v>1</v>
      </c>
      <c r="N215" s="1433">
        <v>1</v>
      </c>
      <c r="O215" s="965">
        <v>1</v>
      </c>
      <c r="P215" s="965">
        <v>1</v>
      </c>
      <c r="Q215" s="965">
        <v>1</v>
      </c>
      <c r="R215" s="965">
        <v>1</v>
      </c>
      <c r="S215" s="965">
        <v>1</v>
      </c>
      <c r="T215" s="965">
        <v>1</v>
      </c>
      <c r="U215" s="975"/>
      <c r="V215" s="978"/>
    </row>
    <row r="216" spans="3:32" s="900" customFormat="1">
      <c r="C216" s="1"/>
      <c r="D216" s="1" t="s">
        <v>973</v>
      </c>
      <c r="E216" s="922"/>
      <c r="F216" s="922"/>
      <c r="G216" s="922"/>
      <c r="H216" s="922"/>
      <c r="O216" s="931">
        <f>O217/集团!N$9</f>
        <v>0</v>
      </c>
      <c r="P216" s="1012">
        <f>P217/集团!O$9</f>
        <v>0</v>
      </c>
      <c r="Q216" s="931">
        <f>Q217/集团!P$9</f>
        <v>0</v>
      </c>
      <c r="R216" s="931">
        <f>R217/集团!Q$9</f>
        <v>0</v>
      </c>
      <c r="S216" s="931">
        <f>S217/集团!R$9</f>
        <v>0</v>
      </c>
      <c r="T216" s="931">
        <f>T217/集团!S$9</f>
        <v>0</v>
      </c>
      <c r="U216" s="979"/>
      <c r="V216" s="978"/>
    </row>
    <row r="217" spans="3:32" s="900" customFormat="1">
      <c r="C217" s="1"/>
      <c r="D217" s="1" t="s">
        <v>974</v>
      </c>
      <c r="E217" s="922"/>
      <c r="F217" s="922"/>
      <c r="G217" s="922"/>
      <c r="H217" s="922"/>
      <c r="O217" s="967"/>
      <c r="P217" s="1012">
        <f>P218*P208*10000/1000</f>
        <v>0</v>
      </c>
      <c r="Q217" s="931">
        <f>Q218*Q208*10000/1000</f>
        <v>0</v>
      </c>
      <c r="R217" s="931">
        <f>R218*R208*10000/1000</f>
        <v>0</v>
      </c>
      <c r="S217" s="931">
        <f>S218*S208*10000/1000</f>
        <v>0</v>
      </c>
      <c r="T217" s="931">
        <f>T218*T208*10000/1000</f>
        <v>0</v>
      </c>
      <c r="U217" s="979"/>
      <c r="V217" s="978"/>
    </row>
    <row r="218" spans="3:32" s="900" customFormat="1">
      <c r="C218" s="1"/>
      <c r="D218" s="1" t="s">
        <v>972</v>
      </c>
      <c r="E218" s="922"/>
      <c r="F218" s="922"/>
      <c r="G218" s="922"/>
      <c r="H218" s="922"/>
      <c r="M218" s="966"/>
      <c r="N218" s="950"/>
      <c r="O218" s="969">
        <v>0</v>
      </c>
      <c r="P218" s="951">
        <f t="shared" ref="P218" si="198">O218</f>
        <v>0</v>
      </c>
      <c r="Q218" s="951">
        <f t="shared" ref="Q218" si="199">P218</f>
        <v>0</v>
      </c>
      <c r="R218" s="951">
        <f t="shared" ref="R218" si="200">Q218</f>
        <v>0</v>
      </c>
      <c r="S218" s="951">
        <f t="shared" ref="S218" si="201">R218</f>
        <v>0</v>
      </c>
      <c r="T218" s="951">
        <f t="shared" ref="T218" si="202">S218</f>
        <v>0</v>
      </c>
      <c r="U218" s="980"/>
      <c r="V218" s="978"/>
    </row>
    <row r="219" spans="3:32" s="900" customFormat="1">
      <c r="C219" s="1"/>
      <c r="D219" s="349"/>
      <c r="E219" s="922"/>
      <c r="F219" s="922"/>
      <c r="G219" s="922"/>
      <c r="H219" s="922"/>
      <c r="O219" s="1118"/>
    </row>
    <row r="220" spans="3:32" s="900" customFormat="1">
      <c r="C220" s="1"/>
      <c r="D220" s="349" t="s">
        <v>1180</v>
      </c>
      <c r="E220" s="922"/>
      <c r="F220" s="922"/>
      <c r="G220" s="922"/>
      <c r="H220" s="922"/>
    </row>
    <row r="221" spans="3:32" s="900" customFormat="1">
      <c r="C221" s="1"/>
      <c r="D221" s="1" t="s">
        <v>1181</v>
      </c>
      <c r="E221" s="922"/>
      <c r="F221" s="922"/>
      <c r="G221" s="922"/>
      <c r="H221" s="922"/>
      <c r="P221" s="951">
        <f>90440/3/集团!O9</f>
        <v>4205.2011698679953</v>
      </c>
      <c r="Q221" s="951">
        <f>P221</f>
        <v>4205.2011698679953</v>
      </c>
      <c r="R221" s="951">
        <f>Q221</f>
        <v>4205.2011698679953</v>
      </c>
      <c r="S221" s="951"/>
      <c r="T221" s="951"/>
    </row>
    <row r="222" spans="3:32" s="900" customFormat="1">
      <c r="C222" s="1"/>
      <c r="D222" s="349"/>
      <c r="E222" s="922"/>
      <c r="F222" s="922"/>
      <c r="G222" s="922"/>
      <c r="H222" s="922"/>
    </row>
    <row r="223" spans="3:32" s="900" customFormat="1">
      <c r="C223" s="1"/>
      <c r="D223" s="349"/>
      <c r="E223" s="922"/>
      <c r="F223" s="922"/>
      <c r="G223" s="922"/>
      <c r="H223" s="922"/>
    </row>
    <row r="224" spans="3:32" s="900" customFormat="1">
      <c r="C224" s="1"/>
      <c r="D224" s="1"/>
      <c r="E224" s="922"/>
      <c r="F224" s="922"/>
      <c r="G224" s="922"/>
      <c r="H224" s="922"/>
    </row>
    <row r="225" spans="2:33" s="900" customFormat="1">
      <c r="B225" s="927" t="s">
        <v>879</v>
      </c>
      <c r="C225" s="928" t="s">
        <v>945</v>
      </c>
      <c r="D225" s="952"/>
      <c r="E225" s="953"/>
      <c r="F225" s="953"/>
      <c r="G225" s="953"/>
      <c r="H225" s="953"/>
      <c r="I225" s="930"/>
      <c r="J225" s="930"/>
      <c r="K225" s="930"/>
      <c r="L225" s="930"/>
      <c r="M225" s="930"/>
      <c r="N225" s="930"/>
      <c r="O225" s="930"/>
      <c r="P225" s="930"/>
      <c r="Q225" s="930"/>
      <c r="R225" s="930"/>
      <c r="S225" s="930"/>
      <c r="T225" s="930"/>
    </row>
    <row r="226" spans="2:33" s="900" customFormat="1">
      <c r="C226" s="1"/>
      <c r="D226" s="1"/>
      <c r="E226" s="922"/>
      <c r="F226" s="922"/>
      <c r="G226" s="922"/>
      <c r="H226" s="922"/>
    </row>
    <row r="227" spans="2:33" s="932" customFormat="1">
      <c r="C227" s="349"/>
      <c r="D227" s="18" t="s">
        <v>1112</v>
      </c>
      <c r="E227" s="935"/>
      <c r="F227" s="935"/>
      <c r="G227" s="935"/>
      <c r="H227" s="935"/>
      <c r="I227" s="936">
        <f t="shared" ref="I227:S227" si="203">SUM(I229,I234)</f>
        <v>161.90150630017095</v>
      </c>
      <c r="J227" s="936">
        <f t="shared" si="203"/>
        <v>5356.4667059285521</v>
      </c>
      <c r="K227" s="936">
        <f t="shared" si="203"/>
        <v>4572.5659484292491</v>
      </c>
      <c r="L227" s="936"/>
      <c r="M227" s="936">
        <f t="shared" si="203"/>
        <v>3225.2904985192822</v>
      </c>
      <c r="N227" s="936"/>
      <c r="O227" s="936">
        <f t="shared" si="203"/>
        <v>3372</v>
      </c>
      <c r="P227" s="936">
        <f>SUM(P229,P234)</f>
        <v>3372</v>
      </c>
      <c r="Q227" s="936">
        <f t="shared" si="203"/>
        <v>3372</v>
      </c>
      <c r="R227" s="936">
        <f t="shared" si="203"/>
        <v>6372</v>
      </c>
      <c r="S227" s="936">
        <f t="shared" si="203"/>
        <v>6372</v>
      </c>
      <c r="T227" s="936">
        <f t="shared" ref="T227" si="204">SUM(T229,T234)</f>
        <v>3372</v>
      </c>
      <c r="AG227" s="904"/>
    </row>
    <row r="228" spans="2:33" s="900" customFormat="1">
      <c r="C228" s="1"/>
      <c r="D228" s="1"/>
      <c r="E228" s="922"/>
      <c r="F228" s="922"/>
      <c r="G228" s="922"/>
      <c r="H228" s="922"/>
    </row>
    <row r="229" spans="2:33" s="932" customFormat="1">
      <c r="C229" s="18"/>
      <c r="D229" s="18" t="s">
        <v>1108</v>
      </c>
      <c r="E229" s="935"/>
      <c r="F229" s="935"/>
      <c r="G229" s="935"/>
      <c r="H229" s="935"/>
      <c r="I229" s="1426">
        <v>157.51164704016813</v>
      </c>
      <c r="J229" s="1426">
        <v>1575.2458875025125</v>
      </c>
      <c r="K229" s="1426">
        <v>2048.46253360331</v>
      </c>
      <c r="L229" s="1426"/>
      <c r="M229" s="1426">
        <v>753.16159415235688</v>
      </c>
      <c r="N229" s="1426"/>
      <c r="O229" s="936">
        <f>SUM(O230:O232)</f>
        <v>3372</v>
      </c>
      <c r="P229" s="1425">
        <f>O229</f>
        <v>3372</v>
      </c>
      <c r="Q229" s="1425">
        <f>P229</f>
        <v>3372</v>
      </c>
      <c r="R229" s="1425">
        <f>Q229</f>
        <v>3372</v>
      </c>
      <c r="S229" s="1425">
        <f>R229</f>
        <v>3372</v>
      </c>
      <c r="T229" s="1425">
        <f>S229</f>
        <v>3372</v>
      </c>
    </row>
    <row r="230" spans="2:33" s="932" customFormat="1">
      <c r="C230" s="18"/>
      <c r="D230" s="18"/>
      <c r="E230" s="922" t="s">
        <v>880</v>
      </c>
      <c r="F230" s="935"/>
      <c r="G230" s="935"/>
      <c r="H230" s="922" t="s">
        <v>946</v>
      </c>
      <c r="I230" s="1434"/>
      <c r="J230" s="1434"/>
      <c r="K230" s="1434"/>
      <c r="L230" s="1434"/>
      <c r="M230" s="1434"/>
      <c r="N230" s="1434"/>
      <c r="O230" s="1255">
        <v>1765</v>
      </c>
      <c r="P230" s="1428"/>
      <c r="Q230" s="1428"/>
      <c r="R230" s="1428"/>
      <c r="S230" s="1428"/>
      <c r="T230" s="1428"/>
    </row>
    <row r="231" spans="2:33" s="932" customFormat="1">
      <c r="C231" s="18"/>
      <c r="D231" s="18"/>
      <c r="E231" s="922" t="s">
        <v>882</v>
      </c>
      <c r="F231" s="935"/>
      <c r="G231" s="935"/>
      <c r="H231" s="922" t="s">
        <v>947</v>
      </c>
      <c r="I231" s="1434"/>
      <c r="J231" s="1434"/>
      <c r="K231" s="1434"/>
      <c r="L231" s="1434"/>
      <c r="M231" s="1434"/>
      <c r="N231" s="1434"/>
      <c r="O231" s="1255">
        <v>626</v>
      </c>
      <c r="P231" s="1428"/>
      <c r="Q231" s="1428"/>
      <c r="R231" s="1428"/>
      <c r="S231" s="1428"/>
      <c r="T231" s="1428"/>
    </row>
    <row r="232" spans="2:33" s="932" customFormat="1">
      <c r="C232" s="18"/>
      <c r="D232" s="18"/>
      <c r="E232" s="922" t="s">
        <v>884</v>
      </c>
      <c r="F232" s="935"/>
      <c r="G232" s="935"/>
      <c r="H232" s="922" t="s">
        <v>939</v>
      </c>
      <c r="I232" s="1434"/>
      <c r="J232" s="1434"/>
      <c r="K232" s="1434"/>
      <c r="L232" s="1434"/>
      <c r="M232" s="1434"/>
      <c r="N232" s="1434"/>
      <c r="O232" s="1255">
        <v>981</v>
      </c>
      <c r="P232" s="1428"/>
      <c r="Q232" s="1428"/>
      <c r="R232" s="1428"/>
      <c r="S232" s="1428"/>
      <c r="T232" s="1428"/>
    </row>
    <row r="233" spans="2:33" s="932" customFormat="1">
      <c r="C233" s="18"/>
      <c r="D233" s="18"/>
      <c r="E233" s="922"/>
      <c r="F233" s="935"/>
      <c r="G233" s="935"/>
      <c r="H233" s="935"/>
      <c r="I233" s="1435"/>
      <c r="J233" s="1435"/>
      <c r="K233" s="1435"/>
      <c r="L233" s="1435"/>
      <c r="M233" s="1435"/>
      <c r="N233" s="1435"/>
      <c r="O233" s="1435"/>
    </row>
    <row r="234" spans="2:33" s="932" customFormat="1">
      <c r="C234" s="18"/>
      <c r="D234" s="18" t="s">
        <v>1110</v>
      </c>
      <c r="E234" s="935"/>
      <c r="F234" s="935"/>
      <c r="G234" s="935"/>
      <c r="H234" s="935"/>
      <c r="I234" s="1426">
        <v>4.3898592600028232</v>
      </c>
      <c r="J234" s="1426">
        <v>3781.2208184260398</v>
      </c>
      <c r="K234" s="1426">
        <v>2524.1034148259391</v>
      </c>
      <c r="L234" s="1426"/>
      <c r="M234" s="1426">
        <v>2472.1289043669253</v>
      </c>
      <c r="N234" s="1426"/>
      <c r="O234" s="1437">
        <v>0</v>
      </c>
      <c r="P234" s="1437">
        <v>0</v>
      </c>
      <c r="Q234" s="1438">
        <v>0</v>
      </c>
      <c r="R234" s="1438">
        <v>3000</v>
      </c>
      <c r="S234" s="1438">
        <v>3000</v>
      </c>
      <c r="T234" s="1437">
        <v>0</v>
      </c>
      <c r="AG234" s="904"/>
    </row>
    <row r="235" spans="2:33" s="932" customFormat="1" hidden="1">
      <c r="C235" s="18"/>
      <c r="D235" s="18"/>
      <c r="E235" s="922" t="s">
        <v>880</v>
      </c>
      <c r="F235" s="935"/>
      <c r="G235" s="935"/>
      <c r="H235" s="922" t="s">
        <v>948</v>
      </c>
      <c r="I235" s="959"/>
      <c r="J235" s="959"/>
      <c r="K235" s="959"/>
      <c r="L235" s="959"/>
      <c r="M235" s="959"/>
      <c r="N235" s="959"/>
      <c r="O235" s="1436"/>
      <c r="P235" s="1436"/>
      <c r="Q235" s="1436"/>
      <c r="R235" s="1436"/>
      <c r="S235" s="1436"/>
      <c r="T235" s="1436"/>
      <c r="AG235" s="904"/>
    </row>
    <row r="236" spans="2:33" s="932" customFormat="1" hidden="1">
      <c r="C236" s="18"/>
      <c r="D236" s="18"/>
      <c r="E236" s="922" t="s">
        <v>882</v>
      </c>
      <c r="F236" s="935"/>
      <c r="G236" s="935"/>
      <c r="H236" s="922" t="s">
        <v>949</v>
      </c>
      <c r="I236" s="959"/>
      <c r="J236" s="959"/>
      <c r="K236" s="959"/>
      <c r="L236" s="959"/>
      <c r="M236" s="959"/>
      <c r="N236" s="959"/>
      <c r="O236" s="1265"/>
      <c r="P236" s="1265"/>
      <c r="Q236" s="1265"/>
      <c r="R236" s="1265"/>
      <c r="S236" s="1265"/>
      <c r="T236" s="1265"/>
    </row>
    <row r="237" spans="2:33" s="932" customFormat="1">
      <c r="C237" s="18"/>
      <c r="D237" s="18"/>
      <c r="E237" s="935"/>
      <c r="F237" s="935"/>
      <c r="G237" s="935"/>
      <c r="H237" s="935"/>
    </row>
    <row r="238" spans="2:33" s="900" customFormat="1" hidden="1">
      <c r="C238" s="1"/>
      <c r="D238" s="349" t="s">
        <v>841</v>
      </c>
      <c r="E238" s="922"/>
      <c r="F238" s="922"/>
      <c r="G238" s="922"/>
      <c r="H238" s="922"/>
    </row>
    <row r="239" spans="2:33" s="900" customFormat="1" hidden="1">
      <c r="C239" s="1"/>
      <c r="D239" s="1" t="s">
        <v>1062</v>
      </c>
      <c r="E239" s="922"/>
      <c r="F239" s="922"/>
      <c r="G239" s="922"/>
      <c r="H239" s="922"/>
      <c r="I239" s="940"/>
      <c r="J239" s="940"/>
      <c r="K239" s="940"/>
      <c r="L239" s="940"/>
      <c r="M239" s="937">
        <v>88</v>
      </c>
      <c r="N239" s="937"/>
      <c r="O239" s="937">
        <f>M239</f>
        <v>88</v>
      </c>
      <c r="P239" s="937">
        <f>O239</f>
        <v>88</v>
      </c>
      <c r="Q239" s="937">
        <f>P239</f>
        <v>88</v>
      </c>
      <c r="R239" s="937">
        <f>Q239</f>
        <v>88</v>
      </c>
      <c r="S239" s="937">
        <f>R239</f>
        <v>88</v>
      </c>
      <c r="T239" s="937">
        <f>S239</f>
        <v>88</v>
      </c>
    </row>
    <row r="240" spans="2:33" s="900" customFormat="1" hidden="1">
      <c r="C240" s="1"/>
      <c r="D240" s="1" t="s">
        <v>1063</v>
      </c>
      <c r="E240" s="922"/>
      <c r="F240" s="922"/>
      <c r="G240" s="922"/>
      <c r="H240" s="922"/>
      <c r="I240" s="960"/>
      <c r="J240" s="960"/>
      <c r="K240" s="960"/>
      <c r="L240" s="960"/>
      <c r="M240" s="937"/>
      <c r="N240" s="937"/>
      <c r="O240" s="938">
        <v>0</v>
      </c>
      <c r="P240" s="938">
        <v>0</v>
      </c>
      <c r="Q240" s="938">
        <v>0</v>
      </c>
      <c r="R240" s="938">
        <v>0</v>
      </c>
      <c r="S240" s="938">
        <v>0</v>
      </c>
      <c r="T240" s="938">
        <v>0</v>
      </c>
    </row>
    <row r="241" spans="3:20" s="900" customFormat="1" hidden="1">
      <c r="C241" s="1"/>
      <c r="D241" s="18" t="s">
        <v>967</v>
      </c>
      <c r="E241" s="935"/>
      <c r="F241" s="935"/>
      <c r="G241" s="935"/>
      <c r="H241" s="935"/>
      <c r="I241" s="944">
        <f t="shared" ref="I241:S241" si="205">SUM(I239:I240)</f>
        <v>0</v>
      </c>
      <c r="J241" s="944">
        <f t="shared" si="205"/>
        <v>0</v>
      </c>
      <c r="K241" s="944">
        <f t="shared" si="205"/>
        <v>0</v>
      </c>
      <c r="L241" s="944"/>
      <c r="M241" s="941">
        <f t="shared" si="205"/>
        <v>88</v>
      </c>
      <c r="N241" s="941"/>
      <c r="O241" s="941">
        <f t="shared" si="205"/>
        <v>88</v>
      </c>
      <c r="P241" s="941">
        <f t="shared" si="205"/>
        <v>88</v>
      </c>
      <c r="Q241" s="941">
        <f t="shared" si="205"/>
        <v>88</v>
      </c>
      <c r="R241" s="941">
        <f t="shared" si="205"/>
        <v>88</v>
      </c>
      <c r="S241" s="941">
        <f t="shared" si="205"/>
        <v>88</v>
      </c>
      <c r="T241" s="941">
        <f t="shared" ref="T241" si="206">SUM(T239:T240)</f>
        <v>88</v>
      </c>
    </row>
    <row r="242" spans="3:20" s="900" customFormat="1" hidden="1">
      <c r="C242" s="1"/>
      <c r="D242" s="1" t="s">
        <v>969</v>
      </c>
      <c r="E242" s="922"/>
      <c r="F242" s="922"/>
      <c r="G242" s="922"/>
      <c r="H242" s="922"/>
      <c r="I242" s="942"/>
      <c r="J242" s="942"/>
      <c r="K242" s="942"/>
      <c r="L242" s="942"/>
      <c r="M242" s="943">
        <v>0.56999999999999995</v>
      </c>
      <c r="N242" s="943"/>
      <c r="O242" s="943">
        <v>0.68</v>
      </c>
    </row>
    <row r="243" spans="3:20" s="900" customFormat="1" hidden="1">
      <c r="C243" s="1"/>
      <c r="D243" s="1"/>
      <c r="E243" s="922"/>
      <c r="F243" s="922"/>
      <c r="G243" s="922"/>
      <c r="H243" s="922"/>
    </row>
    <row r="244" spans="3:20" s="900" customFormat="1" hidden="1">
      <c r="C244" s="1"/>
      <c r="D244" s="349" t="s">
        <v>842</v>
      </c>
      <c r="E244" s="922"/>
      <c r="F244" s="922"/>
      <c r="G244" s="922"/>
      <c r="H244" s="922"/>
    </row>
    <row r="245" spans="3:20" s="900" customFormat="1" hidden="1">
      <c r="C245" s="1"/>
      <c r="D245" s="1" t="s">
        <v>930</v>
      </c>
      <c r="E245" s="922"/>
      <c r="F245" s="922"/>
      <c r="G245" s="922"/>
      <c r="H245" s="922"/>
      <c r="I245" s="940"/>
      <c r="J245" s="940"/>
      <c r="K245" s="940"/>
      <c r="L245" s="940"/>
      <c r="M245" s="937"/>
      <c r="N245" s="937"/>
      <c r="O245" s="937"/>
      <c r="P245" s="937"/>
      <c r="Q245" s="937"/>
      <c r="R245" s="937"/>
      <c r="S245" s="937"/>
      <c r="T245" s="937"/>
    </row>
    <row r="246" spans="3:20" s="900" customFormat="1" hidden="1">
      <c r="C246" s="1"/>
      <c r="D246" s="1" t="s">
        <v>927</v>
      </c>
      <c r="E246" s="922"/>
      <c r="F246" s="922"/>
      <c r="G246" s="922"/>
      <c r="H246" s="922"/>
      <c r="I246" s="940"/>
      <c r="J246" s="940"/>
      <c r="K246" s="940"/>
      <c r="L246" s="940"/>
      <c r="M246" s="937"/>
      <c r="N246" s="937"/>
      <c r="O246" s="937"/>
      <c r="P246" s="937"/>
      <c r="Q246" s="937"/>
      <c r="R246" s="937"/>
      <c r="S246" s="937"/>
      <c r="T246" s="937"/>
    </row>
    <row r="247" spans="3:20" s="900" customFormat="1" hidden="1">
      <c r="C247" s="1"/>
      <c r="D247" s="18" t="s">
        <v>928</v>
      </c>
      <c r="E247" s="935"/>
      <c r="F247" s="935"/>
      <c r="G247" s="935"/>
      <c r="H247" s="935"/>
      <c r="I247" s="944">
        <f t="shared" ref="I247:S247" si="207">SUM(I245:I246)</f>
        <v>0</v>
      </c>
      <c r="J247" s="944">
        <f t="shared" si="207"/>
        <v>0</v>
      </c>
      <c r="K247" s="944">
        <f t="shared" si="207"/>
        <v>0</v>
      </c>
      <c r="L247" s="944"/>
      <c r="M247" s="944">
        <f t="shared" si="207"/>
        <v>0</v>
      </c>
      <c r="N247" s="944"/>
      <c r="O247" s="944">
        <f t="shared" si="207"/>
        <v>0</v>
      </c>
      <c r="P247" s="944">
        <f t="shared" si="207"/>
        <v>0</v>
      </c>
      <c r="Q247" s="944">
        <f t="shared" si="207"/>
        <v>0</v>
      </c>
      <c r="R247" s="944">
        <f t="shared" si="207"/>
        <v>0</v>
      </c>
      <c r="S247" s="944">
        <f t="shared" si="207"/>
        <v>0</v>
      </c>
      <c r="T247" s="944">
        <f t="shared" ref="T247" si="208">SUM(T245:T246)</f>
        <v>0</v>
      </c>
    </row>
    <row r="248" spans="3:20" s="900" customFormat="1" hidden="1">
      <c r="C248" s="1"/>
      <c r="D248" s="1" t="s">
        <v>929</v>
      </c>
      <c r="E248" s="922"/>
      <c r="F248" s="922"/>
      <c r="G248" s="922"/>
      <c r="H248" s="922"/>
      <c r="I248" s="942"/>
      <c r="J248" s="942"/>
      <c r="K248" s="942"/>
      <c r="L248" s="942"/>
      <c r="M248" s="943"/>
      <c r="N248" s="943"/>
      <c r="O248" s="943"/>
    </row>
    <row r="249" spans="3:20" s="900" customFormat="1" hidden="1">
      <c r="C249" s="1"/>
      <c r="D249" s="1"/>
      <c r="E249" s="922"/>
      <c r="F249" s="922"/>
      <c r="G249" s="922"/>
      <c r="H249" s="922"/>
    </row>
    <row r="250" spans="3:20" s="900" customFormat="1" hidden="1">
      <c r="C250" s="1"/>
      <c r="D250" s="349" t="s">
        <v>843</v>
      </c>
      <c r="E250" s="922"/>
      <c r="F250" s="922"/>
      <c r="G250" s="922"/>
      <c r="H250" s="922"/>
    </row>
    <row r="251" spans="3:20" s="900" customFormat="1" hidden="1">
      <c r="C251" s="1"/>
      <c r="D251" s="1" t="s">
        <v>931</v>
      </c>
      <c r="E251" s="922"/>
      <c r="F251" s="922"/>
      <c r="G251" s="922"/>
      <c r="H251" s="922"/>
      <c r="I251" s="940"/>
      <c r="J251" s="940"/>
      <c r="K251" s="940"/>
      <c r="L251" s="940"/>
      <c r="M251" s="937"/>
      <c r="N251" s="937"/>
      <c r="O251" s="937">
        <f>M251</f>
        <v>0</v>
      </c>
      <c r="P251" s="937">
        <f>O251</f>
        <v>0</v>
      </c>
      <c r="Q251" s="937">
        <f>P251</f>
        <v>0</v>
      </c>
      <c r="R251" s="937">
        <f>Q251</f>
        <v>0</v>
      </c>
      <c r="S251" s="937">
        <f>R251</f>
        <v>0</v>
      </c>
      <c r="T251" s="937">
        <f>S251</f>
        <v>0</v>
      </c>
    </row>
    <row r="252" spans="3:20" s="900" customFormat="1" hidden="1">
      <c r="C252" s="1"/>
      <c r="D252" s="1" t="s">
        <v>927</v>
      </c>
      <c r="E252" s="922"/>
      <c r="F252" s="922"/>
      <c r="G252" s="922"/>
      <c r="H252" s="922"/>
      <c r="I252" s="960"/>
      <c r="J252" s="960"/>
      <c r="K252" s="960"/>
      <c r="L252" s="960"/>
      <c r="M252" s="937"/>
      <c r="N252" s="937"/>
      <c r="O252" s="937"/>
      <c r="P252" s="937"/>
      <c r="Q252" s="937"/>
      <c r="R252" s="937"/>
      <c r="S252" s="937"/>
      <c r="T252" s="937"/>
    </row>
    <row r="253" spans="3:20" s="900" customFormat="1" hidden="1">
      <c r="C253" s="1"/>
      <c r="D253" s="18" t="s">
        <v>928</v>
      </c>
      <c r="E253" s="935"/>
      <c r="F253" s="935"/>
      <c r="G253" s="935"/>
      <c r="H253" s="935"/>
      <c r="I253" s="944">
        <f t="shared" ref="I253:S253" si="209">SUM(I251:I252)</f>
        <v>0</v>
      </c>
      <c r="J253" s="944">
        <f t="shared" si="209"/>
        <v>0</v>
      </c>
      <c r="K253" s="944">
        <f t="shared" si="209"/>
        <v>0</v>
      </c>
      <c r="L253" s="944"/>
      <c r="M253" s="944">
        <f t="shared" si="209"/>
        <v>0</v>
      </c>
      <c r="N253" s="944"/>
      <c r="O253" s="944">
        <f t="shared" si="209"/>
        <v>0</v>
      </c>
      <c r="P253" s="944">
        <f t="shared" si="209"/>
        <v>0</v>
      </c>
      <c r="Q253" s="944">
        <f t="shared" si="209"/>
        <v>0</v>
      </c>
      <c r="R253" s="944">
        <f t="shared" si="209"/>
        <v>0</v>
      </c>
      <c r="S253" s="944">
        <f t="shared" si="209"/>
        <v>0</v>
      </c>
      <c r="T253" s="944">
        <f t="shared" ref="T253" si="210">SUM(T251:T252)</f>
        <v>0</v>
      </c>
    </row>
    <row r="254" spans="3:20" s="900" customFormat="1" hidden="1">
      <c r="C254" s="1"/>
      <c r="D254" s="1" t="s">
        <v>929</v>
      </c>
      <c r="E254" s="922"/>
      <c r="F254" s="922"/>
      <c r="G254" s="922"/>
      <c r="H254" s="922"/>
      <c r="I254" s="942"/>
      <c r="J254" s="942"/>
      <c r="K254" s="942"/>
      <c r="L254" s="942"/>
      <c r="M254" s="943"/>
      <c r="N254" s="943"/>
      <c r="O254" s="943"/>
    </row>
    <row r="255" spans="3:20" s="900" customFormat="1" hidden="1">
      <c r="C255" s="1"/>
      <c r="D255" s="1"/>
      <c r="E255" s="922"/>
      <c r="F255" s="922"/>
      <c r="G255" s="922"/>
      <c r="H255" s="922"/>
    </row>
    <row r="256" spans="3:20" s="900" customFormat="1" hidden="1">
      <c r="C256" s="1"/>
      <c r="D256" s="349" t="s">
        <v>844</v>
      </c>
      <c r="E256" s="922"/>
      <c r="F256" s="922"/>
      <c r="G256" s="922"/>
      <c r="H256" s="922"/>
    </row>
    <row r="257" spans="2:33" s="900" customFormat="1" hidden="1">
      <c r="C257" s="1"/>
      <c r="D257" s="1" t="s">
        <v>1062</v>
      </c>
      <c r="E257" s="922"/>
      <c r="F257" s="922"/>
      <c r="G257" s="922"/>
      <c r="H257" s="922"/>
      <c r="I257" s="940"/>
      <c r="J257" s="940"/>
      <c r="K257" s="940"/>
      <c r="L257" s="940"/>
      <c r="M257" s="937">
        <v>4900</v>
      </c>
      <c r="N257" s="937"/>
      <c r="O257" s="937">
        <f>M257</f>
        <v>4900</v>
      </c>
      <c r="P257" s="937">
        <f t="shared" ref="P257:T257" si="211">O257</f>
        <v>4900</v>
      </c>
      <c r="Q257" s="937">
        <f t="shared" si="211"/>
        <v>4900</v>
      </c>
      <c r="R257" s="937">
        <f t="shared" si="211"/>
        <v>4900</v>
      </c>
      <c r="S257" s="937">
        <f t="shared" si="211"/>
        <v>4900</v>
      </c>
      <c r="T257" s="937">
        <f t="shared" si="211"/>
        <v>4900</v>
      </c>
    </row>
    <row r="258" spans="2:33" s="900" customFormat="1" hidden="1">
      <c r="C258" s="1"/>
      <c r="D258" s="1" t="s">
        <v>1063</v>
      </c>
      <c r="E258" s="922"/>
      <c r="F258" s="922"/>
      <c r="G258" s="922"/>
      <c r="H258" s="922"/>
      <c r="I258" s="940"/>
      <c r="J258" s="940"/>
      <c r="K258" s="940"/>
      <c r="L258" s="940"/>
      <c r="M258" s="937"/>
      <c r="N258" s="937"/>
      <c r="O258" s="938">
        <v>0</v>
      </c>
      <c r="P258" s="938">
        <v>0</v>
      </c>
      <c r="Q258" s="938">
        <v>0</v>
      </c>
      <c r="R258" s="938">
        <v>0</v>
      </c>
      <c r="S258" s="938">
        <v>0</v>
      </c>
      <c r="T258" s="938">
        <v>0</v>
      </c>
    </row>
    <row r="259" spans="2:33" s="900" customFormat="1" hidden="1">
      <c r="C259" s="1"/>
      <c r="D259" s="18" t="s">
        <v>967</v>
      </c>
      <c r="E259" s="935"/>
      <c r="F259" s="935"/>
      <c r="G259" s="935"/>
      <c r="H259" s="935"/>
      <c r="I259" s="944"/>
      <c r="J259" s="944"/>
      <c r="K259" s="944"/>
      <c r="L259" s="944"/>
      <c r="M259" s="941">
        <f t="shared" ref="M259:S259" si="212">SUM(M257:M258)</f>
        <v>4900</v>
      </c>
      <c r="N259" s="941"/>
      <c r="O259" s="941">
        <f t="shared" si="212"/>
        <v>4900</v>
      </c>
      <c r="P259" s="941">
        <f t="shared" si="212"/>
        <v>4900</v>
      </c>
      <c r="Q259" s="941">
        <f t="shared" si="212"/>
        <v>4900</v>
      </c>
      <c r="R259" s="941">
        <f t="shared" si="212"/>
        <v>4900</v>
      </c>
      <c r="S259" s="941">
        <f t="shared" si="212"/>
        <v>4900</v>
      </c>
      <c r="T259" s="941">
        <f t="shared" ref="T259" si="213">SUM(T257:T258)</f>
        <v>4900</v>
      </c>
    </row>
    <row r="260" spans="2:33" s="900" customFormat="1" hidden="1">
      <c r="C260" s="1"/>
      <c r="D260" s="1" t="s">
        <v>969</v>
      </c>
      <c r="E260" s="922"/>
      <c r="F260" s="922"/>
      <c r="G260" s="922"/>
      <c r="H260" s="922"/>
      <c r="I260" s="942"/>
      <c r="J260" s="942"/>
      <c r="K260" s="942"/>
      <c r="L260" s="942"/>
      <c r="M260" s="943">
        <v>0.45</v>
      </c>
      <c r="N260" s="943"/>
      <c r="O260" s="943">
        <v>0.52</v>
      </c>
    </row>
    <row r="261" spans="2:33" s="900" customFormat="1">
      <c r="C261" s="1"/>
      <c r="D261" s="1"/>
      <c r="E261" s="922"/>
      <c r="F261" s="922"/>
      <c r="G261" s="922"/>
      <c r="H261" s="922"/>
    </row>
    <row r="262" spans="2:33" s="900" customFormat="1">
      <c r="B262" s="927" t="s">
        <v>879</v>
      </c>
      <c r="C262" s="928" t="s">
        <v>950</v>
      </c>
      <c r="D262" s="952"/>
      <c r="E262" s="953"/>
      <c r="F262" s="953"/>
      <c r="G262" s="953"/>
      <c r="H262" s="953"/>
      <c r="I262" s="930"/>
      <c r="J262" s="930"/>
      <c r="K262" s="930"/>
      <c r="L262" s="930"/>
      <c r="M262" s="930"/>
      <c r="N262" s="930"/>
      <c r="O262" s="930"/>
      <c r="P262" s="930"/>
      <c r="Q262" s="930"/>
      <c r="R262" s="930"/>
      <c r="S262" s="930"/>
      <c r="T262" s="930"/>
    </row>
    <row r="263" spans="2:33" s="900" customFormat="1">
      <c r="C263" s="1"/>
      <c r="D263" s="1"/>
      <c r="E263" s="922"/>
      <c r="F263" s="922"/>
      <c r="G263" s="922"/>
      <c r="H263" s="922"/>
    </row>
    <row r="264" spans="2:33" s="932" customFormat="1">
      <c r="C264" s="349"/>
      <c r="D264" s="18" t="s">
        <v>1112</v>
      </c>
      <c r="E264" s="935"/>
      <c r="F264" s="935"/>
      <c r="G264" s="935"/>
      <c r="H264" s="935"/>
      <c r="I264" s="936">
        <f>SUM(I266,I274)</f>
        <v>6417.3072133255955</v>
      </c>
      <c r="J264" s="936">
        <f t="shared" ref="J264:S264" si="214">SUM(J266,J274)</f>
        <v>1832.5721719237702</v>
      </c>
      <c r="K264" s="936">
        <f t="shared" si="214"/>
        <v>2332.1741285103139</v>
      </c>
      <c r="L264" s="936"/>
      <c r="M264" s="936">
        <f t="shared" si="214"/>
        <v>1464.8635446212279</v>
      </c>
      <c r="N264" s="936"/>
      <c r="O264" s="936">
        <f t="shared" si="214"/>
        <v>3414</v>
      </c>
      <c r="P264" s="936">
        <f t="shared" si="214"/>
        <v>3414</v>
      </c>
      <c r="Q264" s="936">
        <f t="shared" si="214"/>
        <v>3414</v>
      </c>
      <c r="R264" s="936">
        <f t="shared" si="214"/>
        <v>6414</v>
      </c>
      <c r="S264" s="936">
        <f t="shared" si="214"/>
        <v>6414</v>
      </c>
      <c r="T264" s="936">
        <f t="shared" ref="T264" si="215">SUM(T266,T274)</f>
        <v>3414</v>
      </c>
      <c r="AG264" s="904"/>
    </row>
    <row r="265" spans="2:33" s="900" customFormat="1">
      <c r="C265" s="1"/>
      <c r="D265" s="1"/>
      <c r="E265" s="922"/>
      <c r="F265" s="922"/>
      <c r="G265" s="922"/>
      <c r="H265" s="922"/>
    </row>
    <row r="266" spans="2:33" s="932" customFormat="1">
      <c r="C266" s="18"/>
      <c r="D266" s="18" t="s">
        <v>1108</v>
      </c>
      <c r="E266" s="935"/>
      <c r="F266" s="935"/>
      <c r="G266" s="935"/>
      <c r="H266" s="935"/>
      <c r="I266" s="1426">
        <v>1171.6917671785059</v>
      </c>
      <c r="J266" s="1426">
        <v>1832.5721719237702</v>
      </c>
      <c r="K266" s="1426">
        <v>2332.1741285103139</v>
      </c>
      <c r="L266" s="1426"/>
      <c r="M266" s="1426">
        <v>1464.8635446212279</v>
      </c>
      <c r="N266" s="1426"/>
      <c r="O266" s="936">
        <f>SUM(O267:O272)</f>
        <v>3414</v>
      </c>
      <c r="P266" s="1425">
        <f>O266</f>
        <v>3414</v>
      </c>
      <c r="Q266" s="1425">
        <f>P266</f>
        <v>3414</v>
      </c>
      <c r="R266" s="1425">
        <f>Q266</f>
        <v>3414</v>
      </c>
      <c r="S266" s="1425">
        <f>R266</f>
        <v>3414</v>
      </c>
      <c r="T266" s="1425">
        <f>S266</f>
        <v>3414</v>
      </c>
      <c r="AG266" s="904"/>
    </row>
    <row r="267" spans="2:33" s="932" customFormat="1">
      <c r="C267" s="18"/>
      <c r="D267" s="18"/>
      <c r="E267" s="922" t="s">
        <v>880</v>
      </c>
      <c r="F267" s="935"/>
      <c r="G267" s="935"/>
      <c r="H267" s="922" t="s">
        <v>951</v>
      </c>
      <c r="I267" s="1434"/>
      <c r="J267" s="1434"/>
      <c r="K267" s="1434"/>
      <c r="L267" s="1434"/>
      <c r="M267" s="1434"/>
      <c r="N267" s="1434"/>
      <c r="O267" s="1255">
        <v>616</v>
      </c>
      <c r="P267" s="1428"/>
      <c r="Q267" s="1428"/>
      <c r="R267" s="1428"/>
      <c r="S267" s="1428"/>
      <c r="T267" s="1428"/>
    </row>
    <row r="268" spans="2:33" s="932" customFormat="1">
      <c r="C268" s="18"/>
      <c r="D268" s="18"/>
      <c r="E268" s="922" t="s">
        <v>882</v>
      </c>
      <c r="F268" s="935"/>
      <c r="G268" s="935"/>
      <c r="H268" s="922" t="s">
        <v>952</v>
      </c>
      <c r="I268" s="1434"/>
      <c r="J268" s="1434"/>
      <c r="K268" s="1434"/>
      <c r="L268" s="1434"/>
      <c r="M268" s="1434"/>
      <c r="N268" s="1434"/>
      <c r="O268" s="1255">
        <v>512</v>
      </c>
      <c r="P268" s="1428"/>
      <c r="Q268" s="1428"/>
      <c r="R268" s="1428"/>
      <c r="S268" s="1428"/>
      <c r="T268" s="1428"/>
    </row>
    <row r="269" spans="2:33" s="932" customFormat="1">
      <c r="C269" s="18"/>
      <c r="D269" s="18"/>
      <c r="E269" s="922" t="s">
        <v>884</v>
      </c>
      <c r="F269" s="935"/>
      <c r="G269" s="935"/>
      <c r="H269" s="922" t="s">
        <v>953</v>
      </c>
      <c r="I269" s="1434"/>
      <c r="J269" s="1434"/>
      <c r="K269" s="1434"/>
      <c r="L269" s="1434"/>
      <c r="M269" s="1434"/>
      <c r="N269" s="1434"/>
      <c r="O269" s="1255">
        <v>461</v>
      </c>
      <c r="P269" s="1428"/>
      <c r="Q269" s="1428"/>
      <c r="R269" s="1428"/>
      <c r="S269" s="1428"/>
      <c r="T269" s="1428"/>
    </row>
    <row r="270" spans="2:33" s="932" customFormat="1">
      <c r="C270" s="18"/>
      <c r="D270" s="18"/>
      <c r="E270" s="922" t="s">
        <v>886</v>
      </c>
      <c r="F270" s="935"/>
      <c r="G270" s="935"/>
      <c r="H270" s="922" t="s">
        <v>954</v>
      </c>
      <c r="I270" s="1434"/>
      <c r="J270" s="1434"/>
      <c r="K270" s="1434"/>
      <c r="L270" s="1434"/>
      <c r="M270" s="1434"/>
      <c r="N270" s="1434"/>
      <c r="O270" s="1255">
        <v>223</v>
      </c>
      <c r="P270" s="1428"/>
      <c r="Q270" s="1428"/>
      <c r="R270" s="1428"/>
      <c r="S270" s="1428"/>
      <c r="T270" s="1428"/>
    </row>
    <row r="271" spans="2:33" s="932" customFormat="1">
      <c r="C271" s="18"/>
      <c r="D271" s="18"/>
      <c r="E271" s="922" t="s">
        <v>888</v>
      </c>
      <c r="F271" s="935"/>
      <c r="G271" s="935"/>
      <c r="H271" s="922" t="s">
        <v>955</v>
      </c>
      <c r="I271" s="1434"/>
      <c r="J271" s="1434"/>
      <c r="K271" s="1434"/>
      <c r="L271" s="1434"/>
      <c r="M271" s="1434"/>
      <c r="N271" s="1434"/>
      <c r="O271" s="1255">
        <v>216</v>
      </c>
      <c r="P271" s="1428"/>
      <c r="Q271" s="1428"/>
      <c r="R271" s="1428"/>
      <c r="S271" s="1428"/>
      <c r="T271" s="1428"/>
    </row>
    <row r="272" spans="2:33" s="932" customFormat="1">
      <c r="C272" s="18"/>
      <c r="D272" s="18"/>
      <c r="E272" s="922" t="s">
        <v>890</v>
      </c>
      <c r="F272" s="935"/>
      <c r="G272" s="935"/>
      <c r="H272" s="922" t="s">
        <v>939</v>
      </c>
      <c r="I272" s="1434"/>
      <c r="J272" s="1434"/>
      <c r="K272" s="1434"/>
      <c r="L272" s="1434"/>
      <c r="M272" s="1434"/>
      <c r="N272" s="1434"/>
      <c r="O272" s="1255">
        <v>1386</v>
      </c>
      <c r="P272" s="1428"/>
      <c r="Q272" s="1428"/>
      <c r="R272" s="1428"/>
      <c r="S272" s="1428"/>
      <c r="T272" s="1428"/>
    </row>
    <row r="273" spans="3:33" s="932" customFormat="1">
      <c r="C273" s="18"/>
      <c r="D273" s="18"/>
      <c r="E273" s="922"/>
      <c r="F273" s="935"/>
      <c r="G273" s="935"/>
      <c r="H273" s="935"/>
      <c r="I273" s="1435"/>
      <c r="J273" s="1435"/>
      <c r="K273" s="1435"/>
      <c r="L273" s="1435"/>
      <c r="M273" s="1435"/>
      <c r="N273" s="1435"/>
      <c r="O273" s="1435"/>
    </row>
    <row r="274" spans="3:33" s="932" customFormat="1">
      <c r="C274" s="18"/>
      <c r="D274" s="18" t="s">
        <v>1110</v>
      </c>
      <c r="E274" s="935"/>
      <c r="F274" s="935"/>
      <c r="G274" s="935"/>
      <c r="H274" s="935"/>
      <c r="I274" s="1426">
        <v>5245.6154461470896</v>
      </c>
      <c r="J274" s="1426">
        <v>0</v>
      </c>
      <c r="K274" s="1426">
        <v>0</v>
      </c>
      <c r="L274" s="1426"/>
      <c r="M274" s="1426">
        <v>0</v>
      </c>
      <c r="N274" s="1426"/>
      <c r="O274" s="1438">
        <v>0</v>
      </c>
      <c r="P274" s="1438">
        <v>0</v>
      </c>
      <c r="Q274" s="1438">
        <v>0</v>
      </c>
      <c r="R274" s="1438">
        <v>3000</v>
      </c>
      <c r="S274" s="1438">
        <v>3000</v>
      </c>
      <c r="T274" s="1438">
        <v>0</v>
      </c>
      <c r="AG274" s="904"/>
    </row>
    <row r="275" spans="3:33" s="932" customFormat="1" hidden="1">
      <c r="C275" s="18"/>
      <c r="D275" s="18"/>
      <c r="E275" s="922" t="s">
        <v>880</v>
      </c>
      <c r="F275" s="935"/>
      <c r="G275" s="935"/>
      <c r="H275" s="922" t="s">
        <v>956</v>
      </c>
      <c r="I275" s="940"/>
      <c r="J275" s="940"/>
      <c r="K275" s="940"/>
      <c r="L275" s="940"/>
      <c r="M275" s="940"/>
      <c r="N275" s="940"/>
      <c r="O275" s="1430"/>
      <c r="P275" s="1430"/>
      <c r="Q275" s="1430"/>
      <c r="R275" s="1430"/>
      <c r="S275" s="1430"/>
      <c r="T275" s="1430"/>
      <c r="AG275" s="944"/>
    </row>
    <row r="276" spans="3:33" s="932" customFormat="1" hidden="1">
      <c r="C276" s="18"/>
      <c r="D276" s="18"/>
      <c r="E276" s="935"/>
      <c r="F276" s="935"/>
      <c r="G276" s="935"/>
      <c r="H276" s="935"/>
    </row>
    <row r="277" spans="3:33" s="900" customFormat="1" hidden="1">
      <c r="C277" s="1"/>
      <c r="D277" s="349" t="s">
        <v>841</v>
      </c>
      <c r="E277" s="922"/>
      <c r="F277" s="922"/>
      <c r="G277" s="922"/>
      <c r="H277" s="922"/>
    </row>
    <row r="278" spans="3:33" s="900" customFormat="1" hidden="1">
      <c r="C278" s="1"/>
      <c r="D278" s="1" t="s">
        <v>1062</v>
      </c>
      <c r="E278" s="922"/>
      <c r="F278" s="922"/>
      <c r="G278" s="922"/>
      <c r="H278" s="922"/>
      <c r="I278" s="940"/>
      <c r="J278" s="940"/>
      <c r="K278" s="940"/>
      <c r="L278" s="940"/>
      <c r="M278" s="937">
        <v>308</v>
      </c>
      <c r="N278" s="937"/>
      <c r="O278" s="937">
        <f>M278</f>
        <v>308</v>
      </c>
      <c r="P278" s="937">
        <f>O278</f>
        <v>308</v>
      </c>
      <c r="Q278" s="937">
        <f>P278</f>
        <v>308</v>
      </c>
      <c r="R278" s="937">
        <f>Q278</f>
        <v>308</v>
      </c>
      <c r="S278" s="937">
        <f>R278</f>
        <v>308</v>
      </c>
      <c r="T278" s="937">
        <f>S278</f>
        <v>308</v>
      </c>
    </row>
    <row r="279" spans="3:33" s="900" customFormat="1" hidden="1">
      <c r="C279" s="1"/>
      <c r="D279" s="1" t="s">
        <v>1063</v>
      </c>
      <c r="E279" s="922"/>
      <c r="F279" s="922"/>
      <c r="G279" s="922"/>
      <c r="H279" s="922"/>
      <c r="I279" s="940"/>
      <c r="J279" s="940"/>
      <c r="K279" s="940"/>
      <c r="L279" s="940"/>
      <c r="M279" s="937"/>
      <c r="N279" s="937"/>
      <c r="O279" s="938"/>
      <c r="P279" s="938"/>
      <c r="Q279" s="938"/>
      <c r="R279" s="938"/>
      <c r="S279" s="938"/>
      <c r="T279" s="938"/>
    </row>
    <row r="280" spans="3:33" s="900" customFormat="1" hidden="1">
      <c r="C280" s="1"/>
      <c r="D280" s="18" t="s">
        <v>967</v>
      </c>
      <c r="E280" s="935"/>
      <c r="F280" s="935"/>
      <c r="G280" s="935"/>
      <c r="H280" s="935"/>
      <c r="I280" s="944">
        <f t="shared" ref="I280:S280" si="216">SUM(I278:I279)</f>
        <v>0</v>
      </c>
      <c r="J280" s="944">
        <f t="shared" si="216"/>
        <v>0</v>
      </c>
      <c r="K280" s="944">
        <f t="shared" si="216"/>
        <v>0</v>
      </c>
      <c r="L280" s="944"/>
      <c r="M280" s="944">
        <f t="shared" si="216"/>
        <v>308</v>
      </c>
      <c r="N280" s="944"/>
      <c r="O280" s="944">
        <f t="shared" si="216"/>
        <v>308</v>
      </c>
      <c r="P280" s="944">
        <f t="shared" si="216"/>
        <v>308</v>
      </c>
      <c r="Q280" s="944">
        <f t="shared" si="216"/>
        <v>308</v>
      </c>
      <c r="R280" s="944">
        <f t="shared" si="216"/>
        <v>308</v>
      </c>
      <c r="S280" s="944">
        <f t="shared" si="216"/>
        <v>308</v>
      </c>
      <c r="T280" s="944">
        <f t="shared" ref="T280" si="217">SUM(T278:T279)</f>
        <v>308</v>
      </c>
    </row>
    <row r="281" spans="3:33" s="900" customFormat="1" hidden="1">
      <c r="C281" s="1"/>
      <c r="D281" s="1" t="s">
        <v>969</v>
      </c>
      <c r="E281" s="922"/>
      <c r="F281" s="922"/>
      <c r="G281" s="922"/>
      <c r="H281" s="922"/>
      <c r="I281" s="942"/>
      <c r="J281" s="942"/>
      <c r="K281" s="942"/>
      <c r="L281" s="942"/>
      <c r="M281" s="943">
        <v>0.23</v>
      </c>
      <c r="N281" s="943"/>
      <c r="O281" s="943">
        <v>0.3</v>
      </c>
    </row>
    <row r="282" spans="3:33" s="900" customFormat="1" hidden="1">
      <c r="C282" s="1"/>
      <c r="D282" s="1"/>
      <c r="E282" s="922"/>
      <c r="F282" s="922"/>
      <c r="G282" s="922"/>
      <c r="H282" s="922"/>
    </row>
    <row r="283" spans="3:33" s="900" customFormat="1" hidden="1">
      <c r="C283" s="1"/>
      <c r="D283" s="349" t="s">
        <v>842</v>
      </c>
      <c r="E283" s="922"/>
      <c r="F283" s="922"/>
      <c r="G283" s="922"/>
      <c r="H283" s="922"/>
    </row>
    <row r="284" spans="3:33" s="900" customFormat="1" hidden="1">
      <c r="C284" s="1"/>
      <c r="D284" s="1" t="s">
        <v>1062</v>
      </c>
      <c r="E284" s="922"/>
      <c r="F284" s="922"/>
      <c r="G284" s="922"/>
      <c r="H284" s="922"/>
      <c r="I284" s="940"/>
      <c r="J284" s="940"/>
      <c r="K284" s="940"/>
      <c r="L284" s="940"/>
      <c r="M284" s="937"/>
      <c r="N284" s="937"/>
      <c r="O284" s="937"/>
      <c r="P284" s="937"/>
      <c r="Q284" s="937"/>
      <c r="R284" s="937"/>
      <c r="S284" s="937"/>
      <c r="T284" s="937"/>
    </row>
    <row r="285" spans="3:33" s="900" customFormat="1" hidden="1">
      <c r="C285" s="1"/>
      <c r="D285" s="1" t="s">
        <v>1063</v>
      </c>
      <c r="E285" s="922"/>
      <c r="F285" s="922"/>
      <c r="G285" s="922"/>
      <c r="H285" s="922"/>
      <c r="I285" s="940"/>
      <c r="J285" s="940"/>
      <c r="K285" s="940"/>
      <c r="L285" s="940"/>
      <c r="M285" s="937"/>
      <c r="N285" s="937"/>
      <c r="O285" s="938"/>
      <c r="P285" s="938"/>
      <c r="Q285" s="938"/>
      <c r="R285" s="938"/>
      <c r="S285" s="938"/>
      <c r="T285" s="938"/>
    </row>
    <row r="286" spans="3:33" s="900" customFormat="1" hidden="1">
      <c r="C286" s="1"/>
      <c r="D286" s="18" t="s">
        <v>967</v>
      </c>
      <c r="E286" s="935"/>
      <c r="F286" s="935"/>
      <c r="G286" s="935"/>
      <c r="H286" s="935"/>
      <c r="I286" s="944">
        <f t="shared" ref="I286:S286" si="218">SUM(I284:I285)</f>
        <v>0</v>
      </c>
      <c r="J286" s="944">
        <f t="shared" si="218"/>
        <v>0</v>
      </c>
      <c r="K286" s="944">
        <f t="shared" si="218"/>
        <v>0</v>
      </c>
      <c r="L286" s="944"/>
      <c r="M286" s="944">
        <f t="shared" si="218"/>
        <v>0</v>
      </c>
      <c r="N286" s="944"/>
      <c r="O286" s="944">
        <f t="shared" si="218"/>
        <v>0</v>
      </c>
      <c r="P286" s="944">
        <f t="shared" si="218"/>
        <v>0</v>
      </c>
      <c r="Q286" s="944">
        <f t="shared" si="218"/>
        <v>0</v>
      </c>
      <c r="R286" s="944">
        <f t="shared" si="218"/>
        <v>0</v>
      </c>
      <c r="S286" s="944">
        <f t="shared" si="218"/>
        <v>0</v>
      </c>
      <c r="T286" s="944">
        <f t="shared" ref="T286" si="219">SUM(T284:T285)</f>
        <v>0</v>
      </c>
    </row>
    <row r="287" spans="3:33" s="900" customFormat="1" hidden="1">
      <c r="C287" s="1"/>
      <c r="D287" s="1" t="s">
        <v>969</v>
      </c>
      <c r="E287" s="922"/>
      <c r="F287" s="922"/>
      <c r="G287" s="922"/>
      <c r="H287" s="922"/>
      <c r="I287" s="942"/>
      <c r="J287" s="942"/>
      <c r="K287" s="942"/>
      <c r="L287" s="942"/>
      <c r="M287" s="943"/>
      <c r="N287" s="961"/>
    </row>
    <row r="288" spans="3:33" s="900" customFormat="1" hidden="1">
      <c r="C288" s="1"/>
      <c r="D288" s="1"/>
      <c r="E288" s="922"/>
      <c r="F288" s="922"/>
      <c r="G288" s="922"/>
      <c r="H288" s="922"/>
    </row>
    <row r="289" spans="3:33" s="900" customFormat="1" hidden="1">
      <c r="C289" s="1"/>
      <c r="D289" s="349" t="s">
        <v>843</v>
      </c>
      <c r="E289" s="922"/>
      <c r="F289" s="922"/>
      <c r="G289" s="922"/>
      <c r="H289" s="922"/>
    </row>
    <row r="290" spans="3:33" s="900" customFormat="1" hidden="1">
      <c r="C290" s="1"/>
      <c r="D290" s="1" t="s">
        <v>1062</v>
      </c>
      <c r="E290" s="922"/>
      <c r="F290" s="922"/>
      <c r="G290" s="922"/>
      <c r="H290" s="922"/>
      <c r="I290" s="940"/>
      <c r="J290" s="940"/>
      <c r="K290" s="940"/>
      <c r="L290" s="940"/>
      <c r="M290" s="937">
        <v>2199</v>
      </c>
      <c r="N290" s="937"/>
      <c r="O290" s="937">
        <f>M290</f>
        <v>2199</v>
      </c>
      <c r="P290" s="937">
        <f>O290</f>
        <v>2199</v>
      </c>
      <c r="Q290" s="937">
        <f>P290</f>
        <v>2199</v>
      </c>
      <c r="R290" s="937">
        <f>Q290</f>
        <v>2199</v>
      </c>
      <c r="S290" s="937">
        <f>R290</f>
        <v>2199</v>
      </c>
      <c r="T290" s="937">
        <f>S290</f>
        <v>2199</v>
      </c>
    </row>
    <row r="291" spans="3:33" s="900" customFormat="1" hidden="1">
      <c r="C291" s="1"/>
      <c r="D291" s="1" t="s">
        <v>1063</v>
      </c>
      <c r="E291" s="922"/>
      <c r="F291" s="922"/>
      <c r="G291" s="922"/>
      <c r="H291" s="922"/>
      <c r="I291" s="940"/>
      <c r="J291" s="940"/>
      <c r="K291" s="940"/>
      <c r="L291" s="940"/>
      <c r="M291" s="937"/>
      <c r="N291" s="937"/>
      <c r="O291" s="938"/>
      <c r="P291" s="938"/>
      <c r="Q291" s="938"/>
      <c r="R291" s="938"/>
      <c r="S291" s="938"/>
      <c r="T291" s="938"/>
    </row>
    <row r="292" spans="3:33" s="900" customFormat="1" hidden="1">
      <c r="C292" s="1"/>
      <c r="D292" s="18" t="s">
        <v>967</v>
      </c>
      <c r="E292" s="935"/>
      <c r="F292" s="935"/>
      <c r="G292" s="935"/>
      <c r="H292" s="935"/>
      <c r="I292" s="944">
        <f t="shared" ref="I292:S292" si="220">SUM(I290:I291)</f>
        <v>0</v>
      </c>
      <c r="J292" s="944">
        <f t="shared" si="220"/>
        <v>0</v>
      </c>
      <c r="K292" s="944">
        <f t="shared" si="220"/>
        <v>0</v>
      </c>
      <c r="L292" s="944"/>
      <c r="M292" s="944">
        <f t="shared" si="220"/>
        <v>2199</v>
      </c>
      <c r="N292" s="944"/>
      <c r="O292" s="944">
        <f t="shared" si="220"/>
        <v>2199</v>
      </c>
      <c r="P292" s="944">
        <f t="shared" si="220"/>
        <v>2199</v>
      </c>
      <c r="Q292" s="944">
        <f t="shared" si="220"/>
        <v>2199</v>
      </c>
      <c r="R292" s="944">
        <f t="shared" si="220"/>
        <v>2199</v>
      </c>
      <c r="S292" s="944">
        <f t="shared" si="220"/>
        <v>2199</v>
      </c>
      <c r="T292" s="944">
        <f t="shared" ref="T292" si="221">SUM(T290:T291)</f>
        <v>2199</v>
      </c>
    </row>
    <row r="293" spans="3:33" s="900" customFormat="1" hidden="1">
      <c r="C293" s="1"/>
      <c r="D293" s="1" t="s">
        <v>969</v>
      </c>
      <c r="E293" s="922"/>
      <c r="F293" s="922"/>
      <c r="G293" s="922"/>
      <c r="H293" s="922"/>
      <c r="I293" s="942"/>
      <c r="J293" s="942"/>
      <c r="K293" s="942"/>
      <c r="L293" s="942"/>
      <c r="M293" s="943">
        <v>0.45</v>
      </c>
      <c r="N293" s="943"/>
      <c r="O293" s="943">
        <v>0.45</v>
      </c>
    </row>
    <row r="294" spans="3:33" s="900" customFormat="1" hidden="1">
      <c r="C294" s="1"/>
      <c r="D294" s="1"/>
      <c r="E294" s="922"/>
      <c r="F294" s="922"/>
      <c r="G294" s="922"/>
      <c r="H294" s="922"/>
    </row>
    <row r="295" spans="3:33" s="900" customFormat="1" hidden="1">
      <c r="C295" s="1"/>
      <c r="D295" s="349" t="s">
        <v>844</v>
      </c>
      <c r="E295" s="922"/>
      <c r="F295" s="922"/>
      <c r="G295" s="922"/>
      <c r="H295" s="922"/>
    </row>
    <row r="296" spans="3:33" s="900" customFormat="1" hidden="1">
      <c r="C296" s="1"/>
      <c r="D296" s="1" t="s">
        <v>1062</v>
      </c>
      <c r="E296" s="922"/>
      <c r="F296" s="922"/>
      <c r="G296" s="922"/>
      <c r="H296" s="922"/>
      <c r="I296" s="940"/>
      <c r="J296" s="940"/>
      <c r="K296" s="940"/>
      <c r="L296" s="940"/>
      <c r="M296" s="937">
        <v>3529</v>
      </c>
      <c r="N296" s="937"/>
      <c r="O296" s="937">
        <f>M296</f>
        <v>3529</v>
      </c>
      <c r="P296" s="937">
        <f t="shared" ref="P296:T296" si="222">O296</f>
        <v>3529</v>
      </c>
      <c r="Q296" s="937">
        <f t="shared" si="222"/>
        <v>3529</v>
      </c>
      <c r="R296" s="937">
        <f t="shared" si="222"/>
        <v>3529</v>
      </c>
      <c r="S296" s="937">
        <f t="shared" si="222"/>
        <v>3529</v>
      </c>
      <c r="T296" s="937">
        <f t="shared" si="222"/>
        <v>3529</v>
      </c>
    </row>
    <row r="297" spans="3:33" s="900" customFormat="1" hidden="1">
      <c r="C297" s="1"/>
      <c r="D297" s="1" t="s">
        <v>1063</v>
      </c>
      <c r="E297" s="922"/>
      <c r="F297" s="922"/>
      <c r="G297" s="922"/>
      <c r="H297" s="922"/>
      <c r="I297" s="940"/>
      <c r="J297" s="940"/>
      <c r="K297" s="940"/>
      <c r="L297" s="940"/>
      <c r="M297" s="937"/>
      <c r="N297" s="937"/>
      <c r="O297" s="938"/>
      <c r="P297" s="938"/>
      <c r="Q297" s="938"/>
      <c r="R297" s="938"/>
      <c r="S297" s="938"/>
      <c r="T297" s="938"/>
    </row>
    <row r="298" spans="3:33" s="900" customFormat="1" hidden="1">
      <c r="C298" s="1"/>
      <c r="D298" s="18" t="s">
        <v>967</v>
      </c>
      <c r="E298" s="935"/>
      <c r="F298" s="935"/>
      <c r="G298" s="935"/>
      <c r="H298" s="935"/>
      <c r="I298" s="944"/>
      <c r="J298" s="944"/>
      <c r="K298" s="944"/>
      <c r="L298" s="944"/>
      <c r="M298" s="944">
        <f t="shared" ref="M298:S298" si="223">SUM(M296:M297)</f>
        <v>3529</v>
      </c>
      <c r="N298" s="944"/>
      <c r="O298" s="944">
        <f t="shared" si="223"/>
        <v>3529</v>
      </c>
      <c r="P298" s="944">
        <f t="shared" si="223"/>
        <v>3529</v>
      </c>
      <c r="Q298" s="944">
        <f t="shared" si="223"/>
        <v>3529</v>
      </c>
      <c r="R298" s="944">
        <f t="shared" si="223"/>
        <v>3529</v>
      </c>
      <c r="S298" s="944">
        <f t="shared" si="223"/>
        <v>3529</v>
      </c>
      <c r="T298" s="944">
        <f t="shared" ref="T298" si="224">SUM(T296:T297)</f>
        <v>3529</v>
      </c>
    </row>
    <row r="299" spans="3:33" s="900" customFormat="1" hidden="1">
      <c r="C299" s="1"/>
      <c r="D299" s="1" t="s">
        <v>969</v>
      </c>
      <c r="E299" s="922"/>
      <c r="F299" s="922"/>
      <c r="G299" s="922"/>
      <c r="H299" s="922"/>
      <c r="I299" s="942"/>
      <c r="J299" s="942"/>
      <c r="K299" s="942"/>
      <c r="L299" s="942"/>
      <c r="M299" s="943">
        <v>0.68</v>
      </c>
      <c r="N299" s="943"/>
      <c r="O299" s="943">
        <v>0.72</v>
      </c>
    </row>
    <row r="300" spans="3:33" s="900" customFormat="1" hidden="1">
      <c r="C300" s="1"/>
      <c r="D300" s="1"/>
      <c r="E300" s="922"/>
      <c r="F300" s="922"/>
      <c r="G300" s="922"/>
      <c r="H300" s="922"/>
      <c r="I300" s="942"/>
      <c r="J300" s="942"/>
      <c r="K300" s="942"/>
      <c r="L300" s="942"/>
    </row>
    <row r="301" spans="3:33" s="900" customFormat="1" hidden="1">
      <c r="C301" s="1"/>
      <c r="D301" s="349" t="s">
        <v>957</v>
      </c>
      <c r="E301" s="922"/>
      <c r="F301" s="922"/>
      <c r="G301" s="922"/>
      <c r="H301" s="922"/>
    </row>
    <row r="302" spans="3:33" s="900" customFormat="1" hidden="1">
      <c r="C302" s="1"/>
      <c r="D302" s="1" t="s">
        <v>958</v>
      </c>
      <c r="E302" s="922"/>
      <c r="F302" s="922"/>
      <c r="G302" s="922"/>
      <c r="H302" s="922"/>
      <c r="I302" s="940"/>
      <c r="J302" s="940"/>
      <c r="K302" s="940"/>
      <c r="L302" s="940"/>
      <c r="M302" s="937">
        <v>62340</v>
      </c>
      <c r="N302" s="937"/>
      <c r="O302" s="937">
        <f>M302</f>
        <v>62340</v>
      </c>
      <c r="P302" s="937">
        <f t="shared" ref="P302:T302" si="225">O302</f>
        <v>62340</v>
      </c>
      <c r="Q302" s="937">
        <f t="shared" si="225"/>
        <v>62340</v>
      </c>
      <c r="R302" s="937">
        <f t="shared" si="225"/>
        <v>62340</v>
      </c>
      <c r="S302" s="937">
        <f t="shared" si="225"/>
        <v>62340</v>
      </c>
      <c r="T302" s="937">
        <f t="shared" si="225"/>
        <v>62340</v>
      </c>
    </row>
    <row r="303" spans="3:33" s="900" customFormat="1" hidden="1">
      <c r="C303" s="1"/>
      <c r="D303" s="1" t="s">
        <v>927</v>
      </c>
      <c r="E303" s="922"/>
      <c r="F303" s="922"/>
      <c r="G303" s="922"/>
      <c r="H303" s="922"/>
      <c r="I303" s="940"/>
      <c r="J303" s="940"/>
      <c r="K303" s="940"/>
      <c r="L303" s="940"/>
      <c r="M303" s="937"/>
      <c r="N303" s="937"/>
      <c r="O303" s="938"/>
      <c r="P303" s="938"/>
      <c r="Q303" s="938"/>
      <c r="R303" s="938"/>
      <c r="S303" s="938"/>
      <c r="T303" s="938"/>
      <c r="AG303" s="904"/>
    </row>
    <row r="304" spans="3:33" s="932" customFormat="1" hidden="1">
      <c r="C304" s="18"/>
      <c r="D304" s="18" t="s">
        <v>928</v>
      </c>
      <c r="E304" s="935"/>
      <c r="F304" s="935"/>
      <c r="G304" s="935"/>
      <c r="H304" s="935"/>
      <c r="I304" s="900"/>
      <c r="J304" s="900"/>
      <c r="K304" s="900"/>
      <c r="L304" s="900"/>
      <c r="M304" s="944">
        <f t="shared" ref="M304:S304" si="226">SUM(M302:M303)</f>
        <v>62340</v>
      </c>
      <c r="N304" s="944"/>
      <c r="O304" s="944">
        <f t="shared" si="226"/>
        <v>62340</v>
      </c>
      <c r="P304" s="944">
        <f t="shared" si="226"/>
        <v>62340</v>
      </c>
      <c r="Q304" s="944">
        <f t="shared" si="226"/>
        <v>62340</v>
      </c>
      <c r="R304" s="944">
        <f t="shared" si="226"/>
        <v>62340</v>
      </c>
      <c r="S304" s="944">
        <f t="shared" si="226"/>
        <v>62340</v>
      </c>
      <c r="T304" s="944">
        <f t="shared" ref="T304" si="227">SUM(T302:T303)</f>
        <v>62340</v>
      </c>
    </row>
    <row r="305" spans="2:33" s="900" customFormat="1" hidden="1">
      <c r="C305" s="1"/>
      <c r="D305" s="1" t="s">
        <v>929</v>
      </c>
      <c r="E305" s="922"/>
      <c r="F305" s="922"/>
      <c r="G305" s="922"/>
      <c r="H305" s="922"/>
      <c r="I305" s="942"/>
      <c r="J305" s="942"/>
      <c r="K305" s="942"/>
      <c r="L305" s="942"/>
      <c r="M305" s="943">
        <v>0.64</v>
      </c>
      <c r="N305" s="943"/>
      <c r="O305" s="943">
        <v>0.66</v>
      </c>
    </row>
    <row r="306" spans="2:33" s="900" customFormat="1" hidden="1">
      <c r="C306" s="1"/>
      <c r="D306" s="1"/>
      <c r="E306" s="922"/>
      <c r="F306" s="922"/>
      <c r="G306" s="922"/>
      <c r="H306" s="922"/>
      <c r="I306" s="942"/>
      <c r="J306" s="942"/>
      <c r="K306" s="942"/>
      <c r="L306" s="942"/>
    </row>
    <row r="307" spans="2:33" s="900" customFormat="1" hidden="1">
      <c r="C307" s="1"/>
      <c r="D307" s="349" t="s">
        <v>959</v>
      </c>
      <c r="E307" s="922"/>
      <c r="F307" s="922"/>
      <c r="G307" s="922"/>
      <c r="H307" s="922"/>
    </row>
    <row r="308" spans="2:33" s="900" customFormat="1" hidden="1">
      <c r="C308" s="1"/>
      <c r="D308" s="1" t="s">
        <v>958</v>
      </c>
      <c r="E308" s="922"/>
      <c r="F308" s="922"/>
      <c r="G308" s="922"/>
      <c r="H308" s="922"/>
      <c r="I308" s="940"/>
      <c r="J308" s="940"/>
      <c r="K308" s="940"/>
      <c r="L308" s="940"/>
      <c r="M308" s="937">
        <v>19473</v>
      </c>
      <c r="N308" s="937"/>
      <c r="O308" s="937">
        <f>M308</f>
        <v>19473</v>
      </c>
      <c r="P308" s="937">
        <f t="shared" ref="P308:T308" si="228">O308</f>
        <v>19473</v>
      </c>
      <c r="Q308" s="937">
        <f t="shared" si="228"/>
        <v>19473</v>
      </c>
      <c r="R308" s="937">
        <f t="shared" si="228"/>
        <v>19473</v>
      </c>
      <c r="S308" s="937">
        <f t="shared" si="228"/>
        <v>19473</v>
      </c>
      <c r="T308" s="937">
        <f t="shared" si="228"/>
        <v>19473</v>
      </c>
    </row>
    <row r="309" spans="2:33" s="900" customFormat="1" hidden="1">
      <c r="C309" s="1"/>
      <c r="D309" s="1" t="s">
        <v>927</v>
      </c>
      <c r="E309" s="922"/>
      <c r="F309" s="922"/>
      <c r="G309" s="922"/>
      <c r="H309" s="922"/>
      <c r="I309" s="940"/>
      <c r="J309" s="940"/>
      <c r="K309" s="940"/>
      <c r="L309" s="940"/>
      <c r="M309" s="937"/>
      <c r="N309" s="937"/>
      <c r="O309" s="938"/>
      <c r="P309" s="938"/>
      <c r="Q309" s="938"/>
      <c r="R309" s="938"/>
      <c r="S309" s="938"/>
      <c r="T309" s="938"/>
      <c r="AG309" s="904"/>
    </row>
    <row r="310" spans="2:33" s="932" customFormat="1" hidden="1">
      <c r="C310" s="18"/>
      <c r="D310" s="18" t="s">
        <v>928</v>
      </c>
      <c r="E310" s="935"/>
      <c r="F310" s="935"/>
      <c r="G310" s="935"/>
      <c r="H310" s="935"/>
      <c r="I310" s="900"/>
      <c r="J310" s="900"/>
      <c r="K310" s="900"/>
      <c r="L310" s="900"/>
      <c r="M310" s="944">
        <f t="shared" ref="M310:S310" si="229">SUM(M308:M309)</f>
        <v>19473</v>
      </c>
      <c r="N310" s="944"/>
      <c r="O310" s="944">
        <f t="shared" si="229"/>
        <v>19473</v>
      </c>
      <c r="P310" s="944">
        <f t="shared" si="229"/>
        <v>19473</v>
      </c>
      <c r="Q310" s="944">
        <f t="shared" si="229"/>
        <v>19473</v>
      </c>
      <c r="R310" s="944">
        <f t="shared" si="229"/>
        <v>19473</v>
      </c>
      <c r="S310" s="944">
        <f t="shared" si="229"/>
        <v>19473</v>
      </c>
      <c r="T310" s="944">
        <f t="shared" ref="T310" si="230">SUM(T308:T309)</f>
        <v>19473</v>
      </c>
    </row>
    <row r="311" spans="2:33" s="900" customFormat="1" hidden="1">
      <c r="C311" s="1"/>
      <c r="D311" s="1" t="s">
        <v>929</v>
      </c>
      <c r="E311" s="922"/>
      <c r="F311" s="922"/>
      <c r="G311" s="922"/>
      <c r="H311" s="922"/>
      <c r="I311" s="942"/>
      <c r="J311" s="942"/>
      <c r="K311" s="942"/>
      <c r="L311" s="942"/>
      <c r="M311" s="943">
        <v>0.34</v>
      </c>
      <c r="N311" s="943"/>
      <c r="O311" s="943">
        <v>0.35</v>
      </c>
    </row>
    <row r="312" spans="2:33" s="900" customFormat="1" hidden="1">
      <c r="C312" s="1"/>
      <c r="D312" s="1"/>
      <c r="E312" s="922"/>
      <c r="F312" s="922"/>
      <c r="G312" s="922"/>
      <c r="H312" s="922"/>
      <c r="I312" s="942"/>
      <c r="J312" s="942"/>
      <c r="K312" s="942"/>
      <c r="L312" s="942"/>
    </row>
    <row r="313" spans="2:33" s="900" customFormat="1" hidden="1">
      <c r="C313" s="1"/>
      <c r="D313" s="349" t="s">
        <v>960</v>
      </c>
      <c r="E313" s="922"/>
      <c r="F313" s="922"/>
      <c r="G313" s="922"/>
      <c r="H313" s="922"/>
    </row>
    <row r="314" spans="2:33" s="900" customFormat="1" hidden="1">
      <c r="C314" s="1"/>
      <c r="D314" s="1" t="s">
        <v>958</v>
      </c>
      <c r="E314" s="922"/>
      <c r="F314" s="922"/>
      <c r="G314" s="922"/>
      <c r="H314" s="922"/>
      <c r="I314" s="940"/>
      <c r="J314" s="940"/>
      <c r="K314" s="940"/>
      <c r="L314" s="940"/>
      <c r="M314" s="937">
        <v>3717</v>
      </c>
      <c r="N314" s="937"/>
      <c r="O314" s="937">
        <f>M314</f>
        <v>3717</v>
      </c>
      <c r="P314" s="937">
        <f t="shared" ref="P314:T314" si="231">O314</f>
        <v>3717</v>
      </c>
      <c r="Q314" s="937">
        <f t="shared" si="231"/>
        <v>3717</v>
      </c>
      <c r="R314" s="937">
        <f t="shared" si="231"/>
        <v>3717</v>
      </c>
      <c r="S314" s="937">
        <f t="shared" si="231"/>
        <v>3717</v>
      </c>
      <c r="T314" s="937">
        <f t="shared" si="231"/>
        <v>3717</v>
      </c>
    </row>
    <row r="315" spans="2:33" s="900" customFormat="1" hidden="1">
      <c r="C315" s="1"/>
      <c r="D315" s="1" t="s">
        <v>927</v>
      </c>
      <c r="E315" s="922"/>
      <c r="F315" s="922"/>
      <c r="G315" s="922"/>
      <c r="H315" s="922"/>
      <c r="I315" s="940"/>
      <c r="J315" s="940"/>
      <c r="K315" s="940"/>
      <c r="L315" s="940"/>
      <c r="M315" s="937"/>
      <c r="N315" s="937"/>
      <c r="O315" s="938"/>
      <c r="P315" s="938"/>
      <c r="Q315" s="938"/>
      <c r="R315" s="938"/>
      <c r="S315" s="938"/>
      <c r="T315" s="938"/>
      <c r="AG315" s="904"/>
    </row>
    <row r="316" spans="2:33" s="932" customFormat="1" hidden="1">
      <c r="C316" s="18"/>
      <c r="D316" s="18" t="s">
        <v>928</v>
      </c>
      <c r="E316" s="935"/>
      <c r="F316" s="935"/>
      <c r="G316" s="935"/>
      <c r="H316" s="935"/>
      <c r="I316" s="900"/>
      <c r="J316" s="900"/>
      <c r="K316" s="900"/>
      <c r="L316" s="900"/>
      <c r="M316" s="944">
        <f t="shared" ref="M316:S316" si="232">SUM(M314:M315)</f>
        <v>3717</v>
      </c>
      <c r="N316" s="944"/>
      <c r="O316" s="944">
        <f t="shared" si="232"/>
        <v>3717</v>
      </c>
      <c r="P316" s="944">
        <f t="shared" si="232"/>
        <v>3717</v>
      </c>
      <c r="Q316" s="944">
        <f t="shared" si="232"/>
        <v>3717</v>
      </c>
      <c r="R316" s="944">
        <f t="shared" si="232"/>
        <v>3717</v>
      </c>
      <c r="S316" s="944">
        <f t="shared" si="232"/>
        <v>3717</v>
      </c>
      <c r="T316" s="944">
        <f t="shared" ref="T316" si="233">SUM(T314:T315)</f>
        <v>3717</v>
      </c>
    </row>
    <row r="317" spans="2:33" s="900" customFormat="1" hidden="1">
      <c r="C317" s="1"/>
      <c r="D317" s="1" t="s">
        <v>929</v>
      </c>
      <c r="E317" s="922"/>
      <c r="F317" s="922"/>
      <c r="G317" s="922"/>
      <c r="H317" s="922"/>
      <c r="I317" s="942"/>
      <c r="J317" s="942"/>
      <c r="K317" s="942"/>
      <c r="L317" s="942"/>
      <c r="M317" s="943">
        <v>0.34</v>
      </c>
      <c r="N317" s="943"/>
      <c r="O317" s="943">
        <v>0.42</v>
      </c>
    </row>
    <row r="318" spans="2:33" s="900" customFormat="1">
      <c r="C318" s="1"/>
      <c r="D318" s="1"/>
      <c r="E318" s="922"/>
      <c r="F318" s="922"/>
      <c r="G318" s="922"/>
      <c r="H318" s="922"/>
      <c r="I318" s="942"/>
      <c r="J318" s="942"/>
      <c r="K318" s="942"/>
      <c r="L318" s="942"/>
    </row>
    <row r="319" spans="2:33" s="900" customFormat="1">
      <c r="B319" s="927" t="s">
        <v>879</v>
      </c>
      <c r="C319" s="1"/>
      <c r="D319" s="1"/>
      <c r="E319" s="922"/>
      <c r="F319" s="922"/>
      <c r="G319" s="922"/>
      <c r="H319" s="922"/>
    </row>
  </sheetData>
  <mergeCells count="2">
    <mergeCell ref="A3:T3"/>
    <mergeCell ref="A4:T4"/>
  </mergeCells>
  <phoneticPr fontId="5" type="noConversion"/>
  <conditionalFormatting sqref="L11">
    <cfRule type="containsText" dxfId="5" priority="2" operator="containsText" text="Error">
      <formula>NOT(ISERROR(SEARCH("Error",L11)))</formula>
    </cfRule>
  </conditionalFormatting>
  <conditionalFormatting sqref="N11">
    <cfRule type="containsText" dxfId="4" priority="1" operator="containsText" text="Error">
      <formula>NOT(ISERROR(SEARCH("Error",N11)))</formula>
    </cfRule>
  </conditionalFormatting>
  <printOptions headings="1"/>
  <pageMargins left="0.25" right="0" top="0.25" bottom="0.25" header="0.05" footer="0.05"/>
  <pageSetup paperSize="9" scale="56" fitToHeight="4" orientation="portrait" horizontalDpi="300" verticalDpi="300" r:id="rId1"/>
  <rowBreaks count="2" manualBreakCount="2">
    <brk id="134" max="19" man="1"/>
    <brk id="260" max="19" man="1"/>
  </row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AC283"/>
  <sheetViews>
    <sheetView showGridLines="0" zoomScale="73" zoomScaleNormal="110" workbookViewId="0">
      <pane xSplit="7" ySplit="6" topLeftCell="H22" activePane="bottomRight" state="frozen"/>
      <selection activeCell="F87" sqref="F87"/>
      <selection pane="topRight" activeCell="F87" sqref="F87"/>
      <selection pane="bottomLeft" activeCell="F87" sqref="F87"/>
      <selection pane="bottomRight" activeCell="U83" sqref="U83"/>
    </sheetView>
  </sheetViews>
  <sheetFormatPr defaultColWidth="8.6640625" defaultRowHeight="14.5" outlineLevelRow="1"/>
  <cols>
    <col min="1" max="4" width="2.4140625" style="216" customWidth="1"/>
    <col min="5" max="7" width="11.1640625" style="216" customWidth="1"/>
    <col min="8" max="10" width="10.33203125" style="216" customWidth="1"/>
    <col min="11" max="11" width="10.33203125" style="216" hidden="1" customWidth="1"/>
    <col min="12" max="12" width="10.33203125" style="216" customWidth="1"/>
    <col min="13" max="13" width="10.33203125" style="216" hidden="1" customWidth="1"/>
    <col min="14" max="19" width="10.33203125" style="216" customWidth="1"/>
    <col min="20" max="16384" width="8.6640625" style="216"/>
  </cols>
  <sheetData>
    <row r="1" spans="1:24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</row>
    <row r="2" spans="1:24" s="1" customFormat="1" ht="20.25" customHeight="1">
      <c r="A2" s="1579" t="s">
        <v>496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</row>
    <row r="3" spans="1:24" s="1" customFormat="1" ht="14.25" customHeight="1">
      <c r="D3" s="2"/>
      <c r="E3" s="2"/>
      <c r="F3" s="3"/>
      <c r="G3" s="3"/>
      <c r="H3" s="4">
        <v>2021</v>
      </c>
      <c r="I3" s="4">
        <v>2022</v>
      </c>
      <c r="J3" s="4">
        <v>2023</v>
      </c>
      <c r="K3" s="4"/>
      <c r="L3" s="4">
        <v>2024</v>
      </c>
      <c r="M3" s="4"/>
      <c r="N3" s="4">
        <v>2025</v>
      </c>
      <c r="O3" s="4">
        <v>2026</v>
      </c>
      <c r="P3" s="4">
        <v>2027</v>
      </c>
      <c r="Q3" s="4">
        <v>2028</v>
      </c>
      <c r="R3" s="4">
        <v>2029</v>
      </c>
      <c r="S3" s="4">
        <v>2030</v>
      </c>
    </row>
    <row r="4" spans="1:24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</row>
    <row r="5" spans="1:24" s="1" customFormat="1" ht="14.25" customHeight="1">
      <c r="A5" s="5" t="s">
        <v>497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9">
        <v>46387</v>
      </c>
      <c r="P5" s="9">
        <v>46752</v>
      </c>
      <c r="Q5" s="9">
        <v>46753</v>
      </c>
      <c r="R5" s="9">
        <v>47483</v>
      </c>
      <c r="S5" s="9">
        <v>47848</v>
      </c>
    </row>
    <row r="6" spans="1:24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4" s="108" customFormat="1" ht="14.25" customHeight="1">
      <c r="A7" s="106"/>
      <c r="B7" s="106"/>
      <c r="C7" s="106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</row>
    <row r="8" spans="1:24" s="997" customFormat="1" ht="14.25" customHeight="1">
      <c r="A8" s="220"/>
      <c r="B8" s="220" t="s">
        <v>495</v>
      </c>
      <c r="C8" s="220"/>
      <c r="D8" s="994"/>
      <c r="E8" s="994"/>
      <c r="F8" s="994"/>
      <c r="G8" s="994"/>
      <c r="H8" s="995">
        <v>35.840000000000003</v>
      </c>
      <c r="I8" s="995">
        <v>34.17</v>
      </c>
      <c r="J8" s="995">
        <v>34.64</v>
      </c>
      <c r="K8" s="995">
        <v>27.43312957746479</v>
      </c>
      <c r="L8" s="996">
        <v>33.15</v>
      </c>
      <c r="M8" s="996">
        <v>17.940000000000001</v>
      </c>
      <c r="N8" s="1106">
        <f>SUM(N9:N13)</f>
        <v>26.707545939433984</v>
      </c>
      <c r="O8" s="1106">
        <f t="shared" ref="O8:S8" si="0">SUM(O9:O13)</f>
        <v>31.967564079022022</v>
      </c>
      <c r="P8" s="1106">
        <f t="shared" si="0"/>
        <v>37.772333893951597</v>
      </c>
      <c r="Q8" s="1106">
        <f t="shared" si="0"/>
        <v>41.350026895686881</v>
      </c>
      <c r="R8" s="1106">
        <f t="shared" si="0"/>
        <v>43.838925703605454</v>
      </c>
      <c r="S8" s="1106">
        <f t="shared" si="0"/>
        <v>45.851028392315882</v>
      </c>
    </row>
    <row r="9" spans="1:24" s="246" customFormat="1" ht="14.25" customHeight="1">
      <c r="A9" s="244"/>
      <c r="B9" s="244"/>
      <c r="C9" s="244" t="s">
        <v>313</v>
      </c>
      <c r="D9" s="245"/>
      <c r="E9" s="245"/>
      <c r="F9" s="245"/>
      <c r="G9" s="245"/>
      <c r="H9" s="1068">
        <f>美国!H699/1000</f>
        <v>21.786000000000001</v>
      </c>
      <c r="I9" s="1068">
        <f>美国!I699/1000</f>
        <v>17.681999999999999</v>
      </c>
      <c r="J9" s="1068">
        <f>美国!J699/1000</f>
        <v>18.004999999999999</v>
      </c>
      <c r="K9" s="1068">
        <f>美国!K699/1000</f>
        <v>12.593</v>
      </c>
      <c r="L9" s="1068">
        <f>美国!L699/1000</f>
        <v>16.268177519999998</v>
      </c>
      <c r="M9" s="1068">
        <f>美国!M699/1000</f>
        <v>8.3676541700000016</v>
      </c>
      <c r="N9" s="1107">
        <f>-N102-N222</f>
        <v>7.6800051050000011</v>
      </c>
      <c r="O9" s="1107">
        <f t="shared" ref="O9:S9" si="1">-O102-O222</f>
        <v>9.7896892161374609</v>
      </c>
      <c r="P9" s="1107">
        <f t="shared" si="1"/>
        <v>10.53137332727492</v>
      </c>
      <c r="Q9" s="1107">
        <f t="shared" si="1"/>
        <v>11.27305743841238</v>
      </c>
      <c r="R9" s="1107">
        <f t="shared" si="1"/>
        <v>11.61524743841238</v>
      </c>
      <c r="S9" s="1107">
        <f t="shared" si="1"/>
        <v>11.957437438412381</v>
      </c>
    </row>
    <row r="10" spans="1:24" s="246" customFormat="1" ht="14.25" customHeight="1">
      <c r="A10" s="244"/>
      <c r="B10" s="244"/>
      <c r="C10" s="244" t="s">
        <v>314</v>
      </c>
      <c r="D10" s="245"/>
      <c r="E10" s="245"/>
      <c r="F10" s="245"/>
      <c r="G10" s="245"/>
      <c r="H10" s="1068">
        <f>中国!H1061/1000/集团!H9</f>
        <v>10.316419391346138</v>
      </c>
      <c r="I10" s="1068">
        <f>中国!I1061/1000/集团!I9</f>
        <v>9.983952451708765</v>
      </c>
      <c r="J10" s="1068">
        <f>中国!J1061/1000/集团!J9</f>
        <v>10.641595441595442</v>
      </c>
      <c r="K10" s="1068">
        <f>中国!K1061/1000/集团!K9</f>
        <v>8.9232394366197187</v>
      </c>
      <c r="L10" s="1068">
        <f>中国!L1061/1000/集团!L9</f>
        <v>10.765514408038568</v>
      </c>
      <c r="M10" s="1068">
        <f>中国!M1061/1000/集团!M9</f>
        <v>6.0278057307266089</v>
      </c>
      <c r="N10" s="1107">
        <f>-N77-N200</f>
        <v>13.883597713247894</v>
      </c>
      <c r="O10" s="1107">
        <f t="shared" ref="O10:S10" si="2">-O77-O200</f>
        <v>16.389261741698469</v>
      </c>
      <c r="P10" s="1107">
        <f t="shared" si="2"/>
        <v>20.80767744549058</v>
      </c>
      <c r="Q10" s="1107">
        <f t="shared" si="2"/>
        <v>22.429016336088409</v>
      </c>
      <c r="R10" s="1107">
        <f t="shared" si="2"/>
        <v>23.361055144006983</v>
      </c>
      <c r="S10" s="1107">
        <f t="shared" si="2"/>
        <v>24.386297832717414</v>
      </c>
    </row>
    <row r="11" spans="1:24" s="246" customFormat="1" ht="14.25" customHeight="1">
      <c r="A11" s="244"/>
      <c r="B11" s="244"/>
      <c r="C11" s="244" t="s">
        <v>315</v>
      </c>
      <c r="D11" s="245"/>
      <c r="E11" s="245"/>
      <c r="F11" s="245"/>
      <c r="G11" s="245"/>
      <c r="H11" s="1068">
        <f>加拿大!H122/1000*集团!H11/集团!H9</f>
        <v>0.32223288839278785</v>
      </c>
      <c r="I11" s="1068">
        <f>加拿大!I122/1000*集团!I11/集团!I9</f>
        <v>2.9548732689450223</v>
      </c>
      <c r="J11" s="1068">
        <f>加拿大!J122/1000*集团!J11/集团!J9</f>
        <v>1.9971495868945872</v>
      </c>
      <c r="K11" s="1068">
        <f>加拿大!K122/1000*集团!K11/集团!K9</f>
        <v>2.3085211267605632</v>
      </c>
      <c r="L11" s="1068">
        <f>加拿大!L122/1000*集团!L11/集团!L9</f>
        <v>2.1822846451463085</v>
      </c>
      <c r="M11" s="1068">
        <f>加拿大!M122/1000*集团!M11/集团!M9</f>
        <v>1.2596734486827823</v>
      </c>
      <c r="N11" s="1107">
        <f>-N127-N245</f>
        <v>3.4130236934435034</v>
      </c>
      <c r="O11" s="1107">
        <f t="shared" ref="O11:S11" si="3">-O127-O245</f>
        <v>3.7333636934435033</v>
      </c>
      <c r="P11" s="1107">
        <f t="shared" si="3"/>
        <v>4.0537036934435031</v>
      </c>
      <c r="Q11" s="1107">
        <f t="shared" si="3"/>
        <v>4.6590436934435031</v>
      </c>
      <c r="R11" s="1107">
        <f t="shared" si="3"/>
        <v>5.2643836934435031</v>
      </c>
      <c r="S11" s="1107">
        <f t="shared" si="3"/>
        <v>5.5847236934435029</v>
      </c>
    </row>
    <row r="12" spans="1:24" s="246" customFormat="1" ht="14.25" customHeight="1">
      <c r="A12" s="244"/>
      <c r="B12" s="244"/>
      <c r="C12" s="244" t="s">
        <v>316</v>
      </c>
      <c r="D12" s="245"/>
      <c r="E12" s="245"/>
      <c r="F12" s="245"/>
      <c r="G12" s="245"/>
      <c r="H12" s="1068">
        <f>欧洲!H118/1000*集团!H10/集团!H9</f>
        <v>3.4164642884827061</v>
      </c>
      <c r="I12" s="1068">
        <f>欧洲!I118/1000*集团!I10/集团!I9</f>
        <v>3.537481263001486</v>
      </c>
      <c r="J12" s="1068">
        <f>欧洲!J118/1000*集团!J10/集团!J9</f>
        <v>4.0039155982905985</v>
      </c>
      <c r="K12" s="1068">
        <f>欧洲!K118/1000*集团!K10/集团!K9</f>
        <v>3.6083690140845075</v>
      </c>
      <c r="L12" s="1068">
        <f>欧洲!L118/1000*集团!L10/集团!L9</f>
        <v>3.9292518614375882</v>
      </c>
      <c r="M12" s="1068">
        <f>欧洲!M118/1000*集团!M10/集团!M9</f>
        <v>2.2894499566699102</v>
      </c>
      <c r="N12" s="1107">
        <f>-N152-N267</f>
        <v>1.7261478623650492</v>
      </c>
      <c r="O12" s="1107">
        <f t="shared" ref="O12:S12" si="4">-O152-O267</f>
        <v>2.0504778623650495</v>
      </c>
      <c r="P12" s="1107">
        <f t="shared" si="4"/>
        <v>2.3748078623650493</v>
      </c>
      <c r="Q12" s="1107">
        <f t="shared" si="4"/>
        <v>2.9841378623650492</v>
      </c>
      <c r="R12" s="1107">
        <f t="shared" si="4"/>
        <v>3.5934678623650491</v>
      </c>
      <c r="S12" s="1107">
        <f t="shared" si="4"/>
        <v>3.9177978623650489</v>
      </c>
    </row>
    <row r="13" spans="1:24" s="246" customFormat="1" ht="14.25" customHeight="1">
      <c r="A13" s="244"/>
      <c r="B13" s="244"/>
      <c r="C13" s="244" t="s">
        <v>347</v>
      </c>
      <c r="D13" s="245"/>
      <c r="E13" s="245"/>
      <c r="F13" s="245"/>
      <c r="G13" s="245"/>
      <c r="H13" s="993">
        <f>H8-SUM(H9:H12)</f>
        <v>-1.1165682216329742E-3</v>
      </c>
      <c r="I13" s="993">
        <f t="shared" ref="I13:M13" si="5">I8-SUM(I9:I12)</f>
        <v>1.1693016344729301E-2</v>
      </c>
      <c r="J13" s="993">
        <f t="shared" si="5"/>
        <v>-7.6606267806269557E-3</v>
      </c>
      <c r="K13" s="993">
        <f t="shared" si="5"/>
        <v>0</v>
      </c>
      <c r="L13" s="993">
        <f t="shared" si="5"/>
        <v>4.7715653775384226E-3</v>
      </c>
      <c r="M13" s="993">
        <f t="shared" si="5"/>
        <v>-4.5833060793007974E-3</v>
      </c>
      <c r="N13" s="1108">
        <f>L13</f>
        <v>4.7715653775384226E-3</v>
      </c>
      <c r="O13" s="1108">
        <f>N13</f>
        <v>4.7715653775384226E-3</v>
      </c>
      <c r="P13" s="1108">
        <f t="shared" ref="P13:S13" si="6">O13</f>
        <v>4.7715653775384226E-3</v>
      </c>
      <c r="Q13" s="1108">
        <f t="shared" si="6"/>
        <v>4.7715653775384226E-3</v>
      </c>
      <c r="R13" s="1108">
        <f t="shared" si="6"/>
        <v>4.7715653775384226E-3</v>
      </c>
      <c r="S13" s="1108">
        <f t="shared" si="6"/>
        <v>4.7715653775384226E-3</v>
      </c>
    </row>
    <row r="14" spans="1:24" s="108" customFormat="1" ht="14.25" customHeight="1">
      <c r="A14" s="106"/>
      <c r="B14" s="106"/>
      <c r="C14" s="106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</row>
    <row r="15" spans="1:24" s="997" customFormat="1" ht="14.25" customHeight="1">
      <c r="A15" s="220"/>
      <c r="B15" s="220" t="s">
        <v>984</v>
      </c>
      <c r="C15" s="220"/>
      <c r="D15" s="994"/>
      <c r="E15" s="994"/>
      <c r="F15" s="994"/>
      <c r="G15" s="994"/>
      <c r="H15" s="1073">
        <f>资产负债表!H31</f>
        <v>238.46</v>
      </c>
      <c r="I15" s="1073">
        <f>资产负债表!I31</f>
        <v>239.24</v>
      </c>
      <c r="J15" s="1073">
        <f>资产负债表!J31</f>
        <v>230.08</v>
      </c>
      <c r="K15" s="1281"/>
      <c r="L15" s="1073">
        <f>资产负债表!L31</f>
        <v>209.9</v>
      </c>
      <c r="M15" s="1073">
        <f>资产负债表!M31</f>
        <v>215.79</v>
      </c>
      <c r="N15" s="1013">
        <f>SUM(N16:N20)</f>
        <v>220.11424994298028</v>
      </c>
      <c r="O15" s="1013">
        <f t="shared" ref="O15:S15" si="7">SUM(O16:O20)</f>
        <v>241.52006942499932</v>
      </c>
      <c r="P15" s="1013">
        <f t="shared" si="7"/>
        <v>262.8553472535786</v>
      </c>
      <c r="Q15" s="1013">
        <f t="shared" si="7"/>
        <v>257.17001825732495</v>
      </c>
      <c r="R15" s="1013">
        <f t="shared" si="7"/>
        <v>237.53479893929261</v>
      </c>
      <c r="S15" s="1013">
        <f t="shared" si="7"/>
        <v>210.86857041456929</v>
      </c>
      <c r="V15" s="1123"/>
      <c r="W15" s="1101"/>
      <c r="X15" s="1101"/>
    </row>
    <row r="16" spans="1:24" s="246" customFormat="1" ht="14.25" customHeight="1">
      <c r="A16" s="244"/>
      <c r="B16" s="244"/>
      <c r="C16" s="244" t="s">
        <v>313</v>
      </c>
      <c r="D16" s="245"/>
      <c r="E16" s="245"/>
      <c r="F16" s="245"/>
      <c r="G16" s="245"/>
      <c r="H16" s="993">
        <f>H79</f>
        <v>107.29600000000001</v>
      </c>
      <c r="I16" s="993">
        <f>I79</f>
        <v>108.16200000000001</v>
      </c>
      <c r="J16" s="993">
        <f>J79</f>
        <v>104.476</v>
      </c>
      <c r="K16" s="1014"/>
      <c r="L16" s="993">
        <f>L79</f>
        <v>106.7</v>
      </c>
      <c r="M16" s="1014"/>
      <c r="N16" s="993">
        <f>N79</f>
        <v>116.54542660378888</v>
      </c>
      <c r="O16" s="993">
        <f t="shared" ref="O16:S16" si="8">O79</f>
        <v>125.53157568788592</v>
      </c>
      <c r="P16" s="993">
        <f t="shared" si="8"/>
        <v>150.23353722968071</v>
      </c>
      <c r="Q16" s="993">
        <f t="shared" si="8"/>
        <v>143.87124605777998</v>
      </c>
      <c r="R16" s="993">
        <f t="shared" si="8"/>
        <v>129.32112573396853</v>
      </c>
      <c r="S16" s="993">
        <f t="shared" si="8"/>
        <v>114.72685620346616</v>
      </c>
      <c r="V16" s="1101"/>
    </row>
    <row r="17" spans="1:29" s="246" customFormat="1" ht="14.25" customHeight="1">
      <c r="A17" s="244"/>
      <c r="B17" s="244"/>
      <c r="C17" s="244" t="s">
        <v>314</v>
      </c>
      <c r="D17" s="245"/>
      <c r="E17" s="245"/>
      <c r="F17" s="245"/>
      <c r="G17" s="245"/>
      <c r="H17" s="993">
        <f>H104</f>
        <v>90.521000000000001</v>
      </c>
      <c r="I17" s="993">
        <f>I104</f>
        <v>91.325000000000003</v>
      </c>
      <c r="J17" s="993">
        <f>J104</f>
        <v>83.022000000000006</v>
      </c>
      <c r="K17" s="1014"/>
      <c r="L17" s="993">
        <f>L104</f>
        <v>63.84</v>
      </c>
      <c r="M17" s="1014"/>
      <c r="N17" s="993">
        <f>N104</f>
        <v>62.561994895000005</v>
      </c>
      <c r="O17" s="993">
        <f t="shared" ref="O17:S17" si="9">O104</f>
        <v>73.979506848730537</v>
      </c>
      <c r="P17" s="993">
        <f t="shared" si="9"/>
        <v>70.255334691323611</v>
      </c>
      <c r="Q17" s="993">
        <f t="shared" si="9"/>
        <v>65.789478422779226</v>
      </c>
      <c r="R17" s="993">
        <f t="shared" si="9"/>
        <v>56.776230984366848</v>
      </c>
      <c r="S17" s="993">
        <f t="shared" si="9"/>
        <v>47.420793545954467</v>
      </c>
      <c r="V17" s="1101"/>
    </row>
    <row r="18" spans="1:29" s="246" customFormat="1" ht="14.25" customHeight="1">
      <c r="A18" s="244"/>
      <c r="B18" s="244"/>
      <c r="C18" s="244" t="s">
        <v>315</v>
      </c>
      <c r="D18" s="245"/>
      <c r="E18" s="245"/>
      <c r="F18" s="245"/>
      <c r="G18" s="245"/>
      <c r="H18" s="993">
        <f>H129</f>
        <v>23.532423335874647</v>
      </c>
      <c r="I18" s="993">
        <f>I129</f>
        <v>26.129691708184961</v>
      </c>
      <c r="J18" s="993">
        <f>J129</f>
        <v>29.329274695622857</v>
      </c>
      <c r="K18" s="1014"/>
      <c r="L18" s="993">
        <f>L129</f>
        <v>27.708311848251626</v>
      </c>
      <c r="M18" s="1014"/>
      <c r="N18" s="993">
        <f t="shared" ref="N18:S18" si="10">N129</f>
        <v>27.667288154808123</v>
      </c>
      <c r="O18" s="993">
        <f t="shared" si="10"/>
        <v>27.305924461364619</v>
      </c>
      <c r="P18" s="993">
        <f t="shared" si="10"/>
        <v>26.624220767921116</v>
      </c>
      <c r="Q18" s="993">
        <f t="shared" si="10"/>
        <v>28.337177074477612</v>
      </c>
      <c r="R18" s="993">
        <f t="shared" si="10"/>
        <v>29.444793381034106</v>
      </c>
      <c r="S18" s="993">
        <f t="shared" si="10"/>
        <v>27.232069687590599</v>
      </c>
    </row>
    <row r="19" spans="1:29" s="246" customFormat="1" ht="14.25" customHeight="1">
      <c r="A19" s="244"/>
      <c r="B19" s="244"/>
      <c r="C19" s="244" t="s">
        <v>316</v>
      </c>
      <c r="D19" s="245"/>
      <c r="E19" s="245"/>
      <c r="F19" s="245"/>
      <c r="G19" s="245"/>
      <c r="H19" s="993">
        <f>H154</f>
        <v>17.153022862344844</v>
      </c>
      <c r="I19" s="993">
        <f>I154</f>
        <v>13.666398870556099</v>
      </c>
      <c r="J19" s="993">
        <f>J154</f>
        <v>13.291113953958238</v>
      </c>
      <c r="K19" s="1014"/>
      <c r="L19" s="993">
        <f>L154</f>
        <v>11.691401002292846</v>
      </c>
      <c r="M19" s="1014"/>
      <c r="N19" s="993">
        <f t="shared" ref="N19:S19" si="11">N154</f>
        <v>13.379253139927796</v>
      </c>
      <c r="O19" s="993">
        <f t="shared" si="11"/>
        <v>14.742775277562746</v>
      </c>
      <c r="P19" s="993">
        <f t="shared" si="11"/>
        <v>15.781967415197698</v>
      </c>
      <c r="Q19" s="993">
        <f t="shared" si="11"/>
        <v>19.211829552832651</v>
      </c>
      <c r="R19" s="993">
        <f t="shared" si="11"/>
        <v>22.032361690467599</v>
      </c>
      <c r="S19" s="993">
        <f t="shared" si="11"/>
        <v>21.528563828102552</v>
      </c>
    </row>
    <row r="20" spans="1:29" s="246" customFormat="1" ht="14.25" customHeight="1">
      <c r="A20" s="244"/>
      <c r="B20" s="244"/>
      <c r="C20" s="244" t="s">
        <v>347</v>
      </c>
      <c r="D20" s="245"/>
      <c r="E20" s="245"/>
      <c r="F20" s="245"/>
      <c r="G20" s="245"/>
      <c r="H20" s="993">
        <f>H15-SUM(H16:H19)</f>
        <v>-4.2446198219494136E-2</v>
      </c>
      <c r="I20" s="993">
        <f t="shared" ref="I20:J20" si="12">I15-SUM(I16:I19)</f>
        <v>-4.309057874107225E-2</v>
      </c>
      <c r="J20" s="993">
        <f t="shared" si="12"/>
        <v>-3.8388649581094114E-2</v>
      </c>
      <c r="K20" s="1014"/>
      <c r="L20" s="993">
        <f>L15-SUM(L16:L19)</f>
        <v>-3.9712850544503908E-2</v>
      </c>
      <c r="M20" s="1014"/>
      <c r="N20" s="1015">
        <f>L20</f>
        <v>-3.9712850544503908E-2</v>
      </c>
      <c r="O20" s="1015">
        <f>N20</f>
        <v>-3.9712850544503908E-2</v>
      </c>
      <c r="P20" s="1015">
        <f>O20</f>
        <v>-3.9712850544503908E-2</v>
      </c>
      <c r="Q20" s="1015">
        <f t="shared" ref="Q20:S20" si="13">P20</f>
        <v>-3.9712850544503908E-2</v>
      </c>
      <c r="R20" s="1015">
        <f t="shared" si="13"/>
        <v>-3.9712850544503908E-2</v>
      </c>
      <c r="S20" s="1015">
        <f t="shared" si="13"/>
        <v>-3.9712850544503908E-2</v>
      </c>
    </row>
    <row r="21" spans="1:29" s="1018" customFormat="1" ht="14.25" customHeight="1">
      <c r="A21" s="1016"/>
      <c r="B21" s="1016"/>
      <c r="C21" s="1016"/>
      <c r="D21" s="1017"/>
      <c r="E21" s="1017"/>
      <c r="F21" s="1017"/>
      <c r="G21" s="1017"/>
      <c r="H21" s="992"/>
      <c r="I21" s="992"/>
      <c r="J21" s="992"/>
      <c r="K21" s="992"/>
      <c r="L21" s="992"/>
      <c r="M21" s="992"/>
      <c r="N21" s="992"/>
      <c r="O21" s="992"/>
      <c r="P21" s="992"/>
      <c r="Q21" s="992"/>
      <c r="R21" s="992"/>
      <c r="S21" s="992"/>
    </row>
    <row r="22" spans="1:29" s="997" customFormat="1" ht="14.25" customHeight="1">
      <c r="A22" s="220"/>
      <c r="B22" s="220" t="s">
        <v>1054</v>
      </c>
      <c r="C22" s="220"/>
      <c r="D22" s="994"/>
      <c r="E22" s="994"/>
      <c r="F22" s="994"/>
      <c r="G22" s="994"/>
      <c r="H22" s="1013"/>
      <c r="I22" s="995">
        <v>7.8172673075780102E-2</v>
      </c>
      <c r="J22" s="995">
        <v>12.660751530398862</v>
      </c>
      <c r="K22" s="1014"/>
      <c r="L22" s="995">
        <v>17.650072240000004</v>
      </c>
      <c r="M22" s="996">
        <v>2.2456229999999997E-2</v>
      </c>
      <c r="N22" s="1013">
        <f>SUM(N23:N27)</f>
        <v>3.9952284346225184</v>
      </c>
      <c r="O22" s="1013">
        <f t="shared" ref="O22:S22" si="14">SUM(O23:O27)</f>
        <v>1.9952284346224509</v>
      </c>
      <c r="P22" s="1013">
        <f t="shared" si="14"/>
        <v>1.9952284346224829</v>
      </c>
      <c r="Q22" s="1013">
        <f t="shared" si="14"/>
        <v>1.9952284346224403</v>
      </c>
      <c r="R22" s="1013">
        <f t="shared" si="14"/>
        <v>1.9952284346223905</v>
      </c>
      <c r="S22" s="1013">
        <f t="shared" si="14"/>
        <v>1.9952284346224971</v>
      </c>
    </row>
    <row r="23" spans="1:29" s="246" customFormat="1" ht="14.25" customHeight="1">
      <c r="A23" s="244"/>
      <c r="B23" s="244"/>
      <c r="C23" s="244" t="s">
        <v>313</v>
      </c>
      <c r="D23" s="245"/>
      <c r="E23" s="245"/>
      <c r="F23" s="245"/>
      <c r="G23" s="245"/>
      <c r="H23" s="993">
        <f>I101</f>
        <v>0</v>
      </c>
      <c r="I23" s="993">
        <f>-I101</f>
        <v>0</v>
      </c>
      <c r="J23" s="993">
        <f>-J101</f>
        <v>8</v>
      </c>
      <c r="K23" s="1014"/>
      <c r="L23" s="993">
        <f>-L101</f>
        <v>13</v>
      </c>
      <c r="M23" s="1014"/>
      <c r="N23" s="993">
        <f>-N101</f>
        <v>2</v>
      </c>
      <c r="O23" s="993">
        <f t="shared" ref="O23:S23" si="15">-O101</f>
        <v>1</v>
      </c>
      <c r="P23" s="993">
        <f t="shared" si="15"/>
        <v>1</v>
      </c>
      <c r="Q23" s="993">
        <f t="shared" si="15"/>
        <v>1</v>
      </c>
      <c r="R23" s="993">
        <f t="shared" si="15"/>
        <v>1</v>
      </c>
      <c r="S23" s="993">
        <f t="shared" si="15"/>
        <v>1</v>
      </c>
    </row>
    <row r="24" spans="1:29" s="246" customFormat="1" ht="14.25" customHeight="1">
      <c r="A24" s="244"/>
      <c r="B24" s="244"/>
      <c r="C24" s="244" t="s">
        <v>314</v>
      </c>
      <c r="D24" s="245"/>
      <c r="E24" s="245"/>
      <c r="F24" s="245"/>
      <c r="G24" s="245"/>
      <c r="H24" s="993">
        <f>I76</f>
        <v>0</v>
      </c>
      <c r="I24" s="993">
        <f>-I76</f>
        <v>0</v>
      </c>
      <c r="J24" s="993">
        <f>-J76</f>
        <v>5</v>
      </c>
      <c r="K24" s="1014"/>
      <c r="L24" s="993">
        <f>-L76</f>
        <v>5</v>
      </c>
      <c r="M24" s="1014"/>
      <c r="N24" s="993">
        <f>-N76</f>
        <v>2</v>
      </c>
      <c r="O24" s="993">
        <f t="shared" ref="O24:S24" si="16">-O76</f>
        <v>1</v>
      </c>
      <c r="P24" s="993">
        <f t="shared" si="16"/>
        <v>1</v>
      </c>
      <c r="Q24" s="993">
        <f t="shared" si="16"/>
        <v>1</v>
      </c>
      <c r="R24" s="993">
        <f t="shared" si="16"/>
        <v>1</v>
      </c>
      <c r="S24" s="993">
        <f t="shared" si="16"/>
        <v>1</v>
      </c>
    </row>
    <row r="25" spans="1:29" s="246" customFormat="1" ht="14.25" customHeight="1">
      <c r="A25" s="244"/>
      <c r="B25" s="244"/>
      <c r="C25" s="244" t="s">
        <v>315</v>
      </c>
      <c r="D25" s="245"/>
      <c r="E25" s="245"/>
      <c r="F25" s="245"/>
      <c r="G25" s="245"/>
      <c r="H25" s="993">
        <f>I126</f>
        <v>0</v>
      </c>
      <c r="I25" s="993">
        <f>-I126</f>
        <v>0</v>
      </c>
      <c r="J25" s="993">
        <f>-J126</f>
        <v>0</v>
      </c>
      <c r="K25" s="1014"/>
      <c r="L25" s="993">
        <f>-L126</f>
        <v>0</v>
      </c>
      <c r="M25" s="1014"/>
      <c r="N25" s="993">
        <f>-N126</f>
        <v>0</v>
      </c>
      <c r="O25" s="993">
        <f t="shared" ref="O25:S25" si="17">-O126</f>
        <v>0</v>
      </c>
      <c r="P25" s="993">
        <f t="shared" si="17"/>
        <v>0</v>
      </c>
      <c r="Q25" s="993">
        <f t="shared" si="17"/>
        <v>0</v>
      </c>
      <c r="R25" s="993">
        <f t="shared" si="17"/>
        <v>0</v>
      </c>
      <c r="S25" s="993">
        <f t="shared" si="17"/>
        <v>0</v>
      </c>
    </row>
    <row r="26" spans="1:29" s="246" customFormat="1" ht="14.25" customHeight="1">
      <c r="A26" s="244"/>
      <c r="B26" s="244"/>
      <c r="C26" s="244" t="s">
        <v>316</v>
      </c>
      <c r="D26" s="245"/>
      <c r="E26" s="245"/>
      <c r="F26" s="245"/>
      <c r="G26" s="245"/>
      <c r="H26" s="993">
        <f>I151</f>
        <v>0</v>
      </c>
      <c r="I26" s="993">
        <f>-I151</f>
        <v>0</v>
      </c>
      <c r="J26" s="993">
        <f>-J151</f>
        <v>0</v>
      </c>
      <c r="K26" s="1014"/>
      <c r="L26" s="993">
        <f>-L151</f>
        <v>0</v>
      </c>
      <c r="M26" s="1014"/>
      <c r="N26" s="993">
        <f>-N151</f>
        <v>0</v>
      </c>
      <c r="O26" s="993">
        <f t="shared" ref="O26:S26" si="18">-O151</f>
        <v>0</v>
      </c>
      <c r="P26" s="993">
        <f t="shared" si="18"/>
        <v>0</v>
      </c>
      <c r="Q26" s="993">
        <f t="shared" si="18"/>
        <v>0</v>
      </c>
      <c r="R26" s="993">
        <f t="shared" si="18"/>
        <v>0</v>
      </c>
      <c r="S26" s="993">
        <f t="shared" si="18"/>
        <v>0</v>
      </c>
    </row>
    <row r="27" spans="1:29" s="246" customFormat="1" ht="14.25" customHeight="1">
      <c r="A27" s="244"/>
      <c r="B27" s="244"/>
      <c r="C27" s="244" t="s">
        <v>347</v>
      </c>
      <c r="D27" s="245"/>
      <c r="E27" s="245"/>
      <c r="F27" s="245"/>
      <c r="G27" s="245"/>
      <c r="H27" s="993">
        <f>H22-SUM(H23:H26)</f>
        <v>0</v>
      </c>
      <c r="I27" s="993">
        <f>I22-SUM(I23:I26)</f>
        <v>7.8172673075780102E-2</v>
      </c>
      <c r="J27" s="993">
        <f>J22-SUM(J23:J26)</f>
        <v>-0.33924846960113797</v>
      </c>
      <c r="K27" s="1014"/>
      <c r="L27" s="993">
        <f>L22-SUM(L23:L26)</f>
        <v>-0.34992775999999637</v>
      </c>
      <c r="M27" s="1014"/>
      <c r="N27" s="1015">
        <f>-((N15-L15)+(N30-L30)-N37+N8)-SUM(N23:N26)</f>
        <v>-4.7715653774815792E-3</v>
      </c>
      <c r="O27" s="1015">
        <f>-((O15-N15)+(O30-N30)-O37+O8)-SUM(O23:O26)</f>
        <v>-4.7715653775490807E-3</v>
      </c>
      <c r="P27" s="1015">
        <f t="shared" ref="P27:S27" si="19">-((P15-O15)+(P30-O30)-P37+P8)-SUM(P23:P26)</f>
        <v>-4.7715653775171063E-3</v>
      </c>
      <c r="Q27" s="1015">
        <f t="shared" si="19"/>
        <v>-4.7715653775597389E-3</v>
      </c>
      <c r="R27" s="1015">
        <f>-((R15-Q15)+(R30-Q30)-R37+R8)-SUM(R23:R26)</f>
        <v>-4.7715653776094769E-3</v>
      </c>
      <c r="S27" s="1015">
        <f t="shared" si="19"/>
        <v>-4.7715653775028954E-3</v>
      </c>
    </row>
    <row r="28" spans="1:29" s="1018" customFormat="1" ht="14.25" customHeight="1">
      <c r="A28" s="1016"/>
      <c r="B28" s="1016"/>
      <c r="C28" s="1016"/>
      <c r="D28" s="1017"/>
      <c r="E28" s="1017"/>
      <c r="F28" s="1017"/>
      <c r="G28" s="1017"/>
      <c r="H28" s="992"/>
      <c r="I28" s="992"/>
      <c r="J28" s="992"/>
      <c r="K28" s="992"/>
      <c r="L28" s="992"/>
      <c r="M28" s="992"/>
      <c r="N28" s="992"/>
      <c r="O28" s="992"/>
      <c r="P28" s="992"/>
      <c r="Q28" s="992"/>
      <c r="R28" s="992"/>
      <c r="S28" s="992"/>
    </row>
    <row r="29" spans="1:29" s="1018" customFormat="1" ht="14.25" customHeight="1">
      <c r="A29" s="1016"/>
      <c r="B29" s="1016"/>
      <c r="C29" s="1016"/>
      <c r="D29" s="1017"/>
      <c r="E29" s="1017"/>
      <c r="F29" s="1017"/>
      <c r="G29" s="1017"/>
      <c r="H29" s="992"/>
      <c r="I29" s="992"/>
      <c r="J29" s="992"/>
      <c r="K29" s="993"/>
      <c r="L29" s="992"/>
      <c r="M29" s="992"/>
      <c r="N29" s="992"/>
      <c r="O29" s="992"/>
      <c r="P29" s="992"/>
      <c r="Q29" s="992"/>
      <c r="R29" s="992"/>
      <c r="S29" s="992"/>
    </row>
    <row r="30" spans="1:29" s="997" customFormat="1" ht="14.25" customHeight="1">
      <c r="A30" s="220"/>
      <c r="B30" s="220" t="s">
        <v>985</v>
      </c>
      <c r="C30" s="220"/>
      <c r="D30" s="994"/>
      <c r="E30" s="994"/>
      <c r="F30" s="994"/>
      <c r="G30" s="994"/>
      <c r="H30" s="995">
        <f>资产负债表!H33</f>
        <v>36.54</v>
      </c>
      <c r="I30" s="995">
        <f>资产负债表!I33</f>
        <v>31.24</v>
      </c>
      <c r="J30" s="995">
        <f>资产负债表!J33</f>
        <v>50.93</v>
      </c>
      <c r="K30" s="1014"/>
      <c r="L30" s="995">
        <f>资产负债表!L33</f>
        <v>44.51</v>
      </c>
      <c r="M30" s="995">
        <f>资产负债表!M33</f>
        <v>41.75</v>
      </c>
      <c r="N30" s="1013">
        <f>SUM(N31:N35)</f>
        <v>44.51</v>
      </c>
      <c r="O30" s="1013">
        <f t="shared" ref="O30" si="20">SUM(O31:O35)</f>
        <v>44.51</v>
      </c>
      <c r="P30" s="1013">
        <f t="shared" ref="P30" si="21">SUM(P31:P35)</f>
        <v>44.51</v>
      </c>
      <c r="Q30" s="1013">
        <f t="shared" ref="Q30" si="22">SUM(Q31:Q35)</f>
        <v>44.51</v>
      </c>
      <c r="R30" s="1013">
        <f t="shared" ref="R30" si="23">SUM(R31:R35)</f>
        <v>44.51</v>
      </c>
      <c r="S30" s="1013">
        <f t="shared" ref="S30" si="24">SUM(S31:S35)</f>
        <v>44.51</v>
      </c>
      <c r="W30" s="1101"/>
      <c r="X30" s="1101"/>
      <c r="Y30" s="1101"/>
      <c r="Z30" s="1101"/>
      <c r="AA30" s="1101"/>
      <c r="AB30" s="1101"/>
      <c r="AC30" s="1101"/>
    </row>
    <row r="31" spans="1:29" s="246" customFormat="1" ht="14.25" customHeight="1">
      <c r="A31" s="244"/>
      <c r="B31" s="244"/>
      <c r="C31" s="244" t="s">
        <v>313</v>
      </c>
      <c r="D31" s="245"/>
      <c r="E31" s="245"/>
      <c r="F31" s="245"/>
      <c r="G31" s="245"/>
      <c r="H31" s="993">
        <f>H223</f>
        <v>9.2667969999999986</v>
      </c>
      <c r="I31" s="993">
        <f>I223</f>
        <v>6.8565550000000002</v>
      </c>
      <c r="J31" s="993">
        <f>J223</f>
        <v>26.49171084</v>
      </c>
      <c r="K31" s="1014"/>
      <c r="L31" s="993">
        <f>L223</f>
        <v>21.611602210000012</v>
      </c>
      <c r="M31" s="1014"/>
      <c r="N31" s="993">
        <f t="shared" ref="N31:S31" si="25">N223</f>
        <v>21.611602210000012</v>
      </c>
      <c r="O31" s="993">
        <f t="shared" si="25"/>
        <v>21.611602210000012</v>
      </c>
      <c r="P31" s="993">
        <f t="shared" si="25"/>
        <v>21.611602210000012</v>
      </c>
      <c r="Q31" s="993">
        <f t="shared" si="25"/>
        <v>21.611602210000012</v>
      </c>
      <c r="R31" s="993">
        <f t="shared" si="25"/>
        <v>21.611602210000012</v>
      </c>
      <c r="S31" s="993">
        <f t="shared" si="25"/>
        <v>21.611602210000012</v>
      </c>
      <c r="V31" s="688"/>
      <c r="W31" s="688"/>
      <c r="X31" s="688"/>
      <c r="Y31" s="688"/>
      <c r="Z31" s="688"/>
      <c r="AA31" s="688"/>
    </row>
    <row r="32" spans="1:29" s="246" customFormat="1" ht="14.25" customHeight="1">
      <c r="A32" s="244"/>
      <c r="B32" s="244"/>
      <c r="C32" s="244" t="s">
        <v>314</v>
      </c>
      <c r="D32" s="245"/>
      <c r="E32" s="245"/>
      <c r="F32" s="245"/>
      <c r="G32" s="245"/>
      <c r="H32" s="993">
        <f>H201</f>
        <v>17.443241603274931</v>
      </c>
      <c r="I32" s="993">
        <f>I201</f>
        <v>16.647912521896448</v>
      </c>
      <c r="J32" s="993">
        <f>J201</f>
        <v>16.202493759442024</v>
      </c>
      <c r="K32" s="1014"/>
      <c r="L32" s="993">
        <f>L201</f>
        <v>15.243818298926051</v>
      </c>
      <c r="M32" s="1014"/>
      <c r="N32" s="993">
        <f t="shared" ref="N32:S32" si="26">N201</f>
        <v>15.243818298926051</v>
      </c>
      <c r="O32" s="993">
        <f t="shared" si="26"/>
        <v>15.243818298926051</v>
      </c>
      <c r="P32" s="993">
        <f t="shared" si="26"/>
        <v>15.243818298926051</v>
      </c>
      <c r="Q32" s="993">
        <f t="shared" si="26"/>
        <v>15.243818298926051</v>
      </c>
      <c r="R32" s="993">
        <f t="shared" si="26"/>
        <v>15.243818298926051</v>
      </c>
      <c r="S32" s="993">
        <f t="shared" si="26"/>
        <v>15.243818298926051</v>
      </c>
      <c r="V32" s="688"/>
      <c r="W32" s="688"/>
      <c r="X32" s="688"/>
      <c r="Y32" s="688"/>
      <c r="Z32" s="688"/>
      <c r="AA32" s="688"/>
    </row>
    <row r="33" spans="1:28" s="246" customFormat="1" ht="14.25" customHeight="1">
      <c r="A33" s="244"/>
      <c r="B33" s="244"/>
      <c r="C33" s="244" t="s">
        <v>315</v>
      </c>
      <c r="D33" s="245"/>
      <c r="E33" s="245"/>
      <c r="F33" s="245"/>
      <c r="G33" s="245"/>
      <c r="H33" s="993">
        <f>H246</f>
        <v>5.5189117078639205</v>
      </c>
      <c r="I33" s="993">
        <f>I246</f>
        <v>3.5991484914043883</v>
      </c>
      <c r="J33" s="993">
        <f>J246</f>
        <v>3.7646498211528083</v>
      </c>
      <c r="K33" s="1014"/>
      <c r="L33" s="993">
        <f>L246</f>
        <v>3.6871743103320167</v>
      </c>
      <c r="M33" s="1014"/>
      <c r="N33" s="993">
        <f t="shared" ref="N33:S33" si="27">N246</f>
        <v>3.6871743103320167</v>
      </c>
      <c r="O33" s="993">
        <f t="shared" si="27"/>
        <v>3.6871743103320167</v>
      </c>
      <c r="P33" s="993">
        <f t="shared" si="27"/>
        <v>3.6871743103320167</v>
      </c>
      <c r="Q33" s="993">
        <f t="shared" si="27"/>
        <v>3.6871743103320167</v>
      </c>
      <c r="R33" s="993">
        <f t="shared" si="27"/>
        <v>3.6871743103320167</v>
      </c>
      <c r="S33" s="993">
        <f t="shared" si="27"/>
        <v>3.6871743103320167</v>
      </c>
      <c r="V33" s="688"/>
      <c r="W33" s="688"/>
      <c r="X33" s="688"/>
      <c r="Y33" s="688"/>
      <c r="Z33" s="688"/>
      <c r="AA33" s="688"/>
    </row>
    <row r="34" spans="1:28" s="246" customFormat="1" ht="14.25" customHeight="1">
      <c r="A34" s="244"/>
      <c r="B34" s="244"/>
      <c r="C34" s="244" t="s">
        <v>316</v>
      </c>
      <c r="D34" s="245"/>
      <c r="E34" s="245"/>
      <c r="F34" s="245"/>
      <c r="G34" s="245"/>
      <c r="H34" s="993">
        <f>H268</f>
        <v>4.308619614874603</v>
      </c>
      <c r="I34" s="993">
        <f t="shared" ref="I34:L34" si="28">I268</f>
        <v>4.139925485500676</v>
      </c>
      <c r="J34" s="993">
        <f t="shared" si="28"/>
        <v>4.4666368685605775</v>
      </c>
      <c r="K34" s="1014"/>
      <c r="L34" s="993">
        <f t="shared" si="28"/>
        <v>3.9645008387712752</v>
      </c>
      <c r="M34" s="1014"/>
      <c r="N34" s="993">
        <f t="shared" ref="N34:S34" si="29">N268</f>
        <v>3.9645008387712752</v>
      </c>
      <c r="O34" s="993">
        <f t="shared" si="29"/>
        <v>3.9645008387712752</v>
      </c>
      <c r="P34" s="993">
        <f t="shared" si="29"/>
        <v>3.9645008387712752</v>
      </c>
      <c r="Q34" s="993">
        <f t="shared" si="29"/>
        <v>3.9645008387712752</v>
      </c>
      <c r="R34" s="993">
        <f t="shared" si="29"/>
        <v>3.9645008387712752</v>
      </c>
      <c r="S34" s="993">
        <f t="shared" si="29"/>
        <v>3.9645008387712752</v>
      </c>
      <c r="V34" s="688"/>
      <c r="W34" s="688"/>
      <c r="X34" s="688"/>
      <c r="Y34" s="688"/>
      <c r="Z34" s="688"/>
      <c r="AA34" s="688"/>
      <c r="AB34" s="688"/>
    </row>
    <row r="35" spans="1:28" s="246" customFormat="1" ht="14.25" customHeight="1">
      <c r="A35" s="244"/>
      <c r="B35" s="244"/>
      <c r="C35" s="244" t="s">
        <v>347</v>
      </c>
      <c r="D35" s="245"/>
      <c r="E35" s="245"/>
      <c r="F35" s="245"/>
      <c r="G35" s="245"/>
      <c r="H35" s="993">
        <f>H30-SUM(H31:H34)</f>
        <v>2.430073986545267E-3</v>
      </c>
      <c r="I35" s="993">
        <f t="shared" ref="I35" si="30">I30-SUM(I31:I34)</f>
        <v>-3.5414988015141091E-3</v>
      </c>
      <c r="J35" s="993">
        <f t="shared" ref="J35" si="31">J30-SUM(J31:J34)</f>
        <v>4.5087108445898139E-3</v>
      </c>
      <c r="K35" s="1014"/>
      <c r="L35" s="993">
        <f t="shared" ref="L35" si="32">L30-SUM(L31:L34)</f>
        <v>2.9043419706482609E-3</v>
      </c>
      <c r="M35" s="1014"/>
      <c r="N35" s="1015">
        <f>L35</f>
        <v>2.9043419706482609E-3</v>
      </c>
      <c r="O35" s="1015">
        <f>N35</f>
        <v>2.9043419706482609E-3</v>
      </c>
      <c r="P35" s="1015">
        <f t="shared" ref="P35:S35" si="33">O35</f>
        <v>2.9043419706482609E-3</v>
      </c>
      <c r="Q35" s="1015">
        <f t="shared" si="33"/>
        <v>2.9043419706482609E-3</v>
      </c>
      <c r="R35" s="1015">
        <f t="shared" si="33"/>
        <v>2.9043419706482609E-3</v>
      </c>
      <c r="S35" s="1015">
        <f t="shared" si="33"/>
        <v>2.9043419706482609E-3</v>
      </c>
    </row>
    <row r="36" spans="1:28" s="1018" customFormat="1" ht="14.25" customHeight="1">
      <c r="A36" s="1016"/>
      <c r="B36" s="1016"/>
      <c r="C36" s="1016"/>
      <c r="D36" s="1017"/>
      <c r="E36" s="1017"/>
      <c r="F36" s="1017"/>
      <c r="G36" s="1017"/>
      <c r="H36" s="992"/>
      <c r="I36" s="992"/>
      <c r="J36" s="992"/>
      <c r="K36" s="992"/>
      <c r="L36" s="992"/>
      <c r="M36" s="992"/>
      <c r="N36" s="992"/>
      <c r="O36" s="992"/>
      <c r="P36" s="992"/>
      <c r="Q36" s="992"/>
      <c r="R36" s="992"/>
      <c r="S36" s="992"/>
    </row>
    <row r="37" spans="1:28" s="1018" customFormat="1" ht="14.25" customHeight="1">
      <c r="A37" s="1016"/>
      <c r="B37" s="1019" t="s">
        <v>496</v>
      </c>
      <c r="C37" s="1016"/>
      <c r="D37" s="1017"/>
      <c r="E37" s="1017"/>
      <c r="F37" s="1017"/>
      <c r="G37" s="1017"/>
      <c r="H37" s="1073">
        <f>产能及CAPEX!I22/1000</f>
        <v>41.739057259820811</v>
      </c>
      <c r="I37" s="1073">
        <f>产能及CAPEX!J22/1000</f>
        <v>36.262148383568707</v>
      </c>
      <c r="J37" s="1073">
        <f>产能及CAPEX!K22/1000</f>
        <v>19.89203529999531</v>
      </c>
      <c r="K37" s="1073"/>
      <c r="L37" s="1073">
        <f>产能及CAPEX!M22/1000</f>
        <v>28.046422549765786</v>
      </c>
      <c r="M37" s="1073"/>
      <c r="N37" s="1013">
        <f>SUM(N38:N42)</f>
        <v>40.917024317036777</v>
      </c>
      <c r="O37" s="1013">
        <f t="shared" ref="O37" si="34">SUM(O38:O42)</f>
        <v>55.368611995663514</v>
      </c>
      <c r="P37" s="1013">
        <f t="shared" ref="P37" si="35">SUM(P38:P42)</f>
        <v>61.102840157153359</v>
      </c>
      <c r="Q37" s="1013">
        <f t="shared" ref="Q37" si="36">SUM(Q38:Q42)</f>
        <v>37.659926334055676</v>
      </c>
      <c r="R37" s="1013">
        <f t="shared" ref="R37" si="37">SUM(R38:R42)</f>
        <v>26.198934820195504</v>
      </c>
      <c r="S37" s="1013">
        <f t="shared" ref="S37" si="38">SUM(S38:S42)</f>
        <v>21.180028302215057</v>
      </c>
    </row>
    <row r="38" spans="1:28" s="1018" customFormat="1" ht="14.25" customHeight="1">
      <c r="A38" s="1016"/>
      <c r="B38" s="1016"/>
      <c r="C38" s="244" t="s">
        <v>313</v>
      </c>
      <c r="D38" s="1017"/>
      <c r="E38" s="1017"/>
      <c r="F38" s="1017"/>
      <c r="G38" s="1017"/>
      <c r="H38" s="1068">
        <f>产能及CAPEX!I150/1000</f>
        <v>20.938029400000012</v>
      </c>
      <c r="I38" s="1068">
        <f>产能及CAPEX!J150/1000</f>
        <v>18.142980590000001</v>
      </c>
      <c r="J38" s="1068">
        <f>产能及CAPEX!K150/1000</f>
        <v>4.9733024700000001</v>
      </c>
      <c r="K38" s="1068"/>
      <c r="L38" s="1068">
        <f>产能及CAPEX!M150/1000</f>
        <v>2.4181590000000002</v>
      </c>
      <c r="M38" s="1068"/>
      <c r="N38" s="993">
        <f>N99+N220</f>
        <v>8.4019999999999992</v>
      </c>
      <c r="O38" s="993">
        <f t="shared" ref="O38:S38" si="39">O99+O220</f>
        <v>22.207201169867993</v>
      </c>
      <c r="P38" s="993">
        <f t="shared" si="39"/>
        <v>7.8072011698679953</v>
      </c>
      <c r="Q38" s="993">
        <f t="shared" si="39"/>
        <v>7.8072011698679953</v>
      </c>
      <c r="R38" s="993">
        <f t="shared" si="39"/>
        <v>3.6019999999999999</v>
      </c>
      <c r="S38" s="993">
        <f t="shared" si="39"/>
        <v>3.6019999999999999</v>
      </c>
    </row>
    <row r="39" spans="1:28" s="1018" customFormat="1" ht="14.25" customHeight="1">
      <c r="A39" s="1016"/>
      <c r="B39" s="1016"/>
      <c r="C39" s="244" t="s">
        <v>314</v>
      </c>
      <c r="D39" s="1017"/>
      <c r="E39" s="1017"/>
      <c r="F39" s="1017"/>
      <c r="G39" s="1017"/>
      <c r="H39" s="1068">
        <f>产能及CAPEX!I26/1000</f>
        <v>14.221819140195027</v>
      </c>
      <c r="I39" s="1068">
        <f>产能及CAPEX!J26/1000</f>
        <v>10.93012891571639</v>
      </c>
      <c r="J39" s="1068">
        <f>产能及CAPEX!K26/1000</f>
        <v>8.0139927530557475</v>
      </c>
      <c r="K39" s="1068"/>
      <c r="L39" s="1068">
        <f>产能及CAPEX!M26/1000</f>
        <v>20.938109506625274</v>
      </c>
      <c r="M39" s="1068"/>
      <c r="N39" s="993">
        <f t="shared" ref="N39:S39" si="40">N74+N198</f>
        <v>25.729024317036778</v>
      </c>
      <c r="O39" s="993">
        <f t="shared" si="40"/>
        <v>26.375410825795516</v>
      </c>
      <c r="P39" s="993">
        <f t="shared" si="40"/>
        <v>46.509638987285363</v>
      </c>
      <c r="Q39" s="993">
        <f t="shared" si="40"/>
        <v>17.06672516418768</v>
      </c>
      <c r="R39" s="993">
        <f t="shared" si="40"/>
        <v>9.810934820195504</v>
      </c>
      <c r="S39" s="993">
        <f t="shared" si="40"/>
        <v>10.792028302215055</v>
      </c>
    </row>
    <row r="40" spans="1:28" s="1018" customFormat="1" ht="14.25" customHeight="1">
      <c r="A40" s="1016"/>
      <c r="B40" s="1016"/>
      <c r="C40" s="244" t="s">
        <v>315</v>
      </c>
      <c r="D40" s="1017"/>
      <c r="E40" s="1017"/>
      <c r="F40" s="1017"/>
      <c r="G40" s="1017"/>
      <c r="H40" s="1068">
        <f>产能及CAPEX!I227/1000</f>
        <v>0.16190150630017094</v>
      </c>
      <c r="I40" s="1068">
        <f>产能及CAPEX!J227/1000</f>
        <v>5.3564667059285522</v>
      </c>
      <c r="J40" s="1068">
        <f>产能及CAPEX!K227/1000</f>
        <v>4.5725659484292489</v>
      </c>
      <c r="K40" s="1068"/>
      <c r="L40" s="1068">
        <f>产能及CAPEX!M227/1000</f>
        <v>3.2252904985192821</v>
      </c>
      <c r="M40" s="1068"/>
      <c r="N40" s="993">
        <f t="shared" ref="N40:S40" si="41">N124+N243</f>
        <v>3.3719999999999999</v>
      </c>
      <c r="O40" s="993">
        <f t="shared" si="41"/>
        <v>3.3719999999999999</v>
      </c>
      <c r="P40" s="993">
        <f t="shared" si="41"/>
        <v>3.3719999999999999</v>
      </c>
      <c r="Q40" s="993">
        <f t="shared" si="41"/>
        <v>6.3719999999999999</v>
      </c>
      <c r="R40" s="993">
        <f t="shared" si="41"/>
        <v>6.3719999999999999</v>
      </c>
      <c r="S40" s="993">
        <f t="shared" si="41"/>
        <v>3.3719999999999999</v>
      </c>
    </row>
    <row r="41" spans="1:28" s="1018" customFormat="1" ht="14.25" customHeight="1">
      <c r="A41" s="1016"/>
      <c r="B41" s="1016"/>
      <c r="C41" s="244" t="s">
        <v>316</v>
      </c>
      <c r="D41" s="1017"/>
      <c r="E41" s="1017"/>
      <c r="F41" s="1017"/>
      <c r="G41" s="1017"/>
      <c r="H41" s="1068">
        <f>产能及CAPEX!I264/1000</f>
        <v>6.4173072133255955</v>
      </c>
      <c r="I41" s="1068">
        <f>产能及CAPEX!J264/1000</f>
        <v>1.8325721719237702</v>
      </c>
      <c r="J41" s="1068">
        <f>产能及CAPEX!K264/1000</f>
        <v>2.3321741285103141</v>
      </c>
      <c r="K41" s="1068"/>
      <c r="L41" s="1068">
        <f>产能及CAPEX!M264/1000</f>
        <v>1.4648635446212279</v>
      </c>
      <c r="M41" s="1068"/>
      <c r="N41" s="993">
        <f t="shared" ref="N41:S41" si="42">N149+N265</f>
        <v>3.4140000000000001</v>
      </c>
      <c r="O41" s="993">
        <f t="shared" si="42"/>
        <v>3.4140000000000001</v>
      </c>
      <c r="P41" s="993">
        <f t="shared" si="42"/>
        <v>3.4140000000000001</v>
      </c>
      <c r="Q41" s="993">
        <f t="shared" si="42"/>
        <v>6.4139999999999997</v>
      </c>
      <c r="R41" s="993">
        <f t="shared" si="42"/>
        <v>6.4139999999999997</v>
      </c>
      <c r="S41" s="993">
        <f t="shared" si="42"/>
        <v>3.4140000000000001</v>
      </c>
    </row>
    <row r="42" spans="1:28" s="1018" customFormat="1" ht="14.25" customHeight="1">
      <c r="A42" s="1016"/>
      <c r="B42" s="1016"/>
      <c r="C42" s="244" t="s">
        <v>347</v>
      </c>
      <c r="D42" s="1017"/>
      <c r="E42" s="1017"/>
      <c r="F42" s="1017"/>
      <c r="G42" s="1017"/>
      <c r="H42" s="992">
        <f>H37-SUM(H38:H41)</f>
        <v>0</v>
      </c>
      <c r="I42" s="992">
        <f t="shared" ref="I42:L42" si="43">I37-SUM(I38:I41)</f>
        <v>0</v>
      </c>
      <c r="J42" s="992">
        <f t="shared" si="43"/>
        <v>0</v>
      </c>
      <c r="K42" s="992"/>
      <c r="L42" s="992">
        <f t="shared" si="43"/>
        <v>0</v>
      </c>
      <c r="M42" s="993"/>
      <c r="N42" s="1109">
        <v>0</v>
      </c>
      <c r="O42" s="1109">
        <v>0</v>
      </c>
      <c r="P42" s="1109">
        <v>0</v>
      </c>
      <c r="Q42" s="1109">
        <v>0</v>
      </c>
      <c r="R42" s="1109">
        <v>0</v>
      </c>
      <c r="S42" s="1109">
        <v>0</v>
      </c>
    </row>
    <row r="43" spans="1:28" s="1018" customFormat="1" ht="14.25" customHeight="1">
      <c r="A43" s="1016"/>
      <c r="B43" s="1016"/>
      <c r="C43" s="1016"/>
      <c r="D43" s="1017"/>
      <c r="E43" s="1017"/>
      <c r="F43" s="1017"/>
      <c r="G43" s="1017"/>
      <c r="H43" s="992"/>
      <c r="I43" s="992"/>
      <c r="J43" s="992"/>
      <c r="K43" s="992"/>
      <c r="L43" s="992"/>
      <c r="M43" s="992"/>
      <c r="N43" s="992"/>
      <c r="O43" s="992"/>
      <c r="P43" s="992"/>
      <c r="Q43" s="992"/>
      <c r="R43" s="992"/>
      <c r="S43" s="992"/>
    </row>
    <row r="44" spans="1:28" s="62" customFormat="1">
      <c r="A44" s="10" t="s">
        <v>8</v>
      </c>
      <c r="B44" s="10" t="s">
        <v>498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28" s="96" customForma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</row>
    <row r="46" spans="1:28" s="987" customFormat="1">
      <c r="A46" s="986"/>
      <c r="B46" s="986"/>
      <c r="C46" s="986"/>
      <c r="D46" s="986"/>
      <c r="E46" s="986"/>
      <c r="F46" s="986"/>
      <c r="G46" s="986"/>
      <c r="H46" s="986"/>
      <c r="I46" s="986"/>
      <c r="J46" s="986"/>
      <c r="K46" s="986"/>
      <c r="L46" s="986"/>
      <c r="M46" s="986"/>
      <c r="N46" s="986"/>
      <c r="O46" s="986"/>
      <c r="P46" s="986"/>
      <c r="Q46" s="986"/>
      <c r="R46" s="986"/>
      <c r="S46" s="986"/>
    </row>
    <row r="47" spans="1:28" s="96" customFormat="1" hidden="1" outlineLevel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</row>
    <row r="48" spans="1:28" s="183" customFormat="1" hidden="1" outlineLevel="1"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s="184" customFormat="1" hidden="1" outlineLevel="1">
      <c r="C49" s="237"/>
      <c r="H49" s="20"/>
      <c r="I49" s="20"/>
      <c r="J49" s="20"/>
      <c r="K49" s="20"/>
      <c r="L49" s="80"/>
      <c r="M49" s="80"/>
      <c r="N49" s="20"/>
      <c r="O49" s="20"/>
      <c r="P49" s="20"/>
      <c r="Q49" s="20"/>
      <c r="R49" s="20"/>
      <c r="S49" s="20"/>
      <c r="T49" s="20"/>
    </row>
    <row r="50" spans="1:20" s="185" customFormat="1" hidden="1" outlineLevel="1">
      <c r="C50" s="248"/>
      <c r="H50" s="219"/>
      <c r="I50" s="137"/>
      <c r="J50" s="137"/>
      <c r="K50" s="137"/>
      <c r="L50" s="137"/>
      <c r="M50" s="137"/>
      <c r="N50" s="535"/>
      <c r="O50" s="536"/>
      <c r="P50" s="536"/>
      <c r="Q50" s="536"/>
      <c r="R50" s="536"/>
      <c r="S50" s="536"/>
      <c r="T50" s="219"/>
    </row>
    <row r="51" spans="1:20" s="184" customFormat="1" hidden="1" outlineLevel="1">
      <c r="C51" s="237"/>
      <c r="H51" s="20"/>
      <c r="I51" s="20"/>
      <c r="J51" s="20"/>
      <c r="K51" s="20"/>
      <c r="L51" s="20"/>
      <c r="M51" s="20"/>
      <c r="N51" s="80"/>
      <c r="O51" s="80"/>
      <c r="P51" s="80"/>
      <c r="Q51" s="80"/>
      <c r="R51" s="80"/>
      <c r="S51" s="80"/>
      <c r="T51" s="20"/>
    </row>
    <row r="52" spans="1:20" s="184" customFormat="1" hidden="1" outlineLevel="1">
      <c r="C52" s="237"/>
      <c r="H52" s="20"/>
      <c r="I52" s="221"/>
      <c r="J52" s="221"/>
      <c r="K52" s="221"/>
      <c r="L52" s="80"/>
      <c r="M52" s="80"/>
      <c r="N52" s="20"/>
      <c r="O52" s="20"/>
      <c r="P52" s="20"/>
      <c r="Q52" s="20"/>
      <c r="R52" s="20"/>
      <c r="S52" s="20"/>
      <c r="T52" s="20"/>
    </row>
    <row r="53" spans="1:20" s="184" customFormat="1" ht="15" hidden="1" outlineLevel="1" thickBot="1">
      <c r="B53" s="241"/>
      <c r="C53" s="241"/>
      <c r="D53" s="241"/>
      <c r="E53" s="241"/>
      <c r="F53" s="238"/>
      <c r="G53" s="238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20"/>
    </row>
    <row r="54" spans="1:20" s="183" customFormat="1" hidden="1" outlineLevel="1">
      <c r="B54" s="240"/>
      <c r="C54" s="240"/>
      <c r="D54" s="240"/>
      <c r="E54" s="240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s="183" customFormat="1" hidden="1" outlineLevel="1">
      <c r="B55" s="240"/>
      <c r="C55" s="240"/>
      <c r="D55" s="240"/>
      <c r="E55" s="240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 s="247" customFormat="1" hidden="1" outlineLevel="1">
      <c r="A56" s="26" t="s">
        <v>8</v>
      </c>
      <c r="B56" s="26" t="s">
        <v>508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</row>
    <row r="57" spans="1:20" s="183" customFormat="1" hidden="1" outlineLevel="1">
      <c r="B57" s="240" t="s">
        <v>509</v>
      </c>
      <c r="C57" s="240"/>
      <c r="D57" s="240"/>
      <c r="E57" s="240"/>
      <c r="G57" s="393">
        <v>10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 s="183" customFormat="1" hidden="1" outlineLevel="1">
      <c r="B58" s="240" t="s">
        <v>510</v>
      </c>
      <c r="C58" s="240"/>
      <c r="D58" s="240"/>
      <c r="E58" s="240"/>
      <c r="G58" s="479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 s="183" customFormat="1" hidden="1" outlineLevel="1">
      <c r="B59" s="240" t="s">
        <v>511</v>
      </c>
      <c r="C59" s="240"/>
      <c r="D59" s="240"/>
      <c r="E59" s="240"/>
      <c r="G59" s="144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 s="183" customFormat="1" hidden="1" outlineLevel="1">
      <c r="B60" s="240"/>
      <c r="C60" s="240"/>
      <c r="D60" s="240"/>
      <c r="E60" s="240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 s="183" customFormat="1" hidden="1" outlineLevel="1">
      <c r="B61" s="240" t="s">
        <v>508</v>
      </c>
      <c r="C61" s="240"/>
      <c r="D61" s="240"/>
      <c r="E61" s="249"/>
      <c r="F61" s="250"/>
      <c r="H61" s="23"/>
      <c r="J61" s="23"/>
      <c r="K61" s="23"/>
      <c r="T61" s="23"/>
    </row>
    <row r="62" spans="1:20" s="183" customFormat="1" hidden="1" outlineLevel="1">
      <c r="B62" s="240"/>
      <c r="C62" s="240"/>
      <c r="D62" s="240"/>
      <c r="E62" s="249" t="s">
        <v>512</v>
      </c>
      <c r="F62" s="250" t="s">
        <v>513</v>
      </c>
      <c r="H62" s="23"/>
      <c r="I62" s="23"/>
      <c r="J62" s="23"/>
      <c r="K62" s="23"/>
      <c r="L62" s="23"/>
      <c r="M62" s="23"/>
      <c r="N62" s="144">
        <f>$G$59</f>
        <v>0</v>
      </c>
      <c r="O62" s="144">
        <f t="shared" ref="O62:S62" si="44">$G$59</f>
        <v>0</v>
      </c>
      <c r="P62" s="144">
        <f t="shared" si="44"/>
        <v>0</v>
      </c>
      <c r="Q62" s="144">
        <f t="shared" si="44"/>
        <v>0</v>
      </c>
      <c r="R62" s="144">
        <f t="shared" si="44"/>
        <v>0</v>
      </c>
      <c r="S62" s="144">
        <f t="shared" si="44"/>
        <v>0</v>
      </c>
      <c r="T62" s="23"/>
    </row>
    <row r="63" spans="1:20" s="183" customFormat="1" hidden="1" outlineLevel="1">
      <c r="B63" s="240"/>
      <c r="C63" s="240"/>
      <c r="D63" s="240"/>
      <c r="E63" s="254">
        <f>L54-L52</f>
        <v>0</v>
      </c>
      <c r="F63" s="251">
        <v>2024</v>
      </c>
      <c r="H63" s="23"/>
      <c r="I63" s="23"/>
      <c r="J63" s="23"/>
      <c r="K63" s="23"/>
      <c r="L63" s="23"/>
      <c r="M63" s="23"/>
      <c r="N63" s="20">
        <f t="shared" ref="N63:S69" si="45">IF(AND($F63&lt;=N$3,$F63+$G$57&gt;=N$3),$E63*N$62,"")</f>
        <v>0</v>
      </c>
      <c r="O63" s="20">
        <f t="shared" si="45"/>
        <v>0</v>
      </c>
      <c r="P63" s="20">
        <f t="shared" si="45"/>
        <v>0</v>
      </c>
      <c r="Q63" s="20">
        <f t="shared" si="45"/>
        <v>0</v>
      </c>
      <c r="R63" s="20">
        <f t="shared" si="45"/>
        <v>0</v>
      </c>
      <c r="S63" s="20">
        <f t="shared" si="45"/>
        <v>0</v>
      </c>
      <c r="T63" s="23"/>
    </row>
    <row r="64" spans="1:20" s="183" customFormat="1" hidden="1" outlineLevel="1">
      <c r="B64" s="240"/>
      <c r="C64" s="240"/>
      <c r="E64" s="255" cm="1">
        <f t="array" ref="E64:E69">TRANSPOSE(N49:S49)</f>
        <v>0</v>
      </c>
      <c r="F64" s="253">
        <v>2025</v>
      </c>
      <c r="H64" s="23"/>
      <c r="I64" s="23"/>
      <c r="J64" s="23"/>
      <c r="K64" s="23"/>
      <c r="L64" s="23"/>
      <c r="M64" s="23"/>
      <c r="N64" s="20">
        <f t="shared" si="45"/>
        <v>0</v>
      </c>
      <c r="O64" s="20">
        <f t="shared" si="45"/>
        <v>0</v>
      </c>
      <c r="P64" s="20">
        <f t="shared" si="45"/>
        <v>0</v>
      </c>
      <c r="Q64" s="20">
        <f t="shared" si="45"/>
        <v>0</v>
      </c>
      <c r="R64" s="20">
        <f t="shared" si="45"/>
        <v>0</v>
      </c>
      <c r="S64" s="20">
        <f t="shared" si="45"/>
        <v>0</v>
      </c>
      <c r="T64" s="23"/>
    </row>
    <row r="65" spans="1:20" s="183" customFormat="1" hidden="1" outlineLevel="1">
      <c r="B65" s="240"/>
      <c r="C65" s="240"/>
      <c r="E65" s="255">
        <v>0</v>
      </c>
      <c r="F65" s="253">
        <v>2026</v>
      </c>
      <c r="H65" s="23"/>
      <c r="I65" s="23"/>
      <c r="J65" s="23"/>
      <c r="K65" s="23"/>
      <c r="L65" s="23"/>
      <c r="M65" s="23"/>
      <c r="N65" s="20" t="str">
        <f t="shared" si="45"/>
        <v/>
      </c>
      <c r="O65" s="20">
        <f t="shared" si="45"/>
        <v>0</v>
      </c>
      <c r="P65" s="20">
        <f t="shared" si="45"/>
        <v>0</v>
      </c>
      <c r="Q65" s="20">
        <f t="shared" si="45"/>
        <v>0</v>
      </c>
      <c r="R65" s="20">
        <f t="shared" si="45"/>
        <v>0</v>
      </c>
      <c r="S65" s="20">
        <f t="shared" si="45"/>
        <v>0</v>
      </c>
      <c r="T65" s="23"/>
    </row>
    <row r="66" spans="1:20" s="183" customFormat="1" hidden="1" outlineLevel="1">
      <c r="B66" s="240"/>
      <c r="C66" s="240"/>
      <c r="E66" s="255">
        <v>0</v>
      </c>
      <c r="F66" s="253">
        <v>2027</v>
      </c>
      <c r="H66" s="23"/>
      <c r="I66" s="23"/>
      <c r="J66" s="23"/>
      <c r="K66" s="23"/>
      <c r="L66" s="23"/>
      <c r="M66" s="23"/>
      <c r="N66" s="20" t="str">
        <f t="shared" si="45"/>
        <v/>
      </c>
      <c r="O66" s="20" t="str">
        <f t="shared" si="45"/>
        <v/>
      </c>
      <c r="P66" s="20">
        <f t="shared" si="45"/>
        <v>0</v>
      </c>
      <c r="Q66" s="20">
        <f t="shared" si="45"/>
        <v>0</v>
      </c>
      <c r="R66" s="20">
        <f t="shared" si="45"/>
        <v>0</v>
      </c>
      <c r="S66" s="20">
        <f t="shared" si="45"/>
        <v>0</v>
      </c>
      <c r="T66" s="23"/>
    </row>
    <row r="67" spans="1:20" s="183" customFormat="1" hidden="1" outlineLevel="1">
      <c r="B67" s="240"/>
      <c r="C67" s="240"/>
      <c r="E67" s="255">
        <v>0</v>
      </c>
      <c r="F67" s="253">
        <v>2028</v>
      </c>
      <c r="H67" s="23"/>
      <c r="I67" s="23"/>
      <c r="J67" s="23"/>
      <c r="K67" s="23"/>
      <c r="L67" s="23"/>
      <c r="M67" s="23"/>
      <c r="N67" s="20" t="str">
        <f t="shared" si="45"/>
        <v/>
      </c>
      <c r="O67" s="20" t="str">
        <f t="shared" si="45"/>
        <v/>
      </c>
      <c r="P67" s="20" t="str">
        <f t="shared" si="45"/>
        <v/>
      </c>
      <c r="Q67" s="20">
        <f t="shared" si="45"/>
        <v>0</v>
      </c>
      <c r="R67" s="20">
        <f t="shared" si="45"/>
        <v>0</v>
      </c>
      <c r="S67" s="20">
        <f t="shared" si="45"/>
        <v>0</v>
      </c>
      <c r="T67" s="23"/>
    </row>
    <row r="68" spans="1:20" s="183" customFormat="1" hidden="1" outlineLevel="1">
      <c r="B68" s="240"/>
      <c r="C68" s="240"/>
      <c r="E68" s="255">
        <v>0</v>
      </c>
      <c r="F68" s="253">
        <v>2029</v>
      </c>
      <c r="H68" s="23"/>
      <c r="I68" s="23"/>
      <c r="J68" s="23"/>
      <c r="K68" s="23"/>
      <c r="L68" s="23"/>
      <c r="M68" s="23"/>
      <c r="N68" s="20" t="str">
        <f t="shared" si="45"/>
        <v/>
      </c>
      <c r="O68" s="20" t="str">
        <f t="shared" si="45"/>
        <v/>
      </c>
      <c r="P68" s="20" t="str">
        <f t="shared" si="45"/>
        <v/>
      </c>
      <c r="Q68" s="20" t="str">
        <f t="shared" si="45"/>
        <v/>
      </c>
      <c r="R68" s="20">
        <f t="shared" si="45"/>
        <v>0</v>
      </c>
      <c r="S68" s="20">
        <f t="shared" si="45"/>
        <v>0</v>
      </c>
      <c r="T68" s="23"/>
    </row>
    <row r="69" spans="1:20" s="183" customFormat="1" hidden="1" outlineLevel="1">
      <c r="B69" s="240"/>
      <c r="C69" s="240"/>
      <c r="E69" s="255">
        <v>0</v>
      </c>
      <c r="F69" s="253">
        <v>2030</v>
      </c>
      <c r="H69" s="23"/>
      <c r="I69" s="23"/>
      <c r="J69" s="23"/>
      <c r="K69" s="23"/>
      <c r="L69" s="23"/>
      <c r="M69" s="23"/>
      <c r="N69" s="20" t="str">
        <f t="shared" si="45"/>
        <v/>
      </c>
      <c r="O69" s="20" t="str">
        <f t="shared" si="45"/>
        <v/>
      </c>
      <c r="P69" s="20" t="str">
        <f t="shared" si="45"/>
        <v/>
      </c>
      <c r="Q69" s="20" t="str">
        <f t="shared" si="45"/>
        <v/>
      </c>
      <c r="R69" s="20" t="str">
        <f t="shared" si="45"/>
        <v/>
      </c>
      <c r="S69" s="20">
        <f t="shared" si="45"/>
        <v>0</v>
      </c>
      <c r="T69" s="23"/>
    </row>
    <row r="70" spans="1:20" s="183" customFormat="1" collapsed="1">
      <c r="B70" s="240"/>
      <c r="C70" s="240"/>
      <c r="E70" s="255"/>
      <c r="F70" s="253"/>
      <c r="H70" s="23"/>
      <c r="I70" s="23"/>
      <c r="J70" s="23"/>
      <c r="K70" s="23"/>
      <c r="L70" s="23"/>
      <c r="M70" s="23"/>
      <c r="N70" s="20"/>
      <c r="O70" s="20"/>
      <c r="P70" s="20"/>
      <c r="Q70" s="20"/>
      <c r="R70" s="20"/>
      <c r="S70" s="20"/>
      <c r="T70" s="23"/>
    </row>
    <row r="71" spans="1:20" s="987" customFormat="1">
      <c r="A71" s="986" t="s">
        <v>8</v>
      </c>
      <c r="B71" s="986" t="s">
        <v>864</v>
      </c>
      <c r="C71" s="986"/>
      <c r="D71" s="986"/>
      <c r="E71" s="986"/>
      <c r="F71" s="986"/>
      <c r="G71" s="986"/>
      <c r="H71" s="986"/>
      <c r="I71" s="986"/>
      <c r="J71" s="986"/>
      <c r="K71" s="986"/>
      <c r="L71" s="986"/>
      <c r="M71" s="986"/>
      <c r="N71" s="986"/>
      <c r="O71" s="986"/>
      <c r="P71" s="986"/>
      <c r="Q71" s="986"/>
      <c r="R71" s="986"/>
      <c r="S71" s="986"/>
    </row>
    <row r="72" spans="1:20" s="96" customForma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</row>
    <row r="73" spans="1:20" s="183" customFormat="1">
      <c r="C73" s="183" t="s">
        <v>499</v>
      </c>
      <c r="H73" s="23"/>
      <c r="I73" s="23">
        <f>H79</f>
        <v>107.29600000000001</v>
      </c>
      <c r="J73" s="23">
        <f t="shared" ref="J73" si="46">I79</f>
        <v>108.16200000000001</v>
      </c>
      <c r="K73" s="988"/>
      <c r="L73" s="23">
        <f>J79</f>
        <v>104.476</v>
      </c>
      <c r="M73" s="988"/>
      <c r="N73" s="23">
        <f>L79</f>
        <v>106.7</v>
      </c>
      <c r="O73" s="23">
        <f>N79</f>
        <v>116.54542660378888</v>
      </c>
      <c r="P73" s="23">
        <f t="shared" ref="P73" si="47">O79</f>
        <v>125.53157568788592</v>
      </c>
      <c r="Q73" s="23">
        <f t="shared" ref="Q73" si="48">P79</f>
        <v>150.23353722968071</v>
      </c>
      <c r="R73" s="23">
        <f t="shared" ref="R73" si="49">Q79</f>
        <v>143.87124605777998</v>
      </c>
      <c r="S73" s="23">
        <f t="shared" ref="S73" si="50">R79</f>
        <v>129.32112573396853</v>
      </c>
      <c r="T73" s="23"/>
    </row>
    <row r="74" spans="1:20" s="184" customFormat="1">
      <c r="C74" s="237"/>
      <c r="D74" s="184" t="s">
        <v>500</v>
      </c>
      <c r="H74" s="20"/>
      <c r="I74" s="20">
        <f>产能及CAPEX!J26/1000</f>
        <v>10.93012891571639</v>
      </c>
      <c r="J74" s="20">
        <f>产能及CAPEX!K26/1000</f>
        <v>8.0139927530557475</v>
      </c>
      <c r="K74" s="988"/>
      <c r="L74" s="20">
        <f>产能及CAPEX!M26/1000</f>
        <v>20.938109506625274</v>
      </c>
      <c r="M74" s="988"/>
      <c r="N74" s="20">
        <f>产能及CAPEX!O26/1000</f>
        <v>25.729024317036778</v>
      </c>
      <c r="O74" s="20">
        <f>产能及CAPEX!P26/1000</f>
        <v>26.375410825795516</v>
      </c>
      <c r="P74" s="20">
        <f>产能及CAPEX!Q26/1000</f>
        <v>46.509638987285363</v>
      </c>
      <c r="Q74" s="20">
        <f>产能及CAPEX!R26/1000</f>
        <v>17.06672516418768</v>
      </c>
      <c r="R74" s="20">
        <f>产能及CAPEX!S26/1000</f>
        <v>9.810934820195504</v>
      </c>
      <c r="S74" s="20">
        <f>产能及CAPEX!T26/1000</f>
        <v>10.792028302215055</v>
      </c>
      <c r="T74" s="20"/>
    </row>
    <row r="75" spans="1:20" s="185" customFormat="1">
      <c r="C75" s="248"/>
      <c r="E75" s="185" t="s">
        <v>130</v>
      </c>
      <c r="H75" s="219"/>
      <c r="I75" s="137">
        <f>I74*1000*集团!I9/中国!I14</f>
        <v>4.4282771207807214E-2</v>
      </c>
      <c r="J75" s="137">
        <f>J74*1000*集团!J9/中国!J14</f>
        <v>3.1211703823062795E-2</v>
      </c>
      <c r="K75" s="988"/>
      <c r="L75" s="137">
        <f>L74*1000*集团!L9/中国!L14</f>
        <v>6.1505952174019586E-2</v>
      </c>
      <c r="M75" s="988"/>
      <c r="N75" s="137">
        <f>N74*1000*集团!N9/中国!N14</f>
        <v>7.3271284603337442E-2</v>
      </c>
      <c r="O75" s="137">
        <f>O74*1000*集团!O9/中国!O14</f>
        <v>6.5658329064165327E-2</v>
      </c>
      <c r="P75" s="137">
        <f>P74*1000*集团!P9/中国!P14</f>
        <v>0.10118484166354491</v>
      </c>
      <c r="Q75" s="137">
        <f>Q74*1000*集团!Q9/中国!Q14</f>
        <v>3.2617564018963111E-2</v>
      </c>
      <c r="R75" s="137">
        <f>R74*1000*集团!R9/中国!R14</f>
        <v>1.6539238447767137E-2</v>
      </c>
      <c r="S75" s="137">
        <f>S74*1000*集团!S9/中国!S14</f>
        <v>1.6209221037754053E-2</v>
      </c>
      <c r="T75" s="219"/>
    </row>
    <row r="76" spans="1:20" s="184" customFormat="1">
      <c r="C76" s="237"/>
      <c r="D76" s="184" t="s">
        <v>501</v>
      </c>
      <c r="H76" s="20"/>
      <c r="I76" s="1032">
        <v>0</v>
      </c>
      <c r="J76" s="1032">
        <v>-5</v>
      </c>
      <c r="K76" s="1442"/>
      <c r="L76" s="1032">
        <v>-5</v>
      </c>
      <c r="M76" s="988"/>
      <c r="N76" s="80">
        <v>-2</v>
      </c>
      <c r="O76" s="80">
        <v>-1</v>
      </c>
      <c r="P76" s="80">
        <f t="shared" ref="P76" si="51">O76</f>
        <v>-1</v>
      </c>
      <c r="Q76" s="80">
        <f t="shared" ref="Q76" si="52">P76</f>
        <v>-1</v>
      </c>
      <c r="R76" s="80">
        <f t="shared" ref="R76" si="53">Q76</f>
        <v>-1</v>
      </c>
      <c r="S76" s="80">
        <f t="shared" ref="S76" si="54">R76</f>
        <v>-1</v>
      </c>
      <c r="T76" s="20"/>
    </row>
    <row r="77" spans="1:20" s="184" customFormat="1">
      <c r="C77" s="237"/>
      <c r="D77" s="184" t="s">
        <v>502</v>
      </c>
      <c r="H77" s="20"/>
      <c r="I77" s="20">
        <f>I79-(I73+I74+I76)</f>
        <v>-10.064128915716395</v>
      </c>
      <c r="J77" s="20">
        <f>J79-(J73+J74+J76)</f>
        <v>-6.6999927530557528</v>
      </c>
      <c r="K77" s="989"/>
      <c r="L77" s="20">
        <f>L79-(L73+L74+L76)</f>
        <v>-13.714109506625263</v>
      </c>
      <c r="M77" s="989"/>
      <c r="N77" s="20">
        <f>-SUM(N88:N94)</f>
        <v>-13.883597713247894</v>
      </c>
      <c r="O77" s="20">
        <f t="shared" ref="O77:S77" si="55">-SUM(O88:O94)</f>
        <v>-16.389261741698469</v>
      </c>
      <c r="P77" s="20">
        <f t="shared" si="55"/>
        <v>-20.80767744549058</v>
      </c>
      <c r="Q77" s="20">
        <f t="shared" si="55"/>
        <v>-22.429016336088409</v>
      </c>
      <c r="R77" s="20">
        <f t="shared" si="55"/>
        <v>-23.361055144006983</v>
      </c>
      <c r="S77" s="20">
        <f t="shared" si="55"/>
        <v>-24.386297832717414</v>
      </c>
      <c r="T77" s="20"/>
    </row>
    <row r="78" spans="1:20" s="184" customFormat="1" ht="15" thickBot="1">
      <c r="B78" s="241"/>
      <c r="C78" s="241"/>
      <c r="D78" s="241"/>
      <c r="E78" s="241"/>
      <c r="F78" s="238"/>
      <c r="G78" s="238"/>
      <c r="H78" s="39"/>
      <c r="I78" s="39"/>
      <c r="J78" s="39"/>
      <c r="K78" s="990"/>
      <c r="L78" s="39"/>
      <c r="M78" s="990"/>
      <c r="N78" s="39"/>
      <c r="O78" s="39"/>
      <c r="P78" s="39"/>
      <c r="Q78" s="39"/>
      <c r="R78" s="39"/>
      <c r="S78" s="39"/>
      <c r="T78" s="20"/>
    </row>
    <row r="79" spans="1:20" s="183" customFormat="1">
      <c r="B79" s="240"/>
      <c r="C79" s="240" t="s">
        <v>503</v>
      </c>
      <c r="D79" s="240"/>
      <c r="E79" s="240"/>
      <c r="H79" s="405">
        <v>107.29600000000001</v>
      </c>
      <c r="I79" s="405">
        <v>108.16200000000001</v>
      </c>
      <c r="J79" s="405">
        <v>104.476</v>
      </c>
      <c r="K79" s="991"/>
      <c r="L79" s="405">
        <v>106.7</v>
      </c>
      <c r="M79" s="991"/>
      <c r="N79" s="23">
        <f>SUM(N73,N74,N76,N77)</f>
        <v>116.54542660378888</v>
      </c>
      <c r="O79" s="23">
        <f t="shared" ref="O79:S79" si="56">SUM(O73,O74,O76,O77)</f>
        <v>125.53157568788592</v>
      </c>
      <c r="P79" s="23">
        <f t="shared" si="56"/>
        <v>150.23353722968071</v>
      </c>
      <c r="Q79" s="23">
        <f t="shared" si="56"/>
        <v>143.87124605777998</v>
      </c>
      <c r="R79" s="23">
        <f t="shared" si="56"/>
        <v>129.32112573396853</v>
      </c>
      <c r="S79" s="23">
        <f t="shared" si="56"/>
        <v>114.72685620346616</v>
      </c>
      <c r="T79" s="23"/>
    </row>
    <row r="80" spans="1:20" s="183" customFormat="1">
      <c r="B80" s="240"/>
      <c r="C80" s="240"/>
      <c r="D80" s="240"/>
      <c r="E80" s="240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spans="1:20" s="247" customFormat="1">
      <c r="A81" s="26" t="s">
        <v>8</v>
      </c>
      <c r="B81" s="26" t="s">
        <v>508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</row>
    <row r="82" spans="1:20" s="183" customFormat="1">
      <c r="B82" s="240" t="s">
        <v>509</v>
      </c>
      <c r="C82" s="240"/>
      <c r="D82" s="240"/>
      <c r="E82" s="240"/>
      <c r="G82" s="393">
        <v>10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 spans="1:20" s="183" customFormat="1">
      <c r="B83" s="240" t="s">
        <v>510</v>
      </c>
      <c r="C83" s="240"/>
      <c r="D83" s="240"/>
      <c r="E83" s="240"/>
      <c r="G83" s="479">
        <v>0.05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 spans="1:20" s="183" customFormat="1">
      <c r="B84" s="240" t="s">
        <v>511</v>
      </c>
      <c r="C84" s="240"/>
      <c r="D84" s="240"/>
      <c r="E84" s="240"/>
      <c r="G84" s="144">
        <f>(1-G83)/G82</f>
        <v>9.5000000000000001E-2</v>
      </c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 spans="1:20" s="183" customFormat="1">
      <c r="B85" s="240"/>
      <c r="C85" s="240"/>
      <c r="D85" s="240"/>
      <c r="E85" s="240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 spans="1:20" s="183" customFormat="1">
      <c r="B86" s="240" t="s">
        <v>508</v>
      </c>
      <c r="C86" s="240"/>
      <c r="D86" s="240"/>
      <c r="E86" s="249"/>
      <c r="F86" s="250"/>
      <c r="H86" s="23"/>
      <c r="J86" s="23"/>
      <c r="K86" s="23"/>
      <c r="T86" s="23"/>
    </row>
    <row r="87" spans="1:20" s="183" customFormat="1">
      <c r="B87" s="240"/>
      <c r="C87" s="240"/>
      <c r="D87" s="240"/>
      <c r="E87" s="249" t="s">
        <v>512</v>
      </c>
      <c r="F87" s="250" t="s">
        <v>513</v>
      </c>
      <c r="H87" s="23"/>
      <c r="I87" s="23"/>
      <c r="J87" s="23"/>
      <c r="K87" s="23"/>
      <c r="L87" s="23"/>
      <c r="M87" s="23"/>
      <c r="N87" s="144">
        <f>$G$84</f>
        <v>9.5000000000000001E-2</v>
      </c>
      <c r="O87" s="144">
        <f t="shared" ref="O87:S87" si="57">$G$84</f>
        <v>9.5000000000000001E-2</v>
      </c>
      <c r="P87" s="144">
        <f t="shared" si="57"/>
        <v>9.5000000000000001E-2</v>
      </c>
      <c r="Q87" s="144">
        <f t="shared" si="57"/>
        <v>9.5000000000000001E-2</v>
      </c>
      <c r="R87" s="144">
        <f t="shared" si="57"/>
        <v>9.5000000000000001E-2</v>
      </c>
      <c r="S87" s="144">
        <f t="shared" si="57"/>
        <v>9.5000000000000001E-2</v>
      </c>
      <c r="T87" s="23"/>
    </row>
    <row r="88" spans="1:20" s="183" customFormat="1">
      <c r="B88" s="240"/>
      <c r="C88" s="240"/>
      <c r="D88" s="240"/>
      <c r="E88" s="254">
        <f>L79-L77</f>
        <v>120.41410950662527</v>
      </c>
      <c r="F88" s="251">
        <v>2024</v>
      </c>
      <c r="H88" s="23"/>
      <c r="I88" s="23"/>
      <c r="J88" s="23"/>
      <c r="K88" s="23"/>
      <c r="L88" s="23"/>
      <c r="M88" s="23"/>
      <c r="N88" s="20">
        <f t="shared" ref="N88:S94" si="58">IF(AND($F88&lt;=N$3,$F88+$G$82&gt;=N$3),$E88*N$87,"")</f>
        <v>11.4393404031294</v>
      </c>
      <c r="O88" s="20">
        <f t="shared" si="58"/>
        <v>11.4393404031294</v>
      </c>
      <c r="P88" s="20">
        <f t="shared" si="58"/>
        <v>11.4393404031294</v>
      </c>
      <c r="Q88" s="20">
        <f t="shared" si="58"/>
        <v>11.4393404031294</v>
      </c>
      <c r="R88" s="20">
        <f t="shared" si="58"/>
        <v>11.4393404031294</v>
      </c>
      <c r="S88" s="20">
        <f t="shared" si="58"/>
        <v>11.4393404031294</v>
      </c>
      <c r="T88" s="23"/>
    </row>
    <row r="89" spans="1:20" s="183" customFormat="1">
      <c r="B89" s="240"/>
      <c r="C89" s="240"/>
      <c r="E89" s="255" cm="1">
        <f t="array" ref="E89:E94">TRANSPOSE(N74:S74)</f>
        <v>25.729024317036778</v>
      </c>
      <c r="F89" s="253">
        <v>2025</v>
      </c>
      <c r="H89" s="23"/>
      <c r="I89" s="23"/>
      <c r="J89" s="23"/>
      <c r="K89" s="23"/>
      <c r="L89" s="23"/>
      <c r="M89" s="23"/>
      <c r="N89" s="20">
        <f t="shared" si="58"/>
        <v>2.4442573101184939</v>
      </c>
      <c r="O89" s="20">
        <f t="shared" si="58"/>
        <v>2.4442573101184939</v>
      </c>
      <c r="P89" s="20">
        <f t="shared" si="58"/>
        <v>2.4442573101184939</v>
      </c>
      <c r="Q89" s="20">
        <f t="shared" si="58"/>
        <v>2.4442573101184939</v>
      </c>
      <c r="R89" s="20">
        <f t="shared" si="58"/>
        <v>2.4442573101184939</v>
      </c>
      <c r="S89" s="20">
        <f t="shared" si="58"/>
        <v>2.4442573101184939</v>
      </c>
      <c r="T89" s="23"/>
    </row>
    <row r="90" spans="1:20" s="183" customFormat="1">
      <c r="B90" s="240"/>
      <c r="C90" s="240"/>
      <c r="E90" s="255">
        <v>26.375410825795516</v>
      </c>
      <c r="F90" s="253">
        <v>2026</v>
      </c>
      <c r="H90" s="23"/>
      <c r="I90" s="23"/>
      <c r="J90" s="23"/>
      <c r="K90" s="23"/>
      <c r="L90" s="23"/>
      <c r="M90" s="23"/>
      <c r="N90" s="20" t="str">
        <f t="shared" si="58"/>
        <v/>
      </c>
      <c r="O90" s="20">
        <f t="shared" si="58"/>
        <v>2.5056640284505742</v>
      </c>
      <c r="P90" s="20">
        <f t="shared" si="58"/>
        <v>2.5056640284505742</v>
      </c>
      <c r="Q90" s="20">
        <f t="shared" si="58"/>
        <v>2.5056640284505742</v>
      </c>
      <c r="R90" s="20">
        <f t="shared" si="58"/>
        <v>2.5056640284505742</v>
      </c>
      <c r="S90" s="20">
        <f t="shared" si="58"/>
        <v>2.5056640284505742</v>
      </c>
      <c r="T90" s="23"/>
    </row>
    <row r="91" spans="1:20" s="183" customFormat="1">
      <c r="B91" s="240"/>
      <c r="C91" s="240"/>
      <c r="E91" s="255">
        <v>46.509638987285363</v>
      </c>
      <c r="F91" s="253">
        <v>2027</v>
      </c>
      <c r="H91" s="23"/>
      <c r="I91" s="23"/>
      <c r="J91" s="23"/>
      <c r="K91" s="23"/>
      <c r="L91" s="23"/>
      <c r="M91" s="23"/>
      <c r="N91" s="20" t="str">
        <f t="shared" si="58"/>
        <v/>
      </c>
      <c r="O91" s="20" t="str">
        <f t="shared" si="58"/>
        <v/>
      </c>
      <c r="P91" s="20">
        <f t="shared" si="58"/>
        <v>4.4184157037921095</v>
      </c>
      <c r="Q91" s="20">
        <f t="shared" si="58"/>
        <v>4.4184157037921095</v>
      </c>
      <c r="R91" s="20">
        <f t="shared" si="58"/>
        <v>4.4184157037921095</v>
      </c>
      <c r="S91" s="20">
        <f t="shared" si="58"/>
        <v>4.4184157037921095</v>
      </c>
      <c r="T91" s="23"/>
    </row>
    <row r="92" spans="1:20" s="183" customFormat="1">
      <c r="B92" s="240"/>
      <c r="C92" s="240"/>
      <c r="E92" s="255">
        <v>17.06672516418768</v>
      </c>
      <c r="F92" s="253">
        <v>2028</v>
      </c>
      <c r="H92" s="23"/>
      <c r="I92" s="23"/>
      <c r="J92" s="23"/>
      <c r="K92" s="23"/>
      <c r="L92" s="23"/>
      <c r="M92" s="23"/>
      <c r="N92" s="20" t="str">
        <f t="shared" si="58"/>
        <v/>
      </c>
      <c r="O92" s="20" t="str">
        <f t="shared" si="58"/>
        <v/>
      </c>
      <c r="P92" s="20" t="str">
        <f t="shared" si="58"/>
        <v/>
      </c>
      <c r="Q92" s="20">
        <f t="shared" si="58"/>
        <v>1.6213388905978297</v>
      </c>
      <c r="R92" s="20">
        <f t="shared" si="58"/>
        <v>1.6213388905978297</v>
      </c>
      <c r="S92" s="20">
        <f t="shared" si="58"/>
        <v>1.6213388905978297</v>
      </c>
      <c r="T92" s="23"/>
    </row>
    <row r="93" spans="1:20" s="183" customFormat="1">
      <c r="B93" s="240"/>
      <c r="C93" s="240"/>
      <c r="E93" s="255">
        <v>9.810934820195504</v>
      </c>
      <c r="F93" s="253">
        <v>2029</v>
      </c>
      <c r="H93" s="23"/>
      <c r="I93" s="23"/>
      <c r="J93" s="23"/>
      <c r="K93" s="23"/>
      <c r="L93" s="23"/>
      <c r="M93" s="23"/>
      <c r="N93" s="20" t="str">
        <f t="shared" si="58"/>
        <v/>
      </c>
      <c r="O93" s="20" t="str">
        <f t="shared" si="58"/>
        <v/>
      </c>
      <c r="P93" s="20" t="str">
        <f t="shared" si="58"/>
        <v/>
      </c>
      <c r="Q93" s="20" t="str">
        <f t="shared" si="58"/>
        <v/>
      </c>
      <c r="R93" s="20">
        <f t="shared" si="58"/>
        <v>0.93203880791857285</v>
      </c>
      <c r="S93" s="20">
        <f t="shared" si="58"/>
        <v>0.93203880791857285</v>
      </c>
      <c r="T93" s="23"/>
    </row>
    <row r="94" spans="1:20" s="183" customFormat="1">
      <c r="B94" s="240"/>
      <c r="C94" s="240"/>
      <c r="E94" s="255">
        <v>10.792028302215055</v>
      </c>
      <c r="F94" s="253">
        <v>2030</v>
      </c>
      <c r="H94" s="23"/>
      <c r="I94" s="23"/>
      <c r="J94" s="23"/>
      <c r="K94" s="23"/>
      <c r="L94" s="23"/>
      <c r="M94" s="23"/>
      <c r="N94" s="20" t="str">
        <f t="shared" si="58"/>
        <v/>
      </c>
      <c r="O94" s="20" t="str">
        <f t="shared" si="58"/>
        <v/>
      </c>
      <c r="P94" s="20" t="str">
        <f t="shared" si="58"/>
        <v/>
      </c>
      <c r="Q94" s="20" t="str">
        <f t="shared" si="58"/>
        <v/>
      </c>
      <c r="R94" s="20" t="str">
        <f t="shared" si="58"/>
        <v/>
      </c>
      <c r="S94" s="20">
        <f t="shared" si="58"/>
        <v>1.0252426887104302</v>
      </c>
      <c r="T94" s="23"/>
    </row>
    <row r="95" spans="1:20" s="183" customFormat="1">
      <c r="B95" s="240"/>
      <c r="C95" s="240"/>
      <c r="E95" s="255"/>
      <c r="F95" s="253"/>
      <c r="H95" s="23"/>
      <c r="I95" s="23"/>
      <c r="J95" s="23"/>
      <c r="K95" s="23"/>
      <c r="L95" s="23"/>
      <c r="M95" s="23"/>
      <c r="N95" s="20"/>
      <c r="O95" s="20"/>
      <c r="P95" s="20"/>
      <c r="Q95" s="20"/>
      <c r="R95" s="20"/>
      <c r="S95" s="20"/>
      <c r="T95" s="23"/>
    </row>
    <row r="96" spans="1:20" s="987" customFormat="1">
      <c r="A96" s="986" t="s">
        <v>8</v>
      </c>
      <c r="B96" s="986" t="s">
        <v>981</v>
      </c>
      <c r="C96" s="986"/>
      <c r="D96" s="986"/>
      <c r="E96" s="986"/>
      <c r="F96" s="986"/>
      <c r="G96" s="986"/>
      <c r="H96" s="986"/>
      <c r="I96" s="986"/>
      <c r="J96" s="986"/>
      <c r="K96" s="986"/>
      <c r="L96" s="986"/>
      <c r="M96" s="986"/>
      <c r="N96" s="986"/>
      <c r="O96" s="986"/>
      <c r="P96" s="986"/>
      <c r="Q96" s="986"/>
      <c r="R96" s="986"/>
      <c r="S96" s="986"/>
    </row>
    <row r="97" spans="1:20" s="96" customForma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</row>
    <row r="98" spans="1:20" s="183" customFormat="1">
      <c r="C98" s="183" t="s">
        <v>499</v>
      </c>
      <c r="H98" s="23"/>
      <c r="I98" s="23">
        <f>H104</f>
        <v>90.521000000000001</v>
      </c>
      <c r="J98" s="23">
        <f t="shared" ref="J98" si="59">I104</f>
        <v>91.325000000000003</v>
      </c>
      <c r="K98" s="988"/>
      <c r="L98" s="23">
        <f>J104</f>
        <v>83.022000000000006</v>
      </c>
      <c r="M98" s="988"/>
      <c r="N98" s="23">
        <f>L104</f>
        <v>63.84</v>
      </c>
      <c r="O98" s="23">
        <f t="shared" ref="O98" si="60">N104</f>
        <v>62.561994895000005</v>
      </c>
      <c r="P98" s="23">
        <f t="shared" ref="P98" si="61">O104</f>
        <v>73.979506848730537</v>
      </c>
      <c r="Q98" s="23">
        <f t="shared" ref="Q98" si="62">P104</f>
        <v>70.255334691323611</v>
      </c>
      <c r="R98" s="23">
        <f t="shared" ref="R98" si="63">Q104</f>
        <v>65.789478422779226</v>
      </c>
      <c r="S98" s="23">
        <f t="shared" ref="S98" si="64">R104</f>
        <v>56.776230984366848</v>
      </c>
      <c r="T98" s="23"/>
    </row>
    <row r="99" spans="1:20" s="184" customFormat="1">
      <c r="C99" s="237"/>
      <c r="D99" s="184" t="s">
        <v>500</v>
      </c>
      <c r="H99" s="20"/>
      <c r="I99" s="20">
        <f>产能及CAPEX!J150/1000</f>
        <v>18.142980590000001</v>
      </c>
      <c r="J99" s="20">
        <f>产能及CAPEX!K150/1000</f>
        <v>4.9733024700000001</v>
      </c>
      <c r="K99" s="988"/>
      <c r="L99" s="20">
        <f>产能及CAPEX!M150/1000</f>
        <v>2.4181590000000002</v>
      </c>
      <c r="M99" s="988"/>
      <c r="N99" s="20">
        <f>产能及CAPEX!O150/1000</f>
        <v>8.4019999999999992</v>
      </c>
      <c r="O99" s="20">
        <f>产能及CAPEX!P150/1000</f>
        <v>22.207201169867993</v>
      </c>
      <c r="P99" s="20">
        <f>产能及CAPEX!Q150/1000</f>
        <v>7.8072011698679953</v>
      </c>
      <c r="Q99" s="20">
        <f>产能及CAPEX!R150/1000</f>
        <v>7.8072011698679953</v>
      </c>
      <c r="R99" s="20">
        <f>产能及CAPEX!S150/1000</f>
        <v>3.6019999999999999</v>
      </c>
      <c r="S99" s="20">
        <f>产能及CAPEX!T150/1000</f>
        <v>3.6019999999999999</v>
      </c>
      <c r="T99" s="20"/>
    </row>
    <row r="100" spans="1:20" s="185" customFormat="1">
      <c r="C100" s="248"/>
      <c r="E100" s="185" t="s">
        <v>130</v>
      </c>
      <c r="H100" s="219"/>
      <c r="I100" s="137">
        <f>I99/美国!I22*1000</f>
        <v>2.4533156360332053E-2</v>
      </c>
      <c r="J100" s="137">
        <f>J99/美国!J22*1000</f>
        <v>8.1230089303564179E-3</v>
      </c>
      <c r="K100" s="988"/>
      <c r="L100" s="137">
        <f>L99/美国!L22*1000</f>
        <v>3.829421601779355E-3</v>
      </c>
      <c r="M100" s="988"/>
      <c r="N100" s="137">
        <f>N99/美国!N22*1000</f>
        <v>1.3095112247008621E-2</v>
      </c>
      <c r="O100" s="137">
        <f>O99/美国!O22*1000</f>
        <v>3.1883090583102486E-2</v>
      </c>
      <c r="P100" s="137">
        <f>P99/美国!P22*1000</f>
        <v>1.0433426058185509E-2</v>
      </c>
      <c r="Q100" s="137">
        <f>Q99/美国!Q22*1000</f>
        <v>9.7827223637058751E-3</v>
      </c>
      <c r="R100" s="137">
        <f>R99/美国!R22*1000</f>
        <v>4.1856270833625919E-3</v>
      </c>
      <c r="S100" s="137">
        <f>S99/美国!S22*1000</f>
        <v>3.8077934617403611E-3</v>
      </c>
      <c r="T100" s="219"/>
    </row>
    <row r="101" spans="1:20" s="184" customFormat="1">
      <c r="C101" s="237"/>
      <c r="D101" s="184" t="s">
        <v>501</v>
      </c>
      <c r="H101" s="20"/>
      <c r="I101" s="1032">
        <v>0</v>
      </c>
      <c r="J101" s="1032">
        <v>-8</v>
      </c>
      <c r="K101" s="1442"/>
      <c r="L101" s="1032">
        <v>-13</v>
      </c>
      <c r="M101" s="988"/>
      <c r="N101" s="80">
        <v>-2</v>
      </c>
      <c r="O101" s="80">
        <v>-1</v>
      </c>
      <c r="P101" s="80">
        <f t="shared" ref="P101" si="65">O101</f>
        <v>-1</v>
      </c>
      <c r="Q101" s="80">
        <f t="shared" ref="Q101" si="66">P101</f>
        <v>-1</v>
      </c>
      <c r="R101" s="80">
        <f t="shared" ref="R101" si="67">Q101</f>
        <v>-1</v>
      </c>
      <c r="S101" s="80">
        <f t="shared" ref="S101" si="68">R101</f>
        <v>-1</v>
      </c>
      <c r="T101" s="20"/>
    </row>
    <row r="102" spans="1:20" s="184" customFormat="1">
      <c r="C102" s="237"/>
      <c r="D102" s="184" t="s">
        <v>502</v>
      </c>
      <c r="H102" s="20"/>
      <c r="I102" s="20">
        <f>I104-(I98+I99+I101)</f>
        <v>-17.338980589999991</v>
      </c>
      <c r="J102" s="20">
        <f>J104-(J98+J99+J101)</f>
        <v>-5.2763024700000045</v>
      </c>
      <c r="K102" s="989"/>
      <c r="L102" s="20">
        <f>L104-(L98+L99+L101)</f>
        <v>-8.600159000000005</v>
      </c>
      <c r="M102" s="988"/>
      <c r="N102" s="20">
        <f>-SUM(N113:N119)</f>
        <v>-7.6800051050000011</v>
      </c>
      <c r="O102" s="20">
        <f t="shared" ref="O102:S102" si="69">-SUM(O113:O119)</f>
        <v>-9.7896892161374609</v>
      </c>
      <c r="P102" s="20">
        <f t="shared" si="69"/>
        <v>-10.53137332727492</v>
      </c>
      <c r="Q102" s="20">
        <f t="shared" si="69"/>
        <v>-11.27305743841238</v>
      </c>
      <c r="R102" s="20">
        <f t="shared" si="69"/>
        <v>-11.61524743841238</v>
      </c>
      <c r="S102" s="20">
        <f t="shared" si="69"/>
        <v>-11.957437438412381</v>
      </c>
      <c r="T102" s="20"/>
    </row>
    <row r="103" spans="1:20" s="184" customFormat="1" ht="15" thickBot="1">
      <c r="B103" s="241"/>
      <c r="C103" s="241"/>
      <c r="D103" s="241"/>
      <c r="E103" s="241"/>
      <c r="F103" s="238"/>
      <c r="G103" s="238"/>
      <c r="H103" s="39"/>
      <c r="I103" s="39"/>
      <c r="J103" s="39"/>
      <c r="K103" s="990"/>
      <c r="L103" s="39"/>
      <c r="M103" s="990"/>
      <c r="N103" s="39"/>
      <c r="O103" s="39"/>
      <c r="P103" s="39"/>
      <c r="Q103" s="39"/>
      <c r="R103" s="39"/>
      <c r="S103" s="39"/>
      <c r="T103" s="20"/>
    </row>
    <row r="104" spans="1:20" s="183" customFormat="1">
      <c r="B104" s="240"/>
      <c r="C104" s="240" t="s">
        <v>503</v>
      </c>
      <c r="D104" s="240"/>
      <c r="E104" s="240"/>
      <c r="H104" s="405">
        <v>90.521000000000001</v>
      </c>
      <c r="I104" s="405">
        <v>91.325000000000003</v>
      </c>
      <c r="J104" s="405">
        <v>83.022000000000006</v>
      </c>
      <c r="K104" s="991"/>
      <c r="L104" s="405">
        <v>63.84</v>
      </c>
      <c r="M104" s="991"/>
      <c r="N104" s="23">
        <f>SUM(N98,N99,N101,N102)</f>
        <v>62.561994895000005</v>
      </c>
      <c r="O104" s="23">
        <f t="shared" ref="O104:S104" si="70">SUM(O98,O99,O101,O102)</f>
        <v>73.979506848730537</v>
      </c>
      <c r="P104" s="23">
        <f t="shared" si="70"/>
        <v>70.255334691323611</v>
      </c>
      <c r="Q104" s="23">
        <f t="shared" si="70"/>
        <v>65.789478422779226</v>
      </c>
      <c r="R104" s="23">
        <f t="shared" si="70"/>
        <v>56.776230984366848</v>
      </c>
      <c r="S104" s="23">
        <f t="shared" si="70"/>
        <v>47.420793545954467</v>
      </c>
      <c r="T104" s="23"/>
    </row>
    <row r="105" spans="1:20" s="183" customFormat="1">
      <c r="B105" s="240"/>
      <c r="C105" s="240"/>
      <c r="D105" s="240"/>
      <c r="E105" s="240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1:20" s="247" customFormat="1">
      <c r="A106" s="26" t="s">
        <v>8</v>
      </c>
      <c r="B106" s="26" t="s">
        <v>508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</row>
    <row r="107" spans="1:20" s="183" customFormat="1">
      <c r="B107" s="240" t="s">
        <v>509</v>
      </c>
      <c r="C107" s="240"/>
      <c r="D107" s="240"/>
      <c r="E107" s="240"/>
      <c r="G107" s="393">
        <v>10</v>
      </c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 spans="1:20" s="183" customFormat="1">
      <c r="B108" s="240" t="s">
        <v>510</v>
      </c>
      <c r="C108" s="240"/>
      <c r="D108" s="240"/>
      <c r="E108" s="240"/>
      <c r="G108" s="479">
        <v>0.05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 spans="1:20" s="183" customFormat="1">
      <c r="B109" s="240" t="s">
        <v>511</v>
      </c>
      <c r="C109" s="240"/>
      <c r="D109" s="240"/>
      <c r="E109" s="240"/>
      <c r="G109" s="144">
        <f>(1-G108)/G107</f>
        <v>9.5000000000000001E-2</v>
      </c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 spans="1:20" s="183" customFormat="1">
      <c r="B110" s="240"/>
      <c r="C110" s="240"/>
      <c r="D110" s="240"/>
      <c r="E110" s="240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 spans="1:20" s="183" customFormat="1">
      <c r="B111" s="240" t="s">
        <v>508</v>
      </c>
      <c r="C111" s="240"/>
      <c r="D111" s="240"/>
      <c r="E111" s="249"/>
      <c r="F111" s="250"/>
      <c r="H111" s="23"/>
      <c r="J111" s="23"/>
      <c r="K111" s="23"/>
      <c r="T111" s="23"/>
    </row>
    <row r="112" spans="1:20" s="183" customFormat="1">
      <c r="B112" s="240"/>
      <c r="C112" s="240"/>
      <c r="D112" s="240"/>
      <c r="E112" s="249" t="s">
        <v>512</v>
      </c>
      <c r="F112" s="250" t="s">
        <v>513</v>
      </c>
      <c r="H112" s="23"/>
      <c r="I112" s="23"/>
      <c r="J112" s="23"/>
      <c r="K112" s="23"/>
      <c r="L112" s="23"/>
      <c r="M112" s="23"/>
      <c r="N112" s="144">
        <f>$G$84</f>
        <v>9.5000000000000001E-2</v>
      </c>
      <c r="O112" s="144">
        <f t="shared" ref="O112:S112" si="71">$G$84</f>
        <v>9.5000000000000001E-2</v>
      </c>
      <c r="P112" s="144">
        <f t="shared" si="71"/>
        <v>9.5000000000000001E-2</v>
      </c>
      <c r="Q112" s="144">
        <f t="shared" si="71"/>
        <v>9.5000000000000001E-2</v>
      </c>
      <c r="R112" s="144">
        <f t="shared" si="71"/>
        <v>9.5000000000000001E-2</v>
      </c>
      <c r="S112" s="144">
        <f t="shared" si="71"/>
        <v>9.5000000000000001E-2</v>
      </c>
      <c r="T112" s="23"/>
    </row>
    <row r="113" spans="1:20" s="183" customFormat="1">
      <c r="B113" s="240"/>
      <c r="C113" s="240"/>
      <c r="D113" s="240"/>
      <c r="E113" s="254">
        <f>L104-L102</f>
        <v>72.440159000000008</v>
      </c>
      <c r="F113" s="251">
        <v>2024</v>
      </c>
      <c r="H113" s="23"/>
      <c r="I113" s="23"/>
      <c r="J113" s="23"/>
      <c r="K113" s="23"/>
      <c r="L113" s="23"/>
      <c r="M113" s="23"/>
      <c r="N113" s="20">
        <f t="shared" ref="N113:S119" si="72">IF(AND($F113&lt;=N$3,$F113+$G$107&gt;=N$3),$E113*N$112,"")</f>
        <v>6.8818151050000012</v>
      </c>
      <c r="O113" s="20">
        <f t="shared" si="72"/>
        <v>6.8818151050000012</v>
      </c>
      <c r="P113" s="20">
        <f t="shared" si="72"/>
        <v>6.8818151050000012</v>
      </c>
      <c r="Q113" s="20">
        <f t="shared" si="72"/>
        <v>6.8818151050000012</v>
      </c>
      <c r="R113" s="20">
        <f t="shared" si="72"/>
        <v>6.8818151050000012</v>
      </c>
      <c r="S113" s="20">
        <f t="shared" si="72"/>
        <v>6.8818151050000012</v>
      </c>
      <c r="T113" s="23"/>
    </row>
    <row r="114" spans="1:20" s="183" customFormat="1">
      <c r="B114" s="240"/>
      <c r="C114" s="240"/>
      <c r="E114" s="255" cm="1">
        <f t="array" ref="E114:E119">TRANSPOSE(N99:S99)</f>
        <v>8.4019999999999992</v>
      </c>
      <c r="F114" s="253">
        <v>2025</v>
      </c>
      <c r="H114" s="23"/>
      <c r="I114" s="23"/>
      <c r="J114" s="23"/>
      <c r="K114" s="23"/>
      <c r="L114" s="23"/>
      <c r="M114" s="23"/>
      <c r="N114" s="20">
        <f t="shared" si="72"/>
        <v>0.79818999999999996</v>
      </c>
      <c r="O114" s="20">
        <f t="shared" si="72"/>
        <v>0.79818999999999996</v>
      </c>
      <c r="P114" s="20">
        <f t="shared" si="72"/>
        <v>0.79818999999999996</v>
      </c>
      <c r="Q114" s="20">
        <f t="shared" si="72"/>
        <v>0.79818999999999996</v>
      </c>
      <c r="R114" s="20">
        <f t="shared" si="72"/>
        <v>0.79818999999999996</v>
      </c>
      <c r="S114" s="20">
        <f t="shared" si="72"/>
        <v>0.79818999999999996</v>
      </c>
      <c r="T114" s="23"/>
    </row>
    <row r="115" spans="1:20" s="183" customFormat="1">
      <c r="B115" s="240"/>
      <c r="C115" s="240"/>
      <c r="E115" s="255">
        <v>22.207201169867993</v>
      </c>
      <c r="F115" s="253">
        <v>2026</v>
      </c>
      <c r="H115" s="23"/>
      <c r="I115" s="23"/>
      <c r="J115" s="23"/>
      <c r="K115" s="23"/>
      <c r="L115" s="23"/>
      <c r="M115" s="23"/>
      <c r="N115" s="20" t="str">
        <f t="shared" si="72"/>
        <v/>
      </c>
      <c r="O115" s="20">
        <f t="shared" si="72"/>
        <v>2.1096841111374594</v>
      </c>
      <c r="P115" s="20">
        <f t="shared" si="72"/>
        <v>2.1096841111374594</v>
      </c>
      <c r="Q115" s="20">
        <f t="shared" si="72"/>
        <v>2.1096841111374594</v>
      </c>
      <c r="R115" s="20">
        <f t="shared" si="72"/>
        <v>2.1096841111374594</v>
      </c>
      <c r="S115" s="20">
        <f t="shared" si="72"/>
        <v>2.1096841111374594</v>
      </c>
      <c r="T115" s="23"/>
    </row>
    <row r="116" spans="1:20" s="183" customFormat="1">
      <c r="B116" s="240"/>
      <c r="C116" s="240"/>
      <c r="E116" s="255">
        <v>7.8072011698679953</v>
      </c>
      <c r="F116" s="253">
        <v>2027</v>
      </c>
      <c r="H116" s="23"/>
      <c r="I116" s="23"/>
      <c r="J116" s="23"/>
      <c r="K116" s="23"/>
      <c r="L116" s="23"/>
      <c r="M116" s="23"/>
      <c r="N116" s="20" t="str">
        <f t="shared" si="72"/>
        <v/>
      </c>
      <c r="O116" s="20" t="str">
        <f t="shared" si="72"/>
        <v/>
      </c>
      <c r="P116" s="20">
        <f t="shared" si="72"/>
        <v>0.74168411113745958</v>
      </c>
      <c r="Q116" s="20">
        <f t="shared" si="72"/>
        <v>0.74168411113745958</v>
      </c>
      <c r="R116" s="20">
        <f t="shared" si="72"/>
        <v>0.74168411113745958</v>
      </c>
      <c r="S116" s="20">
        <f t="shared" si="72"/>
        <v>0.74168411113745958</v>
      </c>
      <c r="T116" s="23"/>
    </row>
    <row r="117" spans="1:20" s="183" customFormat="1">
      <c r="B117" s="240"/>
      <c r="C117" s="240"/>
      <c r="E117" s="255">
        <v>7.8072011698679953</v>
      </c>
      <c r="F117" s="253">
        <v>2028</v>
      </c>
      <c r="H117" s="23"/>
      <c r="I117" s="23"/>
      <c r="J117" s="23"/>
      <c r="K117" s="23"/>
      <c r="L117" s="23"/>
      <c r="M117" s="23"/>
      <c r="N117" s="20" t="str">
        <f t="shared" si="72"/>
        <v/>
      </c>
      <c r="O117" s="20" t="str">
        <f t="shared" si="72"/>
        <v/>
      </c>
      <c r="P117" s="20" t="str">
        <f t="shared" si="72"/>
        <v/>
      </c>
      <c r="Q117" s="20">
        <f t="shared" si="72"/>
        <v>0.74168411113745958</v>
      </c>
      <c r="R117" s="20">
        <f t="shared" si="72"/>
        <v>0.74168411113745958</v>
      </c>
      <c r="S117" s="20">
        <f t="shared" si="72"/>
        <v>0.74168411113745958</v>
      </c>
      <c r="T117" s="23"/>
    </row>
    <row r="118" spans="1:20" s="183" customFormat="1">
      <c r="B118" s="240"/>
      <c r="C118" s="240"/>
      <c r="E118" s="255">
        <v>3.6019999999999999</v>
      </c>
      <c r="F118" s="253">
        <v>2029</v>
      </c>
      <c r="H118" s="23"/>
      <c r="I118" s="23"/>
      <c r="J118" s="23"/>
      <c r="K118" s="23"/>
      <c r="L118" s="23"/>
      <c r="M118" s="23"/>
      <c r="N118" s="20" t="str">
        <f t="shared" si="72"/>
        <v/>
      </c>
      <c r="O118" s="20" t="str">
        <f t="shared" si="72"/>
        <v/>
      </c>
      <c r="P118" s="20" t="str">
        <f t="shared" si="72"/>
        <v/>
      </c>
      <c r="Q118" s="20" t="str">
        <f t="shared" si="72"/>
        <v/>
      </c>
      <c r="R118" s="20">
        <f t="shared" si="72"/>
        <v>0.34218999999999999</v>
      </c>
      <c r="S118" s="20">
        <f t="shared" si="72"/>
        <v>0.34218999999999999</v>
      </c>
      <c r="T118" s="23"/>
    </row>
    <row r="119" spans="1:20" s="183" customFormat="1">
      <c r="B119" s="240"/>
      <c r="C119" s="240"/>
      <c r="E119" s="255">
        <v>3.6019999999999999</v>
      </c>
      <c r="F119" s="253">
        <v>2030</v>
      </c>
      <c r="H119" s="23"/>
      <c r="I119" s="23"/>
      <c r="J119" s="23"/>
      <c r="K119" s="23"/>
      <c r="L119" s="23"/>
      <c r="M119" s="23"/>
      <c r="N119" s="20" t="str">
        <f t="shared" si="72"/>
        <v/>
      </c>
      <c r="O119" s="20" t="str">
        <f t="shared" si="72"/>
        <v/>
      </c>
      <c r="P119" s="20" t="str">
        <f t="shared" si="72"/>
        <v/>
      </c>
      <c r="Q119" s="20" t="str">
        <f t="shared" si="72"/>
        <v/>
      </c>
      <c r="R119" s="20" t="str">
        <f t="shared" si="72"/>
        <v/>
      </c>
      <c r="S119" s="20">
        <f t="shared" si="72"/>
        <v>0.34218999999999999</v>
      </c>
      <c r="T119" s="23"/>
    </row>
    <row r="120" spans="1:20" s="183" customFormat="1">
      <c r="B120" s="240"/>
      <c r="C120" s="240"/>
      <c r="E120" s="255"/>
      <c r="F120" s="253"/>
      <c r="H120" s="23"/>
      <c r="I120" s="23"/>
      <c r="J120" s="23"/>
      <c r="K120" s="23"/>
      <c r="L120" s="23"/>
      <c r="M120" s="23"/>
      <c r="N120" s="20"/>
      <c r="O120" s="20"/>
      <c r="P120" s="20"/>
      <c r="Q120" s="20"/>
      <c r="R120" s="20"/>
      <c r="S120" s="20"/>
      <c r="T120" s="23"/>
    </row>
    <row r="121" spans="1:20" s="987" customFormat="1">
      <c r="A121" s="986" t="s">
        <v>8</v>
      </c>
      <c r="B121" s="986" t="s">
        <v>982</v>
      </c>
      <c r="C121" s="986"/>
      <c r="D121" s="986"/>
      <c r="E121" s="986"/>
      <c r="F121" s="986"/>
      <c r="G121" s="986"/>
      <c r="H121" s="986"/>
      <c r="I121" s="986"/>
      <c r="J121" s="986"/>
      <c r="K121" s="986"/>
      <c r="L121" s="986"/>
      <c r="M121" s="986"/>
      <c r="N121" s="986"/>
      <c r="O121" s="986"/>
      <c r="P121" s="986"/>
      <c r="Q121" s="986"/>
      <c r="R121" s="986"/>
      <c r="S121" s="986"/>
    </row>
    <row r="122" spans="1:20" s="96" customForma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</row>
    <row r="123" spans="1:20" s="183" customFormat="1">
      <c r="C123" s="183" t="s">
        <v>499</v>
      </c>
      <c r="H123" s="23"/>
      <c r="I123" s="23">
        <f>H129</f>
        <v>23.532423335874647</v>
      </c>
      <c r="J123" s="23">
        <f t="shared" ref="J123" si="73">I129</f>
        <v>26.129691708184961</v>
      </c>
      <c r="K123" s="988"/>
      <c r="L123" s="23">
        <f>J129</f>
        <v>29.329274695622857</v>
      </c>
      <c r="M123" s="988"/>
      <c r="N123" s="23">
        <f>L129</f>
        <v>27.708311848251626</v>
      </c>
      <c r="O123" s="23">
        <f t="shared" ref="O123" si="74">N129</f>
        <v>27.667288154808123</v>
      </c>
      <c r="P123" s="23">
        <f t="shared" ref="P123" si="75">O129</f>
        <v>27.305924461364619</v>
      </c>
      <c r="Q123" s="23">
        <f t="shared" ref="Q123" si="76">P129</f>
        <v>26.624220767921116</v>
      </c>
      <c r="R123" s="23">
        <f t="shared" ref="R123" si="77">Q129</f>
        <v>28.337177074477612</v>
      </c>
      <c r="S123" s="23">
        <f t="shared" ref="S123" si="78">R129</f>
        <v>29.444793381034106</v>
      </c>
      <c r="T123" s="23"/>
    </row>
    <row r="124" spans="1:20" s="184" customFormat="1">
      <c r="C124" s="237"/>
      <c r="D124" s="184" t="s">
        <v>500</v>
      </c>
      <c r="H124" s="20"/>
      <c r="I124" s="20">
        <f>产能及CAPEX!J227/1000</f>
        <v>5.3564667059285522</v>
      </c>
      <c r="J124" s="20">
        <f>产能及CAPEX!K227/1000</f>
        <v>4.5725659484292489</v>
      </c>
      <c r="K124" s="988"/>
      <c r="L124" s="20">
        <f>产能及CAPEX!M227/1000</f>
        <v>3.2252904985192821</v>
      </c>
      <c r="M124" s="988"/>
      <c r="N124" s="20">
        <f>产能及CAPEX!O227/1000</f>
        <v>3.3719999999999999</v>
      </c>
      <c r="O124" s="20">
        <f>产能及CAPEX!P227/1000</f>
        <v>3.3719999999999999</v>
      </c>
      <c r="P124" s="20">
        <f>产能及CAPEX!Q227/1000</f>
        <v>3.3719999999999999</v>
      </c>
      <c r="Q124" s="20">
        <f>产能及CAPEX!R227/1000</f>
        <v>6.3719999999999999</v>
      </c>
      <c r="R124" s="20">
        <f>产能及CAPEX!S227/1000</f>
        <v>6.3719999999999999</v>
      </c>
      <c r="S124" s="20">
        <f>产能及CAPEX!T227/1000</f>
        <v>3.3719999999999999</v>
      </c>
      <c r="T124" s="20"/>
    </row>
    <row r="125" spans="1:20" s="185" customFormat="1">
      <c r="C125" s="248"/>
      <c r="E125" s="185" t="s">
        <v>130</v>
      </c>
      <c r="H125" s="219"/>
      <c r="I125" s="137">
        <f>I124*1000*集团!I11/集团!I9/加拿大!I31</f>
        <v>2.7931945185634393E-2</v>
      </c>
      <c r="J125" s="137">
        <f>J124*1000*集团!J11/集团!J9/加拿大!J31</f>
        <v>2.2010285959693465E-2</v>
      </c>
      <c r="K125" s="988"/>
      <c r="L125" s="137">
        <f>L124*1000*集团!L11/集团!L9/加拿大!L31</f>
        <v>1.4406177975554534E-2</v>
      </c>
      <c r="M125" s="988"/>
      <c r="N125" s="137">
        <f>N124*1000*集团!N11/集团!N9/加拿大!N31</f>
        <v>1.3259256757834088E-2</v>
      </c>
      <c r="O125" s="137">
        <f>O124*1000*集团!O11/集团!O9/加拿大!O31</f>
        <v>1.1934524534504127E-2</v>
      </c>
      <c r="P125" s="137">
        <f>P124*1000*集团!P11/集团!P9/加拿大!P31</f>
        <v>1.0742146295683281E-2</v>
      </c>
      <c r="Q125" s="137">
        <f>Q124*1000*集团!Q11/集团!Q9/加拿大!Q31</f>
        <v>1.8271121470535095E-2</v>
      </c>
      <c r="R125" s="137">
        <f>R124*1000*集团!R11/集团!R9/加拿大!R31</f>
        <v>1.6445653888870471E-2</v>
      </c>
      <c r="S125" s="137">
        <f>S124*1000*集团!S11/集团!S9/加拿大!S31</f>
        <v>7.8333744268877757E-3</v>
      </c>
      <c r="T125" s="219"/>
    </row>
    <row r="126" spans="1:20" s="184" customFormat="1">
      <c r="C126" s="237"/>
      <c r="D126" s="184" t="s">
        <v>501</v>
      </c>
      <c r="H126" s="20"/>
      <c r="I126" s="1032">
        <v>0</v>
      </c>
      <c r="J126" s="1032">
        <v>0</v>
      </c>
      <c r="K126" s="1442"/>
      <c r="L126" s="1032">
        <v>0</v>
      </c>
      <c r="M126" s="988"/>
      <c r="N126" s="80">
        <f>L126</f>
        <v>0</v>
      </c>
      <c r="O126" s="80">
        <f t="shared" ref="O126" si="79">N126</f>
        <v>0</v>
      </c>
      <c r="P126" s="80">
        <f t="shared" ref="P126" si="80">O126</f>
        <v>0</v>
      </c>
      <c r="Q126" s="80">
        <f t="shared" ref="Q126" si="81">P126</f>
        <v>0</v>
      </c>
      <c r="R126" s="80">
        <f t="shared" ref="R126" si="82">Q126</f>
        <v>0</v>
      </c>
      <c r="S126" s="80">
        <f t="shared" ref="S126" si="83">R126</f>
        <v>0</v>
      </c>
      <c r="T126" s="20"/>
    </row>
    <row r="127" spans="1:20" s="184" customFormat="1">
      <c r="C127" s="237"/>
      <c r="D127" s="184" t="s">
        <v>502</v>
      </c>
      <c r="H127" s="20"/>
      <c r="I127" s="20">
        <f>I129-(I123+I124+I126)</f>
        <v>-2.7591983336182402</v>
      </c>
      <c r="J127" s="20">
        <f>J129-(J123+J124+J126)</f>
        <v>-1.3729829609913509</v>
      </c>
      <c r="K127" s="989"/>
      <c r="L127" s="20">
        <f>L129-(L123+L124+L126)</f>
        <v>-4.846253345890517</v>
      </c>
      <c r="M127" s="988"/>
      <c r="N127" s="20">
        <f>-SUM(N138:N144)</f>
        <v>-3.4130236934435034</v>
      </c>
      <c r="O127" s="20">
        <f t="shared" ref="O127:S127" si="84">-SUM(O138:O144)</f>
        <v>-3.7333636934435033</v>
      </c>
      <c r="P127" s="20">
        <f t="shared" si="84"/>
        <v>-4.0537036934435031</v>
      </c>
      <c r="Q127" s="20">
        <f t="shared" si="84"/>
        <v>-4.6590436934435031</v>
      </c>
      <c r="R127" s="20">
        <f t="shared" si="84"/>
        <v>-5.2643836934435031</v>
      </c>
      <c r="S127" s="20">
        <f t="shared" si="84"/>
        <v>-5.5847236934435029</v>
      </c>
      <c r="T127" s="20"/>
    </row>
    <row r="128" spans="1:20" s="184" customFormat="1" ht="15" thickBot="1">
      <c r="B128" s="241"/>
      <c r="C128" s="241"/>
      <c r="D128" s="241"/>
      <c r="E128" s="241"/>
      <c r="F128" s="238"/>
      <c r="G128" s="238"/>
      <c r="H128" s="39"/>
      <c r="I128" s="39"/>
      <c r="J128" s="39"/>
      <c r="K128" s="990"/>
      <c r="L128" s="39"/>
      <c r="M128" s="990"/>
      <c r="N128" s="39"/>
      <c r="O128" s="39"/>
      <c r="P128" s="39"/>
      <c r="Q128" s="39"/>
      <c r="R128" s="39"/>
      <c r="S128" s="39"/>
      <c r="T128" s="20"/>
    </row>
    <row r="129" spans="1:20" s="183" customFormat="1">
      <c r="B129" s="240"/>
      <c r="C129" s="240" t="s">
        <v>503</v>
      </c>
      <c r="D129" s="240"/>
      <c r="E129" s="240"/>
      <c r="H129" s="405">
        <v>23.532423335874647</v>
      </c>
      <c r="I129" s="405">
        <v>26.129691708184961</v>
      </c>
      <c r="J129" s="405">
        <v>29.329274695622857</v>
      </c>
      <c r="K129" s="991"/>
      <c r="L129" s="405">
        <v>27.708311848251626</v>
      </c>
      <c r="M129" s="991"/>
      <c r="N129" s="23">
        <f>SUM(N123,N124,N126,N127)</f>
        <v>27.667288154808123</v>
      </c>
      <c r="O129" s="23">
        <f t="shared" ref="O129:S129" si="85">SUM(O123,O124,O126,O127)</f>
        <v>27.305924461364619</v>
      </c>
      <c r="P129" s="23">
        <f t="shared" si="85"/>
        <v>26.624220767921116</v>
      </c>
      <c r="Q129" s="23">
        <f t="shared" si="85"/>
        <v>28.337177074477612</v>
      </c>
      <c r="R129" s="23">
        <f t="shared" si="85"/>
        <v>29.444793381034106</v>
      </c>
      <c r="S129" s="23">
        <f t="shared" si="85"/>
        <v>27.232069687590599</v>
      </c>
      <c r="T129" s="23"/>
    </row>
    <row r="130" spans="1:20" s="183" customFormat="1">
      <c r="B130" s="240"/>
      <c r="C130" s="240"/>
      <c r="D130" s="240"/>
      <c r="E130" s="240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 spans="1:20" s="247" customFormat="1">
      <c r="A131" s="26" t="s">
        <v>8</v>
      </c>
      <c r="B131" s="26" t="s">
        <v>508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</row>
    <row r="132" spans="1:20" s="183" customFormat="1">
      <c r="B132" s="240" t="s">
        <v>509</v>
      </c>
      <c r="C132" s="240"/>
      <c r="D132" s="240"/>
      <c r="E132" s="240"/>
      <c r="G132" s="393">
        <v>10</v>
      </c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 spans="1:20" s="183" customFormat="1">
      <c r="B133" s="240" t="s">
        <v>510</v>
      </c>
      <c r="C133" s="240"/>
      <c r="D133" s="240"/>
      <c r="E133" s="240"/>
      <c r="G133" s="479">
        <v>0.05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 spans="1:20" s="183" customFormat="1">
      <c r="B134" s="240" t="s">
        <v>511</v>
      </c>
      <c r="C134" s="240"/>
      <c r="D134" s="240"/>
      <c r="E134" s="240"/>
      <c r="G134" s="144">
        <f>(1-G133)/G132</f>
        <v>9.5000000000000001E-2</v>
      </c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 spans="1:20" s="183" customFormat="1">
      <c r="B135" s="240"/>
      <c r="C135" s="240"/>
      <c r="D135" s="240"/>
      <c r="E135" s="240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 spans="1:20" s="183" customFormat="1">
      <c r="B136" s="240" t="s">
        <v>508</v>
      </c>
      <c r="C136" s="240"/>
      <c r="D136" s="240"/>
      <c r="E136" s="249"/>
      <c r="F136" s="250"/>
      <c r="H136" s="23"/>
      <c r="J136" s="23"/>
      <c r="K136" s="23"/>
      <c r="T136" s="23"/>
    </row>
    <row r="137" spans="1:20" s="183" customFormat="1">
      <c r="B137" s="240"/>
      <c r="C137" s="240"/>
      <c r="D137" s="240"/>
      <c r="E137" s="249" t="s">
        <v>512</v>
      </c>
      <c r="F137" s="250" t="s">
        <v>513</v>
      </c>
      <c r="H137" s="23"/>
      <c r="I137" s="23"/>
      <c r="J137" s="23"/>
      <c r="K137" s="23"/>
      <c r="L137" s="23"/>
      <c r="M137" s="23"/>
      <c r="N137" s="144">
        <f>$G$84</f>
        <v>9.5000000000000001E-2</v>
      </c>
      <c r="O137" s="144">
        <f t="shared" ref="O137:S137" si="86">$G$84</f>
        <v>9.5000000000000001E-2</v>
      </c>
      <c r="P137" s="144">
        <f t="shared" si="86"/>
        <v>9.5000000000000001E-2</v>
      </c>
      <c r="Q137" s="144">
        <f t="shared" si="86"/>
        <v>9.5000000000000001E-2</v>
      </c>
      <c r="R137" s="144">
        <f t="shared" si="86"/>
        <v>9.5000000000000001E-2</v>
      </c>
      <c r="S137" s="144">
        <f t="shared" si="86"/>
        <v>9.5000000000000001E-2</v>
      </c>
      <c r="T137" s="23"/>
    </row>
    <row r="138" spans="1:20" s="183" customFormat="1">
      <c r="B138" s="240"/>
      <c r="C138" s="240"/>
      <c r="D138" s="240"/>
      <c r="E138" s="254">
        <f>L129-L127</f>
        <v>32.554565194142143</v>
      </c>
      <c r="F138" s="251">
        <v>2024</v>
      </c>
      <c r="H138" s="23"/>
      <c r="I138" s="23"/>
      <c r="J138" s="23"/>
      <c r="K138" s="23"/>
      <c r="L138" s="23"/>
      <c r="M138" s="23"/>
      <c r="N138" s="20">
        <f t="shared" ref="N138:S144" si="87">IF(AND($F138&lt;=N$3,$F138+$G$132&gt;=N$3),$E138*N$137,"")</f>
        <v>3.0926836934435036</v>
      </c>
      <c r="O138" s="20">
        <f t="shared" si="87"/>
        <v>3.0926836934435036</v>
      </c>
      <c r="P138" s="20">
        <f t="shared" si="87"/>
        <v>3.0926836934435036</v>
      </c>
      <c r="Q138" s="20">
        <f t="shared" si="87"/>
        <v>3.0926836934435036</v>
      </c>
      <c r="R138" s="20">
        <f t="shared" si="87"/>
        <v>3.0926836934435036</v>
      </c>
      <c r="S138" s="20">
        <f t="shared" si="87"/>
        <v>3.0926836934435036</v>
      </c>
      <c r="T138" s="23"/>
    </row>
    <row r="139" spans="1:20" s="183" customFormat="1">
      <c r="B139" s="240"/>
      <c r="C139" s="240"/>
      <c r="E139" s="255" cm="1">
        <f t="array" ref="E139:E144">TRANSPOSE(N124:S124)</f>
        <v>3.3719999999999999</v>
      </c>
      <c r="F139" s="253">
        <v>2025</v>
      </c>
      <c r="H139" s="23"/>
      <c r="I139" s="23"/>
      <c r="J139" s="23"/>
      <c r="K139" s="23"/>
      <c r="L139" s="23"/>
      <c r="M139" s="23"/>
      <c r="N139" s="20">
        <f t="shared" si="87"/>
        <v>0.32034000000000001</v>
      </c>
      <c r="O139" s="20">
        <f t="shared" si="87"/>
        <v>0.32034000000000001</v>
      </c>
      <c r="P139" s="20">
        <f t="shared" si="87"/>
        <v>0.32034000000000001</v>
      </c>
      <c r="Q139" s="20">
        <f t="shared" si="87"/>
        <v>0.32034000000000001</v>
      </c>
      <c r="R139" s="20">
        <f t="shared" si="87"/>
        <v>0.32034000000000001</v>
      </c>
      <c r="S139" s="20">
        <f t="shared" si="87"/>
        <v>0.32034000000000001</v>
      </c>
      <c r="T139" s="23"/>
    </row>
    <row r="140" spans="1:20" s="183" customFormat="1">
      <c r="B140" s="240"/>
      <c r="C140" s="240"/>
      <c r="E140" s="255">
        <v>3.3719999999999999</v>
      </c>
      <c r="F140" s="253">
        <v>2026</v>
      </c>
      <c r="H140" s="23"/>
      <c r="I140" s="23"/>
      <c r="J140" s="23"/>
      <c r="K140" s="23"/>
      <c r="L140" s="23"/>
      <c r="M140" s="23"/>
      <c r="N140" s="20" t="str">
        <f t="shared" si="87"/>
        <v/>
      </c>
      <c r="O140" s="20">
        <f t="shared" si="87"/>
        <v>0.32034000000000001</v>
      </c>
      <c r="P140" s="20">
        <f t="shared" si="87"/>
        <v>0.32034000000000001</v>
      </c>
      <c r="Q140" s="20">
        <f t="shared" si="87"/>
        <v>0.32034000000000001</v>
      </c>
      <c r="R140" s="20">
        <f t="shared" si="87"/>
        <v>0.32034000000000001</v>
      </c>
      <c r="S140" s="20">
        <f t="shared" si="87"/>
        <v>0.32034000000000001</v>
      </c>
      <c r="T140" s="23"/>
    </row>
    <row r="141" spans="1:20" s="183" customFormat="1">
      <c r="B141" s="240"/>
      <c r="C141" s="240"/>
      <c r="E141" s="255">
        <v>3.3719999999999999</v>
      </c>
      <c r="F141" s="253">
        <v>2027</v>
      </c>
      <c r="H141" s="23"/>
      <c r="I141" s="23"/>
      <c r="J141" s="23"/>
      <c r="K141" s="23"/>
      <c r="L141" s="23"/>
      <c r="M141" s="23"/>
      <c r="N141" s="20" t="str">
        <f t="shared" si="87"/>
        <v/>
      </c>
      <c r="O141" s="20" t="str">
        <f t="shared" si="87"/>
        <v/>
      </c>
      <c r="P141" s="20">
        <f t="shared" si="87"/>
        <v>0.32034000000000001</v>
      </c>
      <c r="Q141" s="20">
        <f t="shared" si="87"/>
        <v>0.32034000000000001</v>
      </c>
      <c r="R141" s="20">
        <f t="shared" si="87"/>
        <v>0.32034000000000001</v>
      </c>
      <c r="S141" s="20">
        <f t="shared" si="87"/>
        <v>0.32034000000000001</v>
      </c>
      <c r="T141" s="23"/>
    </row>
    <row r="142" spans="1:20" s="183" customFormat="1">
      <c r="B142" s="240"/>
      <c r="C142" s="240"/>
      <c r="E142" s="255">
        <v>6.3719999999999999</v>
      </c>
      <c r="F142" s="253">
        <v>2028</v>
      </c>
      <c r="H142" s="23"/>
      <c r="I142" s="23"/>
      <c r="J142" s="23"/>
      <c r="K142" s="23"/>
      <c r="L142" s="23"/>
      <c r="M142" s="23"/>
      <c r="N142" s="20" t="str">
        <f t="shared" si="87"/>
        <v/>
      </c>
      <c r="O142" s="20" t="str">
        <f t="shared" si="87"/>
        <v/>
      </c>
      <c r="P142" s="20" t="str">
        <f t="shared" si="87"/>
        <v/>
      </c>
      <c r="Q142" s="20">
        <f t="shared" si="87"/>
        <v>0.60533999999999999</v>
      </c>
      <c r="R142" s="20">
        <f t="shared" si="87"/>
        <v>0.60533999999999999</v>
      </c>
      <c r="S142" s="20">
        <f t="shared" si="87"/>
        <v>0.60533999999999999</v>
      </c>
      <c r="T142" s="23"/>
    </row>
    <row r="143" spans="1:20" s="183" customFormat="1">
      <c r="B143" s="240"/>
      <c r="C143" s="240"/>
      <c r="E143" s="255">
        <v>6.3719999999999999</v>
      </c>
      <c r="F143" s="253">
        <v>2029</v>
      </c>
      <c r="H143" s="23"/>
      <c r="I143" s="23"/>
      <c r="J143" s="23"/>
      <c r="K143" s="23"/>
      <c r="L143" s="23"/>
      <c r="M143" s="23"/>
      <c r="N143" s="20" t="str">
        <f t="shared" si="87"/>
        <v/>
      </c>
      <c r="O143" s="20" t="str">
        <f t="shared" si="87"/>
        <v/>
      </c>
      <c r="P143" s="20" t="str">
        <f t="shared" si="87"/>
        <v/>
      </c>
      <c r="Q143" s="20" t="str">
        <f t="shared" si="87"/>
        <v/>
      </c>
      <c r="R143" s="20">
        <f t="shared" si="87"/>
        <v>0.60533999999999999</v>
      </c>
      <c r="S143" s="20">
        <f t="shared" si="87"/>
        <v>0.60533999999999999</v>
      </c>
      <c r="T143" s="23"/>
    </row>
    <row r="144" spans="1:20" s="183" customFormat="1">
      <c r="B144" s="240"/>
      <c r="C144" s="240"/>
      <c r="E144" s="255">
        <v>3.3719999999999999</v>
      </c>
      <c r="F144" s="253">
        <v>2030</v>
      </c>
      <c r="H144" s="23"/>
      <c r="I144" s="23"/>
      <c r="J144" s="23"/>
      <c r="K144" s="23"/>
      <c r="L144" s="23"/>
      <c r="M144" s="23"/>
      <c r="N144" s="20" t="str">
        <f t="shared" si="87"/>
        <v/>
      </c>
      <c r="O144" s="20" t="str">
        <f t="shared" si="87"/>
        <v/>
      </c>
      <c r="P144" s="20" t="str">
        <f t="shared" si="87"/>
        <v/>
      </c>
      <c r="Q144" s="20" t="str">
        <f t="shared" si="87"/>
        <v/>
      </c>
      <c r="R144" s="20" t="str">
        <f t="shared" si="87"/>
        <v/>
      </c>
      <c r="S144" s="20">
        <f t="shared" si="87"/>
        <v>0.32034000000000001</v>
      </c>
      <c r="T144" s="23"/>
    </row>
    <row r="145" spans="1:20" s="183" customFormat="1">
      <c r="B145" s="240"/>
      <c r="C145" s="240"/>
      <c r="E145" s="255"/>
      <c r="F145" s="253"/>
      <c r="H145" s="23"/>
      <c r="I145" s="23"/>
      <c r="J145" s="23"/>
      <c r="K145" s="23"/>
      <c r="L145" s="23"/>
      <c r="M145" s="23"/>
      <c r="N145" s="20"/>
      <c r="O145" s="20"/>
      <c r="P145" s="20"/>
      <c r="Q145" s="20"/>
      <c r="R145" s="20"/>
      <c r="S145" s="20"/>
      <c r="T145" s="23"/>
    </row>
    <row r="146" spans="1:20" s="987" customFormat="1">
      <c r="A146" s="986" t="s">
        <v>8</v>
      </c>
      <c r="B146" s="986" t="s">
        <v>983</v>
      </c>
      <c r="C146" s="986"/>
      <c r="D146" s="986"/>
      <c r="E146" s="986"/>
      <c r="F146" s="986"/>
      <c r="G146" s="986"/>
      <c r="H146" s="986"/>
      <c r="I146" s="986"/>
      <c r="J146" s="986"/>
      <c r="K146" s="986"/>
      <c r="L146" s="986"/>
      <c r="M146" s="986"/>
      <c r="N146" s="986"/>
      <c r="O146" s="986"/>
      <c r="P146" s="986"/>
      <c r="Q146" s="986"/>
      <c r="R146" s="986"/>
      <c r="S146" s="986"/>
    </row>
    <row r="147" spans="1:20" s="96" customForma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</row>
    <row r="148" spans="1:20" s="183" customFormat="1">
      <c r="C148" s="183" t="s">
        <v>499</v>
      </c>
      <c r="H148" s="23"/>
      <c r="I148" s="23">
        <f>H154</f>
        <v>17.153022862344844</v>
      </c>
      <c r="J148" s="23">
        <f t="shared" ref="J148" si="88">I154</f>
        <v>13.666398870556099</v>
      </c>
      <c r="K148" s="988"/>
      <c r="L148" s="23">
        <f>J154</f>
        <v>13.291113953958238</v>
      </c>
      <c r="M148" s="988"/>
      <c r="N148" s="23">
        <f>L154</f>
        <v>11.691401002292846</v>
      </c>
      <c r="O148" s="23">
        <f t="shared" ref="O148" si="89">N154</f>
        <v>13.379253139927796</v>
      </c>
      <c r="P148" s="23">
        <f t="shared" ref="P148" si="90">O154</f>
        <v>14.742775277562746</v>
      </c>
      <c r="Q148" s="23">
        <f t="shared" ref="Q148" si="91">P154</f>
        <v>15.781967415197698</v>
      </c>
      <c r="R148" s="23">
        <f t="shared" ref="R148" si="92">Q154</f>
        <v>19.211829552832651</v>
      </c>
      <c r="S148" s="23">
        <f t="shared" ref="S148" si="93">R154</f>
        <v>22.032361690467599</v>
      </c>
      <c r="T148" s="23"/>
    </row>
    <row r="149" spans="1:20" s="184" customFormat="1">
      <c r="C149" s="237"/>
      <c r="D149" s="184" t="s">
        <v>500</v>
      </c>
      <c r="H149" s="20"/>
      <c r="I149" s="20">
        <f>产能及CAPEX!J264/1000</f>
        <v>1.8325721719237702</v>
      </c>
      <c r="J149" s="20">
        <f>产能及CAPEX!K264/1000</f>
        <v>2.3321741285103141</v>
      </c>
      <c r="K149" s="988"/>
      <c r="L149" s="20">
        <f>产能及CAPEX!M264/1000</f>
        <v>1.4648635446212279</v>
      </c>
      <c r="M149" s="988"/>
      <c r="N149" s="20">
        <f>产能及CAPEX!O264/1000</f>
        <v>3.4140000000000001</v>
      </c>
      <c r="O149" s="20">
        <f>产能及CAPEX!P264/1000</f>
        <v>3.4140000000000001</v>
      </c>
      <c r="P149" s="20">
        <f>产能及CAPEX!Q264/1000</f>
        <v>3.4140000000000001</v>
      </c>
      <c r="Q149" s="20">
        <f>产能及CAPEX!R264/1000</f>
        <v>6.4139999999999997</v>
      </c>
      <c r="R149" s="20">
        <f>产能及CAPEX!S264/1000</f>
        <v>6.4139999999999997</v>
      </c>
      <c r="S149" s="20">
        <f>产能及CAPEX!T264/1000</f>
        <v>3.4140000000000001</v>
      </c>
      <c r="T149" s="20"/>
    </row>
    <row r="150" spans="1:20" s="185" customFormat="1">
      <c r="C150" s="248"/>
      <c r="E150" s="185" t="s">
        <v>130</v>
      </c>
      <c r="H150" s="219"/>
      <c r="I150" s="137">
        <f>I149/欧洲!I15*1000*集团!I10/集团!I9</f>
        <v>2.2045174112138528E-2</v>
      </c>
      <c r="J150" s="137">
        <f>J149/欧洲!J15*1000*集团!J10/集团!J9</f>
        <v>2.5291312827092131E-2</v>
      </c>
      <c r="K150" s="988"/>
      <c r="L150" s="137">
        <f>L149/欧洲!L15*1000*集团!L10/集团!L9</f>
        <v>1.4538872386752858E-2</v>
      </c>
      <c r="M150" s="988"/>
      <c r="N150" s="137">
        <f>N149/欧洲!N15*1000*集团!N10/集团!N9</f>
        <v>3.2445553892418821E-2</v>
      </c>
      <c r="O150" s="137">
        <f>O149/欧洲!O15*1000*集团!O10/集团!O9</f>
        <v>3.0222234568726261E-2</v>
      </c>
      <c r="P150" s="137">
        <f>P149/欧洲!P15*1000*集团!P10/集团!P9</f>
        <v>2.8175931456261478E-2</v>
      </c>
      <c r="Q150" s="137">
        <f>Q149/欧洲!Q15*1000*集团!Q10/集团!Q9</f>
        <v>4.9097992147738218E-2</v>
      </c>
      <c r="R150" s="137">
        <f>R149/欧洲!R15*1000*集团!R10/集团!R9</f>
        <v>4.51131731788844E-2</v>
      </c>
      <c r="S150" s="137">
        <f>S149/欧洲!S15*1000*集团!S10/集团!S9</f>
        <v>2.1695202629497423E-2</v>
      </c>
      <c r="T150" s="219"/>
    </row>
    <row r="151" spans="1:20" s="184" customFormat="1">
      <c r="C151" s="237"/>
      <c r="D151" s="184" t="s">
        <v>501</v>
      </c>
      <c r="H151" s="20"/>
      <c r="I151" s="1032">
        <v>0</v>
      </c>
      <c r="J151" s="1032">
        <v>0</v>
      </c>
      <c r="K151" s="1442"/>
      <c r="L151" s="1032">
        <v>0</v>
      </c>
      <c r="M151" s="988"/>
      <c r="N151" s="80">
        <f t="shared" ref="N151" si="94">L151</f>
        <v>0</v>
      </c>
      <c r="O151" s="80">
        <f t="shared" ref="O151" si="95">N151</f>
        <v>0</v>
      </c>
      <c r="P151" s="80">
        <f t="shared" ref="P151" si="96">O151</f>
        <v>0</v>
      </c>
      <c r="Q151" s="80">
        <f t="shared" ref="Q151" si="97">P151</f>
        <v>0</v>
      </c>
      <c r="R151" s="80">
        <f t="shared" ref="R151" si="98">Q151</f>
        <v>0</v>
      </c>
      <c r="S151" s="80">
        <f t="shared" ref="S151" si="99">R151</f>
        <v>0</v>
      </c>
      <c r="T151" s="20"/>
    </row>
    <row r="152" spans="1:20" s="184" customFormat="1">
      <c r="C152" s="237"/>
      <c r="D152" s="184" t="s">
        <v>502</v>
      </c>
      <c r="H152" s="20"/>
      <c r="I152" s="20">
        <f>I154-(I148+I149+I151)</f>
        <v>-5.3191961637125136</v>
      </c>
      <c r="J152" s="20">
        <f>J154-(J148+J149+J151)</f>
        <v>-2.707459045108175</v>
      </c>
      <c r="K152" s="989"/>
      <c r="L152" s="20">
        <f>L154-(L148+L149+L151)</f>
        <v>-3.0645764962866195</v>
      </c>
      <c r="M152" s="988"/>
      <c r="N152" s="20">
        <f>-SUM(N163:N169)</f>
        <v>-1.7261478623650492</v>
      </c>
      <c r="O152" s="20">
        <f t="shared" ref="O152:S152" si="100">-SUM(O163:O169)</f>
        <v>-2.0504778623650495</v>
      </c>
      <c r="P152" s="20">
        <f t="shared" si="100"/>
        <v>-2.3748078623650493</v>
      </c>
      <c r="Q152" s="20">
        <f t="shared" si="100"/>
        <v>-2.9841378623650492</v>
      </c>
      <c r="R152" s="20">
        <f t="shared" si="100"/>
        <v>-3.5934678623650491</v>
      </c>
      <c r="S152" s="20">
        <f t="shared" si="100"/>
        <v>-3.9177978623650489</v>
      </c>
      <c r="T152" s="20"/>
    </row>
    <row r="153" spans="1:20" s="184" customFormat="1" ht="15" thickBot="1">
      <c r="B153" s="241"/>
      <c r="C153" s="241"/>
      <c r="D153" s="241"/>
      <c r="E153" s="241"/>
      <c r="F153" s="238"/>
      <c r="G153" s="238"/>
      <c r="H153" s="39"/>
      <c r="I153" s="39"/>
      <c r="J153" s="39"/>
      <c r="K153" s="990"/>
      <c r="L153" s="39"/>
      <c r="M153" s="990"/>
      <c r="N153" s="39"/>
      <c r="O153" s="39"/>
      <c r="P153" s="39"/>
      <c r="Q153" s="39"/>
      <c r="R153" s="39"/>
      <c r="S153" s="39"/>
      <c r="T153" s="20"/>
    </row>
    <row r="154" spans="1:20" s="183" customFormat="1">
      <c r="B154" s="240"/>
      <c r="C154" s="240" t="s">
        <v>503</v>
      </c>
      <c r="D154" s="240"/>
      <c r="E154" s="240"/>
      <c r="H154" s="405">
        <v>17.153022862344844</v>
      </c>
      <c r="I154" s="405">
        <v>13.666398870556099</v>
      </c>
      <c r="J154" s="405">
        <v>13.291113953958238</v>
      </c>
      <c r="K154" s="991"/>
      <c r="L154" s="405">
        <v>11.691401002292846</v>
      </c>
      <c r="M154" s="991"/>
      <c r="N154" s="23">
        <f>SUM(N148,N149,N151,N152)</f>
        <v>13.379253139927796</v>
      </c>
      <c r="O154" s="23">
        <f t="shared" ref="O154:S154" si="101">SUM(O148,O149,O151,O152)</f>
        <v>14.742775277562746</v>
      </c>
      <c r="P154" s="23">
        <f t="shared" si="101"/>
        <v>15.781967415197698</v>
      </c>
      <c r="Q154" s="23">
        <f>SUM(Q148,Q149,Q151,Q152)</f>
        <v>19.211829552832651</v>
      </c>
      <c r="R154" s="23">
        <f t="shared" si="101"/>
        <v>22.032361690467599</v>
      </c>
      <c r="S154" s="23">
        <f t="shared" si="101"/>
        <v>21.528563828102552</v>
      </c>
      <c r="T154" s="23"/>
    </row>
    <row r="155" spans="1:20" s="183" customFormat="1">
      <c r="B155" s="240"/>
      <c r="C155" s="240"/>
      <c r="D155" s="240"/>
      <c r="E155" s="240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 spans="1:20" s="247" customFormat="1">
      <c r="A156" s="26" t="s">
        <v>8</v>
      </c>
      <c r="B156" s="26" t="s">
        <v>508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</row>
    <row r="157" spans="1:20" s="183" customFormat="1">
      <c r="B157" s="240" t="s">
        <v>509</v>
      </c>
      <c r="C157" s="240"/>
      <c r="D157" s="240"/>
      <c r="E157" s="240"/>
      <c r="G157" s="393">
        <v>10</v>
      </c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 spans="1:20" s="183" customFormat="1">
      <c r="B158" s="240" t="s">
        <v>510</v>
      </c>
      <c r="C158" s="240"/>
      <c r="D158" s="240"/>
      <c r="E158" s="240"/>
      <c r="G158" s="479">
        <v>0.05</v>
      </c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 spans="1:20" s="183" customFormat="1">
      <c r="B159" s="240" t="s">
        <v>511</v>
      </c>
      <c r="C159" s="240"/>
      <c r="D159" s="240"/>
      <c r="E159" s="240"/>
      <c r="G159" s="144">
        <f>(1-G158)/G157</f>
        <v>9.5000000000000001E-2</v>
      </c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 spans="1:20" s="183" customFormat="1">
      <c r="B160" s="240"/>
      <c r="C160" s="240"/>
      <c r="D160" s="240"/>
      <c r="E160" s="240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 spans="1:20" s="183" customFormat="1">
      <c r="B161" s="240" t="s">
        <v>508</v>
      </c>
      <c r="C161" s="240"/>
      <c r="D161" s="240"/>
      <c r="E161" s="249"/>
      <c r="F161" s="250"/>
      <c r="H161" s="23"/>
      <c r="J161" s="23"/>
      <c r="K161" s="23"/>
      <c r="T161" s="23"/>
    </row>
    <row r="162" spans="1:20" s="183" customFormat="1">
      <c r="B162" s="240"/>
      <c r="C162" s="240"/>
      <c r="D162" s="240"/>
      <c r="E162" s="249" t="s">
        <v>512</v>
      </c>
      <c r="F162" s="250" t="s">
        <v>513</v>
      </c>
      <c r="H162" s="23"/>
      <c r="I162" s="23"/>
      <c r="J162" s="23"/>
      <c r="K162" s="23"/>
      <c r="L162" s="23"/>
      <c r="M162" s="23"/>
      <c r="N162" s="144">
        <f>$G$84</f>
        <v>9.5000000000000001E-2</v>
      </c>
      <c r="O162" s="144">
        <f t="shared" ref="O162:S162" si="102">$G$84</f>
        <v>9.5000000000000001E-2</v>
      </c>
      <c r="P162" s="144">
        <f t="shared" si="102"/>
        <v>9.5000000000000001E-2</v>
      </c>
      <c r="Q162" s="144">
        <f t="shared" si="102"/>
        <v>9.5000000000000001E-2</v>
      </c>
      <c r="R162" s="144">
        <f t="shared" si="102"/>
        <v>9.5000000000000001E-2</v>
      </c>
      <c r="S162" s="144">
        <f t="shared" si="102"/>
        <v>9.5000000000000001E-2</v>
      </c>
      <c r="T162" s="23"/>
    </row>
    <row r="163" spans="1:20" s="183" customFormat="1">
      <c r="B163" s="240"/>
      <c r="C163" s="240"/>
      <c r="D163" s="240"/>
      <c r="E163" s="254">
        <f>L154-L152</f>
        <v>14.755977498579465</v>
      </c>
      <c r="F163" s="251">
        <v>2024</v>
      </c>
      <c r="H163" s="23"/>
      <c r="I163" s="23"/>
      <c r="J163" s="23"/>
      <c r="K163" s="23"/>
      <c r="L163" s="23"/>
      <c r="M163" s="23"/>
      <c r="N163" s="20">
        <f t="shared" ref="N163:S169" si="103">IF(AND($F163&lt;=N$3,$F163+$G$157&gt;=N$3),$E163*N$162,"")</f>
        <v>1.4018178623650492</v>
      </c>
      <c r="O163" s="20">
        <f t="shared" si="103"/>
        <v>1.4018178623650492</v>
      </c>
      <c r="P163" s="20">
        <f t="shared" si="103"/>
        <v>1.4018178623650492</v>
      </c>
      <c r="Q163" s="20">
        <f t="shared" si="103"/>
        <v>1.4018178623650492</v>
      </c>
      <c r="R163" s="20">
        <f t="shared" si="103"/>
        <v>1.4018178623650492</v>
      </c>
      <c r="S163" s="20">
        <f t="shared" si="103"/>
        <v>1.4018178623650492</v>
      </c>
      <c r="T163" s="23"/>
    </row>
    <row r="164" spans="1:20" s="183" customFormat="1">
      <c r="B164" s="240"/>
      <c r="C164" s="240"/>
      <c r="E164" s="255" cm="1">
        <f t="array" ref="E164:E169">TRANSPOSE(N149:S149)</f>
        <v>3.4140000000000001</v>
      </c>
      <c r="F164" s="253">
        <v>2025</v>
      </c>
      <c r="H164" s="23"/>
      <c r="I164" s="23"/>
      <c r="J164" s="23"/>
      <c r="K164" s="23"/>
      <c r="L164" s="23"/>
      <c r="M164" s="23"/>
      <c r="N164" s="20">
        <f t="shared" si="103"/>
        <v>0.32433000000000001</v>
      </c>
      <c r="O164" s="20">
        <f t="shared" si="103"/>
        <v>0.32433000000000001</v>
      </c>
      <c r="P164" s="20">
        <f t="shared" si="103"/>
        <v>0.32433000000000001</v>
      </c>
      <c r="Q164" s="20">
        <f t="shared" si="103"/>
        <v>0.32433000000000001</v>
      </c>
      <c r="R164" s="20">
        <f t="shared" si="103"/>
        <v>0.32433000000000001</v>
      </c>
      <c r="S164" s="20">
        <f t="shared" si="103"/>
        <v>0.32433000000000001</v>
      </c>
      <c r="T164" s="23"/>
    </row>
    <row r="165" spans="1:20" s="183" customFormat="1">
      <c r="B165" s="240"/>
      <c r="C165" s="240"/>
      <c r="E165" s="255">
        <v>3.4140000000000001</v>
      </c>
      <c r="F165" s="253">
        <v>2026</v>
      </c>
      <c r="H165" s="23"/>
      <c r="I165" s="23"/>
      <c r="J165" s="23"/>
      <c r="K165" s="23"/>
      <c r="L165" s="23"/>
      <c r="M165" s="23"/>
      <c r="N165" s="20" t="str">
        <f t="shared" si="103"/>
        <v/>
      </c>
      <c r="O165" s="20">
        <f t="shared" si="103"/>
        <v>0.32433000000000001</v>
      </c>
      <c r="P165" s="20">
        <f t="shared" si="103"/>
        <v>0.32433000000000001</v>
      </c>
      <c r="Q165" s="20">
        <f t="shared" si="103"/>
        <v>0.32433000000000001</v>
      </c>
      <c r="R165" s="20">
        <f t="shared" si="103"/>
        <v>0.32433000000000001</v>
      </c>
      <c r="S165" s="20">
        <f t="shared" si="103"/>
        <v>0.32433000000000001</v>
      </c>
      <c r="T165" s="23"/>
    </row>
    <row r="166" spans="1:20" s="183" customFormat="1">
      <c r="B166" s="240"/>
      <c r="C166" s="240"/>
      <c r="E166" s="255">
        <v>3.4140000000000001</v>
      </c>
      <c r="F166" s="253">
        <v>2027</v>
      </c>
      <c r="H166" s="23"/>
      <c r="I166" s="23"/>
      <c r="J166" s="23"/>
      <c r="K166" s="23"/>
      <c r="L166" s="23"/>
      <c r="M166" s="23"/>
      <c r="N166" s="20" t="str">
        <f t="shared" si="103"/>
        <v/>
      </c>
      <c r="O166" s="20" t="str">
        <f t="shared" si="103"/>
        <v/>
      </c>
      <c r="P166" s="20">
        <f t="shared" si="103"/>
        <v>0.32433000000000001</v>
      </c>
      <c r="Q166" s="20">
        <f t="shared" si="103"/>
        <v>0.32433000000000001</v>
      </c>
      <c r="R166" s="20">
        <f t="shared" si="103"/>
        <v>0.32433000000000001</v>
      </c>
      <c r="S166" s="20">
        <f t="shared" si="103"/>
        <v>0.32433000000000001</v>
      </c>
      <c r="T166" s="23"/>
    </row>
    <row r="167" spans="1:20" s="183" customFormat="1">
      <c r="B167" s="240"/>
      <c r="C167" s="240"/>
      <c r="E167" s="255">
        <v>6.4139999999999997</v>
      </c>
      <c r="F167" s="253">
        <v>2028</v>
      </c>
      <c r="H167" s="23"/>
      <c r="I167" s="23"/>
      <c r="J167" s="23"/>
      <c r="K167" s="23"/>
      <c r="L167" s="23"/>
      <c r="M167" s="23"/>
      <c r="N167" s="20" t="str">
        <f t="shared" si="103"/>
        <v/>
      </c>
      <c r="O167" s="20" t="str">
        <f t="shared" si="103"/>
        <v/>
      </c>
      <c r="P167" s="20" t="str">
        <f t="shared" si="103"/>
        <v/>
      </c>
      <c r="Q167" s="20">
        <f t="shared" si="103"/>
        <v>0.60932999999999993</v>
      </c>
      <c r="R167" s="20">
        <f t="shared" si="103"/>
        <v>0.60932999999999993</v>
      </c>
      <c r="S167" s="20">
        <f t="shared" si="103"/>
        <v>0.60932999999999993</v>
      </c>
      <c r="T167" s="23"/>
    </row>
    <row r="168" spans="1:20" s="183" customFormat="1">
      <c r="B168" s="240"/>
      <c r="C168" s="240"/>
      <c r="E168" s="255">
        <v>6.4139999999999997</v>
      </c>
      <c r="F168" s="253">
        <v>2029</v>
      </c>
      <c r="H168" s="23"/>
      <c r="I168" s="23"/>
      <c r="J168" s="23"/>
      <c r="K168" s="23"/>
      <c r="L168" s="23"/>
      <c r="M168" s="23"/>
      <c r="N168" s="20" t="str">
        <f t="shared" si="103"/>
        <v/>
      </c>
      <c r="O168" s="20" t="str">
        <f t="shared" si="103"/>
        <v/>
      </c>
      <c r="P168" s="20" t="str">
        <f t="shared" si="103"/>
        <v/>
      </c>
      <c r="Q168" s="20" t="str">
        <f t="shared" si="103"/>
        <v/>
      </c>
      <c r="R168" s="20">
        <f t="shared" si="103"/>
        <v>0.60932999999999993</v>
      </c>
      <c r="S168" s="20">
        <f t="shared" si="103"/>
        <v>0.60932999999999993</v>
      </c>
      <c r="T168" s="23"/>
    </row>
    <row r="169" spans="1:20" s="183" customFormat="1">
      <c r="B169" s="240"/>
      <c r="C169" s="240"/>
      <c r="E169" s="255">
        <v>3.4140000000000001</v>
      </c>
      <c r="F169" s="253">
        <v>2030</v>
      </c>
      <c r="H169" s="23"/>
      <c r="I169" s="23"/>
      <c r="J169" s="23"/>
      <c r="K169" s="23"/>
      <c r="L169" s="23"/>
      <c r="M169" s="23"/>
      <c r="N169" s="20" t="str">
        <f t="shared" si="103"/>
        <v/>
      </c>
      <c r="O169" s="20" t="str">
        <f t="shared" si="103"/>
        <v/>
      </c>
      <c r="P169" s="20" t="str">
        <f t="shared" si="103"/>
        <v/>
      </c>
      <c r="Q169" s="20" t="str">
        <f t="shared" si="103"/>
        <v/>
      </c>
      <c r="R169" s="20" t="str">
        <f t="shared" si="103"/>
        <v/>
      </c>
      <c r="S169" s="20">
        <f t="shared" si="103"/>
        <v>0.32433000000000001</v>
      </c>
      <c r="T169" s="23"/>
    </row>
    <row r="170" spans="1:20" s="183" customFormat="1">
      <c r="B170" s="184"/>
      <c r="C170" s="237"/>
      <c r="D170" s="237"/>
      <c r="E170" s="240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 spans="1:20" s="62" customFormat="1">
      <c r="A171" s="10" t="s">
        <v>8</v>
      </c>
      <c r="B171" s="10" t="s">
        <v>504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20" s="96" customForma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</row>
    <row r="173" spans="1:20" s="987" customFormat="1">
      <c r="A173" s="986"/>
      <c r="B173" s="986"/>
      <c r="C173" s="986"/>
      <c r="D173" s="986"/>
      <c r="E173" s="986"/>
      <c r="F173" s="986"/>
      <c r="G173" s="986"/>
      <c r="H173" s="986"/>
      <c r="I173" s="986"/>
      <c r="J173" s="986"/>
      <c r="K173" s="986"/>
      <c r="L173" s="986"/>
      <c r="M173" s="986"/>
      <c r="N173" s="986"/>
      <c r="O173" s="986"/>
      <c r="P173" s="986"/>
      <c r="Q173" s="986"/>
      <c r="R173" s="986"/>
      <c r="S173" s="986"/>
    </row>
    <row r="174" spans="1:20" hidden="1" outlineLevel="1">
      <c r="B174" s="183"/>
      <c r="C174" s="183"/>
      <c r="D174" s="183"/>
      <c r="E174" s="183"/>
      <c r="H174" s="20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0"/>
    </row>
    <row r="175" spans="1:20" s="224" customFormat="1" hidden="1" outlineLevel="1">
      <c r="B175" s="184"/>
      <c r="C175" s="237"/>
      <c r="D175" s="184"/>
      <c r="E175" s="184"/>
      <c r="H175" s="23"/>
      <c r="I175" s="20"/>
      <c r="J175" s="20"/>
      <c r="K175" s="20"/>
      <c r="L175" s="165"/>
      <c r="M175" s="165"/>
      <c r="N175" s="23"/>
      <c r="O175" s="23"/>
      <c r="P175" s="23"/>
      <c r="Q175" s="23"/>
      <c r="R175" s="23"/>
      <c r="S175" s="23"/>
      <c r="T175" s="23"/>
    </row>
    <row r="176" spans="1:20" s="185" customFormat="1" hidden="1" outlineLevel="1">
      <c r="C176" s="248"/>
      <c r="H176" s="219"/>
      <c r="I176" s="94"/>
      <c r="J176" s="94"/>
      <c r="K176" s="94"/>
      <c r="L176" s="94"/>
      <c r="M176" s="94"/>
      <c r="N176" s="161"/>
      <c r="O176" s="161"/>
      <c r="P176" s="161"/>
      <c r="Q176" s="161"/>
      <c r="R176" s="161"/>
      <c r="S176" s="161"/>
      <c r="T176" s="219"/>
    </row>
    <row r="177" spans="1:20" hidden="1" outlineLevel="1">
      <c r="B177" s="184"/>
      <c r="C177" s="237"/>
      <c r="D177" s="184"/>
      <c r="E177" s="184"/>
      <c r="H177" s="20"/>
      <c r="I177" s="417"/>
      <c r="J177" s="417"/>
      <c r="K177" s="417"/>
      <c r="L177" s="80"/>
      <c r="M177" s="80"/>
      <c r="N177" s="20"/>
      <c r="O177" s="20"/>
      <c r="P177" s="20"/>
      <c r="Q177" s="20"/>
      <c r="R177" s="20"/>
      <c r="S177" s="20"/>
      <c r="T177" s="20"/>
    </row>
    <row r="178" spans="1:20" s="224" customFormat="1" hidden="1" outlineLevel="1">
      <c r="B178" s="240"/>
      <c r="C178" s="240"/>
      <c r="D178" s="240"/>
      <c r="E178" s="240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 spans="1:20" hidden="1" outlineLevel="1">
      <c r="B179" s="237"/>
      <c r="C179" s="237"/>
      <c r="D179" s="237"/>
      <c r="E179" s="237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spans="1:20" s="247" customFormat="1" hidden="1" outlineLevel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</row>
    <row r="181" spans="1:20" s="183" customFormat="1" hidden="1" outlineLevel="1">
      <c r="B181" s="240"/>
      <c r="C181" s="240"/>
      <c r="D181" s="240"/>
      <c r="E181" s="240"/>
      <c r="G181" s="39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 spans="1:20" s="183" customFormat="1" hidden="1" outlineLevel="1">
      <c r="B182" s="240"/>
      <c r="C182" s="240"/>
      <c r="D182" s="240"/>
      <c r="E182" s="240"/>
      <c r="G182" s="479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 spans="1:20" s="183" customFormat="1" hidden="1" outlineLevel="1">
      <c r="B183" s="240"/>
      <c r="C183" s="240"/>
      <c r="D183" s="240"/>
      <c r="E183" s="240"/>
      <c r="G183" s="144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 spans="1:20" s="183" customFormat="1" hidden="1" outlineLevel="1">
      <c r="B184" s="240"/>
      <c r="C184" s="240"/>
      <c r="D184" s="240"/>
      <c r="E184" s="240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 spans="1:20" s="183" customFormat="1" hidden="1" outlineLevel="1">
      <c r="B185" s="240"/>
      <c r="C185" s="240"/>
      <c r="D185" s="240"/>
      <c r="E185" s="249"/>
      <c r="F185" s="250"/>
      <c r="H185" s="23"/>
      <c r="J185" s="23"/>
      <c r="K185" s="23"/>
      <c r="T185" s="23"/>
    </row>
    <row r="186" spans="1:20" s="183" customFormat="1" hidden="1" outlineLevel="1">
      <c r="B186" s="240"/>
      <c r="C186" s="240"/>
      <c r="D186" s="240"/>
      <c r="E186" s="249"/>
      <c r="F186" s="250"/>
      <c r="H186" s="23"/>
      <c r="I186" s="23"/>
      <c r="J186" s="23"/>
      <c r="K186" s="23"/>
      <c r="L186" s="23"/>
      <c r="M186" s="23"/>
      <c r="N186" s="144"/>
      <c r="O186" s="144"/>
      <c r="P186" s="144"/>
      <c r="Q186" s="144"/>
      <c r="R186" s="144"/>
      <c r="S186" s="144"/>
      <c r="T186" s="23"/>
    </row>
    <row r="187" spans="1:20" s="183" customFormat="1" hidden="1" outlineLevel="1">
      <c r="B187" s="240"/>
      <c r="C187" s="240"/>
      <c r="D187" s="240"/>
      <c r="E187" s="254"/>
      <c r="F187" s="251"/>
      <c r="H187" s="23"/>
      <c r="I187" s="23"/>
      <c r="J187" s="23"/>
      <c r="K187" s="23"/>
      <c r="L187" s="23"/>
      <c r="M187" s="23"/>
      <c r="N187" s="20"/>
      <c r="O187" s="20"/>
      <c r="P187" s="20"/>
      <c r="Q187" s="20"/>
      <c r="R187" s="20"/>
      <c r="S187" s="20"/>
      <c r="T187" s="23"/>
    </row>
    <row r="188" spans="1:20" s="183" customFormat="1" hidden="1" outlineLevel="1">
      <c r="B188" s="240"/>
      <c r="C188" s="240"/>
      <c r="E188" s="255"/>
      <c r="F188" s="253"/>
      <c r="H188" s="23"/>
      <c r="I188" s="23"/>
      <c r="J188" s="23"/>
      <c r="K188" s="23"/>
      <c r="L188" s="23"/>
      <c r="M188" s="23"/>
      <c r="N188" s="20"/>
      <c r="O188" s="20"/>
      <c r="P188" s="20"/>
      <c r="Q188" s="20"/>
      <c r="R188" s="20"/>
      <c r="S188" s="20"/>
      <c r="T188" s="23"/>
    </row>
    <row r="189" spans="1:20" s="183" customFormat="1" hidden="1" outlineLevel="1">
      <c r="B189" s="240"/>
      <c r="C189" s="240"/>
      <c r="E189" s="255"/>
      <c r="F189" s="253"/>
      <c r="H189" s="23"/>
      <c r="I189" s="23"/>
      <c r="J189" s="23"/>
      <c r="K189" s="23"/>
      <c r="L189" s="23"/>
      <c r="M189" s="23"/>
      <c r="N189" s="20"/>
      <c r="O189" s="20"/>
      <c r="P189" s="20"/>
      <c r="Q189" s="20"/>
      <c r="R189" s="20"/>
      <c r="S189" s="20"/>
      <c r="T189" s="23"/>
    </row>
    <row r="190" spans="1:20" s="183" customFormat="1" hidden="1" outlineLevel="1">
      <c r="B190" s="240"/>
      <c r="C190" s="240"/>
      <c r="E190" s="255"/>
      <c r="F190" s="253"/>
      <c r="H190" s="23"/>
      <c r="I190" s="23"/>
      <c r="J190" s="23"/>
      <c r="K190" s="23"/>
      <c r="L190" s="23"/>
      <c r="M190" s="23"/>
      <c r="N190" s="20"/>
      <c r="O190" s="20"/>
      <c r="P190" s="20"/>
      <c r="Q190" s="20"/>
      <c r="R190" s="20"/>
      <c r="S190" s="20"/>
      <c r="T190" s="23"/>
    </row>
    <row r="191" spans="1:20" s="183" customFormat="1" hidden="1" outlineLevel="1">
      <c r="B191" s="240"/>
      <c r="C191" s="240"/>
      <c r="E191" s="255"/>
      <c r="F191" s="253"/>
      <c r="H191" s="23"/>
      <c r="I191" s="23"/>
      <c r="J191" s="23"/>
      <c r="K191" s="23"/>
      <c r="L191" s="23"/>
      <c r="M191" s="23"/>
      <c r="N191" s="20"/>
      <c r="O191" s="20"/>
      <c r="P191" s="20"/>
      <c r="Q191" s="20"/>
      <c r="R191" s="20"/>
      <c r="S191" s="20"/>
      <c r="T191" s="23"/>
    </row>
    <row r="192" spans="1:20" s="183" customFormat="1" hidden="1" outlineLevel="1">
      <c r="B192" s="240"/>
      <c r="C192" s="240"/>
      <c r="E192" s="255"/>
      <c r="F192" s="253"/>
      <c r="H192" s="23"/>
      <c r="I192" s="23"/>
      <c r="J192" s="23"/>
      <c r="K192" s="23"/>
      <c r="L192" s="23"/>
      <c r="M192" s="23"/>
      <c r="N192" s="20"/>
      <c r="O192" s="20"/>
      <c r="P192" s="20"/>
      <c r="Q192" s="20"/>
      <c r="R192" s="20"/>
      <c r="S192" s="20"/>
      <c r="T192" s="23"/>
    </row>
    <row r="193" spans="1:20" s="183" customFormat="1" hidden="1" outlineLevel="1">
      <c r="B193" s="240"/>
      <c r="C193" s="240"/>
      <c r="E193" s="255"/>
      <c r="F193" s="253"/>
      <c r="H193" s="23"/>
      <c r="I193" s="23"/>
      <c r="J193" s="23"/>
      <c r="K193" s="23"/>
      <c r="L193" s="23"/>
      <c r="M193" s="23"/>
      <c r="N193" s="20"/>
      <c r="O193" s="20"/>
      <c r="P193" s="20"/>
      <c r="Q193" s="20"/>
      <c r="R193" s="20"/>
      <c r="S193" s="20"/>
      <c r="T193" s="23"/>
    </row>
    <row r="194" spans="1:20" s="183" customFormat="1" collapsed="1">
      <c r="B194" s="184"/>
      <c r="C194" s="237"/>
      <c r="D194" s="237"/>
      <c r="E194" s="240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1:20"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spans="1:20" s="987" customFormat="1">
      <c r="A196" s="986" t="s">
        <v>8</v>
      </c>
      <c r="B196" s="986" t="s">
        <v>864</v>
      </c>
      <c r="C196" s="986"/>
      <c r="D196" s="986"/>
      <c r="E196" s="986"/>
      <c r="F196" s="986"/>
      <c r="G196" s="986"/>
      <c r="H196" s="986"/>
      <c r="I196" s="986"/>
      <c r="J196" s="986"/>
      <c r="K196" s="986"/>
      <c r="L196" s="986"/>
      <c r="M196" s="986"/>
      <c r="N196" s="986"/>
      <c r="O196" s="986"/>
      <c r="P196" s="986"/>
      <c r="Q196" s="986"/>
      <c r="R196" s="986"/>
      <c r="S196" s="986"/>
    </row>
    <row r="197" spans="1:20" outlineLevel="1">
      <c r="B197" s="183"/>
      <c r="C197" s="183" t="s">
        <v>505</v>
      </c>
      <c r="D197" s="183"/>
      <c r="E197" s="183"/>
      <c r="H197" s="20"/>
      <c r="I197" s="23">
        <f>H201</f>
        <v>17.443241603274931</v>
      </c>
      <c r="J197" s="23">
        <f t="shared" ref="J197" si="104">I201</f>
        <v>16.647912521896448</v>
      </c>
      <c r="K197" s="988"/>
      <c r="L197" s="23">
        <f>J201</f>
        <v>16.202493759442024</v>
      </c>
      <c r="M197" s="988"/>
      <c r="N197" s="23">
        <f>L201</f>
        <v>15.243818298926051</v>
      </c>
      <c r="O197" s="23">
        <f t="shared" ref="O197" si="105">N201</f>
        <v>15.243818298926051</v>
      </c>
      <c r="P197" s="23">
        <f t="shared" ref="P197" si="106">O201</f>
        <v>15.243818298926051</v>
      </c>
      <c r="Q197" s="23">
        <f t="shared" ref="Q197" si="107">P201</f>
        <v>15.243818298926051</v>
      </c>
      <c r="R197" s="23">
        <f t="shared" ref="R197" si="108">Q201</f>
        <v>15.243818298926051</v>
      </c>
      <c r="S197" s="23">
        <f t="shared" ref="S197" si="109">R201</f>
        <v>15.243818298926051</v>
      </c>
      <c r="T197" s="20"/>
    </row>
    <row r="198" spans="1:20" s="224" customFormat="1" outlineLevel="1">
      <c r="B198" s="184"/>
      <c r="C198" s="237"/>
      <c r="D198" s="184" t="s">
        <v>500</v>
      </c>
      <c r="E198" s="184"/>
      <c r="H198" s="23"/>
      <c r="I198" s="20">
        <f>I201-I200-I197</f>
        <v>-0.87550554538611536</v>
      </c>
      <c r="J198" s="20">
        <f>J201-J200-J197</f>
        <v>3.4961839260852656</v>
      </c>
      <c r="K198" s="989"/>
      <c r="L198" s="20">
        <f>L201-L200-L197</f>
        <v>-3.9072705591026686</v>
      </c>
      <c r="M198" s="989"/>
      <c r="N198" s="23">
        <f>N199*集团!N18</f>
        <v>0</v>
      </c>
      <c r="O198" s="23">
        <f>O199*集团!O18</f>
        <v>0</v>
      </c>
      <c r="P198" s="23">
        <f>P199*集团!P18</f>
        <v>0</v>
      </c>
      <c r="Q198" s="23">
        <f>Q199*集团!Q18</f>
        <v>0</v>
      </c>
      <c r="R198" s="23">
        <f>R199*集团!R18</f>
        <v>0</v>
      </c>
      <c r="S198" s="23">
        <f>S199*集团!S18</f>
        <v>0</v>
      </c>
      <c r="T198" s="23"/>
    </row>
    <row r="199" spans="1:20" s="185" customFormat="1" outlineLevel="1">
      <c r="C199" s="248"/>
      <c r="E199" s="185" t="s">
        <v>130</v>
      </c>
      <c r="H199" s="219"/>
      <c r="I199" s="94">
        <f>I198*1000*集团!I9/中国!I14</f>
        <v>-3.5470589648538228E-3</v>
      </c>
      <c r="J199" s="94">
        <f>J198*1000*集团!J9/中国!J14</f>
        <v>1.3616415758588981E-2</v>
      </c>
      <c r="K199" s="989"/>
      <c r="L199" s="94">
        <f>L198*1000*集团!L9/中国!L14</f>
        <v>-1.1477654946024658E-2</v>
      </c>
      <c r="M199" s="989"/>
      <c r="N199" s="1306">
        <v>0</v>
      </c>
      <c r="O199" s="1306">
        <f t="shared" ref="O199" si="110">N199</f>
        <v>0</v>
      </c>
      <c r="P199" s="1306">
        <f t="shared" ref="P199" si="111">O199</f>
        <v>0</v>
      </c>
      <c r="Q199" s="1306">
        <f t="shared" ref="Q199" si="112">P199</f>
        <v>0</v>
      </c>
      <c r="R199" s="1306">
        <f t="shared" ref="R199" si="113">Q199</f>
        <v>0</v>
      </c>
      <c r="S199" s="1306">
        <f t="shared" ref="S199" si="114">R199</f>
        <v>0</v>
      </c>
      <c r="T199" s="219"/>
    </row>
    <row r="200" spans="1:20" outlineLevel="1">
      <c r="B200" s="184"/>
      <c r="C200" s="237"/>
      <c r="D200" s="184" t="s">
        <v>506</v>
      </c>
      <c r="E200" s="184"/>
      <c r="H200" s="20"/>
      <c r="I200" s="1032">
        <f>-I10-I77</f>
        <v>8.0176464007630344E-2</v>
      </c>
      <c r="J200" s="1032">
        <f>-J10-J77</f>
        <v>-3.9416026885396889</v>
      </c>
      <c r="K200" s="84"/>
      <c r="L200" s="1032">
        <f>-L10-L77</f>
        <v>2.9485950985866953</v>
      </c>
      <c r="M200" s="989"/>
      <c r="N200" s="20">
        <f>-SUM(N210:N216)</f>
        <v>0</v>
      </c>
      <c r="O200" s="20">
        <f t="shared" ref="O200:S200" si="115">-SUM(O210:O216)</f>
        <v>0</v>
      </c>
      <c r="P200" s="20">
        <f t="shared" si="115"/>
        <v>0</v>
      </c>
      <c r="Q200" s="20">
        <f t="shared" si="115"/>
        <v>0</v>
      </c>
      <c r="R200" s="20">
        <f t="shared" si="115"/>
        <v>0</v>
      </c>
      <c r="S200" s="20">
        <f t="shared" si="115"/>
        <v>0</v>
      </c>
      <c r="T200" s="20"/>
    </row>
    <row r="201" spans="1:20" s="224" customFormat="1" outlineLevel="1">
      <c r="B201" s="240"/>
      <c r="C201" s="240" t="s">
        <v>507</v>
      </c>
      <c r="D201" s="240"/>
      <c r="E201" s="240"/>
      <c r="H201" s="405">
        <v>17.443241603274931</v>
      </c>
      <c r="I201" s="405">
        <v>16.647912521896448</v>
      </c>
      <c r="J201" s="405">
        <v>16.202493759442024</v>
      </c>
      <c r="K201" s="988"/>
      <c r="L201" s="405">
        <v>15.243818298926051</v>
      </c>
      <c r="M201" s="991"/>
      <c r="N201" s="23">
        <f>SUM(N197,N198,N200)</f>
        <v>15.243818298926051</v>
      </c>
      <c r="O201" s="23">
        <f t="shared" ref="O201:S201" si="116">SUM(O197,O198,O200)</f>
        <v>15.243818298926051</v>
      </c>
      <c r="P201" s="23">
        <f t="shared" si="116"/>
        <v>15.243818298926051</v>
      </c>
      <c r="Q201" s="23">
        <f t="shared" si="116"/>
        <v>15.243818298926051</v>
      </c>
      <c r="R201" s="23">
        <f t="shared" si="116"/>
        <v>15.243818298926051</v>
      </c>
      <c r="S201" s="23">
        <f t="shared" si="116"/>
        <v>15.243818298926051</v>
      </c>
      <c r="T201" s="23"/>
    </row>
    <row r="202" spans="1:20" outlineLevel="1">
      <c r="B202" s="237"/>
      <c r="C202" s="237"/>
      <c r="D202" s="237"/>
      <c r="E202" s="237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spans="1:20" s="247" customFormat="1" outlineLevel="1">
      <c r="A203" s="26" t="s">
        <v>8</v>
      </c>
      <c r="B203" s="26" t="s">
        <v>514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</row>
    <row r="204" spans="1:20" s="183" customFormat="1" outlineLevel="1">
      <c r="B204" s="240" t="s">
        <v>509</v>
      </c>
      <c r="C204" s="240"/>
      <c r="D204" s="240"/>
      <c r="E204" s="240"/>
      <c r="G204" s="393">
        <v>20</v>
      </c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 spans="1:20" s="183" customFormat="1" outlineLevel="1">
      <c r="B205" s="240" t="s">
        <v>510</v>
      </c>
      <c r="C205" s="240"/>
      <c r="D205" s="240"/>
      <c r="E205" s="240"/>
      <c r="G205" s="479">
        <v>0</v>
      </c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 spans="1:20" s="183" customFormat="1" outlineLevel="1">
      <c r="B206" s="240" t="s">
        <v>979</v>
      </c>
      <c r="C206" s="240"/>
      <c r="D206" s="240"/>
      <c r="E206" s="240"/>
      <c r="G206" s="144">
        <f>(1-G205)/G204</f>
        <v>0.05</v>
      </c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 spans="1:20" s="183" customFormat="1" outlineLevel="1">
      <c r="B207" s="240"/>
      <c r="C207" s="240"/>
      <c r="D207" s="240"/>
      <c r="E207" s="240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 spans="1:20" s="183" customFormat="1" outlineLevel="1">
      <c r="B208" s="240" t="s">
        <v>514</v>
      </c>
      <c r="C208" s="240"/>
      <c r="D208" s="240"/>
      <c r="E208" s="249"/>
      <c r="F208" s="250"/>
      <c r="H208" s="23"/>
      <c r="J208" s="23"/>
      <c r="K208" s="23"/>
      <c r="T208" s="23"/>
    </row>
    <row r="209" spans="1:20" s="183" customFormat="1" outlineLevel="1">
      <c r="B209" s="240"/>
      <c r="C209" s="240"/>
      <c r="D209" s="240"/>
      <c r="E209" s="249" t="s">
        <v>512</v>
      </c>
      <c r="F209" s="250" t="s">
        <v>513</v>
      </c>
      <c r="H209" s="23"/>
      <c r="I209" s="23"/>
      <c r="J209" s="23"/>
      <c r="K209" s="23"/>
      <c r="L209" s="23"/>
      <c r="M209" s="23"/>
      <c r="N209" s="144">
        <f>$G$206</f>
        <v>0.05</v>
      </c>
      <c r="O209" s="144">
        <f t="shared" ref="O209:S209" si="117">$G$206</f>
        <v>0.05</v>
      </c>
      <c r="P209" s="144">
        <f t="shared" si="117"/>
        <v>0.05</v>
      </c>
      <c r="Q209" s="144">
        <f t="shared" si="117"/>
        <v>0.05</v>
      </c>
      <c r="R209" s="144">
        <f t="shared" si="117"/>
        <v>0.05</v>
      </c>
      <c r="S209" s="144">
        <f t="shared" si="117"/>
        <v>0.05</v>
      </c>
      <c r="T209" s="23"/>
    </row>
    <row r="210" spans="1:20" s="183" customFormat="1" outlineLevel="1">
      <c r="B210" s="240"/>
      <c r="C210" s="240"/>
      <c r="D210" s="240"/>
      <c r="E210" s="254">
        <f>L201-L200</f>
        <v>12.295223200339356</v>
      </c>
      <c r="F210" s="251">
        <v>2024</v>
      </c>
      <c r="H210" s="23"/>
      <c r="I210" s="23"/>
      <c r="J210" s="23"/>
      <c r="K210" s="23"/>
      <c r="L210" s="23"/>
      <c r="M210" s="23"/>
      <c r="N210" s="20">
        <f t="shared" ref="N210:S216" si="118">IF(AND($F210&lt;=N$3,$F210+$G$57&gt;=N$3),$E210*N$62,"")</f>
        <v>0</v>
      </c>
      <c r="O210" s="20">
        <f t="shared" si="118"/>
        <v>0</v>
      </c>
      <c r="P210" s="20">
        <f t="shared" si="118"/>
        <v>0</v>
      </c>
      <c r="Q210" s="20">
        <f t="shared" si="118"/>
        <v>0</v>
      </c>
      <c r="R210" s="20">
        <f t="shared" si="118"/>
        <v>0</v>
      </c>
      <c r="S210" s="20">
        <f t="shared" si="118"/>
        <v>0</v>
      </c>
      <c r="T210" s="23"/>
    </row>
    <row r="211" spans="1:20" s="183" customFormat="1" outlineLevel="1">
      <c r="B211" s="240"/>
      <c r="C211" s="240"/>
      <c r="E211" s="255" cm="1">
        <f t="array" ref="E211:E216">TRANSPOSE(N198:S198)</f>
        <v>0</v>
      </c>
      <c r="F211" s="253">
        <v>2025</v>
      </c>
      <c r="H211" s="23"/>
      <c r="I211" s="23"/>
      <c r="J211" s="23"/>
      <c r="K211" s="23"/>
      <c r="L211" s="23"/>
      <c r="M211" s="23"/>
      <c r="N211" s="20">
        <f t="shared" si="118"/>
        <v>0</v>
      </c>
      <c r="O211" s="20">
        <f t="shared" si="118"/>
        <v>0</v>
      </c>
      <c r="P211" s="20">
        <f t="shared" si="118"/>
        <v>0</v>
      </c>
      <c r="Q211" s="20">
        <f t="shared" si="118"/>
        <v>0</v>
      </c>
      <c r="R211" s="20">
        <f t="shared" si="118"/>
        <v>0</v>
      </c>
      <c r="S211" s="20">
        <f t="shared" si="118"/>
        <v>0</v>
      </c>
      <c r="T211" s="23"/>
    </row>
    <row r="212" spans="1:20" s="183" customFormat="1" outlineLevel="1">
      <c r="B212" s="240"/>
      <c r="C212" s="240"/>
      <c r="E212" s="255">
        <v>0</v>
      </c>
      <c r="F212" s="253">
        <v>2026</v>
      </c>
      <c r="H212" s="23"/>
      <c r="I212" s="23"/>
      <c r="J212" s="23"/>
      <c r="K212" s="23"/>
      <c r="L212" s="23"/>
      <c r="M212" s="23"/>
      <c r="N212" s="20" t="str">
        <f t="shared" si="118"/>
        <v/>
      </c>
      <c r="O212" s="20">
        <f t="shared" si="118"/>
        <v>0</v>
      </c>
      <c r="P212" s="20">
        <f t="shared" si="118"/>
        <v>0</v>
      </c>
      <c r="Q212" s="20">
        <f t="shared" si="118"/>
        <v>0</v>
      </c>
      <c r="R212" s="20">
        <f t="shared" si="118"/>
        <v>0</v>
      </c>
      <c r="S212" s="20">
        <f t="shared" si="118"/>
        <v>0</v>
      </c>
      <c r="T212" s="23"/>
    </row>
    <row r="213" spans="1:20" s="183" customFormat="1" outlineLevel="1">
      <c r="B213" s="240"/>
      <c r="C213" s="240"/>
      <c r="E213" s="255">
        <v>0</v>
      </c>
      <c r="F213" s="253">
        <v>2027</v>
      </c>
      <c r="H213" s="23"/>
      <c r="I213" s="23"/>
      <c r="J213" s="23"/>
      <c r="K213" s="23"/>
      <c r="L213" s="23"/>
      <c r="M213" s="23"/>
      <c r="N213" s="20" t="str">
        <f t="shared" si="118"/>
        <v/>
      </c>
      <c r="O213" s="20" t="str">
        <f t="shared" si="118"/>
        <v/>
      </c>
      <c r="P213" s="20">
        <f t="shared" si="118"/>
        <v>0</v>
      </c>
      <c r="Q213" s="20">
        <f t="shared" si="118"/>
        <v>0</v>
      </c>
      <c r="R213" s="20">
        <f t="shared" si="118"/>
        <v>0</v>
      </c>
      <c r="S213" s="20">
        <f t="shared" si="118"/>
        <v>0</v>
      </c>
      <c r="T213" s="23"/>
    </row>
    <row r="214" spans="1:20" s="183" customFormat="1" outlineLevel="1">
      <c r="B214" s="240"/>
      <c r="C214" s="240"/>
      <c r="E214" s="255">
        <v>0</v>
      </c>
      <c r="F214" s="253">
        <v>2028</v>
      </c>
      <c r="H214" s="23"/>
      <c r="I214" s="23"/>
      <c r="J214" s="23"/>
      <c r="K214" s="23"/>
      <c r="L214" s="23"/>
      <c r="M214" s="23"/>
      <c r="N214" s="20" t="str">
        <f t="shared" si="118"/>
        <v/>
      </c>
      <c r="O214" s="20" t="str">
        <f t="shared" si="118"/>
        <v/>
      </c>
      <c r="P214" s="20" t="str">
        <f t="shared" si="118"/>
        <v/>
      </c>
      <c r="Q214" s="20">
        <f t="shared" si="118"/>
        <v>0</v>
      </c>
      <c r="R214" s="20">
        <f t="shared" si="118"/>
        <v>0</v>
      </c>
      <c r="S214" s="20">
        <f t="shared" si="118"/>
        <v>0</v>
      </c>
      <c r="T214" s="23"/>
    </row>
    <row r="215" spans="1:20" s="183" customFormat="1" outlineLevel="1">
      <c r="B215" s="240"/>
      <c r="C215" s="240"/>
      <c r="E215" s="255">
        <v>0</v>
      </c>
      <c r="F215" s="253">
        <v>2029</v>
      </c>
      <c r="H215" s="23"/>
      <c r="I215" s="23"/>
      <c r="J215" s="23"/>
      <c r="K215" s="23"/>
      <c r="L215" s="23"/>
      <c r="M215" s="23"/>
      <c r="N215" s="20" t="str">
        <f t="shared" si="118"/>
        <v/>
      </c>
      <c r="O215" s="20" t="str">
        <f t="shared" si="118"/>
        <v/>
      </c>
      <c r="P215" s="20" t="str">
        <f t="shared" si="118"/>
        <v/>
      </c>
      <c r="Q215" s="20" t="str">
        <f t="shared" si="118"/>
        <v/>
      </c>
      <c r="R215" s="20">
        <f t="shared" si="118"/>
        <v>0</v>
      </c>
      <c r="S215" s="20">
        <f t="shared" si="118"/>
        <v>0</v>
      </c>
      <c r="T215" s="23"/>
    </row>
    <row r="216" spans="1:20" s="183" customFormat="1" outlineLevel="1">
      <c r="B216" s="240"/>
      <c r="C216" s="240"/>
      <c r="E216" s="255">
        <v>0</v>
      </c>
      <c r="F216" s="253">
        <v>2030</v>
      </c>
      <c r="H216" s="23"/>
      <c r="I216" s="23"/>
      <c r="J216" s="23"/>
      <c r="K216" s="23"/>
      <c r="L216" s="23"/>
      <c r="M216" s="23"/>
      <c r="N216" s="20" t="str">
        <f t="shared" si="118"/>
        <v/>
      </c>
      <c r="O216" s="20" t="str">
        <f t="shared" si="118"/>
        <v/>
      </c>
      <c r="P216" s="20" t="str">
        <f t="shared" si="118"/>
        <v/>
      </c>
      <c r="Q216" s="20" t="str">
        <f t="shared" si="118"/>
        <v/>
      </c>
      <c r="R216" s="20" t="str">
        <f t="shared" si="118"/>
        <v/>
      </c>
      <c r="S216" s="20">
        <f t="shared" si="118"/>
        <v>0</v>
      </c>
      <c r="T216" s="23"/>
    </row>
    <row r="217" spans="1:20" s="183" customFormat="1">
      <c r="B217" s="184"/>
      <c r="C217" s="237"/>
      <c r="D217" s="237"/>
      <c r="E217" s="240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 spans="1:20" s="987" customFormat="1">
      <c r="A218" s="986" t="s">
        <v>8</v>
      </c>
      <c r="B218" s="986" t="s">
        <v>981</v>
      </c>
      <c r="C218" s="986"/>
      <c r="D218" s="986"/>
      <c r="E218" s="986"/>
      <c r="F218" s="986"/>
      <c r="G218" s="986"/>
      <c r="H218" s="986"/>
      <c r="I218" s="986"/>
      <c r="J218" s="986"/>
      <c r="K218" s="986"/>
      <c r="L218" s="986"/>
      <c r="M218" s="986"/>
      <c r="N218" s="986"/>
      <c r="O218" s="986"/>
      <c r="P218" s="986"/>
      <c r="Q218" s="986"/>
      <c r="R218" s="986"/>
      <c r="S218" s="986"/>
    </row>
    <row r="219" spans="1:20" outlineLevel="1">
      <c r="B219" s="183"/>
      <c r="C219" s="183" t="s">
        <v>505</v>
      </c>
      <c r="D219" s="183"/>
      <c r="E219" s="183"/>
      <c r="H219" s="20"/>
      <c r="I219" s="23">
        <f>H223</f>
        <v>9.2667969999999986</v>
      </c>
      <c r="J219" s="23">
        <f t="shared" ref="J219" si="119">I223</f>
        <v>6.8565550000000002</v>
      </c>
      <c r="K219" s="988"/>
      <c r="L219" s="23">
        <f>J223</f>
        <v>26.49171084</v>
      </c>
      <c r="M219" s="988"/>
      <c r="N219" s="23">
        <f>L223</f>
        <v>21.611602210000012</v>
      </c>
      <c r="O219" s="23">
        <f t="shared" ref="O219" si="120">N223</f>
        <v>21.611602210000012</v>
      </c>
      <c r="P219" s="23">
        <f t="shared" ref="P219" si="121">O223</f>
        <v>21.611602210000012</v>
      </c>
      <c r="Q219" s="23">
        <f t="shared" ref="Q219" si="122">P223</f>
        <v>21.611602210000012</v>
      </c>
      <c r="R219" s="23">
        <f t="shared" ref="R219" si="123">Q223</f>
        <v>21.611602210000012</v>
      </c>
      <c r="S219" s="23">
        <f t="shared" ref="S219" si="124">R223</f>
        <v>21.611602210000012</v>
      </c>
      <c r="T219" s="20"/>
    </row>
    <row r="220" spans="1:20" s="224" customFormat="1" outlineLevel="1">
      <c r="B220" s="184"/>
      <c r="C220" s="237"/>
      <c r="D220" s="184" t="s">
        <v>500</v>
      </c>
      <c r="E220" s="184"/>
      <c r="H220" s="23"/>
      <c r="I220" s="20">
        <f>I223-I222-I219</f>
        <v>-2.0672225899999912</v>
      </c>
      <c r="J220" s="20">
        <f>J223-J222-J219</f>
        <v>32.363853369999994</v>
      </c>
      <c r="K220" s="989"/>
      <c r="L220" s="20">
        <f>L223-L222-L219</f>
        <v>2.7879098900000052</v>
      </c>
      <c r="M220" s="989"/>
      <c r="N220" s="23">
        <f>N221*集团!N40</f>
        <v>0</v>
      </c>
      <c r="O220" s="23">
        <f>O221*集团!O40</f>
        <v>0</v>
      </c>
      <c r="P220" s="23">
        <f>P221*集团!P40</f>
        <v>0</v>
      </c>
      <c r="Q220" s="23">
        <f>Q221*集团!Q40</f>
        <v>0</v>
      </c>
      <c r="R220" s="23">
        <f>R221*集团!R40</f>
        <v>0</v>
      </c>
      <c r="S220" s="23">
        <f>S221*集团!S40</f>
        <v>0</v>
      </c>
      <c r="T220" s="23"/>
    </row>
    <row r="221" spans="1:20" s="185" customFormat="1" outlineLevel="1">
      <c r="C221" s="248"/>
      <c r="E221" s="185" t="s">
        <v>130</v>
      </c>
      <c r="H221" s="219"/>
      <c r="I221" s="94">
        <f>I220/美国!I22*1000</f>
        <v>-2.795323225999239E-3</v>
      </c>
      <c r="J221" s="94">
        <f>J220/美国!J22*1000</f>
        <v>5.2860623605958869E-2</v>
      </c>
      <c r="K221" s="989"/>
      <c r="L221" s="94">
        <f>L220/美国!L22*1000</f>
        <v>4.4149629352661776E-3</v>
      </c>
      <c r="M221" s="989"/>
      <c r="N221" s="1306">
        <v>0</v>
      </c>
      <c r="O221" s="1306">
        <f t="shared" ref="O221" si="125">N221</f>
        <v>0</v>
      </c>
      <c r="P221" s="1306">
        <f t="shared" ref="P221" si="126">O221</f>
        <v>0</v>
      </c>
      <c r="Q221" s="1306">
        <f t="shared" ref="Q221" si="127">P221</f>
        <v>0</v>
      </c>
      <c r="R221" s="1306">
        <f t="shared" ref="R221" si="128">Q221</f>
        <v>0</v>
      </c>
      <c r="S221" s="1306">
        <f t="shared" ref="S221" si="129">R221</f>
        <v>0</v>
      </c>
      <c r="T221" s="219"/>
    </row>
    <row r="222" spans="1:20" outlineLevel="1">
      <c r="B222" s="184"/>
      <c r="C222" s="237"/>
      <c r="D222" s="184" t="s">
        <v>506</v>
      </c>
      <c r="E222" s="184"/>
      <c r="H222" s="20"/>
      <c r="I222" s="1032">
        <f>-I9-I102</f>
        <v>-0.34301941000000724</v>
      </c>
      <c r="J222" s="1032">
        <f>-J9-J102</f>
        <v>-12.728697529999994</v>
      </c>
      <c r="K222" s="84"/>
      <c r="L222" s="1032">
        <f>-L9-L102</f>
        <v>-7.6680185199999933</v>
      </c>
      <c r="M222" s="989"/>
      <c r="N222" s="20">
        <f>-SUM(N232:N238)</f>
        <v>0</v>
      </c>
      <c r="O222" s="20">
        <f t="shared" ref="O222:S222" si="130">-SUM(O232:O238)</f>
        <v>0</v>
      </c>
      <c r="P222" s="20">
        <f t="shared" si="130"/>
        <v>0</v>
      </c>
      <c r="Q222" s="20">
        <f t="shared" si="130"/>
        <v>0</v>
      </c>
      <c r="R222" s="20">
        <f t="shared" si="130"/>
        <v>0</v>
      </c>
      <c r="S222" s="20">
        <f t="shared" si="130"/>
        <v>0</v>
      </c>
      <c r="T222" s="20"/>
    </row>
    <row r="223" spans="1:20" s="224" customFormat="1" outlineLevel="1">
      <c r="B223" s="240"/>
      <c r="C223" s="240" t="s">
        <v>507</v>
      </c>
      <c r="D223" s="240"/>
      <c r="E223" s="240"/>
      <c r="H223" s="405">
        <v>9.2667969999999986</v>
      </c>
      <c r="I223" s="1442">
        <v>6.8565550000000002</v>
      </c>
      <c r="J223" s="1442">
        <v>26.49171084</v>
      </c>
      <c r="K223" s="84"/>
      <c r="L223" s="1442">
        <v>21.611602210000012</v>
      </c>
      <c r="M223" s="991"/>
      <c r="N223" s="23">
        <f>SUM(N219,N220,N222)</f>
        <v>21.611602210000012</v>
      </c>
      <c r="O223" s="23">
        <f t="shared" ref="O223:S223" si="131">SUM(O219,O220,O222)</f>
        <v>21.611602210000012</v>
      </c>
      <c r="P223" s="23">
        <f t="shared" si="131"/>
        <v>21.611602210000012</v>
      </c>
      <c r="Q223" s="23">
        <f t="shared" si="131"/>
        <v>21.611602210000012</v>
      </c>
      <c r="R223" s="23">
        <f t="shared" si="131"/>
        <v>21.611602210000012</v>
      </c>
      <c r="S223" s="23">
        <f t="shared" si="131"/>
        <v>21.611602210000012</v>
      </c>
      <c r="T223" s="23"/>
    </row>
    <row r="224" spans="1:20" outlineLevel="1">
      <c r="B224" s="237"/>
      <c r="C224" s="237"/>
      <c r="D224" s="237"/>
      <c r="E224" s="237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 spans="1:20" s="247" customFormat="1" outlineLevel="1">
      <c r="A225" s="26" t="s">
        <v>8</v>
      </c>
      <c r="B225" s="26" t="s">
        <v>514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</row>
    <row r="226" spans="1:20" s="183" customFormat="1" outlineLevel="1">
      <c r="B226" s="240" t="s">
        <v>509</v>
      </c>
      <c r="C226" s="240"/>
      <c r="D226" s="240"/>
      <c r="E226" s="240"/>
      <c r="G226" s="393">
        <v>20</v>
      </c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 spans="1:20" s="183" customFormat="1" outlineLevel="1">
      <c r="B227" s="240" t="s">
        <v>510</v>
      </c>
      <c r="C227" s="240"/>
      <c r="D227" s="240"/>
      <c r="E227" s="240"/>
      <c r="G227" s="479">
        <v>0</v>
      </c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1:20" s="183" customFormat="1" outlineLevel="1">
      <c r="B228" s="240" t="s">
        <v>979</v>
      </c>
      <c r="C228" s="240"/>
      <c r="D228" s="240"/>
      <c r="E228" s="240"/>
      <c r="G228" s="144">
        <f>(1-G227)/G226</f>
        <v>0.05</v>
      </c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1:20" s="183" customFormat="1" outlineLevel="1">
      <c r="B229" s="240"/>
      <c r="C229" s="240"/>
      <c r="D229" s="240"/>
      <c r="E229" s="240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 spans="1:20" s="183" customFormat="1" outlineLevel="1">
      <c r="B230" s="240" t="s">
        <v>514</v>
      </c>
      <c r="C230" s="240"/>
      <c r="D230" s="240"/>
      <c r="E230" s="249"/>
      <c r="F230" s="250"/>
      <c r="H230" s="23"/>
      <c r="J230" s="23"/>
      <c r="K230" s="23"/>
      <c r="T230" s="23"/>
    </row>
    <row r="231" spans="1:20" s="183" customFormat="1" outlineLevel="1">
      <c r="B231" s="240"/>
      <c r="C231" s="240"/>
      <c r="D231" s="240"/>
      <c r="E231" s="249" t="s">
        <v>512</v>
      </c>
      <c r="F231" s="250" t="s">
        <v>513</v>
      </c>
      <c r="H231" s="23"/>
      <c r="I231" s="23"/>
      <c r="J231" s="23"/>
      <c r="K231" s="23"/>
      <c r="L231" s="23"/>
      <c r="M231" s="23"/>
      <c r="N231" s="144">
        <f>$G$206</f>
        <v>0.05</v>
      </c>
      <c r="O231" s="144">
        <f t="shared" ref="O231:S231" si="132">$G$206</f>
        <v>0.05</v>
      </c>
      <c r="P231" s="144">
        <f t="shared" si="132"/>
        <v>0.05</v>
      </c>
      <c r="Q231" s="144">
        <f t="shared" si="132"/>
        <v>0.05</v>
      </c>
      <c r="R231" s="144">
        <f t="shared" si="132"/>
        <v>0.05</v>
      </c>
      <c r="S231" s="144">
        <f t="shared" si="132"/>
        <v>0.05</v>
      </c>
      <c r="T231" s="23"/>
    </row>
    <row r="232" spans="1:20" s="183" customFormat="1" outlineLevel="1">
      <c r="B232" s="240"/>
      <c r="C232" s="240"/>
      <c r="D232" s="240"/>
      <c r="E232" s="254">
        <f>L223-L222</f>
        <v>29.279620730000005</v>
      </c>
      <c r="F232" s="251">
        <v>2024</v>
      </c>
      <c r="H232" s="23"/>
      <c r="I232" s="23"/>
      <c r="J232" s="23"/>
      <c r="K232" s="23"/>
      <c r="L232" s="23"/>
      <c r="M232" s="23"/>
      <c r="N232" s="20">
        <f t="shared" ref="N232:S238" si="133">IF(AND($F232&lt;=N$3,$F232+$G$57&gt;=N$3),$E232*N$62,"")</f>
        <v>0</v>
      </c>
      <c r="O232" s="20">
        <f t="shared" si="133"/>
        <v>0</v>
      </c>
      <c r="P232" s="20">
        <f t="shared" si="133"/>
        <v>0</v>
      </c>
      <c r="Q232" s="20">
        <f t="shared" si="133"/>
        <v>0</v>
      </c>
      <c r="R232" s="20">
        <f t="shared" si="133"/>
        <v>0</v>
      </c>
      <c r="S232" s="20">
        <f t="shared" si="133"/>
        <v>0</v>
      </c>
      <c r="T232" s="23"/>
    </row>
    <row r="233" spans="1:20" s="183" customFormat="1" outlineLevel="1">
      <c r="B233" s="240"/>
      <c r="C233" s="240"/>
      <c r="E233" s="255" cm="1">
        <f t="array" ref="E233:E238">TRANSPOSE(N220:S220)</f>
        <v>0</v>
      </c>
      <c r="F233" s="253">
        <v>2025</v>
      </c>
      <c r="H233" s="23"/>
      <c r="I233" s="23"/>
      <c r="J233" s="23"/>
      <c r="K233" s="23"/>
      <c r="L233" s="23"/>
      <c r="M233" s="23"/>
      <c r="N233" s="20">
        <f t="shared" si="133"/>
        <v>0</v>
      </c>
      <c r="O233" s="20">
        <f t="shared" si="133"/>
        <v>0</v>
      </c>
      <c r="P233" s="20">
        <f t="shared" si="133"/>
        <v>0</v>
      </c>
      <c r="Q233" s="20">
        <f t="shared" si="133"/>
        <v>0</v>
      </c>
      <c r="R233" s="20">
        <f t="shared" si="133"/>
        <v>0</v>
      </c>
      <c r="S233" s="20">
        <f t="shared" si="133"/>
        <v>0</v>
      </c>
      <c r="T233" s="23"/>
    </row>
    <row r="234" spans="1:20" s="183" customFormat="1" outlineLevel="1">
      <c r="B234" s="240"/>
      <c r="C234" s="240"/>
      <c r="E234" s="255">
        <v>0</v>
      </c>
      <c r="F234" s="253">
        <v>2026</v>
      </c>
      <c r="H234" s="23"/>
      <c r="I234" s="23"/>
      <c r="J234" s="23"/>
      <c r="K234" s="23"/>
      <c r="L234" s="23"/>
      <c r="M234" s="23"/>
      <c r="N234" s="20" t="str">
        <f t="shared" si="133"/>
        <v/>
      </c>
      <c r="O234" s="20">
        <f t="shared" si="133"/>
        <v>0</v>
      </c>
      <c r="P234" s="20">
        <f t="shared" si="133"/>
        <v>0</v>
      </c>
      <c r="Q234" s="20">
        <f t="shared" si="133"/>
        <v>0</v>
      </c>
      <c r="R234" s="20">
        <f t="shared" si="133"/>
        <v>0</v>
      </c>
      <c r="S234" s="20">
        <f t="shared" si="133"/>
        <v>0</v>
      </c>
      <c r="T234" s="23"/>
    </row>
    <row r="235" spans="1:20" s="183" customFormat="1" outlineLevel="1">
      <c r="B235" s="240"/>
      <c r="C235" s="240"/>
      <c r="E235" s="255">
        <v>0</v>
      </c>
      <c r="F235" s="253">
        <v>2027</v>
      </c>
      <c r="H235" s="23"/>
      <c r="I235" s="23"/>
      <c r="J235" s="23"/>
      <c r="K235" s="23"/>
      <c r="L235" s="23"/>
      <c r="M235" s="23"/>
      <c r="N235" s="20" t="str">
        <f t="shared" si="133"/>
        <v/>
      </c>
      <c r="O235" s="20" t="str">
        <f t="shared" si="133"/>
        <v/>
      </c>
      <c r="P235" s="20">
        <f t="shared" si="133"/>
        <v>0</v>
      </c>
      <c r="Q235" s="20">
        <f t="shared" si="133"/>
        <v>0</v>
      </c>
      <c r="R235" s="20">
        <f t="shared" si="133"/>
        <v>0</v>
      </c>
      <c r="S235" s="20">
        <f t="shared" si="133"/>
        <v>0</v>
      </c>
      <c r="T235" s="23"/>
    </row>
    <row r="236" spans="1:20" s="183" customFormat="1" outlineLevel="1">
      <c r="B236" s="240"/>
      <c r="C236" s="240"/>
      <c r="E236" s="255">
        <v>0</v>
      </c>
      <c r="F236" s="253">
        <v>2028</v>
      </c>
      <c r="H236" s="23"/>
      <c r="I236" s="23"/>
      <c r="J236" s="23"/>
      <c r="K236" s="23"/>
      <c r="L236" s="23"/>
      <c r="M236" s="23"/>
      <c r="N236" s="20" t="str">
        <f t="shared" si="133"/>
        <v/>
      </c>
      <c r="O236" s="20" t="str">
        <f t="shared" si="133"/>
        <v/>
      </c>
      <c r="P236" s="20" t="str">
        <f t="shared" si="133"/>
        <v/>
      </c>
      <c r="Q236" s="20">
        <f t="shared" si="133"/>
        <v>0</v>
      </c>
      <c r="R236" s="20">
        <f t="shared" si="133"/>
        <v>0</v>
      </c>
      <c r="S236" s="20">
        <f t="shared" si="133"/>
        <v>0</v>
      </c>
      <c r="T236" s="23"/>
    </row>
    <row r="237" spans="1:20" s="183" customFormat="1" outlineLevel="1">
      <c r="B237" s="240"/>
      <c r="C237" s="240"/>
      <c r="E237" s="255">
        <v>0</v>
      </c>
      <c r="F237" s="253">
        <v>2029</v>
      </c>
      <c r="H237" s="23"/>
      <c r="I237" s="23"/>
      <c r="J237" s="23"/>
      <c r="K237" s="23"/>
      <c r="L237" s="23"/>
      <c r="M237" s="23"/>
      <c r="N237" s="20" t="str">
        <f t="shared" si="133"/>
        <v/>
      </c>
      <c r="O237" s="20" t="str">
        <f t="shared" si="133"/>
        <v/>
      </c>
      <c r="P237" s="20" t="str">
        <f t="shared" si="133"/>
        <v/>
      </c>
      <c r="Q237" s="20" t="str">
        <f t="shared" si="133"/>
        <v/>
      </c>
      <c r="R237" s="20">
        <f t="shared" si="133"/>
        <v>0</v>
      </c>
      <c r="S237" s="20">
        <f t="shared" si="133"/>
        <v>0</v>
      </c>
      <c r="T237" s="23"/>
    </row>
    <row r="238" spans="1:20" s="183" customFormat="1" outlineLevel="1">
      <c r="B238" s="240"/>
      <c r="C238" s="240"/>
      <c r="E238" s="255">
        <v>0</v>
      </c>
      <c r="F238" s="253">
        <v>2030</v>
      </c>
      <c r="H238" s="23"/>
      <c r="I238" s="23"/>
      <c r="J238" s="23"/>
      <c r="K238" s="23"/>
      <c r="L238" s="23"/>
      <c r="M238" s="23"/>
      <c r="N238" s="20" t="str">
        <f t="shared" si="133"/>
        <v/>
      </c>
      <c r="O238" s="20" t="str">
        <f t="shared" si="133"/>
        <v/>
      </c>
      <c r="P238" s="20" t="str">
        <f t="shared" si="133"/>
        <v/>
      </c>
      <c r="Q238" s="20" t="str">
        <f t="shared" si="133"/>
        <v/>
      </c>
      <c r="R238" s="20" t="str">
        <f t="shared" si="133"/>
        <v/>
      </c>
      <c r="S238" s="20">
        <f t="shared" si="133"/>
        <v>0</v>
      </c>
      <c r="T238" s="23"/>
    </row>
    <row r="241" spans="1:20" s="987" customFormat="1">
      <c r="A241" s="986" t="s">
        <v>8</v>
      </c>
      <c r="B241" s="986" t="s">
        <v>982</v>
      </c>
      <c r="C241" s="986"/>
      <c r="D241" s="986"/>
      <c r="E241" s="986"/>
      <c r="F241" s="986"/>
      <c r="G241" s="986"/>
      <c r="H241" s="986"/>
      <c r="I241" s="986"/>
      <c r="J241" s="986"/>
      <c r="K241" s="986"/>
      <c r="L241" s="986"/>
      <c r="M241" s="986"/>
      <c r="N241" s="986"/>
      <c r="O241" s="986"/>
      <c r="P241" s="986"/>
      <c r="Q241" s="986"/>
      <c r="R241" s="986"/>
      <c r="S241" s="986"/>
    </row>
    <row r="242" spans="1:20" outlineLevel="1">
      <c r="B242" s="183"/>
      <c r="C242" s="183" t="s">
        <v>505</v>
      </c>
      <c r="D242" s="183"/>
      <c r="E242" s="183"/>
      <c r="H242" s="20"/>
      <c r="I242" s="23">
        <f>H246</f>
        <v>5.5189117078639205</v>
      </c>
      <c r="J242" s="23">
        <f t="shared" ref="J242" si="134">I246</f>
        <v>3.5991484914043883</v>
      </c>
      <c r="K242" s="988"/>
      <c r="L242" s="23">
        <f>J246</f>
        <v>3.7646498211528083</v>
      </c>
      <c r="M242" s="988"/>
      <c r="N242" s="23">
        <f>L246</f>
        <v>3.6871743103320167</v>
      </c>
      <c r="O242" s="23">
        <f t="shared" ref="O242" si="135">N246</f>
        <v>3.6871743103320167</v>
      </c>
      <c r="P242" s="23">
        <f t="shared" ref="P242" si="136">O246</f>
        <v>3.6871743103320167</v>
      </c>
      <c r="Q242" s="23">
        <f t="shared" ref="Q242" si="137">P246</f>
        <v>3.6871743103320167</v>
      </c>
      <c r="R242" s="23">
        <f t="shared" ref="R242" si="138">Q246</f>
        <v>3.6871743103320167</v>
      </c>
      <c r="S242" s="23">
        <f t="shared" ref="S242" si="139">R246</f>
        <v>3.6871743103320167</v>
      </c>
      <c r="T242" s="20"/>
    </row>
    <row r="243" spans="1:20" s="224" customFormat="1" outlineLevel="1">
      <c r="B243" s="184"/>
      <c r="C243" s="237"/>
      <c r="D243" s="184" t="s">
        <v>500</v>
      </c>
      <c r="E243" s="184"/>
      <c r="H243" s="23"/>
      <c r="I243" s="20">
        <f>I246-I245-I242</f>
        <v>-1.72408828113275</v>
      </c>
      <c r="J243" s="20">
        <f>J246-J245-J242</f>
        <v>0.78966795565165659</v>
      </c>
      <c r="K243" s="989"/>
      <c r="L243" s="20">
        <f>L246-L245-L242</f>
        <v>-2.7414442115650002</v>
      </c>
      <c r="M243" s="989"/>
      <c r="N243" s="23">
        <f>N244*集团!N67</f>
        <v>0</v>
      </c>
      <c r="O243" s="23">
        <f>O244*集团!O67</f>
        <v>0</v>
      </c>
      <c r="P243" s="23">
        <f>P244*集团!P67</f>
        <v>0</v>
      </c>
      <c r="Q243" s="23">
        <f>Q244*集团!Q67</f>
        <v>0</v>
      </c>
      <c r="R243" s="23">
        <f>R244*集团!R67</f>
        <v>0</v>
      </c>
      <c r="S243" s="23">
        <f>S244*集团!S67</f>
        <v>0</v>
      </c>
      <c r="T243" s="23"/>
    </row>
    <row r="244" spans="1:20" s="185" customFormat="1" outlineLevel="1">
      <c r="C244" s="248"/>
      <c r="E244" s="185" t="s">
        <v>130</v>
      </c>
      <c r="H244" s="219"/>
      <c r="I244" s="94">
        <f>I243*1000*集团!I11/集团!I9/加拿大!I31</f>
        <v>-8.9904674121271295E-3</v>
      </c>
      <c r="J244" s="94">
        <f>J243*1000*集团!J11/集团!J9/加拿大!J31</f>
        <v>3.8011081115342017E-3</v>
      </c>
      <c r="K244" s="989"/>
      <c r="L244" s="94">
        <f>L243*1000*集团!L11/集团!L9/加拿大!L31</f>
        <v>-1.2245015833454565E-2</v>
      </c>
      <c r="M244" s="989"/>
      <c r="N244" s="1306">
        <v>0</v>
      </c>
      <c r="O244" s="1306">
        <f t="shared" ref="O244" si="140">N244</f>
        <v>0</v>
      </c>
      <c r="P244" s="1306">
        <f t="shared" ref="P244" si="141">O244</f>
        <v>0</v>
      </c>
      <c r="Q244" s="1306">
        <f t="shared" ref="Q244" si="142">P244</f>
        <v>0</v>
      </c>
      <c r="R244" s="1306">
        <f t="shared" ref="R244" si="143">Q244</f>
        <v>0</v>
      </c>
      <c r="S244" s="1306">
        <f t="shared" ref="S244" si="144">R244</f>
        <v>0</v>
      </c>
      <c r="T244" s="219"/>
    </row>
    <row r="245" spans="1:20" outlineLevel="1">
      <c r="B245" s="184"/>
      <c r="C245" s="237"/>
      <c r="D245" s="184" t="s">
        <v>506</v>
      </c>
      <c r="E245" s="184"/>
      <c r="H245" s="84"/>
      <c r="I245" s="1032">
        <f>-I11-I127</f>
        <v>-0.19567493532678215</v>
      </c>
      <c r="J245" s="1032">
        <f>-J11-J127</f>
        <v>-0.62416662590323635</v>
      </c>
      <c r="K245" s="84"/>
      <c r="L245" s="1032">
        <f>-L11-L127</f>
        <v>2.6639687007442086</v>
      </c>
      <c r="M245" s="989"/>
      <c r="N245" s="20">
        <f>-SUM(N255:N261)</f>
        <v>0</v>
      </c>
      <c r="O245" s="20">
        <f t="shared" ref="O245:S245" si="145">-SUM(O255:O261)</f>
        <v>0</v>
      </c>
      <c r="P245" s="20">
        <f t="shared" si="145"/>
        <v>0</v>
      </c>
      <c r="Q245" s="20">
        <f t="shared" si="145"/>
        <v>0</v>
      </c>
      <c r="R245" s="20">
        <f t="shared" si="145"/>
        <v>0</v>
      </c>
      <c r="S245" s="20">
        <f t="shared" si="145"/>
        <v>0</v>
      </c>
      <c r="T245" s="20"/>
    </row>
    <row r="246" spans="1:20" s="224" customFormat="1" outlineLevel="1">
      <c r="B246" s="240"/>
      <c r="C246" s="240" t="s">
        <v>507</v>
      </c>
      <c r="D246" s="240"/>
      <c r="E246" s="240"/>
      <c r="H246" s="405">
        <v>5.5189117078639205</v>
      </c>
      <c r="I246" s="405">
        <v>3.5991484914043883</v>
      </c>
      <c r="J246" s="405">
        <v>3.7646498211528083</v>
      </c>
      <c r="K246" s="988"/>
      <c r="L246" s="405">
        <v>3.6871743103320167</v>
      </c>
      <c r="M246" s="991"/>
      <c r="N246" s="23">
        <f>SUM(N242,N243,N245)</f>
        <v>3.6871743103320167</v>
      </c>
      <c r="O246" s="23">
        <f t="shared" ref="O246:S246" si="146">SUM(O242,O243,O245)</f>
        <v>3.6871743103320167</v>
      </c>
      <c r="P246" s="23">
        <f t="shared" si="146"/>
        <v>3.6871743103320167</v>
      </c>
      <c r="Q246" s="23">
        <f t="shared" si="146"/>
        <v>3.6871743103320167</v>
      </c>
      <c r="R246" s="23">
        <f t="shared" si="146"/>
        <v>3.6871743103320167</v>
      </c>
      <c r="S246" s="23">
        <f t="shared" si="146"/>
        <v>3.6871743103320167</v>
      </c>
      <c r="T246" s="23"/>
    </row>
    <row r="247" spans="1:20" outlineLevel="1">
      <c r="B247" s="237"/>
      <c r="C247" s="237"/>
      <c r="D247" s="237"/>
      <c r="E247" s="237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 spans="1:20" s="247" customFormat="1" outlineLevel="1">
      <c r="A248" s="26" t="s">
        <v>8</v>
      </c>
      <c r="B248" s="26" t="s">
        <v>514</v>
      </c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</row>
    <row r="249" spans="1:20" s="183" customFormat="1" outlineLevel="1">
      <c r="B249" s="240" t="s">
        <v>509</v>
      </c>
      <c r="C249" s="240"/>
      <c r="D249" s="240"/>
      <c r="E249" s="240"/>
      <c r="G249" s="393">
        <v>20</v>
      </c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 spans="1:20" s="183" customFormat="1" outlineLevel="1">
      <c r="B250" s="240" t="s">
        <v>510</v>
      </c>
      <c r="C250" s="240"/>
      <c r="D250" s="240"/>
      <c r="E250" s="240"/>
      <c r="G250" s="479">
        <v>0</v>
      </c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 spans="1:20" s="183" customFormat="1" outlineLevel="1">
      <c r="B251" s="240" t="s">
        <v>979</v>
      </c>
      <c r="C251" s="240"/>
      <c r="D251" s="240"/>
      <c r="E251" s="240"/>
      <c r="G251" s="144">
        <f>(1-G250)/G249</f>
        <v>0.05</v>
      </c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 spans="1:20" s="183" customFormat="1" outlineLevel="1">
      <c r="B252" s="240"/>
      <c r="C252" s="240"/>
      <c r="D252" s="240"/>
      <c r="E252" s="240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 spans="1:20" s="183" customFormat="1" outlineLevel="1">
      <c r="B253" s="240" t="s">
        <v>514</v>
      </c>
      <c r="C253" s="240"/>
      <c r="D253" s="240"/>
      <c r="E253" s="249"/>
      <c r="F253" s="250"/>
      <c r="H253" s="23"/>
      <c r="J253" s="23"/>
      <c r="K253" s="23"/>
      <c r="T253" s="23"/>
    </row>
    <row r="254" spans="1:20" s="183" customFormat="1" outlineLevel="1">
      <c r="B254" s="240"/>
      <c r="C254" s="240"/>
      <c r="D254" s="240"/>
      <c r="E254" s="249" t="s">
        <v>512</v>
      </c>
      <c r="F254" s="250" t="s">
        <v>513</v>
      </c>
      <c r="H254" s="23"/>
      <c r="I254" s="23"/>
      <c r="J254" s="23"/>
      <c r="K254" s="23"/>
      <c r="L254" s="23"/>
      <c r="M254" s="23"/>
      <c r="N254" s="144">
        <f>$G$206</f>
        <v>0.05</v>
      </c>
      <c r="O254" s="144">
        <f t="shared" ref="O254:S254" si="147">$G$206</f>
        <v>0.05</v>
      </c>
      <c r="P254" s="144">
        <f t="shared" si="147"/>
        <v>0.05</v>
      </c>
      <c r="Q254" s="144">
        <f t="shared" si="147"/>
        <v>0.05</v>
      </c>
      <c r="R254" s="144">
        <f t="shared" si="147"/>
        <v>0.05</v>
      </c>
      <c r="S254" s="144">
        <f t="shared" si="147"/>
        <v>0.05</v>
      </c>
      <c r="T254" s="23"/>
    </row>
    <row r="255" spans="1:20" s="183" customFormat="1" outlineLevel="1">
      <c r="B255" s="240"/>
      <c r="C255" s="240"/>
      <c r="D255" s="240"/>
      <c r="E255" s="254">
        <f>L246-L245</f>
        <v>1.0232056095878082</v>
      </c>
      <c r="F255" s="251">
        <v>2024</v>
      </c>
      <c r="H255" s="23"/>
      <c r="I255" s="23"/>
      <c r="J255" s="23"/>
      <c r="K255" s="23"/>
      <c r="L255" s="23"/>
      <c r="M255" s="23"/>
      <c r="N255" s="20">
        <f t="shared" ref="N255:S261" si="148">IF(AND($F255&lt;=N$3,$F255+$G$57&gt;=N$3),$E255*N$62,"")</f>
        <v>0</v>
      </c>
      <c r="O255" s="20">
        <f t="shared" si="148"/>
        <v>0</v>
      </c>
      <c r="P255" s="20">
        <f t="shared" si="148"/>
        <v>0</v>
      </c>
      <c r="Q255" s="20">
        <f t="shared" si="148"/>
        <v>0</v>
      </c>
      <c r="R255" s="20">
        <f t="shared" si="148"/>
        <v>0</v>
      </c>
      <c r="S255" s="20">
        <f t="shared" si="148"/>
        <v>0</v>
      </c>
      <c r="T255" s="23"/>
    </row>
    <row r="256" spans="1:20" s="183" customFormat="1" outlineLevel="1">
      <c r="B256" s="240"/>
      <c r="C256" s="240"/>
      <c r="E256" s="255" cm="1">
        <f t="array" ref="E256:E261">TRANSPOSE(N243:S243)</f>
        <v>0</v>
      </c>
      <c r="F256" s="253">
        <v>2025</v>
      </c>
      <c r="H256" s="23"/>
      <c r="I256" s="23"/>
      <c r="J256" s="23"/>
      <c r="K256" s="23"/>
      <c r="L256" s="23"/>
      <c r="M256" s="23"/>
      <c r="N256" s="20">
        <f t="shared" si="148"/>
        <v>0</v>
      </c>
      <c r="O256" s="20">
        <f t="shared" si="148"/>
        <v>0</v>
      </c>
      <c r="P256" s="20">
        <f t="shared" si="148"/>
        <v>0</v>
      </c>
      <c r="Q256" s="20">
        <f t="shared" si="148"/>
        <v>0</v>
      </c>
      <c r="R256" s="20">
        <f t="shared" si="148"/>
        <v>0</v>
      </c>
      <c r="S256" s="20">
        <f t="shared" si="148"/>
        <v>0</v>
      </c>
      <c r="T256" s="23"/>
    </row>
    <row r="257" spans="1:20" s="183" customFormat="1" outlineLevel="1">
      <c r="B257" s="240"/>
      <c r="C257" s="240"/>
      <c r="E257" s="255">
        <v>0</v>
      </c>
      <c r="F257" s="253">
        <v>2026</v>
      </c>
      <c r="H257" s="23"/>
      <c r="I257" s="23"/>
      <c r="J257" s="23"/>
      <c r="K257" s="23"/>
      <c r="L257" s="23"/>
      <c r="M257" s="23"/>
      <c r="N257" s="20" t="str">
        <f t="shared" si="148"/>
        <v/>
      </c>
      <c r="O257" s="20">
        <f t="shared" si="148"/>
        <v>0</v>
      </c>
      <c r="P257" s="20">
        <f t="shared" si="148"/>
        <v>0</v>
      </c>
      <c r="Q257" s="20">
        <f t="shared" si="148"/>
        <v>0</v>
      </c>
      <c r="R257" s="20">
        <f t="shared" si="148"/>
        <v>0</v>
      </c>
      <c r="S257" s="20">
        <f t="shared" si="148"/>
        <v>0</v>
      </c>
      <c r="T257" s="23"/>
    </row>
    <row r="258" spans="1:20" s="183" customFormat="1" outlineLevel="1">
      <c r="B258" s="240"/>
      <c r="C258" s="240"/>
      <c r="E258" s="255">
        <v>0</v>
      </c>
      <c r="F258" s="253">
        <v>2027</v>
      </c>
      <c r="H258" s="23"/>
      <c r="I258" s="23"/>
      <c r="J258" s="23"/>
      <c r="K258" s="23"/>
      <c r="L258" s="23"/>
      <c r="M258" s="23"/>
      <c r="N258" s="20" t="str">
        <f t="shared" si="148"/>
        <v/>
      </c>
      <c r="O258" s="20" t="str">
        <f t="shared" si="148"/>
        <v/>
      </c>
      <c r="P258" s="20">
        <f t="shared" si="148"/>
        <v>0</v>
      </c>
      <c r="Q258" s="20">
        <f t="shared" si="148"/>
        <v>0</v>
      </c>
      <c r="R258" s="20">
        <f t="shared" si="148"/>
        <v>0</v>
      </c>
      <c r="S258" s="20">
        <f t="shared" si="148"/>
        <v>0</v>
      </c>
      <c r="T258" s="23"/>
    </row>
    <row r="259" spans="1:20" s="183" customFormat="1" outlineLevel="1">
      <c r="B259" s="240"/>
      <c r="C259" s="240"/>
      <c r="E259" s="255">
        <v>0</v>
      </c>
      <c r="F259" s="253">
        <v>2028</v>
      </c>
      <c r="H259" s="23"/>
      <c r="I259" s="23"/>
      <c r="J259" s="23"/>
      <c r="K259" s="23"/>
      <c r="L259" s="23"/>
      <c r="M259" s="23"/>
      <c r="N259" s="20" t="str">
        <f t="shared" si="148"/>
        <v/>
      </c>
      <c r="O259" s="20" t="str">
        <f t="shared" si="148"/>
        <v/>
      </c>
      <c r="P259" s="20" t="str">
        <f t="shared" si="148"/>
        <v/>
      </c>
      <c r="Q259" s="20">
        <f t="shared" si="148"/>
        <v>0</v>
      </c>
      <c r="R259" s="20">
        <f t="shared" si="148"/>
        <v>0</v>
      </c>
      <c r="S259" s="20">
        <f t="shared" si="148"/>
        <v>0</v>
      </c>
      <c r="T259" s="23"/>
    </row>
    <row r="260" spans="1:20" s="183" customFormat="1" outlineLevel="1">
      <c r="B260" s="240"/>
      <c r="C260" s="240"/>
      <c r="E260" s="255">
        <v>0</v>
      </c>
      <c r="F260" s="253">
        <v>2029</v>
      </c>
      <c r="H260" s="23"/>
      <c r="I260" s="23"/>
      <c r="J260" s="23"/>
      <c r="K260" s="23"/>
      <c r="L260" s="23"/>
      <c r="M260" s="23"/>
      <c r="N260" s="20" t="str">
        <f t="shared" si="148"/>
        <v/>
      </c>
      <c r="O260" s="20" t="str">
        <f t="shared" si="148"/>
        <v/>
      </c>
      <c r="P260" s="20" t="str">
        <f t="shared" si="148"/>
        <v/>
      </c>
      <c r="Q260" s="20" t="str">
        <f t="shared" si="148"/>
        <v/>
      </c>
      <c r="R260" s="20">
        <f t="shared" si="148"/>
        <v>0</v>
      </c>
      <c r="S260" s="20">
        <f t="shared" si="148"/>
        <v>0</v>
      </c>
      <c r="T260" s="23"/>
    </row>
    <row r="261" spans="1:20" s="183" customFormat="1" outlineLevel="1">
      <c r="B261" s="240"/>
      <c r="C261" s="240"/>
      <c r="E261" s="255">
        <v>0</v>
      </c>
      <c r="F261" s="253">
        <v>2030</v>
      </c>
      <c r="H261" s="23"/>
      <c r="I261" s="23"/>
      <c r="J261" s="23"/>
      <c r="K261" s="23"/>
      <c r="L261" s="23"/>
      <c r="M261" s="23"/>
      <c r="N261" s="20" t="str">
        <f t="shared" si="148"/>
        <v/>
      </c>
      <c r="O261" s="20" t="str">
        <f t="shared" si="148"/>
        <v/>
      </c>
      <c r="P261" s="20" t="str">
        <f t="shared" si="148"/>
        <v/>
      </c>
      <c r="Q261" s="20" t="str">
        <f t="shared" si="148"/>
        <v/>
      </c>
      <c r="R261" s="20" t="str">
        <f t="shared" si="148"/>
        <v/>
      </c>
      <c r="S261" s="20">
        <f t="shared" si="148"/>
        <v>0</v>
      </c>
      <c r="T261" s="23"/>
    </row>
    <row r="263" spans="1:20" s="987" customFormat="1">
      <c r="A263" s="986" t="s">
        <v>8</v>
      </c>
      <c r="B263" s="986" t="s">
        <v>983</v>
      </c>
      <c r="C263" s="986"/>
      <c r="D263" s="986"/>
      <c r="E263" s="986"/>
      <c r="F263" s="986"/>
      <c r="G263" s="986"/>
      <c r="H263" s="986"/>
      <c r="I263" s="986"/>
      <c r="J263" s="986"/>
      <c r="K263" s="986"/>
      <c r="L263" s="986"/>
      <c r="M263" s="986"/>
      <c r="N263" s="986"/>
      <c r="O263" s="986"/>
      <c r="P263" s="986"/>
      <c r="Q263" s="986"/>
      <c r="R263" s="986"/>
      <c r="S263" s="986"/>
    </row>
    <row r="264" spans="1:20" outlineLevel="1">
      <c r="B264" s="183"/>
      <c r="C264" s="183" t="s">
        <v>505</v>
      </c>
      <c r="D264" s="183"/>
      <c r="E264" s="183"/>
      <c r="H264" s="20"/>
      <c r="I264" s="23">
        <f>H268</f>
        <v>4.308619614874603</v>
      </c>
      <c r="J264" s="23">
        <f t="shared" ref="J264" si="149">I268</f>
        <v>4.139925485500676</v>
      </c>
      <c r="K264" s="988"/>
      <c r="L264" s="23">
        <f>J268</f>
        <v>4.4666368685605775</v>
      </c>
      <c r="M264" s="988"/>
      <c r="N264" s="23">
        <f>L268</f>
        <v>3.9645008387712752</v>
      </c>
      <c r="O264" s="23">
        <f t="shared" ref="O264" si="150">N268</f>
        <v>3.9645008387712752</v>
      </c>
      <c r="P264" s="23">
        <f t="shared" ref="P264" si="151">O268</f>
        <v>3.9645008387712752</v>
      </c>
      <c r="Q264" s="23">
        <f t="shared" ref="Q264" si="152">P268</f>
        <v>3.9645008387712752</v>
      </c>
      <c r="R264" s="23">
        <f t="shared" ref="R264" si="153">Q268</f>
        <v>3.9645008387712752</v>
      </c>
      <c r="S264" s="23">
        <f t="shared" ref="S264" si="154">R268</f>
        <v>3.9645008387712752</v>
      </c>
      <c r="T264" s="20"/>
    </row>
    <row r="265" spans="1:20" s="224" customFormat="1" outlineLevel="1">
      <c r="B265" s="184"/>
      <c r="C265" s="237"/>
      <c r="D265" s="184" t="s">
        <v>500</v>
      </c>
      <c r="E265" s="184"/>
      <c r="H265" s="23"/>
      <c r="I265" s="20">
        <f>I268-I267-I264</f>
        <v>-1.9504090300849546</v>
      </c>
      <c r="J265" s="20">
        <f>J268-J267-J264</f>
        <v>1.623167936242325</v>
      </c>
      <c r="K265" s="989"/>
      <c r="L265" s="20">
        <f>L268-L267-L264</f>
        <v>0.36253933536166638</v>
      </c>
      <c r="M265" s="989"/>
      <c r="N265" s="23">
        <f>N266*集团!N90</f>
        <v>0</v>
      </c>
      <c r="O265" s="23">
        <f>O266*集团!O90</f>
        <v>0</v>
      </c>
      <c r="P265" s="23">
        <f>P266*集团!P90</f>
        <v>0</v>
      </c>
      <c r="Q265" s="23">
        <f>Q266*集团!Q90</f>
        <v>0</v>
      </c>
      <c r="R265" s="23">
        <f>R266*集团!R90</f>
        <v>0</v>
      </c>
      <c r="S265" s="23">
        <f>S266*集团!S90</f>
        <v>0</v>
      </c>
      <c r="T265" s="23"/>
    </row>
    <row r="266" spans="1:20" s="185" customFormat="1" outlineLevel="1">
      <c r="C266" s="248"/>
      <c r="E266" s="185" t="s">
        <v>130</v>
      </c>
      <c r="H266" s="219"/>
      <c r="I266" s="94">
        <f>I265/欧洲!I15*1000*集团!I10/集团!I9</f>
        <v>-2.3462708490751119E-2</v>
      </c>
      <c r="J266" s="94">
        <f>J265/欧洲!J15*1000*集团!J10/集团!J9</f>
        <v>1.760247982539466E-2</v>
      </c>
      <c r="K266" s="989"/>
      <c r="L266" s="94">
        <f>L265/欧洲!L15*1000*集团!L10/集团!L9</f>
        <v>3.598228074796123E-3</v>
      </c>
      <c r="M266" s="989"/>
      <c r="N266" s="1306">
        <v>0</v>
      </c>
      <c r="O266" s="1306">
        <f t="shared" ref="O266" si="155">N266</f>
        <v>0</v>
      </c>
      <c r="P266" s="1306">
        <f t="shared" ref="P266" si="156">O266</f>
        <v>0</v>
      </c>
      <c r="Q266" s="1306">
        <f t="shared" ref="Q266" si="157">P266</f>
        <v>0</v>
      </c>
      <c r="R266" s="1306">
        <f t="shared" ref="R266" si="158">Q266</f>
        <v>0</v>
      </c>
      <c r="S266" s="1306">
        <f t="shared" ref="S266" si="159">R266</f>
        <v>0</v>
      </c>
      <c r="T266" s="219"/>
    </row>
    <row r="267" spans="1:20" outlineLevel="1">
      <c r="B267" s="184"/>
      <c r="C267" s="237"/>
      <c r="D267" s="184" t="s">
        <v>506</v>
      </c>
      <c r="E267" s="184"/>
      <c r="H267" s="84"/>
      <c r="I267" s="1032">
        <f>-I12-I152</f>
        <v>1.7817149007110276</v>
      </c>
      <c r="J267" s="1032">
        <f>-J12-J152</f>
        <v>-1.2964565531824235</v>
      </c>
      <c r="K267" s="84"/>
      <c r="L267" s="1032">
        <f>-L12-L152</f>
        <v>-0.86467536515096866</v>
      </c>
      <c r="M267" s="989"/>
      <c r="N267" s="20">
        <f>-SUM(N277:N283)</f>
        <v>0</v>
      </c>
      <c r="O267" s="20">
        <f t="shared" ref="O267:S267" si="160">-SUM(O277:O283)</f>
        <v>0</v>
      </c>
      <c r="P267" s="20">
        <f t="shared" si="160"/>
        <v>0</v>
      </c>
      <c r="Q267" s="20">
        <f t="shared" si="160"/>
        <v>0</v>
      </c>
      <c r="R267" s="20">
        <f t="shared" si="160"/>
        <v>0</v>
      </c>
      <c r="S267" s="20">
        <f t="shared" si="160"/>
        <v>0</v>
      </c>
      <c r="T267" s="20"/>
    </row>
    <row r="268" spans="1:20" s="224" customFormat="1" outlineLevel="1">
      <c r="B268" s="240"/>
      <c r="C268" s="240" t="s">
        <v>507</v>
      </c>
      <c r="D268" s="240"/>
      <c r="E268" s="240"/>
      <c r="H268" s="1442">
        <v>4.308619614874603</v>
      </c>
      <c r="I268" s="1442">
        <v>4.139925485500676</v>
      </c>
      <c r="J268" s="1442">
        <v>4.4666368685605775</v>
      </c>
      <c r="K268" s="84"/>
      <c r="L268" s="1442">
        <v>3.9645008387712752</v>
      </c>
      <c r="M268" s="989"/>
      <c r="N268" s="23">
        <f>SUM(N264,N265,N267)</f>
        <v>3.9645008387712752</v>
      </c>
      <c r="O268" s="23">
        <f t="shared" ref="O268:S268" si="161">SUM(O264,O265,O267)</f>
        <v>3.9645008387712752</v>
      </c>
      <c r="P268" s="23">
        <f t="shared" si="161"/>
        <v>3.9645008387712752</v>
      </c>
      <c r="Q268" s="23">
        <f t="shared" si="161"/>
        <v>3.9645008387712752</v>
      </c>
      <c r="R268" s="23">
        <f t="shared" si="161"/>
        <v>3.9645008387712752</v>
      </c>
      <c r="S268" s="23">
        <f t="shared" si="161"/>
        <v>3.9645008387712752</v>
      </c>
      <c r="T268" s="23"/>
    </row>
    <row r="269" spans="1:20" outlineLevel="1">
      <c r="B269" s="237"/>
      <c r="C269" s="237"/>
      <c r="D269" s="237"/>
      <c r="E269" s="237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 spans="1:20" s="247" customFormat="1" outlineLevel="1">
      <c r="A270" s="26" t="s">
        <v>8</v>
      </c>
      <c r="B270" s="26" t="s">
        <v>514</v>
      </c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</row>
    <row r="271" spans="1:20" s="183" customFormat="1" outlineLevel="1">
      <c r="B271" s="240" t="s">
        <v>509</v>
      </c>
      <c r="C271" s="240"/>
      <c r="D271" s="240"/>
      <c r="E271" s="240"/>
      <c r="G271" s="393">
        <v>20</v>
      </c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 spans="1:20" s="183" customFormat="1" outlineLevel="1">
      <c r="B272" s="240" t="s">
        <v>510</v>
      </c>
      <c r="C272" s="240"/>
      <c r="D272" s="240"/>
      <c r="E272" s="240"/>
      <c r="G272" s="479">
        <v>0</v>
      </c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 spans="2:20" s="183" customFormat="1" outlineLevel="1">
      <c r="B273" s="240" t="s">
        <v>979</v>
      </c>
      <c r="C273" s="240"/>
      <c r="D273" s="240"/>
      <c r="E273" s="240"/>
      <c r="G273" s="144">
        <f>(1-G272)/G271</f>
        <v>0.05</v>
      </c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 spans="2:20" s="183" customFormat="1" outlineLevel="1">
      <c r="B274" s="240"/>
      <c r="C274" s="240"/>
      <c r="D274" s="240"/>
      <c r="E274" s="240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 spans="2:20" s="183" customFormat="1" outlineLevel="1">
      <c r="B275" s="240" t="s">
        <v>514</v>
      </c>
      <c r="C275" s="240"/>
      <c r="D275" s="240"/>
      <c r="E275" s="249"/>
      <c r="F275" s="250"/>
      <c r="H275" s="23"/>
      <c r="J275" s="23"/>
      <c r="K275" s="23"/>
      <c r="T275" s="23"/>
    </row>
    <row r="276" spans="2:20" s="183" customFormat="1" outlineLevel="1">
      <c r="B276" s="240"/>
      <c r="C276" s="240"/>
      <c r="D276" s="240"/>
      <c r="E276" s="249" t="s">
        <v>512</v>
      </c>
      <c r="F276" s="250" t="s">
        <v>513</v>
      </c>
      <c r="H276" s="23"/>
      <c r="I276" s="23"/>
      <c r="J276" s="23"/>
      <c r="K276" s="23"/>
      <c r="L276" s="23"/>
      <c r="M276" s="23"/>
      <c r="N276" s="144">
        <f>$G$206</f>
        <v>0.05</v>
      </c>
      <c r="O276" s="144">
        <f t="shared" ref="O276:S276" si="162">$G$206</f>
        <v>0.05</v>
      </c>
      <c r="P276" s="144">
        <f t="shared" si="162"/>
        <v>0.05</v>
      </c>
      <c r="Q276" s="144">
        <f t="shared" si="162"/>
        <v>0.05</v>
      </c>
      <c r="R276" s="144">
        <f t="shared" si="162"/>
        <v>0.05</v>
      </c>
      <c r="S276" s="144">
        <f t="shared" si="162"/>
        <v>0.05</v>
      </c>
      <c r="T276" s="23"/>
    </row>
    <row r="277" spans="2:20" s="183" customFormat="1" outlineLevel="1">
      <c r="B277" s="240"/>
      <c r="C277" s="240"/>
      <c r="D277" s="240"/>
      <c r="E277" s="254">
        <f>L268-L267</f>
        <v>4.8291762039222439</v>
      </c>
      <c r="F277" s="251">
        <v>2024</v>
      </c>
      <c r="H277" s="23"/>
      <c r="I277" s="23"/>
      <c r="J277" s="23"/>
      <c r="K277" s="23"/>
      <c r="L277" s="23"/>
      <c r="M277" s="23"/>
      <c r="N277" s="20">
        <f t="shared" ref="N277:S283" si="163">IF(AND($F277&lt;=N$3,$F277+$G$57&gt;=N$3),$E277*N$62,"")</f>
        <v>0</v>
      </c>
      <c r="O277" s="20">
        <f t="shared" si="163"/>
        <v>0</v>
      </c>
      <c r="P277" s="20">
        <f t="shared" si="163"/>
        <v>0</v>
      </c>
      <c r="Q277" s="20">
        <f t="shared" si="163"/>
        <v>0</v>
      </c>
      <c r="R277" s="20">
        <f t="shared" si="163"/>
        <v>0</v>
      </c>
      <c r="S277" s="20">
        <f t="shared" si="163"/>
        <v>0</v>
      </c>
      <c r="T277" s="23"/>
    </row>
    <row r="278" spans="2:20" s="183" customFormat="1" outlineLevel="1">
      <c r="B278" s="240"/>
      <c r="C278" s="240"/>
      <c r="E278" s="255" cm="1">
        <f t="array" ref="E278:E283">TRANSPOSE(N265:S265)</f>
        <v>0</v>
      </c>
      <c r="F278" s="253">
        <v>2025</v>
      </c>
      <c r="H278" s="23"/>
      <c r="I278" s="23"/>
      <c r="J278" s="23"/>
      <c r="K278" s="23"/>
      <c r="L278" s="23"/>
      <c r="M278" s="23"/>
      <c r="N278" s="20">
        <f t="shared" si="163"/>
        <v>0</v>
      </c>
      <c r="O278" s="20">
        <f t="shared" si="163"/>
        <v>0</v>
      </c>
      <c r="P278" s="20">
        <f t="shared" si="163"/>
        <v>0</v>
      </c>
      <c r="Q278" s="20">
        <f t="shared" si="163"/>
        <v>0</v>
      </c>
      <c r="R278" s="20">
        <f t="shared" si="163"/>
        <v>0</v>
      </c>
      <c r="S278" s="20">
        <f t="shared" si="163"/>
        <v>0</v>
      </c>
      <c r="T278" s="23"/>
    </row>
    <row r="279" spans="2:20" s="183" customFormat="1" outlineLevel="1">
      <c r="B279" s="240"/>
      <c r="C279" s="240"/>
      <c r="E279" s="255">
        <v>0</v>
      </c>
      <c r="F279" s="253">
        <v>2026</v>
      </c>
      <c r="H279" s="23"/>
      <c r="I279" s="23"/>
      <c r="J279" s="23"/>
      <c r="K279" s="23"/>
      <c r="L279" s="23"/>
      <c r="M279" s="23"/>
      <c r="N279" s="20" t="str">
        <f t="shared" si="163"/>
        <v/>
      </c>
      <c r="O279" s="20">
        <f t="shared" si="163"/>
        <v>0</v>
      </c>
      <c r="P279" s="20">
        <f t="shared" si="163"/>
        <v>0</v>
      </c>
      <c r="Q279" s="20">
        <f t="shared" si="163"/>
        <v>0</v>
      </c>
      <c r="R279" s="20">
        <f t="shared" si="163"/>
        <v>0</v>
      </c>
      <c r="S279" s="20">
        <f t="shared" si="163"/>
        <v>0</v>
      </c>
      <c r="T279" s="23"/>
    </row>
    <row r="280" spans="2:20" s="183" customFormat="1" outlineLevel="1">
      <c r="B280" s="240"/>
      <c r="C280" s="240"/>
      <c r="E280" s="255">
        <v>0</v>
      </c>
      <c r="F280" s="253">
        <v>2027</v>
      </c>
      <c r="H280" s="23"/>
      <c r="I280" s="23"/>
      <c r="J280" s="23"/>
      <c r="K280" s="23"/>
      <c r="L280" s="23"/>
      <c r="M280" s="23"/>
      <c r="N280" s="20" t="str">
        <f t="shared" si="163"/>
        <v/>
      </c>
      <c r="O280" s="20" t="str">
        <f t="shared" si="163"/>
        <v/>
      </c>
      <c r="P280" s="20">
        <f t="shared" si="163"/>
        <v>0</v>
      </c>
      <c r="Q280" s="20">
        <f t="shared" si="163"/>
        <v>0</v>
      </c>
      <c r="R280" s="20">
        <f t="shared" si="163"/>
        <v>0</v>
      </c>
      <c r="S280" s="20">
        <f t="shared" si="163"/>
        <v>0</v>
      </c>
      <c r="T280" s="23"/>
    </row>
    <row r="281" spans="2:20" s="183" customFormat="1" outlineLevel="1">
      <c r="B281" s="240"/>
      <c r="C281" s="240"/>
      <c r="E281" s="255">
        <v>0</v>
      </c>
      <c r="F281" s="253">
        <v>2028</v>
      </c>
      <c r="H281" s="23"/>
      <c r="I281" s="23"/>
      <c r="J281" s="23"/>
      <c r="K281" s="23"/>
      <c r="L281" s="23"/>
      <c r="M281" s="23"/>
      <c r="N281" s="20" t="str">
        <f t="shared" si="163"/>
        <v/>
      </c>
      <c r="O281" s="20" t="str">
        <f t="shared" si="163"/>
        <v/>
      </c>
      <c r="P281" s="20" t="str">
        <f t="shared" si="163"/>
        <v/>
      </c>
      <c r="Q281" s="20">
        <f t="shared" si="163"/>
        <v>0</v>
      </c>
      <c r="R281" s="20">
        <f t="shared" si="163"/>
        <v>0</v>
      </c>
      <c r="S281" s="20">
        <f t="shared" si="163"/>
        <v>0</v>
      </c>
      <c r="T281" s="23"/>
    </row>
    <row r="282" spans="2:20" s="183" customFormat="1" outlineLevel="1">
      <c r="B282" s="240"/>
      <c r="C282" s="240"/>
      <c r="E282" s="255">
        <v>0</v>
      </c>
      <c r="F282" s="253">
        <v>2029</v>
      </c>
      <c r="H282" s="23"/>
      <c r="I282" s="23"/>
      <c r="J282" s="23"/>
      <c r="K282" s="23"/>
      <c r="L282" s="23"/>
      <c r="M282" s="23"/>
      <c r="N282" s="20" t="str">
        <f t="shared" si="163"/>
        <v/>
      </c>
      <c r="O282" s="20" t="str">
        <f t="shared" si="163"/>
        <v/>
      </c>
      <c r="P282" s="20" t="str">
        <f t="shared" si="163"/>
        <v/>
      </c>
      <c r="Q282" s="20" t="str">
        <f t="shared" si="163"/>
        <v/>
      </c>
      <c r="R282" s="20">
        <f t="shared" si="163"/>
        <v>0</v>
      </c>
      <c r="S282" s="20">
        <f t="shared" si="163"/>
        <v>0</v>
      </c>
      <c r="T282" s="23"/>
    </row>
    <row r="283" spans="2:20" s="183" customFormat="1" outlineLevel="1">
      <c r="B283" s="240"/>
      <c r="C283" s="240"/>
      <c r="E283" s="255">
        <v>0</v>
      </c>
      <c r="F283" s="253">
        <v>2030</v>
      </c>
      <c r="H283" s="23"/>
      <c r="I283" s="23"/>
      <c r="J283" s="23"/>
      <c r="K283" s="23"/>
      <c r="L283" s="23"/>
      <c r="M283" s="23"/>
      <c r="N283" s="20" t="str">
        <f t="shared" si="163"/>
        <v/>
      </c>
      <c r="O283" s="20" t="str">
        <f t="shared" si="163"/>
        <v/>
      </c>
      <c r="P283" s="20" t="str">
        <f t="shared" si="163"/>
        <v/>
      </c>
      <c r="Q283" s="20" t="str">
        <f t="shared" si="163"/>
        <v/>
      </c>
      <c r="R283" s="20" t="str">
        <f t="shared" si="163"/>
        <v/>
      </c>
      <c r="S283" s="20">
        <f t="shared" si="163"/>
        <v>0</v>
      </c>
      <c r="T283" s="23"/>
    </row>
  </sheetData>
  <mergeCells count="2">
    <mergeCell ref="A1:S1"/>
    <mergeCell ref="A2:S2"/>
  </mergeCells>
  <phoneticPr fontId="5" type="noConversion"/>
  <conditionalFormatting sqref="H4:H5 P5:S5">
    <cfRule type="containsText" dxfId="3" priority="4" operator="containsText" text="Error">
      <formula>NOT(ISERROR(SEARCH("Error",H4)))</formula>
    </cfRule>
  </conditionalFormatting>
  <conditionalFormatting sqref="J5:N5">
    <cfRule type="containsText" dxfId="2" priority="1" operator="containsText" text="Error">
      <formula>NOT(ISERROR(SEARCH("Error",J5)))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AN86"/>
  <sheetViews>
    <sheetView showGridLines="0" zoomScale="70" zoomScaleNormal="70" workbookViewId="0">
      <pane xSplit="7" ySplit="6" topLeftCell="H27" activePane="bottomRight" state="frozen"/>
      <selection pane="topRight" activeCell="H1" sqref="H1"/>
      <selection pane="bottomLeft" activeCell="A7" sqref="A7"/>
      <selection pane="bottomRight" activeCell="E64" sqref="E64:R78"/>
    </sheetView>
  </sheetViews>
  <sheetFormatPr defaultColWidth="8.6640625" defaultRowHeight="14.5" outlineLevelRow="1"/>
  <cols>
    <col min="1" max="4" width="2.4140625" style="216" customWidth="1"/>
    <col min="5" max="7" width="11.1640625" style="216" customWidth="1"/>
    <col min="8" max="14" width="10.33203125" style="216" customWidth="1"/>
    <col min="15" max="15" width="10.33203125" style="1456" customWidth="1"/>
    <col min="16" max="16" width="10.33203125" style="549" customWidth="1"/>
    <col min="17" max="21" width="10.33203125" style="216" customWidth="1"/>
    <col min="22" max="35" width="8.6640625" style="216"/>
    <col min="36" max="40" width="0" style="216" hidden="1" customWidth="1"/>
    <col min="41" max="16384" width="8.6640625" style="216"/>
  </cols>
  <sheetData>
    <row r="1" spans="1:22" s="1" customFormat="1" ht="20.25" customHeight="1">
      <c r="A1" s="1579" t="s">
        <v>0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T1" s="1579"/>
      <c r="U1" s="1579"/>
    </row>
    <row r="2" spans="1:22" s="1" customFormat="1" ht="20.25" customHeight="1">
      <c r="A2" s="1579" t="s">
        <v>609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T2" s="1579"/>
      <c r="U2" s="1579"/>
    </row>
    <row r="3" spans="1:22" s="1" customFormat="1" ht="14.25" customHeight="1">
      <c r="D3" s="2"/>
      <c r="E3" s="2"/>
      <c r="F3" s="3"/>
      <c r="G3" s="3"/>
      <c r="H3" s="4">
        <v>2021</v>
      </c>
      <c r="I3" s="4">
        <v>2022</v>
      </c>
      <c r="J3" s="4"/>
      <c r="K3" s="4"/>
      <c r="L3" s="4">
        <v>2024</v>
      </c>
      <c r="M3" s="4"/>
      <c r="N3" s="4">
        <v>2025</v>
      </c>
      <c r="O3" s="1444"/>
      <c r="P3" s="542"/>
      <c r="Q3" s="4">
        <v>2026</v>
      </c>
      <c r="R3" s="4">
        <v>2027</v>
      </c>
      <c r="S3" s="4">
        <v>2028</v>
      </c>
      <c r="T3" s="4">
        <v>2029</v>
      </c>
      <c r="U3" s="4">
        <v>2030</v>
      </c>
    </row>
    <row r="4" spans="1:22" s="1" customFormat="1" ht="14.25" customHeight="1">
      <c r="A4" s="5"/>
      <c r="B4" s="5"/>
      <c r="C4" s="5"/>
      <c r="D4" s="6"/>
      <c r="E4" s="6"/>
      <c r="F4" s="6"/>
      <c r="G4" s="6"/>
      <c r="H4" s="6" t="s">
        <v>1</v>
      </c>
      <c r="I4" s="6" t="s">
        <v>2</v>
      </c>
      <c r="J4" s="6" t="s">
        <v>2</v>
      </c>
      <c r="K4" s="6" t="s">
        <v>3</v>
      </c>
      <c r="L4" s="6" t="s">
        <v>3</v>
      </c>
      <c r="M4" s="6" t="s">
        <v>3</v>
      </c>
      <c r="N4" s="6" t="s">
        <v>4</v>
      </c>
      <c r="O4" s="1445" t="s">
        <v>726</v>
      </c>
      <c r="P4" s="550" t="s">
        <v>727</v>
      </c>
      <c r="Q4" s="6" t="s">
        <v>4</v>
      </c>
      <c r="R4" s="6" t="s">
        <v>4</v>
      </c>
      <c r="S4" s="6" t="s">
        <v>4</v>
      </c>
      <c r="T4" s="6" t="s">
        <v>4</v>
      </c>
      <c r="U4" s="6" t="s">
        <v>4</v>
      </c>
    </row>
    <row r="5" spans="1:22" s="1" customFormat="1" ht="14.25" customHeight="1">
      <c r="A5" s="5" t="s">
        <v>610</v>
      </c>
      <c r="B5" s="5"/>
      <c r="C5" s="5"/>
      <c r="D5" s="6"/>
      <c r="E5" s="6"/>
      <c r="F5" s="7"/>
      <c r="G5" s="7"/>
      <c r="H5" s="8">
        <v>44561</v>
      </c>
      <c r="I5" s="8">
        <v>44926</v>
      </c>
      <c r="J5" s="8">
        <v>45291</v>
      </c>
      <c r="K5" s="7" t="s">
        <v>5</v>
      </c>
      <c r="L5" s="8">
        <v>45657</v>
      </c>
      <c r="M5" s="8" t="s">
        <v>838</v>
      </c>
      <c r="N5" s="9">
        <v>46022</v>
      </c>
      <c r="O5" s="1446"/>
      <c r="P5" s="552" t="s">
        <v>728</v>
      </c>
      <c r="Q5" s="9">
        <v>46387</v>
      </c>
      <c r="R5" s="9">
        <v>46752</v>
      </c>
      <c r="S5" s="9">
        <v>46753</v>
      </c>
      <c r="T5" s="9">
        <v>47483</v>
      </c>
      <c r="U5" s="9">
        <v>47848</v>
      </c>
    </row>
    <row r="6" spans="1:22" s="1" customFormat="1" ht="14.25" customHeight="1">
      <c r="A6" s="5" t="s">
        <v>476</v>
      </c>
      <c r="B6" s="5"/>
      <c r="C6" s="5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1447"/>
      <c r="P6" s="554"/>
      <c r="Q6" s="7"/>
      <c r="R6" s="7"/>
      <c r="S6" s="7"/>
      <c r="T6" s="7"/>
      <c r="U6" s="7"/>
    </row>
    <row r="7" spans="1:22" s="344" customFormat="1" ht="14" hidden="1" customHeight="1">
      <c r="A7" s="342"/>
      <c r="B7" s="342"/>
      <c r="C7" s="342"/>
      <c r="D7" s="343"/>
      <c r="E7" s="343"/>
      <c r="F7" s="343"/>
      <c r="G7" s="107" t="s">
        <v>156</v>
      </c>
      <c r="H7" s="107">
        <f>集团!H9</f>
        <v>6.4503000000000004</v>
      </c>
      <c r="I7" s="107">
        <f>集团!I9</f>
        <v>6.73</v>
      </c>
      <c r="J7" s="107">
        <f>集团!J9</f>
        <v>7.02</v>
      </c>
      <c r="K7" s="107">
        <f>集团!K9</f>
        <v>7.1</v>
      </c>
      <c r="L7" s="107">
        <f>集团!L9</f>
        <v>7.1356000000000002</v>
      </c>
      <c r="M7" s="107">
        <f>集团!M9</f>
        <v>7.1688999999999998</v>
      </c>
      <c r="N7" s="343">
        <f>M7</f>
        <v>7.1688999999999998</v>
      </c>
      <c r="O7" s="1448">
        <f>N7</f>
        <v>7.1688999999999998</v>
      </c>
      <c r="P7" s="556">
        <f>O7</f>
        <v>7.1688999999999998</v>
      </c>
      <c r="Q7" s="343">
        <f>P7</f>
        <v>7.1688999999999998</v>
      </c>
      <c r="R7" s="343">
        <f t="shared" ref="R7:U7" si="0">Q7</f>
        <v>7.1688999999999998</v>
      </c>
      <c r="S7" s="343">
        <f t="shared" si="0"/>
        <v>7.1688999999999998</v>
      </c>
      <c r="T7" s="343">
        <f t="shared" si="0"/>
        <v>7.1688999999999998</v>
      </c>
      <c r="U7" s="343">
        <f t="shared" si="0"/>
        <v>7.1688999999999998</v>
      </c>
    </row>
    <row r="8" spans="1:22" s="987" customFormat="1">
      <c r="A8" s="986" t="s">
        <v>8</v>
      </c>
      <c r="B8" s="986" t="s">
        <v>1100</v>
      </c>
      <c r="C8" s="986"/>
      <c r="D8" s="986"/>
      <c r="E8" s="986"/>
      <c r="F8" s="986"/>
      <c r="G8" s="986"/>
      <c r="H8" s="986"/>
      <c r="I8" s="986"/>
      <c r="J8" s="986"/>
      <c r="K8" s="986"/>
      <c r="L8" s="986"/>
      <c r="M8" s="986"/>
      <c r="N8" s="986"/>
      <c r="O8" s="1449"/>
      <c r="P8" s="1443"/>
      <c r="Q8" s="986"/>
      <c r="R8" s="986"/>
      <c r="S8" s="986"/>
      <c r="T8" s="986"/>
    </row>
    <row r="9" spans="1:22" s="344" customFormat="1" ht="14.25" customHeight="1">
      <c r="A9" s="342"/>
      <c r="B9" s="342"/>
      <c r="C9" s="342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1448"/>
      <c r="P9" s="556"/>
      <c r="Q9" s="343"/>
      <c r="R9" s="343"/>
      <c r="S9" s="343"/>
      <c r="T9" s="343"/>
      <c r="U9" s="343"/>
    </row>
    <row r="10" spans="1:22" s="246" customFormat="1" ht="14.25" customHeight="1">
      <c r="A10" s="244"/>
      <c r="B10" s="244" t="s">
        <v>611</v>
      </c>
      <c r="C10" s="244"/>
      <c r="D10" s="245"/>
      <c r="E10" s="245"/>
      <c r="F10" s="245"/>
      <c r="G10" s="245"/>
      <c r="H10" s="245"/>
      <c r="I10" s="245"/>
      <c r="J10" s="245"/>
      <c r="K10" s="245"/>
      <c r="L10" s="484">
        <f>L11*利润表!L8</f>
        <v>31.748094063568583</v>
      </c>
      <c r="M10" s="484">
        <f>M11*利润表!M8</f>
        <v>18.505349495738539</v>
      </c>
      <c r="N10" s="484">
        <f>N11*利润表!N8</f>
        <v>34.544660722628308</v>
      </c>
      <c r="O10" s="1450"/>
      <c r="P10" s="557">
        <f>N10</f>
        <v>34.544660722628308</v>
      </c>
      <c r="Q10" s="484">
        <f>Q11*利润表!O8</f>
        <v>38.700205987733547</v>
      </c>
      <c r="R10" s="484">
        <f>R11*利润表!P8</f>
        <v>42.876050035940544</v>
      </c>
      <c r="S10" s="484">
        <f>S11*利润表!Q8</f>
        <v>47.202560375697985</v>
      </c>
      <c r="T10" s="484">
        <f>T11*利润表!R8</f>
        <v>52.224864362547713</v>
      </c>
      <c r="U10" s="484">
        <f>U11*利润表!S8</f>
        <v>58.236029459246531</v>
      </c>
    </row>
    <row r="11" spans="1:22" s="344" customFormat="1" ht="14.25" customHeight="1">
      <c r="A11" s="342"/>
      <c r="B11" s="342"/>
      <c r="C11" s="342" t="s">
        <v>130</v>
      </c>
      <c r="D11" s="343"/>
      <c r="E11" s="343"/>
      <c r="F11" s="343"/>
      <c r="G11" s="343"/>
      <c r="H11" s="343"/>
      <c r="I11" s="343"/>
      <c r="J11" s="343"/>
      <c r="K11" s="343"/>
      <c r="L11" s="392">
        <v>0.03</v>
      </c>
      <c r="M11" s="392">
        <f>L11</f>
        <v>0.03</v>
      </c>
      <c r="N11" s="392">
        <f>M11</f>
        <v>0.03</v>
      </c>
      <c r="O11" s="1451"/>
      <c r="P11" s="558">
        <f>N11</f>
        <v>0.03</v>
      </c>
      <c r="Q11" s="392">
        <f>P11</f>
        <v>0.03</v>
      </c>
      <c r="R11" s="392">
        <f t="shared" ref="R11:U11" si="1">Q11</f>
        <v>0.03</v>
      </c>
      <c r="S11" s="392">
        <f t="shared" si="1"/>
        <v>0.03</v>
      </c>
      <c r="T11" s="392">
        <f t="shared" si="1"/>
        <v>0.03</v>
      </c>
      <c r="U11" s="392">
        <f t="shared" si="1"/>
        <v>0.03</v>
      </c>
    </row>
    <row r="12" spans="1:22" s="183" customFormat="1">
      <c r="B12" s="183" t="s">
        <v>599</v>
      </c>
      <c r="I12" s="98">
        <f>资产负债表!H11</f>
        <v>47.28</v>
      </c>
      <c r="J12" s="98">
        <f>资产负债表!I11</f>
        <v>68.61</v>
      </c>
      <c r="K12" s="98">
        <f>资产负债表!J11</f>
        <v>19.149999999999999</v>
      </c>
      <c r="L12" s="98">
        <f>资产负债表!J11</f>
        <v>19.149999999999999</v>
      </c>
      <c r="M12" s="98">
        <f>资产负债表!L11</f>
        <v>36.5</v>
      </c>
      <c r="N12" s="98">
        <f>M12</f>
        <v>36.5</v>
      </c>
      <c r="O12" s="1452"/>
      <c r="P12" s="559">
        <f>N12</f>
        <v>36.5</v>
      </c>
      <c r="Q12" s="98">
        <f>资产负债表!P11</f>
        <v>117.32620013051181</v>
      </c>
      <c r="R12" s="98">
        <f ca="1">资产负债表!Q11</f>
        <v>127.35246465977508</v>
      </c>
      <c r="S12" s="98">
        <f ca="1">资产负债表!R11</f>
        <v>156.17134299582466</v>
      </c>
      <c r="T12" s="98">
        <f ca="1">资产负债表!S11</f>
        <v>235.2416305339874</v>
      </c>
      <c r="U12" s="98">
        <f ca="1">资产负债表!T11</f>
        <v>350.81337467284095</v>
      </c>
      <c r="V12" s="23"/>
    </row>
    <row r="13" spans="1:22" s="184" customFormat="1">
      <c r="C13" s="184" t="s">
        <v>600</v>
      </c>
      <c r="H13" s="20"/>
      <c r="I13" s="21">
        <f>现金流量表!I13+现金流量表!I18+现金流量表!I23+现金流量表!I21</f>
        <v>-1.5466247532400104</v>
      </c>
      <c r="J13" s="21">
        <f>现金流量表!J13+现金流量表!J18+现金流量表!J23+现金流量表!J21</f>
        <v>20.906433989391481</v>
      </c>
      <c r="K13" s="21">
        <f>现金流量表!K13+现金流量表!K18+现金流量表!K23+现金流量表!K21</f>
        <v>20</v>
      </c>
      <c r="L13" s="21">
        <f>现金流量表!L13+现金流量表!L18+现金流量表!L23+现金流量表!L21</f>
        <v>40.511366430777137</v>
      </c>
      <c r="M13" s="21"/>
      <c r="N13" s="21">
        <f>现金流量表!N13+现金流量表!N18+现金流量表!N23+现金流量表!N21</f>
        <v>-2.603696923786444</v>
      </c>
      <c r="O13" s="1453"/>
      <c r="P13" s="544">
        <f>现金流量表!O13+现金流量表!O18+现金流量表!O21+现金流量表!O23</f>
        <v>122.83620013051183</v>
      </c>
      <c r="Q13" s="21">
        <f ca="1">现金流量表!P13+现金流量表!P18+现金流量表!P23+现金流量表!P21</f>
        <v>41.904593868492427</v>
      </c>
      <c r="R13" s="21">
        <f ca="1">现金流量表!Q13+现金流量表!Q18+现金流量表!Q23+现金流量表!Q21</f>
        <v>60.818878336049565</v>
      </c>
      <c r="S13" s="21">
        <f ca="1">现金流量表!R13+现金流量表!R18+现金流量表!R23+现金流量表!R21</f>
        <v>111.07028753816275</v>
      </c>
      <c r="T13" s="21">
        <f ca="1">现金流量表!S13+现金流量表!S18+现金流量表!S23+现金流量表!S21</f>
        <v>147.57174413885355</v>
      </c>
      <c r="U13" s="21">
        <f ca="1">现金流量表!T13+现金流量表!T18+现金流量表!T23+现金流量表!T21</f>
        <v>178.1074630147732</v>
      </c>
      <c r="V13" s="21"/>
    </row>
    <row r="14" spans="1:22" s="184" customFormat="1">
      <c r="B14" s="184" t="s">
        <v>601</v>
      </c>
      <c r="H14" s="20"/>
      <c r="I14" s="20"/>
      <c r="J14" s="20"/>
      <c r="K14" s="20">
        <f>SUM(K12:K13)</f>
        <v>39.15</v>
      </c>
      <c r="L14" s="20">
        <f>SUM(L12:L13)-L10</f>
        <v>27.913272367208553</v>
      </c>
      <c r="M14" s="20"/>
      <c r="N14" s="20">
        <f>SUM(N12:N13)-N10</f>
        <v>-0.6483576464147518</v>
      </c>
      <c r="O14" s="704"/>
      <c r="P14" s="545">
        <f>SUM(P12:P13)-P10</f>
        <v>124.79153940788352</v>
      </c>
      <c r="Q14" s="20">
        <f t="shared" ref="Q14:U14" ca="1" si="2">SUM(Q12:Q13)-Q10</f>
        <v>120.53058801127068</v>
      </c>
      <c r="R14" s="20">
        <f t="shared" ca="1" si="2"/>
        <v>145.29529295988411</v>
      </c>
      <c r="S14" s="20">
        <f t="shared" ca="1" si="2"/>
        <v>220.03907015828941</v>
      </c>
      <c r="T14" s="20">
        <f t="shared" ca="1" si="2"/>
        <v>330.58851031029326</v>
      </c>
      <c r="U14" s="20">
        <f t="shared" ca="1" si="2"/>
        <v>470.68480822836761</v>
      </c>
      <c r="V14" s="20"/>
    </row>
    <row r="15" spans="1:22" s="184" customFormat="1">
      <c r="H15" s="20"/>
      <c r="I15" s="20"/>
      <c r="J15" s="20"/>
      <c r="K15" s="20"/>
      <c r="L15" s="20"/>
      <c r="M15" s="20"/>
      <c r="N15" s="20"/>
      <c r="O15" s="704"/>
      <c r="P15" s="545"/>
      <c r="Q15" s="20"/>
      <c r="R15" s="20"/>
      <c r="S15" s="20"/>
      <c r="T15" s="20"/>
      <c r="U15" s="20"/>
      <c r="V15" s="20"/>
    </row>
    <row r="16" spans="1:22" s="183" customFormat="1">
      <c r="B16" s="183" t="s">
        <v>833</v>
      </c>
      <c r="H16" s="23"/>
      <c r="I16" s="23"/>
      <c r="J16" s="23"/>
      <c r="K16" s="23"/>
      <c r="L16" s="23"/>
      <c r="M16" s="23"/>
      <c r="N16" s="23"/>
      <c r="O16" s="1454"/>
      <c r="P16" s="546"/>
      <c r="Q16" s="23"/>
      <c r="R16" s="23"/>
      <c r="S16" s="23"/>
      <c r="T16" s="23"/>
      <c r="U16" s="23"/>
      <c r="V16" s="23"/>
    </row>
    <row r="17" spans="2:23" s="183" customFormat="1">
      <c r="C17" s="183" t="s">
        <v>602</v>
      </c>
      <c r="H17" s="23"/>
      <c r="I17" s="23"/>
      <c r="J17" s="23"/>
      <c r="K17" s="23"/>
      <c r="L17" s="23"/>
      <c r="M17" s="23">
        <f t="shared" ref="M17:N19" si="3">M25+M33+M42+M50+M58</f>
        <v>413.74</v>
      </c>
      <c r="N17" s="23">
        <f t="shared" si="3"/>
        <v>413.74</v>
      </c>
      <c r="O17" s="1454"/>
      <c r="P17" s="546">
        <f t="shared" ref="P17:U20" si="4">P25+P33+P42+P50+P58</f>
        <v>413.74</v>
      </c>
      <c r="Q17" s="23">
        <f t="shared" si="4"/>
        <v>371.72999999999996</v>
      </c>
      <c r="R17" s="23">
        <f t="shared" ca="1" si="4"/>
        <v>339.85167066077082</v>
      </c>
      <c r="S17" s="23">
        <f t="shared" ca="1" si="4"/>
        <v>307.85167066077082</v>
      </c>
      <c r="T17" s="23">
        <f t="shared" ca="1" si="4"/>
        <v>275.85167066077082</v>
      </c>
      <c r="U17" s="23">
        <f t="shared" ca="1" si="4"/>
        <v>243.85167066077082</v>
      </c>
      <c r="V17" s="23"/>
    </row>
    <row r="18" spans="2:23" s="184" customFormat="1">
      <c r="D18" s="184" t="s">
        <v>606</v>
      </c>
      <c r="H18" s="20"/>
      <c r="I18" s="20"/>
      <c r="J18" s="20"/>
      <c r="K18" s="20"/>
      <c r="L18" s="20"/>
      <c r="M18" s="20">
        <f t="shared" si="3"/>
        <v>29.29</v>
      </c>
      <c r="N18" s="20">
        <f t="shared" si="3"/>
        <v>29.29</v>
      </c>
      <c r="O18" s="704"/>
      <c r="P18" s="545">
        <f t="shared" si="4"/>
        <v>29.29</v>
      </c>
      <c r="Q18" s="20">
        <f t="shared" ca="1" si="4"/>
        <v>0</v>
      </c>
      <c r="R18" s="20">
        <f t="shared" ca="1" si="4"/>
        <v>0</v>
      </c>
      <c r="S18" s="20">
        <f t="shared" ca="1" si="4"/>
        <v>0</v>
      </c>
      <c r="T18" s="20">
        <f t="shared" ca="1" si="4"/>
        <v>0</v>
      </c>
      <c r="U18" s="20">
        <f t="shared" ca="1" si="4"/>
        <v>0</v>
      </c>
      <c r="V18" s="20"/>
    </row>
    <row r="19" spans="2:23" s="184" customFormat="1">
      <c r="D19" s="184" t="s">
        <v>607</v>
      </c>
      <c r="H19" s="20"/>
      <c r="I19" s="20"/>
      <c r="J19" s="20"/>
      <c r="K19" s="20"/>
      <c r="L19" s="21"/>
      <c r="M19" s="20">
        <f t="shared" si="3"/>
        <v>-21.299999999999997</v>
      </c>
      <c r="N19" s="20">
        <f t="shared" si="3"/>
        <v>-21.299999999999997</v>
      </c>
      <c r="O19" s="704"/>
      <c r="P19" s="545">
        <f t="shared" si="4"/>
        <v>-71.3</v>
      </c>
      <c r="Q19" s="20">
        <f>Q27+Q35+Q44+Q52+Q60</f>
        <v>-31.878329339229168</v>
      </c>
      <c r="R19" s="20">
        <f t="shared" si="4"/>
        <v>-32</v>
      </c>
      <c r="S19" s="20">
        <f t="shared" si="4"/>
        <v>-32</v>
      </c>
      <c r="T19" s="20">
        <f t="shared" si="4"/>
        <v>-32</v>
      </c>
      <c r="U19" s="20">
        <f t="shared" si="4"/>
        <v>-32</v>
      </c>
      <c r="V19" s="20"/>
      <c r="W19" s="223"/>
    </row>
    <row r="20" spans="2:23" s="183" customFormat="1">
      <c r="C20" s="183" t="s">
        <v>604</v>
      </c>
      <c r="H20" s="98"/>
      <c r="I20" s="98"/>
      <c r="J20" s="98"/>
      <c r="K20" s="98"/>
      <c r="L20" s="23">
        <f t="shared" ref="L20:M20" si="5">L28+L36+L45+L53+L61</f>
        <v>413.74</v>
      </c>
      <c r="M20" s="23">
        <f t="shared" si="5"/>
        <v>421.72999999999996</v>
      </c>
      <c r="N20" s="23">
        <f>N28+N36+N45+N53+N61</f>
        <v>421.72999999999996</v>
      </c>
      <c r="O20" s="1454"/>
      <c r="P20" s="546">
        <f t="shared" si="4"/>
        <v>371.72999999999996</v>
      </c>
      <c r="Q20" s="23">
        <f t="shared" ca="1" si="4"/>
        <v>339.85167066077082</v>
      </c>
      <c r="R20" s="23">
        <f t="shared" ca="1" si="4"/>
        <v>307.85167066077082</v>
      </c>
      <c r="S20" s="23">
        <f t="shared" ca="1" si="4"/>
        <v>275.85167066077082</v>
      </c>
      <c r="T20" s="23">
        <f t="shared" ca="1" si="4"/>
        <v>243.85167066077082</v>
      </c>
      <c r="U20" s="23">
        <f t="shared" ca="1" si="4"/>
        <v>211.85167066077082</v>
      </c>
      <c r="V20" s="23"/>
      <c r="W20" s="217"/>
    </row>
    <row r="21" spans="2:23" s="184" customFormat="1">
      <c r="O21" s="1455"/>
      <c r="P21" s="560"/>
    </row>
    <row r="22" spans="2:23">
      <c r="D22" s="184"/>
    </row>
    <row r="23" spans="2:23" s="183" customFormat="1">
      <c r="B23" s="183" t="s">
        <v>1055</v>
      </c>
      <c r="O23" s="1457"/>
      <c r="P23" s="561"/>
    </row>
    <row r="24" spans="2:23" s="183" customFormat="1">
      <c r="C24" s="183" t="s">
        <v>864</v>
      </c>
      <c r="O24" s="1457"/>
      <c r="P24" s="561"/>
    </row>
    <row r="25" spans="2:23" s="224" customFormat="1">
      <c r="B25" s="183"/>
      <c r="C25" s="183"/>
      <c r="D25" s="183" t="s">
        <v>602</v>
      </c>
      <c r="E25" s="183"/>
      <c r="L25" s="73"/>
      <c r="M25" s="73">
        <f>L28</f>
        <v>181.37101294915635</v>
      </c>
      <c r="N25" s="1083">
        <f>L28</f>
        <v>181.37101294915635</v>
      </c>
      <c r="O25" s="1458"/>
      <c r="P25" s="1420">
        <f>N25</f>
        <v>181.37101294915635</v>
      </c>
      <c r="Q25" s="217">
        <f>P28</f>
        <v>136.66167066077082</v>
      </c>
      <c r="R25" s="217">
        <f t="shared" ref="R25:U25" ca="1" si="6">Q28</f>
        <v>131.66167066077082</v>
      </c>
      <c r="S25" s="217">
        <f t="shared" ca="1" si="6"/>
        <v>126.66167066077082</v>
      </c>
      <c r="T25" s="217">
        <f ca="1">S28</f>
        <v>121.66167066077082</v>
      </c>
      <c r="U25" s="217">
        <f t="shared" ca="1" si="6"/>
        <v>116.66167066077082</v>
      </c>
    </row>
    <row r="26" spans="2:23">
      <c r="B26" s="184"/>
      <c r="C26" s="184"/>
      <c r="D26" s="184"/>
      <c r="E26" s="184" t="s">
        <v>603</v>
      </c>
      <c r="L26" s="42"/>
      <c r="M26" s="146">
        <v>0</v>
      </c>
      <c r="N26" s="146">
        <f>IF(N76&lt;0,-N76,0)</f>
        <v>0</v>
      </c>
      <c r="O26" s="1459"/>
      <c r="P26" s="562">
        <f>N26+O26</f>
        <v>0</v>
      </c>
      <c r="Q26" s="1084">
        <f ca="1">IF(Q76&lt;0,-Q76,0)</f>
        <v>0</v>
      </c>
      <c r="R26" s="1084">
        <f ca="1">IF(R76&lt;0,-R76,0)</f>
        <v>0</v>
      </c>
      <c r="S26" s="1084">
        <f t="shared" ref="S26:U26" ca="1" si="7">IF(S76&lt;0,-S76,0)</f>
        <v>0</v>
      </c>
      <c r="T26" s="1084">
        <f t="shared" ca="1" si="7"/>
        <v>0</v>
      </c>
      <c r="U26" s="1084">
        <f t="shared" ca="1" si="7"/>
        <v>0</v>
      </c>
    </row>
    <row r="27" spans="2:23">
      <c r="B27" s="184"/>
      <c r="C27" s="184"/>
      <c r="D27" s="184"/>
      <c r="E27" s="184" t="s">
        <v>1057</v>
      </c>
      <c r="G27" s="1077"/>
      <c r="H27" s="1077"/>
      <c r="I27" s="1077"/>
      <c r="L27" s="42"/>
      <c r="M27" s="20">
        <f>M28-M25-M26</f>
        <v>-24.709342288385528</v>
      </c>
      <c r="N27" s="20">
        <f>M27</f>
        <v>-24.709342288385528</v>
      </c>
      <c r="O27" s="1460">
        <f>-'回报测算-EVEBITDA（核心假设）'!J42/5*2</f>
        <v>-20</v>
      </c>
      <c r="P27" s="562">
        <f>N27+O27</f>
        <v>-44.709342288385528</v>
      </c>
      <c r="Q27" s="1065">
        <v>-5</v>
      </c>
      <c r="R27" s="1065">
        <v>-5</v>
      </c>
      <c r="S27" s="1065">
        <v>-5</v>
      </c>
      <c r="T27" s="1065">
        <v>-5</v>
      </c>
      <c r="U27" s="1065">
        <v>-5</v>
      </c>
    </row>
    <row r="28" spans="2:23" s="224" customFormat="1">
      <c r="B28" s="183"/>
      <c r="C28" s="183"/>
      <c r="D28" s="183" t="s">
        <v>604</v>
      </c>
      <c r="E28" s="183"/>
      <c r="G28" s="1102"/>
      <c r="H28" s="1102"/>
      <c r="I28" s="1102"/>
      <c r="L28" s="853">
        <f>1294.191/L7</f>
        <v>181.37101294915635</v>
      </c>
      <c r="M28" s="853">
        <f>资产负债表!M44-M36</f>
        <v>156.66167066077082</v>
      </c>
      <c r="N28" s="1083">
        <f>N25+N26+N27</f>
        <v>156.66167066077082</v>
      </c>
      <c r="O28" s="1458"/>
      <c r="P28" s="547">
        <f>SUM(P25:P27)</f>
        <v>136.66167066077082</v>
      </c>
      <c r="Q28" s="217">
        <f t="shared" ref="Q28:U28" ca="1" si="8">SUM(Q25:Q27)</f>
        <v>131.66167066077082</v>
      </c>
      <c r="R28" s="217">
        <f ca="1">SUM(R25:R27)</f>
        <v>126.66167066077082</v>
      </c>
      <c r="S28" s="217">
        <f t="shared" ca="1" si="8"/>
        <v>121.66167066077082</v>
      </c>
      <c r="T28" s="217">
        <f t="shared" ca="1" si="8"/>
        <v>116.66167066077082</v>
      </c>
      <c r="U28" s="217">
        <f t="shared" ca="1" si="8"/>
        <v>111.66167066077082</v>
      </c>
    </row>
    <row r="29" spans="2:23" s="224" customFormat="1">
      <c r="B29" s="183"/>
      <c r="C29" s="183"/>
      <c r="D29" s="183" t="s">
        <v>605</v>
      </c>
      <c r="E29" s="183"/>
      <c r="G29" s="1268"/>
      <c r="H29" s="1102"/>
      <c r="I29" s="1102"/>
      <c r="L29" s="853"/>
      <c r="M29" s="1266">
        <v>4.1000000000000002E-2</v>
      </c>
      <c r="N29" s="1267">
        <f>M29</f>
        <v>4.1000000000000002E-2</v>
      </c>
      <c r="O29" s="1461"/>
      <c r="P29" s="1419">
        <f>N29</f>
        <v>4.1000000000000002E-2</v>
      </c>
      <c r="Q29" s="1267">
        <f>P29-0.5%</f>
        <v>3.6000000000000004E-2</v>
      </c>
      <c r="R29" s="1267">
        <f>Q29</f>
        <v>3.6000000000000004E-2</v>
      </c>
      <c r="S29" s="1267">
        <f>R29-0.5%</f>
        <v>3.1000000000000003E-2</v>
      </c>
      <c r="T29" s="1267">
        <f>S29</f>
        <v>3.1000000000000003E-2</v>
      </c>
      <c r="U29" s="1267">
        <f>T29</f>
        <v>3.1000000000000003E-2</v>
      </c>
    </row>
    <row r="30" spans="2:23" s="224" customFormat="1">
      <c r="B30" s="183"/>
      <c r="C30" s="183"/>
      <c r="D30" s="183" t="s">
        <v>472</v>
      </c>
      <c r="E30" s="183"/>
      <c r="G30" s="1102"/>
      <c r="H30" s="1102"/>
      <c r="I30" s="1102"/>
      <c r="L30" s="853"/>
      <c r="M30" s="853"/>
      <c r="N30" s="223">
        <f>-AVERAGE(L28,N28)*N29</f>
        <v>-6.9296700140035075</v>
      </c>
      <c r="O30" s="1458"/>
      <c r="P30" s="548">
        <f>-AVERAGE(L28,P28)*P29</f>
        <v>-6.5196700140035073</v>
      </c>
      <c r="Q30" s="1085">
        <f ca="1">-AVERAGE(P28,Q28)*Q29</f>
        <v>-4.8298201437877504</v>
      </c>
      <c r="R30" s="1085">
        <f t="shared" ref="R30:U30" ca="1" si="9">-AVERAGE(Q28,R28)*R29</f>
        <v>-4.6498201437877498</v>
      </c>
      <c r="S30" s="1085">
        <f t="shared" ca="1" si="9"/>
        <v>-3.8490117904838961</v>
      </c>
      <c r="T30" s="1085">
        <f t="shared" ca="1" si="9"/>
        <v>-3.6940117904838958</v>
      </c>
      <c r="U30" s="1085">
        <f t="shared" ca="1" si="9"/>
        <v>-3.539011790483896</v>
      </c>
    </row>
    <row r="31" spans="2:23" s="224" customFormat="1">
      <c r="B31" s="183"/>
      <c r="C31" s="183"/>
      <c r="D31" s="183"/>
      <c r="E31" s="183"/>
      <c r="G31" s="1102"/>
      <c r="H31" s="1102"/>
      <c r="I31" s="1102"/>
      <c r="L31" s="853"/>
      <c r="M31" s="853"/>
      <c r="N31" s="1083"/>
      <c r="O31" s="1458"/>
      <c r="P31" s="1081"/>
    </row>
    <row r="32" spans="2:23" s="224" customFormat="1">
      <c r="B32" s="183"/>
      <c r="C32" s="183" t="s">
        <v>1058</v>
      </c>
      <c r="D32" s="183"/>
      <c r="E32" s="183"/>
      <c r="L32" s="853"/>
      <c r="M32" s="853"/>
      <c r="N32" s="1083"/>
      <c r="O32" s="1458"/>
      <c r="P32" s="1081"/>
    </row>
    <row r="33" spans="2:21" s="224" customFormat="1">
      <c r="B33" s="183"/>
      <c r="C33" s="183"/>
      <c r="D33" s="183" t="s">
        <v>602</v>
      </c>
      <c r="E33" s="183"/>
      <c r="L33" s="73"/>
      <c r="M33" s="73">
        <f>L36</f>
        <v>9.16898705084364</v>
      </c>
      <c r="N33" s="1083">
        <f>L36</f>
        <v>9.16898705084364</v>
      </c>
      <c r="O33" s="1458"/>
      <c r="P33" s="1420">
        <f>N33</f>
        <v>9.16898705084364</v>
      </c>
      <c r="Q33" s="217">
        <f>P36</f>
        <v>0.87832933922917</v>
      </c>
      <c r="R33" s="217">
        <f>Q36</f>
        <v>0</v>
      </c>
      <c r="S33" s="217">
        <f t="shared" ref="S33:U33" si="10">R36</f>
        <v>0</v>
      </c>
      <c r="T33" s="217">
        <f t="shared" si="10"/>
        <v>0</v>
      </c>
      <c r="U33" s="217">
        <f t="shared" si="10"/>
        <v>0</v>
      </c>
    </row>
    <row r="34" spans="2:21">
      <c r="B34" s="184"/>
      <c r="C34" s="184"/>
      <c r="D34" s="184"/>
      <c r="E34" s="184" t="s">
        <v>603</v>
      </c>
      <c r="L34" s="42"/>
      <c r="M34" s="1256">
        <v>0</v>
      </c>
      <c r="N34" s="1256">
        <f>M34</f>
        <v>0</v>
      </c>
      <c r="O34" s="1459"/>
      <c r="P34" s="562">
        <f>N34+O34</f>
        <v>0</v>
      </c>
      <c r="Q34" s="393">
        <v>0</v>
      </c>
      <c r="R34" s="393">
        <v>0</v>
      </c>
      <c r="S34" s="393">
        <v>0</v>
      </c>
      <c r="T34" s="393">
        <v>0</v>
      </c>
      <c r="U34" s="393">
        <v>0</v>
      </c>
    </row>
    <row r="35" spans="2:21">
      <c r="B35" s="184"/>
      <c r="C35" s="184"/>
      <c r="D35" s="184"/>
      <c r="E35" s="184" t="s">
        <v>1057</v>
      </c>
      <c r="L35" s="42"/>
      <c r="M35" s="20">
        <f>M36-M33-M34</f>
        <v>1.70934228838553</v>
      </c>
      <c r="N35" s="20">
        <f>M35</f>
        <v>1.70934228838553</v>
      </c>
      <c r="O35" s="1460">
        <f>-'回报测算-EVEBITDA（核心假设）'!J42/5</f>
        <v>-10</v>
      </c>
      <c r="P35" s="562">
        <f>N35+O35</f>
        <v>-8.29065771161447</v>
      </c>
      <c r="Q35" s="1065">
        <f>-Q33</f>
        <v>-0.87832933922917</v>
      </c>
      <c r="R35" s="1065">
        <v>0</v>
      </c>
      <c r="S35" s="1065">
        <v>0</v>
      </c>
      <c r="T35" s="1065">
        <v>0</v>
      </c>
      <c r="U35" s="1065">
        <v>0</v>
      </c>
    </row>
    <row r="36" spans="2:21" s="224" customFormat="1">
      <c r="B36" s="183"/>
      <c r="C36" s="183"/>
      <c r="D36" s="183" t="s">
        <v>604</v>
      </c>
      <c r="E36" s="183"/>
      <c r="G36" s="1102"/>
      <c r="H36" s="1102"/>
      <c r="I36" s="1102"/>
      <c r="L36" s="853">
        <f>资产负债表!L44-L28</f>
        <v>9.16898705084364</v>
      </c>
      <c r="M36" s="853">
        <v>10.87832933922917</v>
      </c>
      <c r="N36" s="1083">
        <f>N33+N34+N35</f>
        <v>10.87832933922917</v>
      </c>
      <c r="O36" s="1458"/>
      <c r="P36" s="547">
        <f>SUM(P33:P35)</f>
        <v>0.87832933922917</v>
      </c>
      <c r="Q36" s="217">
        <f t="shared" ref="Q36:U36" si="11">SUM(Q33:Q35)</f>
        <v>0</v>
      </c>
      <c r="R36" s="217">
        <f t="shared" si="11"/>
        <v>0</v>
      </c>
      <c r="S36" s="217">
        <f t="shared" si="11"/>
        <v>0</v>
      </c>
      <c r="T36" s="217">
        <f t="shared" si="11"/>
        <v>0</v>
      </c>
      <c r="U36" s="217">
        <f t="shared" si="11"/>
        <v>0</v>
      </c>
    </row>
    <row r="37" spans="2:21" s="224" customFormat="1">
      <c r="B37" s="183"/>
      <c r="C37" s="183"/>
      <c r="D37" s="183" t="s">
        <v>605</v>
      </c>
      <c r="E37" s="183"/>
      <c r="G37" s="1268"/>
      <c r="H37" s="1102"/>
      <c r="I37" s="1102"/>
      <c r="L37" s="853"/>
      <c r="M37" s="1266">
        <v>6.9000000000000006E-2</v>
      </c>
      <c r="N37" s="1267">
        <f>M37</f>
        <v>6.9000000000000006E-2</v>
      </c>
      <c r="O37" s="1461"/>
      <c r="P37" s="1419">
        <f>N37</f>
        <v>6.9000000000000006E-2</v>
      </c>
      <c r="Q37" s="1267">
        <f>P37-0.5%</f>
        <v>6.4000000000000001E-2</v>
      </c>
      <c r="R37" s="1267">
        <f>Q37</f>
        <v>6.4000000000000001E-2</v>
      </c>
      <c r="S37" s="1267">
        <f>R37-0.5%</f>
        <v>5.9000000000000004E-2</v>
      </c>
      <c r="T37" s="1267">
        <f>S37</f>
        <v>5.9000000000000004E-2</v>
      </c>
      <c r="U37" s="1267">
        <f>T37</f>
        <v>5.9000000000000004E-2</v>
      </c>
    </row>
    <row r="38" spans="2:21" s="224" customFormat="1">
      <c r="B38" s="183"/>
      <c r="C38" s="183"/>
      <c r="D38" s="183" t="s">
        <v>472</v>
      </c>
      <c r="E38" s="183"/>
      <c r="G38" s="1102"/>
      <c r="H38" s="1102"/>
      <c r="I38" s="1102"/>
      <c r="L38" s="853"/>
      <c r="M38" s="853"/>
      <c r="N38" s="223">
        <f>-AVERAGE(L36,N36)*N37</f>
        <v>-0.69163241545751197</v>
      </c>
      <c r="O38" s="1458"/>
      <c r="P38" s="548">
        <f>-AVERAGE(L36,P36)*P37</f>
        <v>-0.346632415457512</v>
      </c>
      <c r="Q38" s="1085">
        <f>-AVERAGE(P36,Q36)*Q37</f>
        <v>-2.810653885533344E-2</v>
      </c>
      <c r="R38" s="1085">
        <f t="shared" ref="R38" si="12">-AVERAGE(Q36,R36)*R37</f>
        <v>0</v>
      </c>
      <c r="S38" s="1085">
        <f t="shared" ref="S38" si="13">-AVERAGE(R36,S36)*S37</f>
        <v>0</v>
      </c>
      <c r="T38" s="1085">
        <f t="shared" ref="T38" si="14">-AVERAGE(S36,T36)*T37</f>
        <v>0</v>
      </c>
      <c r="U38" s="1085">
        <f t="shared" ref="U38" si="15">-AVERAGE(T36,U36)*U37</f>
        <v>0</v>
      </c>
    </row>
    <row r="39" spans="2:21">
      <c r="B39" s="184"/>
      <c r="C39" s="184"/>
      <c r="D39" s="184"/>
      <c r="E39" s="184"/>
      <c r="G39" s="1077"/>
      <c r="H39" s="1077"/>
      <c r="I39" s="1077"/>
    </row>
    <row r="40" spans="2:21">
      <c r="B40" s="183" t="s">
        <v>1056</v>
      </c>
      <c r="C40" s="184"/>
      <c r="D40" s="184"/>
      <c r="E40" s="184"/>
      <c r="G40" s="1077"/>
      <c r="H40" s="1077"/>
      <c r="I40" s="1077"/>
    </row>
    <row r="41" spans="2:21" s="183" customFormat="1">
      <c r="C41" s="183" t="s">
        <v>864</v>
      </c>
      <c r="G41" s="1269"/>
      <c r="H41" s="1269"/>
      <c r="I41" s="1269"/>
      <c r="O41" s="1457"/>
      <c r="P41" s="561"/>
    </row>
    <row r="42" spans="2:21" s="224" customFormat="1">
      <c r="B42" s="183"/>
      <c r="C42" s="183"/>
      <c r="D42" s="183" t="s">
        <v>602</v>
      </c>
      <c r="E42" s="183"/>
      <c r="G42" s="1102"/>
      <c r="H42" s="1102"/>
      <c r="I42" s="1102"/>
      <c r="L42" s="73"/>
      <c r="M42" s="73">
        <f>L45</f>
        <v>35.957733056785692</v>
      </c>
      <c r="N42" s="1083">
        <f>L45</f>
        <v>35.957733056785692</v>
      </c>
      <c r="O42" s="1458"/>
      <c r="P42" s="1420">
        <f>N42</f>
        <v>35.957733056785692</v>
      </c>
      <c r="Q42" s="217">
        <f>P45</f>
        <v>38.729365593047753</v>
      </c>
      <c r="R42" s="217">
        <f>Q45</f>
        <v>34.729365593047753</v>
      </c>
      <c r="S42" s="217">
        <f t="shared" ref="S42:U42" si="16">R45</f>
        <v>29.729365593047753</v>
      </c>
      <c r="T42" s="217">
        <f t="shared" si="16"/>
        <v>24.729365593047753</v>
      </c>
      <c r="U42" s="217">
        <f t="shared" si="16"/>
        <v>19.729365593047753</v>
      </c>
    </row>
    <row r="43" spans="2:21">
      <c r="B43" s="184"/>
      <c r="C43" s="184"/>
      <c r="D43" s="184"/>
      <c r="E43" s="184" t="s">
        <v>603</v>
      </c>
      <c r="G43" s="1077"/>
      <c r="H43" s="1077"/>
      <c r="I43" s="1077"/>
      <c r="L43" s="42"/>
      <c r="M43" s="1256">
        <v>3</v>
      </c>
      <c r="N43" s="146">
        <f>M43</f>
        <v>3</v>
      </c>
      <c r="O43" s="1459"/>
      <c r="P43" s="562">
        <f>N43+O43</f>
        <v>3</v>
      </c>
      <c r="Q43" s="393">
        <v>0</v>
      </c>
      <c r="R43" s="393">
        <v>0</v>
      </c>
      <c r="S43" s="393">
        <v>0</v>
      </c>
      <c r="T43" s="393">
        <v>0</v>
      </c>
      <c r="U43" s="393">
        <v>0</v>
      </c>
    </row>
    <row r="44" spans="2:21">
      <c r="B44" s="184"/>
      <c r="C44" s="184"/>
      <c r="D44" s="184"/>
      <c r="E44" s="184" t="s">
        <v>1057</v>
      </c>
      <c r="G44" s="1077"/>
      <c r="H44" s="1077"/>
      <c r="I44" s="1077"/>
      <c r="L44" s="42"/>
      <c r="M44" s="20">
        <f>M45-M42-M43</f>
        <v>-0.22836746373793915</v>
      </c>
      <c r="N44" s="20">
        <f>M44</f>
        <v>-0.22836746373793915</v>
      </c>
      <c r="O44" s="1462">
        <v>0</v>
      </c>
      <c r="P44" s="562">
        <f>N44+O44</f>
        <v>-0.22836746373793915</v>
      </c>
      <c r="Q44" s="1065">
        <v>-4</v>
      </c>
      <c r="R44" s="1065">
        <v>-5</v>
      </c>
      <c r="S44" s="1065">
        <v>-5</v>
      </c>
      <c r="T44" s="1065">
        <v>-5</v>
      </c>
      <c r="U44" s="1065">
        <v>-5</v>
      </c>
    </row>
    <row r="45" spans="2:21" s="224" customFormat="1">
      <c r="B45" s="183"/>
      <c r="C45" s="183"/>
      <c r="D45" s="183" t="s">
        <v>604</v>
      </c>
      <c r="E45" s="183"/>
      <c r="G45" s="1102"/>
      <c r="H45" s="1102"/>
      <c r="I45" s="1102"/>
      <c r="L45" s="853">
        <f>256.58/L7</f>
        <v>35.957733056785692</v>
      </c>
      <c r="M45" s="853">
        <v>38.729365593047753</v>
      </c>
      <c r="N45" s="1083">
        <f>N42+N43+N44</f>
        <v>38.729365593047753</v>
      </c>
      <c r="O45" s="1458"/>
      <c r="P45" s="547">
        <f>SUM(P42:P44)</f>
        <v>38.729365593047753</v>
      </c>
      <c r="Q45" s="217">
        <f t="shared" ref="Q45:U45" si="17">SUM(Q42:Q44)</f>
        <v>34.729365593047753</v>
      </c>
      <c r="R45" s="217">
        <f t="shared" si="17"/>
        <v>29.729365593047753</v>
      </c>
      <c r="S45" s="217">
        <f t="shared" si="17"/>
        <v>24.729365593047753</v>
      </c>
      <c r="T45" s="217">
        <f t="shared" si="17"/>
        <v>19.729365593047753</v>
      </c>
      <c r="U45" s="217">
        <f t="shared" si="17"/>
        <v>14.729365593047753</v>
      </c>
    </row>
    <row r="46" spans="2:21" s="224" customFormat="1">
      <c r="B46" s="183"/>
      <c r="C46" s="183"/>
      <c r="D46" s="183" t="s">
        <v>605</v>
      </c>
      <c r="E46" s="183"/>
      <c r="G46" s="1268"/>
      <c r="H46" s="1102"/>
      <c r="I46" s="1102"/>
      <c r="L46" s="853"/>
      <c r="M46" s="1266">
        <v>4.3999999999999997E-2</v>
      </c>
      <c r="N46" s="1267">
        <f>M46</f>
        <v>4.3999999999999997E-2</v>
      </c>
      <c r="O46" s="1461"/>
      <c r="P46" s="1419">
        <f>N46</f>
        <v>4.3999999999999997E-2</v>
      </c>
      <c r="Q46" s="1267">
        <f>P46-0.5%</f>
        <v>3.9E-2</v>
      </c>
      <c r="R46" s="1267">
        <f>Q46</f>
        <v>3.9E-2</v>
      </c>
      <c r="S46" s="1267">
        <f>R46-0.5%</f>
        <v>3.4000000000000002E-2</v>
      </c>
      <c r="T46" s="1267">
        <f>S46</f>
        <v>3.4000000000000002E-2</v>
      </c>
      <c r="U46" s="1267">
        <f>T46</f>
        <v>3.4000000000000002E-2</v>
      </c>
    </row>
    <row r="47" spans="2:21" s="224" customFormat="1">
      <c r="B47" s="183"/>
      <c r="C47" s="183"/>
      <c r="D47" s="183" t="s">
        <v>472</v>
      </c>
      <c r="E47" s="183"/>
      <c r="G47" s="1102"/>
      <c r="H47" s="1102"/>
      <c r="I47" s="1102"/>
      <c r="L47" s="853"/>
      <c r="M47" s="853"/>
      <c r="N47" s="223">
        <f>-AVERAGE(L45,N45)*N46</f>
        <v>-1.6431161702963357</v>
      </c>
      <c r="O47" s="1458"/>
      <c r="P47" s="548">
        <f>-AVERAGE(L45,P45)*P46</f>
        <v>-1.6431161702963357</v>
      </c>
      <c r="Q47" s="1085">
        <f>-AVERAGE(P45,Q45)*Q46</f>
        <v>-1.4324452581288623</v>
      </c>
      <c r="R47" s="1085">
        <f t="shared" ref="R47" si="18">-AVERAGE(Q45,R45)*R46</f>
        <v>-1.2569452581288623</v>
      </c>
      <c r="S47" s="1085">
        <f t="shared" ref="S47" si="19">-AVERAGE(R45,S45)*S46</f>
        <v>-0.92579843016362362</v>
      </c>
      <c r="T47" s="1085">
        <f t="shared" ref="T47" si="20">-AVERAGE(S45,T45)*T46</f>
        <v>-0.75579843016362369</v>
      </c>
      <c r="U47" s="1085">
        <f t="shared" ref="U47" si="21">-AVERAGE(T45,U45)*U46</f>
        <v>-0.58579843016362365</v>
      </c>
    </row>
    <row r="48" spans="2:21" s="224" customFormat="1">
      <c r="B48" s="183"/>
      <c r="C48" s="183"/>
      <c r="D48" s="183"/>
      <c r="E48" s="183"/>
      <c r="G48" s="1102"/>
      <c r="H48" s="1102"/>
      <c r="I48" s="1102"/>
      <c r="L48" s="853"/>
      <c r="M48" s="853"/>
      <c r="N48" s="1083"/>
      <c r="O48" s="1458"/>
      <c r="P48" s="1081"/>
    </row>
    <row r="49" spans="2:40" s="224" customFormat="1">
      <c r="B49" s="183"/>
      <c r="C49" s="183" t="s">
        <v>1058</v>
      </c>
      <c r="D49" s="183"/>
      <c r="E49" s="183"/>
      <c r="G49" s="1102"/>
      <c r="H49" s="1102"/>
      <c r="I49" s="1102"/>
      <c r="L49" s="853"/>
      <c r="M49" s="853"/>
      <c r="N49" s="1083"/>
      <c r="O49" s="1458"/>
      <c r="P49" s="1081"/>
    </row>
    <row r="50" spans="2:40" s="224" customFormat="1">
      <c r="B50" s="183"/>
      <c r="C50" s="183"/>
      <c r="D50" s="183" t="s">
        <v>602</v>
      </c>
      <c r="E50" s="183"/>
      <c r="G50" s="1102"/>
      <c r="H50" s="1102"/>
      <c r="I50" s="1102"/>
      <c r="L50" s="73"/>
      <c r="M50" s="73">
        <f>L53</f>
        <v>179.95226694321431</v>
      </c>
      <c r="N50" s="1083">
        <f>L53</f>
        <v>179.95226694321431</v>
      </c>
      <c r="O50" s="1458"/>
      <c r="P50" s="1420">
        <f>N50</f>
        <v>179.95226694321431</v>
      </c>
      <c r="Q50" s="217">
        <f>P53</f>
        <v>162.88063440695225</v>
      </c>
      <c r="R50" s="217">
        <f>Q53</f>
        <v>142.88063440695225</v>
      </c>
      <c r="S50" s="217">
        <f t="shared" ref="S50:U50" si="22">R53</f>
        <v>122.88063440695225</v>
      </c>
      <c r="T50" s="217">
        <f t="shared" si="22"/>
        <v>102.88063440695225</v>
      </c>
      <c r="U50" s="217">
        <f t="shared" si="22"/>
        <v>82.880634406952254</v>
      </c>
      <c r="X50" s="1489" t="s">
        <v>1189</v>
      </c>
      <c r="Y50" s="1490"/>
      <c r="Z50" s="1490"/>
      <c r="AA50" s="1490"/>
      <c r="AB50" s="1490"/>
      <c r="AC50" s="216"/>
      <c r="AD50" s="1489" t="s">
        <v>1190</v>
      </c>
      <c r="AE50" s="1490"/>
      <c r="AF50" s="1490"/>
      <c r="AG50" s="1490"/>
      <c r="AH50" s="1490"/>
      <c r="AI50" s="216"/>
      <c r="AJ50" s="1489"/>
      <c r="AK50" s="1490"/>
      <c r="AL50" s="1490"/>
      <c r="AM50" s="1490"/>
      <c r="AN50" s="1490"/>
    </row>
    <row r="51" spans="2:40">
      <c r="B51" s="184"/>
      <c r="C51" s="184"/>
      <c r="D51" s="184"/>
      <c r="E51" s="184" t="s">
        <v>603</v>
      </c>
      <c r="G51" s="1077"/>
      <c r="H51" s="1077"/>
      <c r="I51" s="1077"/>
      <c r="L51" s="42"/>
      <c r="M51" s="1256">
        <v>1</v>
      </c>
      <c r="N51" s="146">
        <v>1</v>
      </c>
      <c r="O51" s="1459"/>
      <c r="P51" s="562">
        <f>N51+O51</f>
        <v>1</v>
      </c>
      <c r="Q51" s="393">
        <v>0</v>
      </c>
      <c r="R51" s="393">
        <v>0</v>
      </c>
      <c r="S51" s="393">
        <v>0</v>
      </c>
      <c r="T51" s="393">
        <v>0</v>
      </c>
      <c r="U51" s="393">
        <v>0</v>
      </c>
    </row>
    <row r="52" spans="2:40">
      <c r="B52" s="184"/>
      <c r="C52" s="184"/>
      <c r="D52" s="184"/>
      <c r="E52" s="184" t="s">
        <v>1057</v>
      </c>
      <c r="G52" s="1077"/>
      <c r="H52" s="1077"/>
      <c r="I52" s="1077"/>
      <c r="L52" s="42"/>
      <c r="M52" s="20">
        <f>M53-M50-M51</f>
        <v>1.928367463737942</v>
      </c>
      <c r="N52" s="20">
        <f>M52</f>
        <v>1.928367463737942</v>
      </c>
      <c r="O52" s="1460">
        <f>-'回报测算-EVEBITDA（核心假设）'!J42-O35-O27-O44-O60</f>
        <v>-20</v>
      </c>
      <c r="P52" s="562">
        <f>N52+O52</f>
        <v>-18.071632536262058</v>
      </c>
      <c r="Q52" s="1065">
        <f>CHOOSE(dividend,X52,AD52,AJ52)</f>
        <v>-20</v>
      </c>
      <c r="R52" s="1065">
        <f>CHOOSE(dividend,Y52,AE52,AK52)</f>
        <v>-20</v>
      </c>
      <c r="S52" s="1065">
        <f>CHOOSE(dividend,Z52,AF52,AL52)</f>
        <v>-20</v>
      </c>
      <c r="T52" s="1065">
        <f>CHOOSE(dividend,AA52,AG52,AM52)</f>
        <v>-20</v>
      </c>
      <c r="U52" s="1065">
        <f>CHOOSE(dividend,AB52,AH52,AN52)</f>
        <v>-20</v>
      </c>
      <c r="X52" s="1065">
        <v>-20</v>
      </c>
      <c r="Y52" s="1065">
        <v>-20</v>
      </c>
      <c r="Z52" s="1065">
        <v>-20</v>
      </c>
      <c r="AA52" s="1065">
        <v>-20</v>
      </c>
      <c r="AB52" s="1065">
        <v>-20</v>
      </c>
      <c r="AD52" s="1065">
        <v>-20</v>
      </c>
      <c r="AE52" s="1065">
        <v>-20</v>
      </c>
      <c r="AF52" s="1065">
        <v>-20</v>
      </c>
      <c r="AG52" s="1065">
        <v>-20</v>
      </c>
      <c r="AH52" s="1065">
        <v>-20</v>
      </c>
      <c r="AJ52" s="1065">
        <v>-20</v>
      </c>
      <c r="AK52" s="1065">
        <v>-20</v>
      </c>
      <c r="AL52" s="1065">
        <v>-20</v>
      </c>
      <c r="AM52" s="1065">
        <v>-20</v>
      </c>
      <c r="AN52" s="1065">
        <v>-20</v>
      </c>
    </row>
    <row r="53" spans="2:40" s="224" customFormat="1">
      <c r="B53" s="183"/>
      <c r="C53" s="183"/>
      <c r="D53" s="183" t="s">
        <v>604</v>
      </c>
      <c r="E53" s="183"/>
      <c r="G53" s="1102"/>
      <c r="H53" s="1102"/>
      <c r="I53" s="1102"/>
      <c r="L53" s="853">
        <f>资产负债表!L61-L45</f>
        <v>179.95226694321431</v>
      </c>
      <c r="M53" s="853">
        <f>资产负债表!M61-M45</f>
        <v>182.88063440695225</v>
      </c>
      <c r="N53" s="1083">
        <f>N50+N51+N52</f>
        <v>182.88063440695225</v>
      </c>
      <c r="O53" s="1458"/>
      <c r="P53" s="547">
        <f>SUM(P50:P52)</f>
        <v>162.88063440695225</v>
      </c>
      <c r="Q53" s="217">
        <f t="shared" ref="Q53:U53" si="23">SUM(Q50:Q52)</f>
        <v>142.88063440695225</v>
      </c>
      <c r="R53" s="217">
        <f t="shared" si="23"/>
        <v>122.88063440695225</v>
      </c>
      <c r="S53" s="217">
        <f t="shared" si="23"/>
        <v>102.88063440695225</v>
      </c>
      <c r="T53" s="217">
        <f t="shared" si="23"/>
        <v>82.880634406952254</v>
      </c>
      <c r="U53" s="217">
        <f t="shared" si="23"/>
        <v>62.880634406952254</v>
      </c>
    </row>
    <row r="54" spans="2:40" s="224" customFormat="1">
      <c r="B54" s="183"/>
      <c r="C54" s="183"/>
      <c r="D54" s="183" t="s">
        <v>605</v>
      </c>
      <c r="E54" s="183"/>
      <c r="G54" s="1268"/>
      <c r="H54" s="1102"/>
      <c r="I54" s="1102"/>
      <c r="L54" s="853"/>
      <c r="M54" s="1266">
        <v>6.9000000000000006E-2</v>
      </c>
      <c r="N54" s="1267">
        <f>M54</f>
        <v>6.9000000000000006E-2</v>
      </c>
      <c r="O54" s="1461"/>
      <c r="P54" s="1419">
        <f>N54</f>
        <v>6.9000000000000006E-2</v>
      </c>
      <c r="Q54" s="1267">
        <f>P54-0.5%</f>
        <v>6.4000000000000001E-2</v>
      </c>
      <c r="R54" s="1267">
        <f>Q54</f>
        <v>6.4000000000000001E-2</v>
      </c>
      <c r="S54" s="1267">
        <f>R54-0.5%</f>
        <v>5.9000000000000004E-2</v>
      </c>
      <c r="T54" s="1267">
        <f>S54</f>
        <v>5.9000000000000004E-2</v>
      </c>
      <c r="U54" s="1267">
        <f>T54</f>
        <v>5.9000000000000004E-2</v>
      </c>
    </row>
    <row r="55" spans="2:40" s="224" customFormat="1">
      <c r="B55" s="183"/>
      <c r="C55" s="183"/>
      <c r="D55" s="183" t="s">
        <v>472</v>
      </c>
      <c r="E55" s="183"/>
      <c r="G55" s="1102"/>
      <c r="H55" s="1102"/>
      <c r="I55" s="1102"/>
      <c r="L55" s="853"/>
      <c r="M55" s="853"/>
      <c r="N55" s="223">
        <f>-AVERAGE(L53,N53)*N54</f>
        <v>-12.517735096580749</v>
      </c>
      <c r="O55" s="1458"/>
      <c r="P55" s="548">
        <f>-AVERAGE(L53,P53)*P54</f>
        <v>-11.827735096580749</v>
      </c>
      <c r="Q55" s="1085">
        <f>-AVERAGE(P53,Q53)*Q54</f>
        <v>-9.784360602044945</v>
      </c>
      <c r="R55" s="1085">
        <f t="shared" ref="R55" si="24">-AVERAGE(Q53,R53)*R54</f>
        <v>-8.5043606020449438</v>
      </c>
      <c r="S55" s="1085">
        <f t="shared" ref="S55" si="25">-AVERAGE(R53,S53)*S54</f>
        <v>-6.6599574300101834</v>
      </c>
      <c r="T55" s="1085">
        <f t="shared" ref="T55" si="26">-AVERAGE(S53,T53)*T54</f>
        <v>-5.4799574300101836</v>
      </c>
      <c r="U55" s="1085">
        <f t="shared" ref="U55" si="27">-AVERAGE(T53,U53)*U54</f>
        <v>-4.299957430010183</v>
      </c>
    </row>
    <row r="56" spans="2:40">
      <c r="B56" s="184"/>
      <c r="C56" s="184"/>
      <c r="D56" s="184"/>
      <c r="E56" s="184"/>
      <c r="G56" s="1077"/>
      <c r="H56" s="1077"/>
      <c r="I56" s="1077"/>
    </row>
    <row r="57" spans="2:40" outlineLevel="1">
      <c r="B57" s="183" t="s">
        <v>1139</v>
      </c>
      <c r="C57" s="184"/>
      <c r="D57" s="184"/>
      <c r="E57" s="184"/>
      <c r="G57" s="1077"/>
      <c r="H57" s="1077"/>
      <c r="I57" s="1077"/>
    </row>
    <row r="58" spans="2:40" outlineLevel="1">
      <c r="B58" s="184"/>
      <c r="C58" s="184"/>
      <c r="D58" s="183" t="s">
        <v>602</v>
      </c>
      <c r="E58" s="184"/>
      <c r="M58" s="1083">
        <f>L61</f>
        <v>7.29</v>
      </c>
      <c r="N58" s="1083">
        <f>M58</f>
        <v>7.29</v>
      </c>
      <c r="O58" s="1458"/>
      <c r="P58" s="1420">
        <f>N58</f>
        <v>7.29</v>
      </c>
      <c r="Q58" s="217">
        <f>P61</f>
        <v>32.58</v>
      </c>
      <c r="R58" s="217">
        <f>Q61</f>
        <v>30.58</v>
      </c>
      <c r="S58" s="217">
        <f t="shared" ref="S58:U58" si="28">R61</f>
        <v>28.58</v>
      </c>
      <c r="T58" s="217">
        <f t="shared" si="28"/>
        <v>26.58</v>
      </c>
      <c r="U58" s="217">
        <f t="shared" si="28"/>
        <v>24.58</v>
      </c>
    </row>
    <row r="59" spans="2:40" outlineLevel="1">
      <c r="B59" s="184"/>
      <c r="C59" s="184"/>
      <c r="D59" s="183"/>
      <c r="E59" s="184" t="s">
        <v>603</v>
      </c>
      <c r="M59" s="1256">
        <f>M61-M58</f>
        <v>25.29</v>
      </c>
      <c r="N59" s="146">
        <f>M59</f>
        <v>25.29</v>
      </c>
      <c r="O59" s="1459"/>
      <c r="P59" s="562">
        <f>N59+O59</f>
        <v>25.29</v>
      </c>
      <c r="Q59" s="393">
        <v>0</v>
      </c>
      <c r="R59" s="393">
        <v>0</v>
      </c>
      <c r="S59" s="393">
        <v>0</v>
      </c>
      <c r="T59" s="393">
        <v>0</v>
      </c>
      <c r="U59" s="393">
        <v>0</v>
      </c>
    </row>
    <row r="60" spans="2:40" outlineLevel="1">
      <c r="B60" s="184"/>
      <c r="C60" s="184"/>
      <c r="D60" s="183"/>
      <c r="E60" s="184" t="s">
        <v>1057</v>
      </c>
      <c r="M60" s="1264">
        <f>M61-(M58+M59)</f>
        <v>0</v>
      </c>
      <c r="N60" s="1264">
        <f>M60</f>
        <v>0</v>
      </c>
      <c r="O60" s="1462">
        <v>0</v>
      </c>
      <c r="P60" s="562">
        <f>N60+O60</f>
        <v>0</v>
      </c>
      <c r="Q60" s="1065">
        <v>-2</v>
      </c>
      <c r="R60" s="1065">
        <v>-2</v>
      </c>
      <c r="S60" s="1065">
        <v>-2</v>
      </c>
      <c r="T60" s="1065">
        <v>-2</v>
      </c>
      <c r="U60" s="1065">
        <v>-2</v>
      </c>
    </row>
    <row r="61" spans="2:40" outlineLevel="1">
      <c r="B61" s="184"/>
      <c r="C61" s="184"/>
      <c r="D61" s="183" t="s">
        <v>604</v>
      </c>
      <c r="E61" s="184"/>
      <c r="L61" s="427">
        <f>资产负债表!L56</f>
        <v>7.29</v>
      </c>
      <c r="M61" s="427">
        <f>资产负债表!M56</f>
        <v>32.58</v>
      </c>
      <c r="N61" s="1083">
        <f>M61</f>
        <v>32.58</v>
      </c>
      <c r="O61" s="1458"/>
      <c r="P61" s="547">
        <f>SUM(P58:P60)</f>
        <v>32.58</v>
      </c>
      <c r="Q61" s="217">
        <f t="shared" ref="Q61:U61" si="29">SUM(Q58:Q60)</f>
        <v>30.58</v>
      </c>
      <c r="R61" s="217">
        <f t="shared" si="29"/>
        <v>28.58</v>
      </c>
      <c r="S61" s="217">
        <f t="shared" si="29"/>
        <v>26.58</v>
      </c>
      <c r="T61" s="217">
        <f t="shared" si="29"/>
        <v>24.58</v>
      </c>
      <c r="U61" s="217">
        <f t="shared" si="29"/>
        <v>22.58</v>
      </c>
    </row>
    <row r="62" spans="2:40" s="224" customFormat="1">
      <c r="B62" s="183"/>
      <c r="C62" s="183"/>
      <c r="D62" s="183" t="s">
        <v>605</v>
      </c>
      <c r="E62" s="183"/>
      <c r="G62" s="1268"/>
      <c r="H62" s="1102"/>
      <c r="I62" s="1102"/>
      <c r="L62" s="853"/>
      <c r="M62" s="1266">
        <f>M46</f>
        <v>4.3999999999999997E-2</v>
      </c>
      <c r="N62" s="1267">
        <f>M62</f>
        <v>4.3999999999999997E-2</v>
      </c>
      <c r="O62" s="1461"/>
      <c r="P62" s="1419">
        <f>N62</f>
        <v>4.3999999999999997E-2</v>
      </c>
      <c r="Q62" s="1267">
        <f>P62-0.5%</f>
        <v>3.9E-2</v>
      </c>
      <c r="R62" s="1267">
        <f>Q62</f>
        <v>3.9E-2</v>
      </c>
      <c r="S62" s="1267">
        <f>R62-0.5%</f>
        <v>3.4000000000000002E-2</v>
      </c>
      <c r="T62" s="1267">
        <f>S62</f>
        <v>3.4000000000000002E-2</v>
      </c>
      <c r="U62" s="1267">
        <f>T62</f>
        <v>3.4000000000000002E-2</v>
      </c>
    </row>
    <row r="63" spans="2:40" s="224" customFormat="1">
      <c r="B63" s="183"/>
      <c r="C63" s="183"/>
      <c r="D63" s="183" t="s">
        <v>472</v>
      </c>
      <c r="E63" s="183"/>
      <c r="G63" s="1102"/>
      <c r="H63" s="1102"/>
      <c r="I63" s="1102"/>
      <c r="L63" s="853"/>
      <c r="M63" s="853"/>
      <c r="N63" s="223">
        <f>-AVERAGE(L61,N61)*N62</f>
        <v>-0.87713999999999992</v>
      </c>
      <c r="O63" s="1458"/>
      <c r="P63" s="548">
        <f>-AVERAGE(L61,P61)*P62</f>
        <v>-0.87713999999999992</v>
      </c>
      <c r="Q63" s="1085">
        <f>-AVERAGE(P61,Q61)*Q62</f>
        <v>-1.2316199999999999</v>
      </c>
      <c r="R63" s="1085">
        <f t="shared" ref="R63" si="30">-AVERAGE(Q61,R61)*R62</f>
        <v>-1.1536199999999999</v>
      </c>
      <c r="S63" s="1085">
        <f t="shared" ref="S63" si="31">-AVERAGE(R61,S61)*S62</f>
        <v>-0.93772</v>
      </c>
      <c r="T63" s="1085">
        <f t="shared" ref="T63" si="32">-AVERAGE(S61,T61)*T62</f>
        <v>-0.86972000000000005</v>
      </c>
      <c r="U63" s="1085">
        <f t="shared" ref="U63" si="33">-AVERAGE(T61,U61)*U62</f>
        <v>-0.80171999999999999</v>
      </c>
    </row>
    <row r="64" spans="2:40">
      <c r="B64" s="184"/>
      <c r="C64" s="184"/>
      <c r="D64" s="184"/>
      <c r="E64" s="184"/>
      <c r="O64" s="1461"/>
      <c r="P64" s="1419"/>
      <c r="Q64" s="1267"/>
      <c r="R64" s="1267"/>
      <c r="S64" s="1267"/>
      <c r="T64" s="1267"/>
      <c r="U64" s="1267"/>
    </row>
    <row r="65" spans="1:21">
      <c r="B65" s="183" t="s">
        <v>1182</v>
      </c>
      <c r="C65" s="184"/>
      <c r="D65" s="184"/>
      <c r="E65" s="184"/>
      <c r="O65" s="1461"/>
      <c r="P65" s="1419"/>
      <c r="Q65" s="1267"/>
      <c r="R65" s="1267"/>
      <c r="S65" s="1267"/>
      <c r="T65" s="1267"/>
      <c r="U65" s="1267"/>
    </row>
    <row r="66" spans="1:21">
      <c r="B66" s="183"/>
      <c r="C66" s="184" t="s">
        <v>602</v>
      </c>
      <c r="D66" s="184"/>
      <c r="E66" s="184"/>
      <c r="N66" s="1418">
        <f>资产负债表!L11</f>
        <v>36.5</v>
      </c>
      <c r="O66" s="1461"/>
      <c r="P66" s="547">
        <f>O66+N66</f>
        <v>36.5</v>
      </c>
      <c r="Q66" s="217">
        <f>P67</f>
        <v>117.32620013051181</v>
      </c>
      <c r="R66" s="217">
        <f ca="1">Q67</f>
        <v>127.35246465977508</v>
      </c>
      <c r="S66" s="217">
        <f t="shared" ref="S66:U66" ca="1" si="34">R67</f>
        <v>156.17134299582466</v>
      </c>
      <c r="T66" s="217">
        <f t="shared" ca="1" si="34"/>
        <v>235.2416305339874</v>
      </c>
      <c r="U66" s="217">
        <f t="shared" ca="1" si="34"/>
        <v>350.81337467284095</v>
      </c>
    </row>
    <row r="67" spans="1:21">
      <c r="B67" s="183"/>
      <c r="C67" s="184" t="s">
        <v>604</v>
      </c>
      <c r="D67" s="184"/>
      <c r="E67" s="184"/>
      <c r="N67" s="1418">
        <f>资产负债表!N11</f>
        <v>41.886303076213558</v>
      </c>
      <c r="O67" s="1463">
        <f>资产负债表!O11</f>
        <v>75.439897054298257</v>
      </c>
      <c r="P67" s="547">
        <f>N67+O67</f>
        <v>117.32620013051181</v>
      </c>
      <c r="Q67" s="1418">
        <f ca="1">资产负债表!Q11</f>
        <v>127.35246465977508</v>
      </c>
      <c r="R67" s="1418">
        <f ca="1">资产负债表!R11</f>
        <v>156.17134299582466</v>
      </c>
      <c r="S67" s="1418">
        <f ca="1">资产负债表!S11</f>
        <v>235.2416305339874</v>
      </c>
      <c r="T67" s="1418">
        <f ca="1">资产负债表!T11</f>
        <v>350.81337467284095</v>
      </c>
      <c r="U67" s="1418">
        <f ca="1">资产负债表!U11</f>
        <v>496.92083768761415</v>
      </c>
    </row>
    <row r="68" spans="1:21">
      <c r="B68" s="184"/>
      <c r="C68" s="184" t="s">
        <v>605</v>
      </c>
      <c r="D68" s="184"/>
      <c r="E68" s="184"/>
      <c r="N68" s="1266">
        <v>0.02</v>
      </c>
      <c r="O68" s="1461"/>
      <c r="P68" s="1419">
        <f>N68</f>
        <v>0.02</v>
      </c>
      <c r="Q68" s="1267">
        <f>P68</f>
        <v>0.02</v>
      </c>
      <c r="R68" s="1267">
        <f t="shared" ref="R68:U68" si="35">Q68</f>
        <v>0.02</v>
      </c>
      <c r="S68" s="1267">
        <f t="shared" si="35"/>
        <v>0.02</v>
      </c>
      <c r="T68" s="1267">
        <f t="shared" si="35"/>
        <v>0.02</v>
      </c>
      <c r="U68" s="1267">
        <f t="shared" si="35"/>
        <v>0.02</v>
      </c>
    </row>
    <row r="69" spans="1:21">
      <c r="B69" s="184"/>
      <c r="C69" s="184" t="s">
        <v>1183</v>
      </c>
      <c r="D69" s="184"/>
      <c r="E69" s="184"/>
      <c r="N69" s="1083">
        <f>(N66+N67)*N68</f>
        <v>1.567726061524271</v>
      </c>
      <c r="O69" s="1461"/>
      <c r="P69" s="1420">
        <f>(P66+P67)*P68</f>
        <v>3.0765240026102361</v>
      </c>
      <c r="Q69" s="1083">
        <f ca="1">(Q66+Q67)*Q68</f>
        <v>4.8935732958057381</v>
      </c>
      <c r="R69" s="1083">
        <f t="shared" ref="R69:U69" ca="1" si="36">(R66+R67)*R68</f>
        <v>5.6704761531119949</v>
      </c>
      <c r="S69" s="1083">
        <f t="shared" ca="1" si="36"/>
        <v>7.8282594705962412</v>
      </c>
      <c r="T69" s="1083">
        <f t="shared" ca="1" si="36"/>
        <v>11.721100104136568</v>
      </c>
      <c r="U69" s="1083">
        <f t="shared" ca="1" si="36"/>
        <v>16.954684247209101</v>
      </c>
    </row>
    <row r="70" spans="1:21">
      <c r="B70" s="184"/>
      <c r="C70" s="184"/>
      <c r="D70" s="184"/>
      <c r="E70" s="184"/>
      <c r="O70" s="1461"/>
      <c r="P70" s="1419"/>
      <c r="Q70" s="1267"/>
      <c r="R70" s="1267"/>
      <c r="S70" s="1267"/>
      <c r="T70" s="1267"/>
      <c r="U70" s="1267"/>
    </row>
    <row r="71" spans="1:21">
      <c r="B71" s="183" t="s">
        <v>355</v>
      </c>
      <c r="C71" s="184"/>
      <c r="D71" s="184"/>
      <c r="E71" s="184"/>
      <c r="N71" s="223">
        <f>SUM(N30,N38,N47,N55,N63,N69)</f>
        <v>-21.091567634813835</v>
      </c>
      <c r="O71" s="1458"/>
      <c r="P71" s="548">
        <f>SUM(P30,P38,P47,P55,P63,P69)</f>
        <v>-18.137769693727872</v>
      </c>
      <c r="Q71" s="223">
        <f ca="1">SUM(Q30,Q38,Q47,Q55,Q63,Q69)</f>
        <v>-12.412779247011152</v>
      </c>
      <c r="R71" s="223">
        <f t="shared" ref="R71:U71" ca="1" si="37">SUM(R30,R38,R47,R55,R63,R69)</f>
        <v>-9.894269850849561</v>
      </c>
      <c r="S71" s="223">
        <f t="shared" ca="1" si="37"/>
        <v>-4.5442281800614621</v>
      </c>
      <c r="T71" s="223">
        <f t="shared" ca="1" si="37"/>
        <v>0.92161245347886478</v>
      </c>
      <c r="U71" s="223">
        <f t="shared" ca="1" si="37"/>
        <v>7.728196596551399</v>
      </c>
    </row>
    <row r="72" spans="1:21">
      <c r="B72" s="183"/>
      <c r="C72" s="184"/>
      <c r="D72" s="184"/>
      <c r="E72" s="184"/>
      <c r="N72" s="223"/>
      <c r="O72" s="1458"/>
      <c r="P72" s="548"/>
      <c r="Q72" s="1085"/>
      <c r="R72" s="1085"/>
      <c r="S72" s="1085"/>
      <c r="T72" s="1085"/>
      <c r="U72" s="1085"/>
    </row>
    <row r="73" spans="1:21">
      <c r="B73" s="183"/>
      <c r="C73" s="184"/>
      <c r="D73" s="184"/>
      <c r="E73" s="184"/>
      <c r="N73" s="223"/>
      <c r="O73" s="1458"/>
      <c r="P73" s="548"/>
      <c r="Q73" s="1085"/>
      <c r="R73" s="1085"/>
      <c r="S73" s="1085"/>
      <c r="T73" s="1085"/>
      <c r="U73" s="1085"/>
    </row>
    <row r="74" spans="1:21">
      <c r="B74" s="183"/>
      <c r="C74" s="184"/>
      <c r="D74" s="184"/>
      <c r="E74" s="184"/>
      <c r="N74" s="223"/>
      <c r="O74" s="1458"/>
      <c r="P74" s="548"/>
      <c r="Q74" s="1085"/>
      <c r="R74" s="1085"/>
      <c r="S74" s="1085"/>
      <c r="T74" s="1085"/>
      <c r="U74" s="1085"/>
    </row>
    <row r="75" spans="1:21">
      <c r="B75" s="184"/>
      <c r="C75" s="184"/>
      <c r="D75" s="184"/>
      <c r="E75" s="184"/>
    </row>
    <row r="76" spans="1:21">
      <c r="B76" s="183" t="s">
        <v>705</v>
      </c>
      <c r="C76" s="184"/>
      <c r="D76" s="184"/>
      <c r="E76" s="184"/>
      <c r="N76" s="223">
        <f>N14+N35+N44+N52</f>
        <v>2.7609846419707811</v>
      </c>
      <c r="P76" s="548">
        <f t="shared" ref="P76:U76" si="38">P14+P35+P44+P52</f>
        <v>98.20088169626905</v>
      </c>
      <c r="Q76" s="223">
        <f t="shared" ca="1" si="38"/>
        <v>95.652258672041512</v>
      </c>
      <c r="R76" s="223">
        <f ca="1">R14+R35+R44+R52</f>
        <v>120.29529295988411</v>
      </c>
      <c r="S76" s="223">
        <f t="shared" ca="1" si="38"/>
        <v>195.03907015828941</v>
      </c>
      <c r="T76" s="223">
        <f t="shared" ca="1" si="38"/>
        <v>305.58851031029326</v>
      </c>
      <c r="U76" s="223">
        <f t="shared" ca="1" si="38"/>
        <v>445.68480822836761</v>
      </c>
    </row>
    <row r="77" spans="1:21">
      <c r="B77" s="184"/>
      <c r="C77" s="184"/>
      <c r="D77" s="184"/>
      <c r="E77" s="184"/>
    </row>
    <row r="78" spans="1:21">
      <c r="B78" s="184"/>
      <c r="C78" s="184"/>
      <c r="D78" s="184"/>
      <c r="E78" s="184"/>
    </row>
    <row r="79" spans="1:21" s="987" customFormat="1">
      <c r="A79" s="986" t="s">
        <v>8</v>
      </c>
      <c r="B79" s="986" t="s">
        <v>702</v>
      </c>
      <c r="C79" s="986"/>
      <c r="D79" s="986"/>
      <c r="E79" s="986"/>
      <c r="F79" s="986"/>
      <c r="G79" s="986"/>
      <c r="H79" s="986"/>
      <c r="I79" s="986"/>
      <c r="J79" s="986"/>
      <c r="K79" s="986"/>
      <c r="L79" s="986"/>
      <c r="M79" s="986"/>
      <c r="N79" s="986"/>
      <c r="O79" s="1449"/>
      <c r="P79" s="1443"/>
      <c r="Q79" s="986"/>
      <c r="R79" s="986"/>
      <c r="S79" s="986"/>
      <c r="T79" s="986"/>
    </row>
    <row r="80" spans="1:21">
      <c r="B80" s="184"/>
      <c r="C80" s="184"/>
      <c r="D80" s="184"/>
      <c r="E80" s="184"/>
    </row>
    <row r="81" spans="2:40" s="224" customFormat="1">
      <c r="B81" s="183" t="s">
        <v>1101</v>
      </c>
      <c r="C81" s="183"/>
      <c r="D81" s="183"/>
      <c r="E81" s="183"/>
      <c r="O81" s="1458"/>
      <c r="P81" s="1081"/>
    </row>
    <row r="82" spans="2:40">
      <c r="C82" s="183" t="s">
        <v>602</v>
      </c>
      <c r="D82" s="184"/>
      <c r="E82" s="184"/>
      <c r="L82" s="484"/>
      <c r="M82" s="484"/>
      <c r="N82" s="1226">
        <f>资产负债表!L78</f>
        <v>-20.49</v>
      </c>
      <c r="Q82" s="1226">
        <f>N86</f>
        <v>35.410016863540207</v>
      </c>
      <c r="R82" s="1226">
        <f ca="1">Q86</f>
        <v>117.35060155923443</v>
      </c>
      <c r="S82" s="1226">
        <f t="shared" ref="S82:U82" ca="1" si="39">R86</f>
        <v>223.89224647594364</v>
      </c>
      <c r="T82" s="1226">
        <f t="shared" ca="1" si="39"/>
        <v>357.62436268134348</v>
      </c>
      <c r="U82" s="1226">
        <f t="shared" ca="1" si="39"/>
        <v>520.80787725429025</v>
      </c>
    </row>
    <row r="83" spans="2:40">
      <c r="C83" s="184" t="s">
        <v>1102</v>
      </c>
      <c r="D83" s="184"/>
      <c r="E83" s="184"/>
      <c r="L83" s="484">
        <f>利润表!L40</f>
        <v>37.933252510246042</v>
      </c>
      <c r="M83" s="484">
        <f>利润表!M40</f>
        <v>34.361929788287526</v>
      </c>
      <c r="N83" s="484">
        <f>利润表!N40</f>
        <v>55.900016863540209</v>
      </c>
      <c r="Q83" s="484">
        <f ca="1">利润表!O40</f>
        <v>81.940584695694227</v>
      </c>
      <c r="R83" s="484">
        <f ca="1">利润表!P40</f>
        <v>106.5416449167092</v>
      </c>
      <c r="S83" s="484">
        <f ca="1">利润表!Q40</f>
        <v>133.73211620539985</v>
      </c>
      <c r="T83" s="484">
        <f ca="1">利润表!R40</f>
        <v>163.18351457294673</v>
      </c>
      <c r="U83" s="484">
        <f ca="1">利润表!S40</f>
        <v>196.51548100913936</v>
      </c>
    </row>
    <row r="84" spans="2:40">
      <c r="C84" s="184" t="s">
        <v>1103</v>
      </c>
      <c r="D84" s="184"/>
      <c r="E84" s="184"/>
      <c r="N84" s="223">
        <f>-N85*L83</f>
        <v>0</v>
      </c>
      <c r="P84" s="1309">
        <f>N84</f>
        <v>0</v>
      </c>
      <c r="Q84" s="20">
        <f>-Q85*N83</f>
        <v>0</v>
      </c>
      <c r="R84" s="20">
        <f ca="1">-R85*Q83</f>
        <v>0</v>
      </c>
      <c r="S84" s="20">
        <f t="shared" ref="S84:U84" ca="1" si="40">-S85*R83</f>
        <v>0</v>
      </c>
      <c r="T84" s="20">
        <f t="shared" ca="1" si="40"/>
        <v>0</v>
      </c>
      <c r="U84" s="20">
        <f t="shared" ca="1" si="40"/>
        <v>0</v>
      </c>
      <c r="X84" s="1489" t="s">
        <v>1189</v>
      </c>
      <c r="Y84" s="1490"/>
      <c r="Z84" s="1490"/>
      <c r="AA84" s="1490"/>
      <c r="AB84" s="1490"/>
      <c r="AD84" s="1489" t="s">
        <v>1190</v>
      </c>
      <c r="AE84" s="1490"/>
      <c r="AF84" s="1490"/>
      <c r="AG84" s="1490"/>
      <c r="AH84" s="1490"/>
      <c r="AJ84" s="1489"/>
      <c r="AK84" s="1490"/>
      <c r="AL84" s="1490"/>
      <c r="AM84" s="1490"/>
      <c r="AN84" s="1490"/>
    </row>
    <row r="85" spans="2:40">
      <c r="C85" s="184"/>
      <c r="D85" s="184" t="s">
        <v>1104</v>
      </c>
      <c r="E85" s="184"/>
      <c r="N85" s="479">
        <v>0</v>
      </c>
      <c r="O85" s="1464"/>
      <c r="P85" s="1093"/>
      <c r="Q85" s="479">
        <f>CHOOSE(dividend,X85,AD85,AJ85)</f>
        <v>0</v>
      </c>
      <c r="R85" s="479">
        <f>CHOOSE(dividend,Y85,AE85,AK85)</f>
        <v>0</v>
      </c>
      <c r="S85" s="479">
        <f>CHOOSE(dividend,Z85,AF85,AL85)</f>
        <v>0</v>
      </c>
      <c r="T85" s="479">
        <f>CHOOSE(dividend,AA85,AG85,AM85)</f>
        <v>0</v>
      </c>
      <c r="U85" s="479">
        <f>CHOOSE(dividend,AB85,AH85,AN85)</f>
        <v>0</v>
      </c>
      <c r="X85" s="479">
        <v>0</v>
      </c>
      <c r="Y85" s="479">
        <v>0</v>
      </c>
      <c r="Z85" s="479">
        <v>0</v>
      </c>
      <c r="AA85" s="479">
        <v>0</v>
      </c>
      <c r="AB85" s="479">
        <v>0</v>
      </c>
      <c r="AD85" s="479">
        <f>38/N83</f>
        <v>0.67978512587506612</v>
      </c>
      <c r="AE85" s="479">
        <f ca="1">38/Q83</f>
        <v>0.46375065715142261</v>
      </c>
      <c r="AF85" s="479">
        <f t="shared" ref="AF85:AH85" ca="1" si="41">38/R83</f>
        <v>0.35666804308969668</v>
      </c>
      <c r="AG85" s="479">
        <f t="shared" ca="1" si="41"/>
        <v>0.28415014342280803</v>
      </c>
      <c r="AH85" s="479">
        <f t="shared" ca="1" si="41"/>
        <v>0.2328666599652941</v>
      </c>
      <c r="AJ85" s="479">
        <v>0</v>
      </c>
      <c r="AK85" s="479">
        <v>0.1</v>
      </c>
      <c r="AL85" s="479">
        <v>0.2</v>
      </c>
      <c r="AM85" s="479">
        <v>0.3</v>
      </c>
      <c r="AN85" s="479">
        <v>0.4</v>
      </c>
    </row>
    <row r="86" spans="2:40">
      <c r="C86" s="183" t="s">
        <v>604</v>
      </c>
      <c r="N86" s="1083">
        <f>N82+N83+N84</f>
        <v>35.410016863540207</v>
      </c>
      <c r="O86" s="1455"/>
      <c r="P86" s="1420">
        <f>N86</f>
        <v>35.410016863540207</v>
      </c>
      <c r="Q86" s="1083">
        <f ca="1">Q82+Q83+Q84</f>
        <v>117.35060155923443</v>
      </c>
      <c r="R86" s="1083">
        <f t="shared" ref="R86:U86" ca="1" si="42">R82+R83+R84</f>
        <v>223.89224647594364</v>
      </c>
      <c r="S86" s="1083">
        <f t="shared" ca="1" si="42"/>
        <v>357.62436268134348</v>
      </c>
      <c r="T86" s="1083">
        <f t="shared" ca="1" si="42"/>
        <v>520.80787725429025</v>
      </c>
      <c r="U86" s="1083">
        <f t="shared" ca="1" si="42"/>
        <v>717.32335826342955</v>
      </c>
    </row>
  </sheetData>
  <mergeCells count="2">
    <mergeCell ref="A1:U1"/>
    <mergeCell ref="A2:U2"/>
  </mergeCells>
  <phoneticPr fontId="5" type="noConversion"/>
  <conditionalFormatting sqref="H4:H5 R5:U5">
    <cfRule type="containsText" dxfId="1" priority="4" operator="containsText" text="Error">
      <formula>NOT(ISERROR(SEARCH("Error",H4)))</formula>
    </cfRule>
  </conditionalFormatting>
  <conditionalFormatting sqref="J5:P5">
    <cfRule type="containsText" dxfId="0" priority="1" operator="containsText" text="Error">
      <formula>NOT(ISERROR(SEARCH("Error",J5)))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  <pageSetUpPr fitToPage="1"/>
  </sheetPr>
  <dimension ref="A1:XFA136"/>
  <sheetViews>
    <sheetView topLeftCell="A9" zoomScale="73" workbookViewId="0">
      <selection activeCell="K108" sqref="K108"/>
    </sheetView>
  </sheetViews>
  <sheetFormatPr defaultColWidth="16.33203125" defaultRowHeight="14"/>
  <cols>
    <col min="1" max="1" width="2.75" style="320" customWidth="1"/>
    <col min="2" max="2" width="11.75" style="330" customWidth="1"/>
    <col min="3" max="3" width="8.83203125" style="330" hidden="1" customWidth="1"/>
    <col min="4" max="4" width="19.83203125" style="322" customWidth="1"/>
    <col min="5" max="5" width="18.58203125" style="322" customWidth="1"/>
    <col min="6" max="6" width="17.5" style="322" customWidth="1"/>
    <col min="7" max="7" width="18.75" style="323" customWidth="1"/>
    <col min="8" max="8" width="17.08203125" style="323" customWidth="1"/>
    <col min="9" max="10" width="11.75" style="320" customWidth="1"/>
    <col min="11" max="11" width="19.5" style="320" customWidth="1"/>
    <col min="12" max="12" width="13.58203125" style="320" customWidth="1"/>
    <col min="13" max="13" width="16.5" style="320" hidden="1" customWidth="1"/>
    <col min="14" max="14" width="16.33203125" style="320" customWidth="1"/>
    <col min="15" max="15" width="16.33203125" style="326" customWidth="1"/>
    <col min="16" max="16381" width="16.33203125" style="320"/>
    <col min="16382" max="16384" width="16.33203125" style="341"/>
  </cols>
  <sheetData>
    <row r="1" spans="1:15" s="256" customFormat="1" ht="15.75" customHeight="1">
      <c r="B1" s="1586" t="s">
        <v>515</v>
      </c>
      <c r="C1" s="1586"/>
      <c r="D1" s="1587"/>
      <c r="E1" s="1587"/>
      <c r="F1" s="1587"/>
      <c r="G1" s="1588"/>
      <c r="H1" s="1588"/>
      <c r="I1" s="1587"/>
      <c r="J1" s="1587"/>
      <c r="K1" s="1587"/>
      <c r="L1" s="1587"/>
      <c r="O1" s="257"/>
    </row>
    <row r="2" spans="1:15" s="256" customFormat="1" ht="19.5" customHeight="1">
      <c r="B2" s="258" t="s">
        <v>516</v>
      </c>
      <c r="C2" s="258" t="s">
        <v>517</v>
      </c>
      <c r="D2" s="258" t="s">
        <v>518</v>
      </c>
      <c r="E2" s="258" t="s">
        <v>519</v>
      </c>
      <c r="F2" s="258" t="s">
        <v>520</v>
      </c>
      <c r="G2" s="259" t="s">
        <v>521</v>
      </c>
      <c r="H2" s="259" t="s">
        <v>522</v>
      </c>
      <c r="I2" s="258" t="s">
        <v>523</v>
      </c>
      <c r="J2" s="258" t="s">
        <v>524</v>
      </c>
      <c r="K2" s="258" t="s">
        <v>525</v>
      </c>
      <c r="L2" s="258" t="s">
        <v>526</v>
      </c>
      <c r="O2" s="257"/>
    </row>
    <row r="3" spans="1:15" s="269" customFormat="1" ht="26.25" customHeight="1">
      <c r="A3" s="260"/>
      <c r="B3" s="1589" t="s">
        <v>527</v>
      </c>
      <c r="C3" s="261" t="s">
        <v>527</v>
      </c>
      <c r="D3" s="1592" t="s">
        <v>528</v>
      </c>
      <c r="E3" s="1595">
        <f>SUM(H3:$H$115)-SUM(E4:E$115)</f>
        <v>172000000</v>
      </c>
      <c r="F3" s="262" t="s">
        <v>529</v>
      </c>
      <c r="G3" s="263">
        <v>10000000</v>
      </c>
      <c r="H3" s="264">
        <f t="shared" ref="H3:H66" si="0">VLOOKUP(F3,$B$121:$D$124,3,0)*G3</f>
        <v>10000000</v>
      </c>
      <c r="I3" s="265">
        <v>45623</v>
      </c>
      <c r="J3" s="266">
        <v>3.5000000000000003E-2</v>
      </c>
      <c r="K3" s="267" t="s">
        <v>376</v>
      </c>
      <c r="L3" s="1598" t="s">
        <v>530</v>
      </c>
      <c r="M3" s="260"/>
      <c r="N3" s="260"/>
      <c r="O3" s="268">
        <f>YEAR(I3)</f>
        <v>2024</v>
      </c>
    </row>
    <row r="4" spans="1:15" s="269" customFormat="1" ht="26.25" customHeight="1">
      <c r="A4" s="260"/>
      <c r="B4" s="1590"/>
      <c r="C4" s="261" t="s">
        <v>527</v>
      </c>
      <c r="D4" s="1593"/>
      <c r="E4" s="1596"/>
      <c r="F4" s="262" t="s">
        <v>529</v>
      </c>
      <c r="G4" s="263">
        <v>18000000</v>
      </c>
      <c r="H4" s="264">
        <f t="shared" si="0"/>
        <v>18000000</v>
      </c>
      <c r="I4" s="265">
        <v>45708</v>
      </c>
      <c r="J4" s="266">
        <v>3.2500000000000001E-2</v>
      </c>
      <c r="K4" s="267" t="s">
        <v>376</v>
      </c>
      <c r="L4" s="1593"/>
      <c r="M4" s="260"/>
      <c r="N4" s="270"/>
      <c r="O4" s="268">
        <f t="shared" ref="O4:O17" si="1">YEAR(I4)</f>
        <v>2025</v>
      </c>
    </row>
    <row r="5" spans="1:15" s="269" customFormat="1" ht="26.25" customHeight="1">
      <c r="A5" s="260"/>
      <c r="B5" s="1590"/>
      <c r="C5" s="261" t="s">
        <v>527</v>
      </c>
      <c r="D5" s="1593"/>
      <c r="E5" s="1596"/>
      <c r="F5" s="262" t="s">
        <v>529</v>
      </c>
      <c r="G5" s="263">
        <v>54500000</v>
      </c>
      <c r="H5" s="264">
        <f t="shared" si="0"/>
        <v>54500000</v>
      </c>
      <c r="I5" s="265">
        <v>45692</v>
      </c>
      <c r="J5" s="266">
        <v>3.2500000000000001E-2</v>
      </c>
      <c r="K5" s="267" t="s">
        <v>376</v>
      </c>
      <c r="L5" s="1593"/>
      <c r="M5" s="260"/>
      <c r="N5" s="260"/>
      <c r="O5" s="268">
        <f t="shared" si="1"/>
        <v>2025</v>
      </c>
    </row>
    <row r="6" spans="1:15" s="269" customFormat="1" ht="26.25" customHeight="1">
      <c r="A6" s="260"/>
      <c r="B6" s="1590"/>
      <c r="C6" s="261" t="s">
        <v>527</v>
      </c>
      <c r="D6" s="1593"/>
      <c r="E6" s="1596"/>
      <c r="F6" s="262" t="s">
        <v>529</v>
      </c>
      <c r="G6" s="263">
        <v>28800000</v>
      </c>
      <c r="H6" s="264">
        <f t="shared" si="0"/>
        <v>28800000</v>
      </c>
      <c r="I6" s="265">
        <v>45785</v>
      </c>
      <c r="J6" s="266">
        <v>3.2500000000000001E-2</v>
      </c>
      <c r="K6" s="267" t="s">
        <v>376</v>
      </c>
      <c r="L6" s="1593"/>
      <c r="M6" s="260"/>
      <c r="N6" s="260"/>
      <c r="O6" s="268">
        <f t="shared" si="1"/>
        <v>2025</v>
      </c>
    </row>
    <row r="7" spans="1:15" s="269" customFormat="1" ht="26.25" customHeight="1">
      <c r="A7" s="260"/>
      <c r="B7" s="1590"/>
      <c r="C7" s="261" t="s">
        <v>527</v>
      </c>
      <c r="D7" s="1594"/>
      <c r="E7" s="1597"/>
      <c r="F7" s="262" t="s">
        <v>529</v>
      </c>
      <c r="G7" s="263">
        <v>60700000</v>
      </c>
      <c r="H7" s="264">
        <f t="shared" si="0"/>
        <v>60700000</v>
      </c>
      <c r="I7" s="265">
        <v>45946</v>
      </c>
      <c r="J7" s="266">
        <v>3.5000000000000003E-2</v>
      </c>
      <c r="K7" s="267" t="s">
        <v>376</v>
      </c>
      <c r="L7" s="1594"/>
      <c r="M7" s="260"/>
      <c r="N7" s="260"/>
      <c r="O7" s="268">
        <f t="shared" si="1"/>
        <v>2025</v>
      </c>
    </row>
    <row r="8" spans="1:15" s="269" customFormat="1" ht="26.25" customHeight="1">
      <c r="A8" s="260"/>
      <c r="B8" s="1590"/>
      <c r="C8" s="271" t="s">
        <v>527</v>
      </c>
      <c r="D8" s="271" t="s">
        <v>531</v>
      </c>
      <c r="E8" s="272">
        <f>SUM(H8:$H$115)-SUM(E9:E$115)</f>
        <v>35000000</v>
      </c>
      <c r="F8" s="262" t="s">
        <v>529</v>
      </c>
      <c r="G8" s="263">
        <v>35000000</v>
      </c>
      <c r="H8" s="264">
        <f t="shared" si="0"/>
        <v>35000000</v>
      </c>
      <c r="I8" s="273">
        <v>45814</v>
      </c>
      <c r="J8" s="274">
        <v>6.9000000000000006E-2</v>
      </c>
      <c r="K8" s="267" t="s">
        <v>376</v>
      </c>
      <c r="L8" s="275" t="s">
        <v>530</v>
      </c>
      <c r="M8" s="260"/>
      <c r="N8" s="260"/>
      <c r="O8" s="268">
        <f t="shared" si="1"/>
        <v>2025</v>
      </c>
    </row>
    <row r="9" spans="1:15" s="269" customFormat="1" ht="26.25" customHeight="1">
      <c r="A9" s="260"/>
      <c r="B9" s="1590"/>
      <c r="C9" s="261" t="s">
        <v>527</v>
      </c>
      <c r="D9" s="1592" t="s">
        <v>532</v>
      </c>
      <c r="E9" s="1595">
        <f>SUM(H9:$H$115)-SUM(E10:E$115)</f>
        <v>30000000</v>
      </c>
      <c r="F9" s="271" t="s">
        <v>529</v>
      </c>
      <c r="G9" s="263">
        <v>16000000</v>
      </c>
      <c r="H9" s="264">
        <f t="shared" si="0"/>
        <v>16000000</v>
      </c>
      <c r="I9" s="265">
        <v>45639</v>
      </c>
      <c r="J9" s="274">
        <v>0.05</v>
      </c>
      <c r="K9" s="267" t="s">
        <v>376</v>
      </c>
      <c r="L9" s="1592" t="s">
        <v>530</v>
      </c>
      <c r="M9" s="260"/>
      <c r="N9" s="260"/>
      <c r="O9" s="268">
        <f t="shared" si="1"/>
        <v>2024</v>
      </c>
    </row>
    <row r="10" spans="1:15" s="269" customFormat="1" ht="26.25" customHeight="1">
      <c r="A10" s="260"/>
      <c r="B10" s="1590"/>
      <c r="C10" s="261" t="s">
        <v>527</v>
      </c>
      <c r="D10" s="1593"/>
      <c r="E10" s="1596"/>
      <c r="F10" s="271" t="s">
        <v>529</v>
      </c>
      <c r="G10" s="263">
        <v>8000000</v>
      </c>
      <c r="H10" s="264">
        <f t="shared" si="0"/>
        <v>8000000</v>
      </c>
      <c r="I10" s="265">
        <v>45694</v>
      </c>
      <c r="J10" s="274">
        <v>0.05</v>
      </c>
      <c r="K10" s="267" t="s">
        <v>376</v>
      </c>
      <c r="L10" s="1593"/>
      <c r="M10" s="260"/>
      <c r="N10" s="260"/>
      <c r="O10" s="268">
        <f t="shared" si="1"/>
        <v>2025</v>
      </c>
    </row>
    <row r="11" spans="1:15" s="269" customFormat="1" ht="26.25" customHeight="1">
      <c r="A11" s="260"/>
      <c r="B11" s="1590"/>
      <c r="C11" s="261" t="s">
        <v>527</v>
      </c>
      <c r="D11" s="1594"/>
      <c r="E11" s="1597"/>
      <c r="F11" s="271" t="s">
        <v>529</v>
      </c>
      <c r="G11" s="263">
        <v>6000000</v>
      </c>
      <c r="H11" s="264">
        <f t="shared" si="0"/>
        <v>6000000</v>
      </c>
      <c r="I11" s="265">
        <v>45866</v>
      </c>
      <c r="J11" s="274">
        <v>5.1499999999999997E-2</v>
      </c>
      <c r="K11" s="267" t="s">
        <v>376</v>
      </c>
      <c r="L11" s="1594"/>
      <c r="M11" s="260"/>
      <c r="N11" s="260"/>
      <c r="O11" s="268">
        <f t="shared" si="1"/>
        <v>2025</v>
      </c>
    </row>
    <row r="12" spans="1:15" s="269" customFormat="1" ht="26.25" customHeight="1">
      <c r="A12" s="260"/>
      <c r="B12" s="1590"/>
      <c r="C12" s="261" t="s">
        <v>527</v>
      </c>
      <c r="D12" s="1592" t="s">
        <v>533</v>
      </c>
      <c r="E12" s="1595">
        <f>SUM(H12:$H$115)-SUM(E13:E$115)</f>
        <v>75000000</v>
      </c>
      <c r="F12" s="276" t="s">
        <v>529</v>
      </c>
      <c r="G12" s="263">
        <v>20000000</v>
      </c>
      <c r="H12" s="264">
        <f t="shared" si="0"/>
        <v>20000000</v>
      </c>
      <c r="I12" s="265">
        <v>45804</v>
      </c>
      <c r="J12" s="277">
        <v>0.05</v>
      </c>
      <c r="K12" s="267" t="s">
        <v>376</v>
      </c>
      <c r="L12" s="1592" t="s">
        <v>530</v>
      </c>
      <c r="M12" s="260"/>
      <c r="N12" s="260"/>
      <c r="O12" s="268">
        <f t="shared" si="1"/>
        <v>2025</v>
      </c>
    </row>
    <row r="13" spans="1:15" s="269" customFormat="1" ht="26.25" customHeight="1">
      <c r="A13" s="260"/>
      <c r="B13" s="1590"/>
      <c r="C13" s="261" t="s">
        <v>527</v>
      </c>
      <c r="D13" s="1593"/>
      <c r="E13" s="1596"/>
      <c r="F13" s="276" t="s">
        <v>529</v>
      </c>
      <c r="G13" s="263">
        <v>8000000</v>
      </c>
      <c r="H13" s="264">
        <f t="shared" si="0"/>
        <v>8000000</v>
      </c>
      <c r="I13" s="265">
        <v>45813</v>
      </c>
      <c r="J13" s="277">
        <v>0.05</v>
      </c>
      <c r="K13" s="267" t="s">
        <v>376</v>
      </c>
      <c r="L13" s="1593"/>
      <c r="M13" s="260"/>
      <c r="N13" s="260"/>
      <c r="O13" s="268">
        <f t="shared" si="1"/>
        <v>2025</v>
      </c>
    </row>
    <row r="14" spans="1:15" s="269" customFormat="1" ht="26.25" customHeight="1">
      <c r="A14" s="260"/>
      <c r="B14" s="1590"/>
      <c r="C14" s="261" t="s">
        <v>527</v>
      </c>
      <c r="D14" s="1593"/>
      <c r="E14" s="1596"/>
      <c r="F14" s="276" t="s">
        <v>529</v>
      </c>
      <c r="G14" s="263">
        <v>20000000</v>
      </c>
      <c r="H14" s="264">
        <f t="shared" si="0"/>
        <v>20000000</v>
      </c>
      <c r="I14" s="265">
        <v>45805</v>
      </c>
      <c r="J14" s="277">
        <v>0.05</v>
      </c>
      <c r="K14" s="267" t="s">
        <v>376</v>
      </c>
      <c r="L14" s="1593"/>
      <c r="M14" s="260"/>
      <c r="N14" s="260"/>
      <c r="O14" s="268">
        <f t="shared" si="1"/>
        <v>2025</v>
      </c>
    </row>
    <row r="15" spans="1:15" s="269" customFormat="1" ht="26.25" customHeight="1">
      <c r="A15" s="260"/>
      <c r="B15" s="1590"/>
      <c r="C15" s="261" t="s">
        <v>527</v>
      </c>
      <c r="D15" s="1593"/>
      <c r="E15" s="1596"/>
      <c r="F15" s="276" t="s">
        <v>529</v>
      </c>
      <c r="G15" s="263">
        <v>14200000</v>
      </c>
      <c r="H15" s="264">
        <f t="shared" si="0"/>
        <v>14200000</v>
      </c>
      <c r="I15" s="265">
        <v>45792</v>
      </c>
      <c r="J15" s="277">
        <v>0.05</v>
      </c>
      <c r="K15" s="267" t="s">
        <v>376</v>
      </c>
      <c r="L15" s="1593"/>
      <c r="M15" s="260"/>
      <c r="N15" s="260"/>
      <c r="O15" s="268">
        <f t="shared" si="1"/>
        <v>2025</v>
      </c>
    </row>
    <row r="16" spans="1:15" s="269" customFormat="1" ht="26.25" customHeight="1">
      <c r="A16" s="260"/>
      <c r="B16" s="1590"/>
      <c r="C16" s="261" t="s">
        <v>527</v>
      </c>
      <c r="D16" s="1594"/>
      <c r="E16" s="1597"/>
      <c r="F16" s="276" t="s">
        <v>529</v>
      </c>
      <c r="G16" s="263">
        <v>12800000</v>
      </c>
      <c r="H16" s="264">
        <f t="shared" si="0"/>
        <v>12800000</v>
      </c>
      <c r="I16" s="265">
        <v>45841</v>
      </c>
      <c r="J16" s="277">
        <v>0.05</v>
      </c>
      <c r="K16" s="267" t="s">
        <v>376</v>
      </c>
      <c r="L16" s="1594"/>
      <c r="M16" s="260"/>
      <c r="N16" s="260"/>
      <c r="O16" s="268">
        <f t="shared" si="1"/>
        <v>2025</v>
      </c>
    </row>
    <row r="17" spans="1:15" s="269" customFormat="1" ht="26.25" customHeight="1">
      <c r="A17" s="260"/>
      <c r="B17" s="1590"/>
      <c r="C17" s="261" t="s">
        <v>527</v>
      </c>
      <c r="D17" s="1592" t="s">
        <v>534</v>
      </c>
      <c r="E17" s="1595">
        <f>SUM(H17:$H$115)-SUM(E18:E$115)</f>
        <v>90000000</v>
      </c>
      <c r="F17" s="271" t="s">
        <v>529</v>
      </c>
      <c r="G17" s="263">
        <v>16500000</v>
      </c>
      <c r="H17" s="264">
        <f t="shared" si="0"/>
        <v>16500000</v>
      </c>
      <c r="I17" s="265">
        <v>45611</v>
      </c>
      <c r="J17" s="278">
        <v>4.3499999999999997E-2</v>
      </c>
      <c r="K17" s="267" t="s">
        <v>376</v>
      </c>
      <c r="L17" s="1592" t="s">
        <v>530</v>
      </c>
      <c r="M17" s="260"/>
      <c r="N17" s="260"/>
      <c r="O17" s="268">
        <f t="shared" si="1"/>
        <v>2024</v>
      </c>
    </row>
    <row r="18" spans="1:15" s="269" customFormat="1" ht="26.25" customHeight="1">
      <c r="A18" s="260"/>
      <c r="B18" s="1590"/>
      <c r="C18" s="261" t="s">
        <v>527</v>
      </c>
      <c r="D18" s="1593"/>
      <c r="E18" s="1596"/>
      <c r="F18" s="271" t="s">
        <v>529</v>
      </c>
      <c r="G18" s="263">
        <v>29800000</v>
      </c>
      <c r="H18" s="264">
        <f t="shared" si="0"/>
        <v>29800000</v>
      </c>
      <c r="I18" s="265">
        <v>45613</v>
      </c>
      <c r="J18" s="278">
        <v>4.3499999999999997E-2</v>
      </c>
      <c r="K18" s="267" t="s">
        <v>376</v>
      </c>
      <c r="L18" s="1593"/>
      <c r="M18" s="260"/>
      <c r="N18" s="260"/>
      <c r="O18" s="268"/>
    </row>
    <row r="19" spans="1:15" s="269" customFormat="1" ht="26.25" customHeight="1">
      <c r="A19" s="260"/>
      <c r="B19" s="1590"/>
      <c r="C19" s="261" t="s">
        <v>527</v>
      </c>
      <c r="D19" s="1593"/>
      <c r="E19" s="1596"/>
      <c r="F19" s="271" t="s">
        <v>529</v>
      </c>
      <c r="G19" s="263">
        <v>23700000</v>
      </c>
      <c r="H19" s="264">
        <f t="shared" si="0"/>
        <v>23700000</v>
      </c>
      <c r="I19" s="265">
        <v>45617</v>
      </c>
      <c r="J19" s="278">
        <v>4.3499999999999997E-2</v>
      </c>
      <c r="K19" s="267" t="s">
        <v>376</v>
      </c>
      <c r="L19" s="1593"/>
      <c r="M19" s="260"/>
      <c r="N19" s="260"/>
      <c r="O19" s="268">
        <f t="shared" ref="O19:O82" si="2">YEAR(I19)</f>
        <v>2024</v>
      </c>
    </row>
    <row r="20" spans="1:15" s="269" customFormat="1" ht="26.25" customHeight="1">
      <c r="A20" s="260"/>
      <c r="B20" s="1590"/>
      <c r="C20" s="261" t="s">
        <v>527</v>
      </c>
      <c r="D20" s="1593"/>
      <c r="E20" s="1596"/>
      <c r="F20" s="271" t="s">
        <v>529</v>
      </c>
      <c r="G20" s="263">
        <v>10000000</v>
      </c>
      <c r="H20" s="264">
        <f t="shared" si="0"/>
        <v>10000000</v>
      </c>
      <c r="I20" s="265">
        <v>45610</v>
      </c>
      <c r="J20" s="279">
        <v>3.3500000000000002E-2</v>
      </c>
      <c r="K20" s="267" t="s">
        <v>376</v>
      </c>
      <c r="L20" s="1593"/>
      <c r="M20" s="260"/>
      <c r="N20" s="260"/>
      <c r="O20" s="268">
        <f t="shared" si="2"/>
        <v>2024</v>
      </c>
    </row>
    <row r="21" spans="1:15" s="269" customFormat="1" ht="26.25" customHeight="1">
      <c r="A21" s="260"/>
      <c r="B21" s="1590"/>
      <c r="C21" s="261" t="s">
        <v>527</v>
      </c>
      <c r="D21" s="1594"/>
      <c r="E21" s="1597"/>
      <c r="F21" s="271" t="s">
        <v>529</v>
      </c>
      <c r="G21" s="263">
        <v>10000000</v>
      </c>
      <c r="H21" s="264">
        <f t="shared" si="0"/>
        <v>10000000</v>
      </c>
      <c r="I21" s="265">
        <v>45617</v>
      </c>
      <c r="J21" s="280">
        <v>2.0500000000000001E-2</v>
      </c>
      <c r="K21" s="267" t="s">
        <v>376</v>
      </c>
      <c r="L21" s="1594"/>
      <c r="M21" s="260"/>
      <c r="N21" s="260"/>
      <c r="O21" s="268">
        <f t="shared" si="2"/>
        <v>2024</v>
      </c>
    </row>
    <row r="22" spans="1:15" s="269" customFormat="1" ht="26.25" customHeight="1">
      <c r="A22" s="260"/>
      <c r="B22" s="1590"/>
      <c r="C22" s="261" t="s">
        <v>527</v>
      </c>
      <c r="D22" s="1592" t="s">
        <v>535</v>
      </c>
      <c r="E22" s="1595">
        <f>SUM(H22:$H$115)-SUM(E23:E$115)</f>
        <v>58004000.000000477</v>
      </c>
      <c r="F22" s="271" t="s">
        <v>529</v>
      </c>
      <c r="G22" s="263">
        <v>10442000</v>
      </c>
      <c r="H22" s="264">
        <f t="shared" si="0"/>
        <v>10442000</v>
      </c>
      <c r="I22" s="281">
        <v>45624</v>
      </c>
      <c r="J22" s="282">
        <v>3.6499999999999998E-2</v>
      </c>
      <c r="K22" s="267" t="s">
        <v>376</v>
      </c>
      <c r="L22" s="1592" t="s">
        <v>530</v>
      </c>
      <c r="M22" s="260"/>
      <c r="N22" s="260"/>
      <c r="O22" s="268">
        <f t="shared" si="2"/>
        <v>2024</v>
      </c>
    </row>
    <row r="23" spans="1:15" s="269" customFormat="1" ht="26.25" customHeight="1">
      <c r="A23" s="260"/>
      <c r="B23" s="1590"/>
      <c r="C23" s="261" t="s">
        <v>527</v>
      </c>
      <c r="D23" s="1593"/>
      <c r="E23" s="1596"/>
      <c r="F23" s="271" t="s">
        <v>529</v>
      </c>
      <c r="G23" s="263">
        <v>19012000</v>
      </c>
      <c r="H23" s="264">
        <f t="shared" si="0"/>
        <v>19012000</v>
      </c>
      <c r="I23" s="281">
        <v>45602</v>
      </c>
      <c r="J23" s="282">
        <v>3.5499999999999997E-2</v>
      </c>
      <c r="K23" s="267" t="s">
        <v>376</v>
      </c>
      <c r="L23" s="1593"/>
      <c r="M23" s="260"/>
      <c r="N23" s="260"/>
      <c r="O23" s="268">
        <f t="shared" si="2"/>
        <v>2024</v>
      </c>
    </row>
    <row r="24" spans="1:15" s="269" customFormat="1" ht="26.25" customHeight="1">
      <c r="A24" s="260"/>
      <c r="B24" s="1590"/>
      <c r="C24" s="261" t="s">
        <v>527</v>
      </c>
      <c r="D24" s="1594"/>
      <c r="E24" s="1597"/>
      <c r="F24" s="271" t="s">
        <v>529</v>
      </c>
      <c r="G24" s="263">
        <v>28550000</v>
      </c>
      <c r="H24" s="264">
        <f t="shared" si="0"/>
        <v>28550000</v>
      </c>
      <c r="I24" s="283">
        <v>45820</v>
      </c>
      <c r="J24" s="282">
        <v>3.6499999999999998E-2</v>
      </c>
      <c r="K24" s="267" t="s">
        <v>376</v>
      </c>
      <c r="L24" s="1594"/>
      <c r="M24" s="260"/>
      <c r="N24" s="260"/>
      <c r="O24" s="268">
        <f t="shared" si="2"/>
        <v>2025</v>
      </c>
    </row>
    <row r="25" spans="1:15" s="269" customFormat="1" ht="25.5" customHeight="1">
      <c r="A25" s="260"/>
      <c r="B25" s="1590"/>
      <c r="C25" s="261" t="s">
        <v>527</v>
      </c>
      <c r="D25" s="1599" t="s">
        <v>536</v>
      </c>
      <c r="E25" s="1595">
        <f>SUM(H25:$H$115)-SUM(E26:E$115)</f>
        <v>169697651.23999977</v>
      </c>
      <c r="F25" s="271" t="s">
        <v>529</v>
      </c>
      <c r="G25" s="263">
        <v>1389356.44</v>
      </c>
      <c r="H25" s="264">
        <f t="shared" si="0"/>
        <v>1389356.44</v>
      </c>
      <c r="I25" s="265">
        <v>45842</v>
      </c>
      <c r="J25" s="277">
        <v>4.2000000000000003E-2</v>
      </c>
      <c r="K25" s="267" t="s">
        <v>376</v>
      </c>
      <c r="L25" s="1599" t="s">
        <v>530</v>
      </c>
      <c r="M25" s="260"/>
      <c r="N25" s="260"/>
      <c r="O25" s="268">
        <f t="shared" si="2"/>
        <v>2025</v>
      </c>
    </row>
    <row r="26" spans="1:15" s="260" customFormat="1" ht="26.25" customHeight="1">
      <c r="B26" s="1590"/>
      <c r="C26" s="261" t="s">
        <v>527</v>
      </c>
      <c r="D26" s="1600"/>
      <c r="E26" s="1596"/>
      <c r="F26" s="271" t="s">
        <v>529</v>
      </c>
      <c r="G26" s="263">
        <v>2102097.64</v>
      </c>
      <c r="H26" s="264">
        <f t="shared" si="0"/>
        <v>2102097.64</v>
      </c>
      <c r="I26" s="265">
        <v>45848</v>
      </c>
      <c r="J26" s="277">
        <v>4.2000000000000003E-2</v>
      </c>
      <c r="K26" s="267" t="s">
        <v>376</v>
      </c>
      <c r="L26" s="1600"/>
      <c r="O26" s="268">
        <f t="shared" si="2"/>
        <v>2025</v>
      </c>
    </row>
    <row r="27" spans="1:15" s="269" customFormat="1" ht="26.25" customHeight="1">
      <c r="A27" s="260"/>
      <c r="B27" s="1590"/>
      <c r="C27" s="261" t="s">
        <v>527</v>
      </c>
      <c r="D27" s="1600"/>
      <c r="E27" s="1596"/>
      <c r="F27" s="271" t="s">
        <v>529</v>
      </c>
      <c r="G27" s="263">
        <v>1051000</v>
      </c>
      <c r="H27" s="264">
        <f t="shared" si="0"/>
        <v>1051000</v>
      </c>
      <c r="I27" s="265">
        <v>45849</v>
      </c>
      <c r="J27" s="277">
        <v>4.2000000000000003E-2</v>
      </c>
      <c r="K27" s="267" t="s">
        <v>376</v>
      </c>
      <c r="L27" s="1600"/>
      <c r="M27" s="260"/>
      <c r="N27" s="260"/>
      <c r="O27" s="268">
        <f t="shared" si="2"/>
        <v>2025</v>
      </c>
    </row>
    <row r="28" spans="1:15" s="269" customFormat="1" ht="26.25" customHeight="1">
      <c r="A28" s="260"/>
      <c r="B28" s="1590"/>
      <c r="C28" s="261" t="s">
        <v>527</v>
      </c>
      <c r="D28" s="1600"/>
      <c r="E28" s="1596"/>
      <c r="F28" s="271" t="s">
        <v>529</v>
      </c>
      <c r="G28" s="263">
        <v>8160000</v>
      </c>
      <c r="H28" s="264">
        <f t="shared" si="0"/>
        <v>8160000</v>
      </c>
      <c r="I28" s="265">
        <v>45856</v>
      </c>
      <c r="J28" s="277">
        <v>4.2000000000000003E-2</v>
      </c>
      <c r="K28" s="267" t="s">
        <v>376</v>
      </c>
      <c r="L28" s="1600"/>
      <c r="M28" s="260"/>
      <c r="N28" s="260"/>
      <c r="O28" s="268">
        <f t="shared" si="2"/>
        <v>2025</v>
      </c>
    </row>
    <row r="29" spans="1:15" s="269" customFormat="1" ht="25.9" customHeight="1">
      <c r="A29" s="260"/>
      <c r="B29" s="1590"/>
      <c r="C29" s="261" t="s">
        <v>527</v>
      </c>
      <c r="D29" s="1600"/>
      <c r="E29" s="1596"/>
      <c r="F29" s="271" t="s">
        <v>529</v>
      </c>
      <c r="G29" s="263">
        <v>34499.019999999997</v>
      </c>
      <c r="H29" s="264">
        <f t="shared" si="0"/>
        <v>34499.019999999997</v>
      </c>
      <c r="I29" s="265">
        <v>45843</v>
      </c>
      <c r="J29" s="277">
        <v>4.2000000000000003E-2</v>
      </c>
      <c r="K29" s="267" t="s">
        <v>376</v>
      </c>
      <c r="L29" s="1600"/>
      <c r="M29" s="260"/>
      <c r="N29" s="260"/>
      <c r="O29" s="268">
        <f t="shared" si="2"/>
        <v>2025</v>
      </c>
    </row>
    <row r="30" spans="1:15" s="269" customFormat="1" ht="25.9" customHeight="1">
      <c r="A30" s="260"/>
      <c r="B30" s="1590"/>
      <c r="C30" s="261" t="s">
        <v>527</v>
      </c>
      <c r="D30" s="1600"/>
      <c r="E30" s="1596"/>
      <c r="F30" s="271" t="s">
        <v>529</v>
      </c>
      <c r="G30" s="263">
        <v>929524.19</v>
      </c>
      <c r="H30" s="264">
        <f t="shared" si="0"/>
        <v>929524.19</v>
      </c>
      <c r="I30" s="265">
        <v>45850</v>
      </c>
      <c r="J30" s="277">
        <v>4.2000000000000003E-2</v>
      </c>
      <c r="K30" s="267" t="s">
        <v>376</v>
      </c>
      <c r="L30" s="1600"/>
      <c r="M30" s="260"/>
      <c r="N30" s="260"/>
      <c r="O30" s="268">
        <f t="shared" si="2"/>
        <v>2025</v>
      </c>
    </row>
    <row r="31" spans="1:15" s="269" customFormat="1" ht="26.25" customHeight="1">
      <c r="A31" s="260"/>
      <c r="B31" s="1590"/>
      <c r="C31" s="261" t="s">
        <v>527</v>
      </c>
      <c r="D31" s="1600"/>
      <c r="E31" s="1596"/>
      <c r="F31" s="271" t="s">
        <v>529</v>
      </c>
      <c r="G31" s="263">
        <v>2542912.42</v>
      </c>
      <c r="H31" s="264">
        <f t="shared" si="0"/>
        <v>2542912.42</v>
      </c>
      <c r="I31" s="265">
        <v>45847</v>
      </c>
      <c r="J31" s="277">
        <v>4.2000000000000003E-2</v>
      </c>
      <c r="K31" s="267" t="s">
        <v>376</v>
      </c>
      <c r="L31" s="1600"/>
      <c r="M31" s="260"/>
      <c r="N31" s="260"/>
      <c r="O31" s="268">
        <f t="shared" si="2"/>
        <v>2025</v>
      </c>
    </row>
    <row r="32" spans="1:15" s="269" customFormat="1" ht="26.25" customHeight="1">
      <c r="A32" s="260"/>
      <c r="B32" s="1590"/>
      <c r="C32" s="261" t="s">
        <v>527</v>
      </c>
      <c r="D32" s="1600"/>
      <c r="E32" s="1596"/>
      <c r="F32" s="271" t="s">
        <v>529</v>
      </c>
      <c r="G32" s="263">
        <v>316712.2</v>
      </c>
      <c r="H32" s="264">
        <f t="shared" si="0"/>
        <v>316712.2</v>
      </c>
      <c r="I32" s="265">
        <v>45848</v>
      </c>
      <c r="J32" s="277">
        <v>4.2000000000000003E-2</v>
      </c>
      <c r="K32" s="267" t="s">
        <v>376</v>
      </c>
      <c r="L32" s="1600"/>
      <c r="M32" s="260"/>
      <c r="N32" s="260"/>
      <c r="O32" s="268">
        <f t="shared" si="2"/>
        <v>2025</v>
      </c>
    </row>
    <row r="33" spans="1:15" s="269" customFormat="1" ht="26.25" customHeight="1">
      <c r="A33" s="260"/>
      <c r="B33" s="1590"/>
      <c r="C33" s="261" t="s">
        <v>527</v>
      </c>
      <c r="D33" s="1600"/>
      <c r="E33" s="1596"/>
      <c r="F33" s="271" t="s">
        <v>529</v>
      </c>
      <c r="G33" s="263">
        <v>1587586.16</v>
      </c>
      <c r="H33" s="264">
        <f t="shared" si="0"/>
        <v>1587586.16</v>
      </c>
      <c r="I33" s="265">
        <v>45856</v>
      </c>
      <c r="J33" s="277">
        <v>4.2000000000000003E-2</v>
      </c>
      <c r="K33" s="267" t="s">
        <v>376</v>
      </c>
      <c r="L33" s="1600"/>
      <c r="M33" s="260"/>
      <c r="N33" s="260"/>
      <c r="O33" s="268">
        <f t="shared" si="2"/>
        <v>2025</v>
      </c>
    </row>
    <row r="34" spans="1:15" s="269" customFormat="1" ht="26.25" customHeight="1">
      <c r="A34" s="260"/>
      <c r="B34" s="1590"/>
      <c r="C34" s="261" t="s">
        <v>527</v>
      </c>
      <c r="D34" s="1600"/>
      <c r="E34" s="1596"/>
      <c r="F34" s="271" t="s">
        <v>529</v>
      </c>
      <c r="G34" s="263">
        <v>2100935.5499999998</v>
      </c>
      <c r="H34" s="264">
        <f t="shared" si="0"/>
        <v>2100935.5499999998</v>
      </c>
      <c r="I34" s="265">
        <v>45854</v>
      </c>
      <c r="J34" s="277">
        <v>4.2000000000000003E-2</v>
      </c>
      <c r="K34" s="267" t="s">
        <v>376</v>
      </c>
      <c r="L34" s="1600"/>
      <c r="M34" s="260"/>
      <c r="N34" s="260"/>
      <c r="O34" s="268">
        <f t="shared" si="2"/>
        <v>2025</v>
      </c>
    </row>
    <row r="35" spans="1:15" s="269" customFormat="1" ht="26.25" customHeight="1">
      <c r="A35" s="260"/>
      <c r="B35" s="1590"/>
      <c r="C35" s="261" t="s">
        <v>527</v>
      </c>
      <c r="D35" s="1600"/>
      <c r="E35" s="1596"/>
      <c r="F35" s="271" t="s">
        <v>529</v>
      </c>
      <c r="G35" s="263">
        <v>2502442.35</v>
      </c>
      <c r="H35" s="264">
        <f t="shared" si="0"/>
        <v>2502442.35</v>
      </c>
      <c r="I35" s="265">
        <v>45860</v>
      </c>
      <c r="J35" s="277">
        <v>4.2000000000000003E-2</v>
      </c>
      <c r="K35" s="267" t="s">
        <v>376</v>
      </c>
      <c r="L35" s="1600"/>
      <c r="M35" s="260"/>
      <c r="N35" s="260"/>
      <c r="O35" s="268">
        <f t="shared" si="2"/>
        <v>2025</v>
      </c>
    </row>
    <row r="36" spans="1:15" s="269" customFormat="1" ht="26.25" customHeight="1">
      <c r="A36" s="260"/>
      <c r="B36" s="1590"/>
      <c r="C36" s="261" t="s">
        <v>527</v>
      </c>
      <c r="D36" s="1600"/>
      <c r="E36" s="1596"/>
      <c r="F36" s="271" t="s">
        <v>529</v>
      </c>
      <c r="G36" s="263">
        <v>1387873.4</v>
      </c>
      <c r="H36" s="264">
        <f t="shared" si="0"/>
        <v>1387873.4</v>
      </c>
      <c r="I36" s="265">
        <v>45856</v>
      </c>
      <c r="J36" s="277">
        <v>4.2000000000000003E-2</v>
      </c>
      <c r="K36" s="267" t="s">
        <v>376</v>
      </c>
      <c r="L36" s="1600"/>
      <c r="M36" s="260"/>
      <c r="N36" s="260"/>
      <c r="O36" s="268">
        <f t="shared" si="2"/>
        <v>2025</v>
      </c>
    </row>
    <row r="37" spans="1:15" s="269" customFormat="1" ht="26.25" customHeight="1">
      <c r="A37" s="260"/>
      <c r="B37" s="1590"/>
      <c r="C37" s="261" t="s">
        <v>527</v>
      </c>
      <c r="D37" s="1600"/>
      <c r="E37" s="1596"/>
      <c r="F37" s="271" t="s">
        <v>529</v>
      </c>
      <c r="G37" s="263">
        <v>189244</v>
      </c>
      <c r="H37" s="264">
        <f t="shared" si="0"/>
        <v>189244</v>
      </c>
      <c r="I37" s="265">
        <v>45843</v>
      </c>
      <c r="J37" s="277">
        <v>4.2000000000000003E-2</v>
      </c>
      <c r="K37" s="267" t="s">
        <v>376</v>
      </c>
      <c r="L37" s="1600"/>
      <c r="M37" s="260"/>
      <c r="N37" s="260"/>
      <c r="O37" s="268">
        <f t="shared" si="2"/>
        <v>2025</v>
      </c>
    </row>
    <row r="38" spans="1:15" s="269" customFormat="1" ht="26.25" customHeight="1">
      <c r="A38" s="260"/>
      <c r="B38" s="1590"/>
      <c r="C38" s="261" t="s">
        <v>527</v>
      </c>
      <c r="D38" s="1600"/>
      <c r="E38" s="1596"/>
      <c r="F38" s="271" t="s">
        <v>529</v>
      </c>
      <c r="G38" s="263">
        <v>2468768.64</v>
      </c>
      <c r="H38" s="264">
        <f t="shared" si="0"/>
        <v>2468768.64</v>
      </c>
      <c r="I38" s="265">
        <v>45849</v>
      </c>
      <c r="J38" s="277">
        <v>4.2000000000000003E-2</v>
      </c>
      <c r="K38" s="267" t="s">
        <v>376</v>
      </c>
      <c r="L38" s="1600"/>
      <c r="M38" s="260"/>
      <c r="N38" s="284"/>
      <c r="O38" s="268">
        <f t="shared" si="2"/>
        <v>2025</v>
      </c>
    </row>
    <row r="39" spans="1:15" s="269" customFormat="1" ht="26.25" customHeight="1">
      <c r="A39" s="260"/>
      <c r="B39" s="1590"/>
      <c r="C39" s="261" t="s">
        <v>527</v>
      </c>
      <c r="D39" s="1600"/>
      <c r="E39" s="1596"/>
      <c r="F39" s="271" t="s">
        <v>529</v>
      </c>
      <c r="G39" s="263">
        <v>3204131</v>
      </c>
      <c r="H39" s="264">
        <f t="shared" si="0"/>
        <v>3204131</v>
      </c>
      <c r="I39" s="265">
        <v>45854</v>
      </c>
      <c r="J39" s="277">
        <v>4.2000000000000003E-2</v>
      </c>
      <c r="K39" s="267" t="s">
        <v>376</v>
      </c>
      <c r="L39" s="1600"/>
      <c r="M39" s="260"/>
      <c r="N39" s="260"/>
      <c r="O39" s="268">
        <f t="shared" si="2"/>
        <v>2025</v>
      </c>
    </row>
    <row r="40" spans="1:15" s="269" customFormat="1" ht="26.25" customHeight="1">
      <c r="A40" s="260"/>
      <c r="B40" s="1590"/>
      <c r="C40" s="261" t="s">
        <v>527</v>
      </c>
      <c r="D40" s="1600"/>
      <c r="E40" s="1596"/>
      <c r="F40" s="271" t="s">
        <v>529</v>
      </c>
      <c r="G40" s="263">
        <v>7120769.5499999998</v>
      </c>
      <c r="H40" s="264">
        <f t="shared" si="0"/>
        <v>7120769.5499999998</v>
      </c>
      <c r="I40" s="265">
        <v>45847</v>
      </c>
      <c r="J40" s="277">
        <v>4.2000000000000003E-2</v>
      </c>
      <c r="K40" s="267" t="s">
        <v>376</v>
      </c>
      <c r="L40" s="1600"/>
      <c r="M40" s="260"/>
      <c r="N40" s="260"/>
      <c r="O40" s="268">
        <f t="shared" si="2"/>
        <v>2025</v>
      </c>
    </row>
    <row r="41" spans="1:15" s="269" customFormat="1" ht="26.25" customHeight="1">
      <c r="A41" s="260"/>
      <c r="B41" s="1590"/>
      <c r="C41" s="261" t="s">
        <v>527</v>
      </c>
      <c r="D41" s="1600"/>
      <c r="E41" s="1596"/>
      <c r="F41" s="271" t="s">
        <v>529</v>
      </c>
      <c r="G41" s="263">
        <v>1450068</v>
      </c>
      <c r="H41" s="264">
        <f t="shared" si="0"/>
        <v>1450068</v>
      </c>
      <c r="I41" s="265">
        <v>45842</v>
      </c>
      <c r="J41" s="277">
        <v>4.2000000000000003E-2</v>
      </c>
      <c r="K41" s="267" t="s">
        <v>376</v>
      </c>
      <c r="L41" s="1600"/>
      <c r="M41" s="260"/>
      <c r="N41" s="260"/>
      <c r="O41" s="268">
        <f t="shared" si="2"/>
        <v>2025</v>
      </c>
    </row>
    <row r="42" spans="1:15" s="269" customFormat="1" ht="26.25" customHeight="1">
      <c r="A42" s="260"/>
      <c r="B42" s="1590"/>
      <c r="C42" s="261" t="s">
        <v>527</v>
      </c>
      <c r="D42" s="1600"/>
      <c r="E42" s="1596"/>
      <c r="F42" s="271" t="s">
        <v>529</v>
      </c>
      <c r="G42" s="263">
        <v>9490988.1199999992</v>
      </c>
      <c r="H42" s="264">
        <f t="shared" si="0"/>
        <v>9490988.1199999992</v>
      </c>
      <c r="I42" s="265">
        <v>45856</v>
      </c>
      <c r="J42" s="277">
        <v>4.2000000000000003E-2</v>
      </c>
      <c r="K42" s="267" t="s">
        <v>376</v>
      </c>
      <c r="L42" s="1600"/>
      <c r="M42" s="260"/>
      <c r="N42" s="260"/>
      <c r="O42" s="268">
        <f t="shared" si="2"/>
        <v>2025</v>
      </c>
    </row>
    <row r="43" spans="1:15" s="269" customFormat="1" ht="26.25" customHeight="1">
      <c r="A43" s="260"/>
      <c r="B43" s="1590"/>
      <c r="C43" s="261" t="s">
        <v>527</v>
      </c>
      <c r="D43" s="1600"/>
      <c r="E43" s="1596"/>
      <c r="F43" s="271" t="s">
        <v>529</v>
      </c>
      <c r="G43" s="263">
        <v>2247385.83</v>
      </c>
      <c r="H43" s="264">
        <f t="shared" si="0"/>
        <v>2247385.83</v>
      </c>
      <c r="I43" s="265">
        <v>45856</v>
      </c>
      <c r="J43" s="277">
        <v>4.2000000000000003E-2</v>
      </c>
      <c r="K43" s="267" t="s">
        <v>376</v>
      </c>
      <c r="L43" s="1600"/>
      <c r="M43" s="260"/>
      <c r="N43" s="260"/>
      <c r="O43" s="268">
        <f t="shared" si="2"/>
        <v>2025</v>
      </c>
    </row>
    <row r="44" spans="1:15" s="269" customFormat="1" ht="26.25" customHeight="1">
      <c r="A44" s="260"/>
      <c r="B44" s="1590"/>
      <c r="C44" s="261" t="s">
        <v>527</v>
      </c>
      <c r="D44" s="1600"/>
      <c r="E44" s="1596"/>
      <c r="F44" s="271" t="s">
        <v>529</v>
      </c>
      <c r="G44" s="263">
        <v>951957.96</v>
      </c>
      <c r="H44" s="264">
        <f t="shared" si="0"/>
        <v>951957.96</v>
      </c>
      <c r="I44" s="265">
        <v>45861</v>
      </c>
      <c r="J44" s="277">
        <v>4.2000000000000003E-2</v>
      </c>
      <c r="K44" s="267" t="s">
        <v>376</v>
      </c>
      <c r="L44" s="1600"/>
      <c r="M44" s="260"/>
      <c r="N44" s="260"/>
      <c r="O44" s="268">
        <f t="shared" si="2"/>
        <v>2025</v>
      </c>
    </row>
    <row r="45" spans="1:15" s="269" customFormat="1" ht="26.25" customHeight="1">
      <c r="A45" s="260"/>
      <c r="B45" s="1590"/>
      <c r="C45" s="261" t="s">
        <v>527</v>
      </c>
      <c r="D45" s="1600"/>
      <c r="E45" s="1596"/>
      <c r="F45" s="271" t="s">
        <v>529</v>
      </c>
      <c r="G45" s="263">
        <v>6461478.2999999998</v>
      </c>
      <c r="H45" s="264">
        <f t="shared" si="0"/>
        <v>6461478.2999999998</v>
      </c>
      <c r="I45" s="265">
        <v>45847</v>
      </c>
      <c r="J45" s="277">
        <v>4.2000000000000003E-2</v>
      </c>
      <c r="K45" s="267" t="s">
        <v>376</v>
      </c>
      <c r="L45" s="1600"/>
      <c r="M45" s="260"/>
      <c r="N45" s="260"/>
      <c r="O45" s="268">
        <f t="shared" si="2"/>
        <v>2025</v>
      </c>
    </row>
    <row r="46" spans="1:15" s="269" customFormat="1" ht="26.25" customHeight="1">
      <c r="A46" s="260"/>
      <c r="B46" s="1590"/>
      <c r="C46" s="261" t="s">
        <v>527</v>
      </c>
      <c r="D46" s="1600"/>
      <c r="E46" s="1596"/>
      <c r="F46" s="271" t="s">
        <v>529</v>
      </c>
      <c r="G46" s="263">
        <v>5845413.6299999999</v>
      </c>
      <c r="H46" s="264">
        <f t="shared" si="0"/>
        <v>5845413.6299999999</v>
      </c>
      <c r="I46" s="265">
        <v>45848</v>
      </c>
      <c r="J46" s="277">
        <v>4.2000000000000003E-2</v>
      </c>
      <c r="K46" s="267" t="s">
        <v>376</v>
      </c>
      <c r="L46" s="1600"/>
      <c r="M46" s="260"/>
      <c r="N46" s="260"/>
      <c r="O46" s="268">
        <f t="shared" si="2"/>
        <v>2025</v>
      </c>
    </row>
    <row r="47" spans="1:15" s="269" customFormat="1" ht="26.25" customHeight="1">
      <c r="A47" s="260"/>
      <c r="B47" s="1590"/>
      <c r="C47" s="261" t="s">
        <v>527</v>
      </c>
      <c r="D47" s="1600"/>
      <c r="E47" s="1596"/>
      <c r="F47" s="271" t="s">
        <v>529</v>
      </c>
      <c r="G47" s="263">
        <v>1077544.8400000001</v>
      </c>
      <c r="H47" s="264">
        <f t="shared" si="0"/>
        <v>1077544.8400000001</v>
      </c>
      <c r="I47" s="265">
        <v>45854</v>
      </c>
      <c r="J47" s="277">
        <v>4.1000000000000002E-2</v>
      </c>
      <c r="K47" s="267" t="s">
        <v>376</v>
      </c>
      <c r="L47" s="1600"/>
      <c r="M47" s="260"/>
      <c r="N47" s="260"/>
      <c r="O47" s="268">
        <f t="shared" si="2"/>
        <v>2025</v>
      </c>
    </row>
    <row r="48" spans="1:15" s="269" customFormat="1" ht="26.25" customHeight="1">
      <c r="A48" s="260"/>
      <c r="B48" s="1590"/>
      <c r="C48" s="261" t="s">
        <v>527</v>
      </c>
      <c r="D48" s="1600"/>
      <c r="E48" s="1596"/>
      <c r="F48" s="271" t="s">
        <v>529</v>
      </c>
      <c r="G48" s="263">
        <v>6538091.1299999999</v>
      </c>
      <c r="H48" s="264">
        <f t="shared" si="0"/>
        <v>6538091.1299999999</v>
      </c>
      <c r="I48" s="265">
        <v>45842</v>
      </c>
      <c r="J48" s="277">
        <v>4.1000000000000002E-2</v>
      </c>
      <c r="K48" s="267" t="s">
        <v>376</v>
      </c>
      <c r="L48" s="1600"/>
      <c r="M48" s="260"/>
      <c r="N48" s="260"/>
      <c r="O48" s="268">
        <f t="shared" si="2"/>
        <v>2025</v>
      </c>
    </row>
    <row r="49" spans="1:15" s="269" customFormat="1" ht="26.25" customHeight="1">
      <c r="A49" s="260"/>
      <c r="B49" s="1590"/>
      <c r="C49" s="261" t="s">
        <v>527</v>
      </c>
      <c r="D49" s="1600"/>
      <c r="E49" s="1596"/>
      <c r="F49" s="271" t="s">
        <v>529</v>
      </c>
      <c r="G49" s="263">
        <v>6546870.8700000001</v>
      </c>
      <c r="H49" s="264">
        <f t="shared" si="0"/>
        <v>6546870.8700000001</v>
      </c>
      <c r="I49" s="265">
        <v>45862</v>
      </c>
      <c r="J49" s="277">
        <v>4.1000000000000002E-2</v>
      </c>
      <c r="K49" s="267" t="s">
        <v>376</v>
      </c>
      <c r="L49" s="1600"/>
      <c r="M49" s="260"/>
      <c r="N49" s="260"/>
      <c r="O49" s="268">
        <f t="shared" si="2"/>
        <v>2025</v>
      </c>
    </row>
    <row r="50" spans="1:15" s="269" customFormat="1" ht="26.25" customHeight="1">
      <c r="A50" s="260"/>
      <c r="B50" s="1590"/>
      <c r="C50" s="261" t="s">
        <v>527</v>
      </c>
      <c r="D50" s="1600"/>
      <c r="E50" s="1596"/>
      <c r="F50" s="271" t="s">
        <v>529</v>
      </c>
      <c r="G50" s="263">
        <v>32000000</v>
      </c>
      <c r="H50" s="264">
        <f t="shared" si="0"/>
        <v>32000000</v>
      </c>
      <c r="I50" s="265">
        <v>45867</v>
      </c>
      <c r="J50" s="277">
        <v>4.1000000000000002E-2</v>
      </c>
      <c r="K50" s="267" t="s">
        <v>376</v>
      </c>
      <c r="L50" s="1600"/>
      <c r="M50" s="260"/>
      <c r="N50" s="260"/>
      <c r="O50" s="268">
        <f t="shared" si="2"/>
        <v>2025</v>
      </c>
    </row>
    <row r="51" spans="1:15" s="269" customFormat="1" ht="26.25" customHeight="1">
      <c r="A51" s="260"/>
      <c r="B51" s="1590"/>
      <c r="C51" s="261" t="s">
        <v>527</v>
      </c>
      <c r="D51" s="1601"/>
      <c r="E51" s="1597"/>
      <c r="F51" s="271" t="s">
        <v>529</v>
      </c>
      <c r="G51" s="263">
        <v>60000000</v>
      </c>
      <c r="H51" s="264">
        <f t="shared" si="0"/>
        <v>60000000</v>
      </c>
      <c r="I51" s="265">
        <v>45681</v>
      </c>
      <c r="J51" s="277">
        <v>0.04</v>
      </c>
      <c r="K51" s="267" t="s">
        <v>376</v>
      </c>
      <c r="L51" s="1601"/>
      <c r="M51" s="260"/>
      <c r="N51" s="260"/>
      <c r="O51" s="268">
        <f t="shared" si="2"/>
        <v>2025</v>
      </c>
    </row>
    <row r="52" spans="1:15" s="269" customFormat="1" ht="26.25" customHeight="1">
      <c r="A52" s="260"/>
      <c r="B52" s="1590"/>
      <c r="C52" s="261" t="s">
        <v>527</v>
      </c>
      <c r="D52" s="1602" t="s">
        <v>537</v>
      </c>
      <c r="E52" s="1604">
        <f>SUM(H52:$H$115)-SUM(E53:E$115)</f>
        <v>35999999.999999523</v>
      </c>
      <c r="F52" s="262" t="s">
        <v>529</v>
      </c>
      <c r="G52" s="263">
        <v>17000000</v>
      </c>
      <c r="H52" s="264">
        <f t="shared" si="0"/>
        <v>17000000</v>
      </c>
      <c r="I52" s="265">
        <v>45924</v>
      </c>
      <c r="J52" s="266">
        <v>3.5000000000000003E-2</v>
      </c>
      <c r="K52" s="267" t="s">
        <v>376</v>
      </c>
      <c r="L52" s="1602" t="s">
        <v>530</v>
      </c>
      <c r="M52" s="260"/>
      <c r="N52" s="260"/>
      <c r="O52" s="268">
        <f t="shared" si="2"/>
        <v>2025</v>
      </c>
    </row>
    <row r="53" spans="1:15" s="269" customFormat="1" ht="26.25" customHeight="1">
      <c r="A53" s="260"/>
      <c r="B53" s="1590"/>
      <c r="C53" s="261" t="s">
        <v>527</v>
      </c>
      <c r="D53" s="1603"/>
      <c r="E53" s="1605"/>
      <c r="F53" s="271" t="s">
        <v>529</v>
      </c>
      <c r="G53" s="263">
        <v>19000000</v>
      </c>
      <c r="H53" s="264">
        <f t="shared" si="0"/>
        <v>19000000</v>
      </c>
      <c r="I53" s="285">
        <v>45928</v>
      </c>
      <c r="J53" s="266">
        <v>3.5000000000000003E-2</v>
      </c>
      <c r="K53" s="267" t="s">
        <v>376</v>
      </c>
      <c r="L53" s="1603"/>
      <c r="M53" s="260"/>
      <c r="N53" s="260"/>
      <c r="O53" s="268">
        <f t="shared" si="2"/>
        <v>2025</v>
      </c>
    </row>
    <row r="54" spans="1:15" s="269" customFormat="1" ht="26.25" customHeight="1">
      <c r="A54" s="260"/>
      <c r="B54" s="1590"/>
      <c r="C54" s="261" t="s">
        <v>527</v>
      </c>
      <c r="D54" s="1602" t="s">
        <v>538</v>
      </c>
      <c r="E54" s="1604">
        <f>SUM(H54:$H$115)-SUM(E55:E$115)</f>
        <v>98300000</v>
      </c>
      <c r="F54" s="271" t="s">
        <v>529</v>
      </c>
      <c r="G54" s="263">
        <v>17000000</v>
      </c>
      <c r="H54" s="264">
        <f t="shared" si="0"/>
        <v>17000000</v>
      </c>
      <c r="I54" s="286">
        <v>45602</v>
      </c>
      <c r="J54" s="274">
        <v>4.8500000000000001E-2</v>
      </c>
      <c r="K54" s="267" t="s">
        <v>376</v>
      </c>
      <c r="L54" s="1602" t="s">
        <v>530</v>
      </c>
      <c r="M54" s="260"/>
      <c r="N54" s="260"/>
      <c r="O54" s="268">
        <f t="shared" si="2"/>
        <v>2024</v>
      </c>
    </row>
    <row r="55" spans="1:15" s="269" customFormat="1" ht="26.25" customHeight="1">
      <c r="A55" s="260"/>
      <c r="B55" s="1590"/>
      <c r="C55" s="261" t="s">
        <v>527</v>
      </c>
      <c r="D55" s="1606"/>
      <c r="E55" s="1607"/>
      <c r="F55" s="271" t="s">
        <v>529</v>
      </c>
      <c r="G55" s="263">
        <v>9900000</v>
      </c>
      <c r="H55" s="264">
        <f t="shared" si="0"/>
        <v>9900000</v>
      </c>
      <c r="I55" s="265">
        <v>45631</v>
      </c>
      <c r="J55" s="274">
        <v>4.8500000000000001E-2</v>
      </c>
      <c r="K55" s="267" t="s">
        <v>376</v>
      </c>
      <c r="L55" s="1606"/>
      <c r="M55" s="260"/>
      <c r="N55" s="260"/>
      <c r="O55" s="268">
        <f t="shared" si="2"/>
        <v>2024</v>
      </c>
    </row>
    <row r="56" spans="1:15" s="269" customFormat="1" ht="26.25" customHeight="1">
      <c r="A56" s="260"/>
      <c r="B56" s="1590"/>
      <c r="C56" s="261" t="s">
        <v>527</v>
      </c>
      <c r="D56" s="1606"/>
      <c r="E56" s="1607"/>
      <c r="F56" s="271" t="s">
        <v>529</v>
      </c>
      <c r="G56" s="263">
        <v>9000000</v>
      </c>
      <c r="H56" s="264">
        <f t="shared" si="0"/>
        <v>9000000</v>
      </c>
      <c r="I56" s="265">
        <v>45609</v>
      </c>
      <c r="J56" s="274">
        <v>4.8500000000000001E-2</v>
      </c>
      <c r="K56" s="267" t="s">
        <v>376</v>
      </c>
      <c r="L56" s="1606"/>
      <c r="M56" s="260"/>
      <c r="N56" s="260"/>
      <c r="O56" s="268">
        <f t="shared" si="2"/>
        <v>2024</v>
      </c>
    </row>
    <row r="57" spans="1:15" s="269" customFormat="1" ht="26.25" customHeight="1">
      <c r="A57" s="260"/>
      <c r="B57" s="1590"/>
      <c r="C57" s="261" t="s">
        <v>527</v>
      </c>
      <c r="D57" s="1606"/>
      <c r="E57" s="1607"/>
      <c r="F57" s="271" t="s">
        <v>529</v>
      </c>
      <c r="G57" s="263">
        <v>4000000</v>
      </c>
      <c r="H57" s="264">
        <f t="shared" si="0"/>
        <v>4000000</v>
      </c>
      <c r="I57" s="265">
        <v>45721</v>
      </c>
      <c r="J57" s="274">
        <v>4.8500000000000001E-2</v>
      </c>
      <c r="K57" s="267" t="s">
        <v>376</v>
      </c>
      <c r="L57" s="1606"/>
      <c r="M57" s="260"/>
      <c r="N57" s="260"/>
      <c r="O57" s="268">
        <f t="shared" si="2"/>
        <v>2025</v>
      </c>
    </row>
    <row r="58" spans="1:15" s="269" customFormat="1" ht="26.25" customHeight="1">
      <c r="A58" s="260"/>
      <c r="B58" s="1590"/>
      <c r="C58" s="261" t="s">
        <v>527</v>
      </c>
      <c r="D58" s="1606"/>
      <c r="E58" s="1607"/>
      <c r="F58" s="271" t="s">
        <v>529</v>
      </c>
      <c r="G58" s="263">
        <v>28600000</v>
      </c>
      <c r="H58" s="264">
        <f t="shared" si="0"/>
        <v>28600000</v>
      </c>
      <c r="I58" s="265">
        <v>45742</v>
      </c>
      <c r="J58" s="274">
        <v>4.8500000000000001E-2</v>
      </c>
      <c r="K58" s="267" t="s">
        <v>376</v>
      </c>
      <c r="L58" s="1606"/>
      <c r="M58" s="260"/>
      <c r="N58" s="260"/>
      <c r="O58" s="268">
        <f t="shared" si="2"/>
        <v>2025</v>
      </c>
    </row>
    <row r="59" spans="1:15" s="269" customFormat="1" ht="26.25" customHeight="1">
      <c r="A59" s="260"/>
      <c r="B59" s="1590"/>
      <c r="C59" s="261" t="s">
        <v>527</v>
      </c>
      <c r="D59" s="1606"/>
      <c r="E59" s="1607"/>
      <c r="F59" s="271" t="s">
        <v>529</v>
      </c>
      <c r="G59" s="263">
        <v>22900000</v>
      </c>
      <c r="H59" s="264">
        <f t="shared" si="0"/>
        <v>22900000</v>
      </c>
      <c r="I59" s="265">
        <v>45741</v>
      </c>
      <c r="J59" s="274">
        <v>4.8500000000000001E-2</v>
      </c>
      <c r="K59" s="267" t="s">
        <v>376</v>
      </c>
      <c r="L59" s="1606"/>
      <c r="M59" s="260"/>
      <c r="N59" s="260"/>
      <c r="O59" s="268">
        <f t="shared" si="2"/>
        <v>2025</v>
      </c>
    </row>
    <row r="60" spans="1:15" s="269" customFormat="1" ht="26.25" customHeight="1">
      <c r="A60" s="260"/>
      <c r="B60" s="1590"/>
      <c r="C60" s="261" t="s">
        <v>527</v>
      </c>
      <c r="D60" s="1603"/>
      <c r="E60" s="1605"/>
      <c r="F60" s="271" t="s">
        <v>529</v>
      </c>
      <c r="G60" s="263">
        <v>6900000</v>
      </c>
      <c r="H60" s="264">
        <f t="shared" si="0"/>
        <v>6900000</v>
      </c>
      <c r="I60" s="265">
        <v>45736</v>
      </c>
      <c r="J60" s="274">
        <v>4.8500000000000001E-2</v>
      </c>
      <c r="K60" s="267" t="s">
        <v>376</v>
      </c>
      <c r="L60" s="1603"/>
      <c r="M60" s="260"/>
      <c r="N60" s="260"/>
      <c r="O60" s="268">
        <f t="shared" si="2"/>
        <v>2025</v>
      </c>
    </row>
    <row r="61" spans="1:15" s="269" customFormat="1" ht="26.25" customHeight="1">
      <c r="A61" s="260"/>
      <c r="B61" s="1590"/>
      <c r="C61" s="261" t="s">
        <v>527</v>
      </c>
      <c r="D61" s="1599" t="s">
        <v>539</v>
      </c>
      <c r="E61" s="1595">
        <f>SUM(H61:$H$115)-SUM(E62:E$115)</f>
        <v>75000000.000000238</v>
      </c>
      <c r="F61" s="271" t="s">
        <v>529</v>
      </c>
      <c r="G61" s="263">
        <v>35000000</v>
      </c>
      <c r="H61" s="264">
        <f t="shared" si="0"/>
        <v>35000000</v>
      </c>
      <c r="I61" s="287">
        <v>45695</v>
      </c>
      <c r="J61" s="274">
        <v>3.9E-2</v>
      </c>
      <c r="K61" s="267" t="s">
        <v>376</v>
      </c>
      <c r="L61" s="1599" t="s">
        <v>530</v>
      </c>
      <c r="M61" s="260"/>
      <c r="N61" s="260"/>
      <c r="O61" s="268">
        <f t="shared" si="2"/>
        <v>2025</v>
      </c>
    </row>
    <row r="62" spans="1:15" s="269" customFormat="1" ht="26.25" customHeight="1">
      <c r="A62" s="260"/>
      <c r="B62" s="1590"/>
      <c r="C62" s="261" t="s">
        <v>527</v>
      </c>
      <c r="D62" s="1601"/>
      <c r="E62" s="1597"/>
      <c r="F62" s="271" t="s">
        <v>529</v>
      </c>
      <c r="G62" s="263">
        <v>40000000</v>
      </c>
      <c r="H62" s="264">
        <f t="shared" si="0"/>
        <v>40000000</v>
      </c>
      <c r="I62" s="287">
        <v>45694</v>
      </c>
      <c r="J62" s="274">
        <v>3.9E-2</v>
      </c>
      <c r="K62" s="267" t="s">
        <v>376</v>
      </c>
      <c r="L62" s="1601"/>
      <c r="M62" s="260"/>
      <c r="N62" s="260"/>
      <c r="O62" s="268">
        <f t="shared" si="2"/>
        <v>2025</v>
      </c>
    </row>
    <row r="63" spans="1:15" s="269" customFormat="1" ht="26.25" customHeight="1">
      <c r="A63" s="260"/>
      <c r="B63" s="1590"/>
      <c r="C63" s="261" t="s">
        <v>527</v>
      </c>
      <c r="D63" s="1599" t="s">
        <v>540</v>
      </c>
      <c r="E63" s="1595">
        <f>SUM(H63:$H$115)-SUM(E64:E$115)</f>
        <v>20000000</v>
      </c>
      <c r="F63" s="271" t="s">
        <v>529</v>
      </c>
      <c r="G63" s="263">
        <v>10000000</v>
      </c>
      <c r="H63" s="264">
        <f t="shared" si="0"/>
        <v>10000000</v>
      </c>
      <c r="I63" s="285">
        <v>45661</v>
      </c>
      <c r="J63" s="274">
        <v>0.04</v>
      </c>
      <c r="K63" s="267" t="s">
        <v>376</v>
      </c>
      <c r="L63" s="1599" t="s">
        <v>530</v>
      </c>
      <c r="M63" s="260"/>
      <c r="N63" s="260"/>
      <c r="O63" s="268">
        <f t="shared" si="2"/>
        <v>2025</v>
      </c>
    </row>
    <row r="64" spans="1:15" s="269" customFormat="1" ht="26.25" customHeight="1">
      <c r="A64" s="260"/>
      <c r="B64" s="1590"/>
      <c r="C64" s="261" t="s">
        <v>527</v>
      </c>
      <c r="D64" s="1600"/>
      <c r="E64" s="1596"/>
      <c r="F64" s="271" t="s">
        <v>529</v>
      </c>
      <c r="G64" s="263">
        <v>3000000</v>
      </c>
      <c r="H64" s="264">
        <f t="shared" si="0"/>
        <v>3000000</v>
      </c>
      <c r="I64" s="288">
        <v>45839</v>
      </c>
      <c r="J64" s="274">
        <v>4.3499999999999997E-2</v>
      </c>
      <c r="K64" s="267" t="s">
        <v>376</v>
      </c>
      <c r="L64" s="1600"/>
      <c r="M64" s="260"/>
      <c r="N64" s="260"/>
      <c r="O64" s="268">
        <f t="shared" si="2"/>
        <v>2025</v>
      </c>
    </row>
    <row r="65" spans="1:15" s="269" customFormat="1" ht="26.25" customHeight="1">
      <c r="A65" s="260"/>
      <c r="B65" s="1590"/>
      <c r="C65" s="261" t="s">
        <v>527</v>
      </c>
      <c r="D65" s="1601"/>
      <c r="E65" s="1597"/>
      <c r="F65" s="271" t="s">
        <v>529</v>
      </c>
      <c r="G65" s="263">
        <v>7000000</v>
      </c>
      <c r="H65" s="264">
        <f t="shared" si="0"/>
        <v>7000000</v>
      </c>
      <c r="I65" s="265">
        <v>45769</v>
      </c>
      <c r="J65" s="274">
        <v>4.3499999999999997E-2</v>
      </c>
      <c r="K65" s="267" t="s">
        <v>376</v>
      </c>
      <c r="L65" s="1601"/>
      <c r="M65" s="260"/>
      <c r="N65" s="260"/>
      <c r="O65" s="268">
        <f t="shared" si="2"/>
        <v>2025</v>
      </c>
    </row>
    <row r="66" spans="1:15" s="269" customFormat="1" ht="26.25" customHeight="1">
      <c r="A66" s="260"/>
      <c r="B66" s="1590"/>
      <c r="C66" s="261" t="s">
        <v>527</v>
      </c>
      <c r="D66" s="289" t="s">
        <v>541</v>
      </c>
      <c r="E66" s="272">
        <f>SUM(H66:$H$115)-SUM(E67:E$115)</f>
        <v>9900000</v>
      </c>
      <c r="F66" s="271" t="s">
        <v>529</v>
      </c>
      <c r="G66" s="263">
        <v>9900000</v>
      </c>
      <c r="H66" s="264">
        <f t="shared" si="0"/>
        <v>9900000</v>
      </c>
      <c r="I66" s="285">
        <v>45797</v>
      </c>
      <c r="J66" s="274">
        <v>4.4999999999999998E-2</v>
      </c>
      <c r="K66" s="267" t="s">
        <v>376</v>
      </c>
      <c r="L66" s="289" t="s">
        <v>530</v>
      </c>
      <c r="M66" s="260"/>
      <c r="N66" s="260"/>
      <c r="O66" s="268">
        <f t="shared" si="2"/>
        <v>2025</v>
      </c>
    </row>
    <row r="67" spans="1:15" s="269" customFormat="1" ht="26.25" customHeight="1">
      <c r="A67" s="260"/>
      <c r="B67" s="1590"/>
      <c r="C67" s="261" t="s">
        <v>527</v>
      </c>
      <c r="D67" s="289" t="s">
        <v>542</v>
      </c>
      <c r="E67" s="272">
        <f>SUM(H67:$H$115)-SUM(E68:E$115)</f>
        <v>8857142.9000000954</v>
      </c>
      <c r="F67" s="271" t="s">
        <v>529</v>
      </c>
      <c r="G67" s="263">
        <v>8857142.9000000004</v>
      </c>
      <c r="H67" s="264">
        <f t="shared" ref="H67:H119" si="3">VLOOKUP(F67,$B$121:$D$124,3,0)*G67</f>
        <v>8857142.9000000004</v>
      </c>
      <c r="I67" s="285">
        <v>45697</v>
      </c>
      <c r="J67" s="274">
        <v>5.5E-2</v>
      </c>
      <c r="K67" s="267" t="s">
        <v>386</v>
      </c>
      <c r="L67" s="289" t="s">
        <v>530</v>
      </c>
      <c r="M67" s="260"/>
      <c r="N67" s="260"/>
      <c r="O67" s="268">
        <f t="shared" si="2"/>
        <v>2025</v>
      </c>
    </row>
    <row r="68" spans="1:15" s="269" customFormat="1" ht="26.25" customHeight="1">
      <c r="A68" s="260"/>
      <c r="B68" s="1590"/>
      <c r="C68" s="261" t="s">
        <v>527</v>
      </c>
      <c r="D68" s="289" t="s">
        <v>543</v>
      </c>
      <c r="E68" s="272">
        <f>SUM(H68:$H$115)-SUM(E69:E$115)</f>
        <v>148000000</v>
      </c>
      <c r="F68" s="271" t="s">
        <v>529</v>
      </c>
      <c r="G68" s="263">
        <v>148000000</v>
      </c>
      <c r="H68" s="264">
        <f t="shared" si="3"/>
        <v>148000000</v>
      </c>
      <c r="I68" s="285">
        <v>45725</v>
      </c>
      <c r="J68" s="290">
        <v>2.9499999999999998E-2</v>
      </c>
      <c r="K68" s="267" t="s">
        <v>386</v>
      </c>
      <c r="L68" s="289" t="s">
        <v>530</v>
      </c>
      <c r="M68" s="260"/>
      <c r="N68" s="260"/>
      <c r="O68" s="268">
        <f t="shared" si="2"/>
        <v>2025</v>
      </c>
    </row>
    <row r="69" spans="1:15" s="269" customFormat="1" ht="32.65" customHeight="1">
      <c r="A69" s="260"/>
      <c r="B69" s="1590"/>
      <c r="C69" s="261" t="s">
        <v>527</v>
      </c>
      <c r="D69" s="1599" t="s">
        <v>544</v>
      </c>
      <c r="E69" s="1595">
        <f>SUM(H69:$H$115)-SUM(E70:E$115)</f>
        <v>50000000</v>
      </c>
      <c r="F69" s="271" t="s">
        <v>529</v>
      </c>
      <c r="G69" s="263">
        <v>30000000</v>
      </c>
      <c r="H69" s="264">
        <f t="shared" si="3"/>
        <v>30000000</v>
      </c>
      <c r="I69" s="265">
        <v>45784</v>
      </c>
      <c r="J69" s="291">
        <v>3.4500000000000003E-2</v>
      </c>
      <c r="K69" s="267" t="s">
        <v>376</v>
      </c>
      <c r="L69" s="1599" t="s">
        <v>530</v>
      </c>
      <c r="M69" s="260"/>
      <c r="N69" s="260"/>
      <c r="O69" s="268">
        <f t="shared" si="2"/>
        <v>2025</v>
      </c>
    </row>
    <row r="70" spans="1:15" s="269" customFormat="1" ht="32.65" customHeight="1">
      <c r="A70" s="260"/>
      <c r="B70" s="1590"/>
      <c r="C70" s="261" t="s">
        <v>527</v>
      </c>
      <c r="D70" s="1601"/>
      <c r="E70" s="1597"/>
      <c r="F70" s="271" t="s">
        <v>529</v>
      </c>
      <c r="G70" s="263">
        <v>20000000</v>
      </c>
      <c r="H70" s="264">
        <f t="shared" si="3"/>
        <v>20000000</v>
      </c>
      <c r="I70" s="273">
        <v>45827</v>
      </c>
      <c r="J70" s="291">
        <v>3.4500000000000003E-2</v>
      </c>
      <c r="K70" s="267" t="s">
        <v>376</v>
      </c>
      <c r="L70" s="1601"/>
      <c r="M70" s="260"/>
      <c r="N70" s="260"/>
      <c r="O70" s="268">
        <f t="shared" si="2"/>
        <v>2025</v>
      </c>
    </row>
    <row r="71" spans="1:15" s="269" customFormat="1" ht="32.65" customHeight="1">
      <c r="A71" s="260"/>
      <c r="B71" s="1591"/>
      <c r="C71" s="261" t="s">
        <v>527</v>
      </c>
      <c r="D71" s="289" t="s">
        <v>545</v>
      </c>
      <c r="E71" s="272">
        <f>SUM(H71:$H$115)-SUM(E72:E$115)</f>
        <v>30000000</v>
      </c>
      <c r="F71" s="271" t="s">
        <v>529</v>
      </c>
      <c r="G71" s="263">
        <v>30000000</v>
      </c>
      <c r="H71" s="264">
        <f t="shared" si="3"/>
        <v>30000000</v>
      </c>
      <c r="I71" s="292">
        <v>45770</v>
      </c>
      <c r="J71" s="293">
        <v>4.5999999999999999E-2</v>
      </c>
      <c r="K71" s="267" t="s">
        <v>376</v>
      </c>
      <c r="L71" s="289" t="s">
        <v>530</v>
      </c>
      <c r="M71" s="260"/>
      <c r="N71" s="260"/>
      <c r="O71" s="268">
        <f t="shared" si="2"/>
        <v>2025</v>
      </c>
    </row>
    <row r="72" spans="1:15" s="269" customFormat="1" ht="32.65" customHeight="1">
      <c r="A72" s="260"/>
      <c r="B72" s="1592" t="s">
        <v>546</v>
      </c>
      <c r="C72" s="271" t="s">
        <v>546</v>
      </c>
      <c r="D72" s="271" t="s">
        <v>528</v>
      </c>
      <c r="E72" s="272">
        <f>SUM(H72:$H$115)-SUM(E73:E$115)</f>
        <v>30000000</v>
      </c>
      <c r="F72" s="262" t="s">
        <v>529</v>
      </c>
      <c r="G72" s="263">
        <v>30000000</v>
      </c>
      <c r="H72" s="264">
        <f t="shared" si="3"/>
        <v>30000000</v>
      </c>
      <c r="I72" s="265">
        <v>45958</v>
      </c>
      <c r="J72" s="274">
        <v>3.6499999999999998E-2</v>
      </c>
      <c r="K72" s="267" t="s">
        <v>376</v>
      </c>
      <c r="L72" s="271" t="s">
        <v>530</v>
      </c>
      <c r="M72" s="260"/>
      <c r="N72" s="260"/>
      <c r="O72" s="268">
        <f t="shared" si="2"/>
        <v>2025</v>
      </c>
    </row>
    <row r="73" spans="1:15" s="269" customFormat="1" ht="32.65" customHeight="1">
      <c r="A73" s="260"/>
      <c r="B73" s="1593"/>
      <c r="C73" s="271" t="s">
        <v>546</v>
      </c>
      <c r="D73" s="271" t="s">
        <v>532</v>
      </c>
      <c r="E73" s="272">
        <f>SUM(H73:$H$115)-SUM(E74:E$115)</f>
        <v>10000000</v>
      </c>
      <c r="F73" s="271" t="s">
        <v>529</v>
      </c>
      <c r="G73" s="263">
        <v>10000000</v>
      </c>
      <c r="H73" s="264">
        <f t="shared" si="3"/>
        <v>10000000</v>
      </c>
      <c r="I73" s="294">
        <v>45939</v>
      </c>
      <c r="J73" s="295">
        <v>4.8000000000000001E-2</v>
      </c>
      <c r="K73" s="267" t="s">
        <v>376</v>
      </c>
      <c r="L73" s="271" t="s">
        <v>530</v>
      </c>
      <c r="M73" s="260"/>
      <c r="N73" s="260"/>
      <c r="O73" s="268">
        <f t="shared" si="2"/>
        <v>2025</v>
      </c>
    </row>
    <row r="74" spans="1:15" s="269" customFormat="1" ht="32.65" customHeight="1">
      <c r="A74" s="260"/>
      <c r="B74" s="1593"/>
      <c r="C74" s="271" t="s">
        <v>546</v>
      </c>
      <c r="D74" s="1592" t="s">
        <v>547</v>
      </c>
      <c r="E74" s="1595">
        <f>SUM(H74:$H$115)-SUM(E75:E$115)</f>
        <v>37980000</v>
      </c>
      <c r="F74" s="271" t="s">
        <v>529</v>
      </c>
      <c r="G74" s="263">
        <v>33980000</v>
      </c>
      <c r="H74" s="264">
        <f t="shared" si="3"/>
        <v>33980000</v>
      </c>
      <c r="I74" s="265">
        <v>45784</v>
      </c>
      <c r="J74" s="274">
        <v>4.4999999999999998E-2</v>
      </c>
      <c r="K74" s="296" t="s">
        <v>376</v>
      </c>
      <c r="L74" s="1592" t="s">
        <v>530</v>
      </c>
      <c r="M74" s="260"/>
      <c r="N74" s="260"/>
      <c r="O74" s="268">
        <f t="shared" si="2"/>
        <v>2025</v>
      </c>
    </row>
    <row r="75" spans="1:15" s="269" customFormat="1" ht="32.65" customHeight="1">
      <c r="A75" s="260"/>
      <c r="B75" s="1594"/>
      <c r="C75" s="271" t="s">
        <v>546</v>
      </c>
      <c r="D75" s="1594"/>
      <c r="E75" s="1597"/>
      <c r="F75" s="271" t="s">
        <v>529</v>
      </c>
      <c r="G75" s="263">
        <v>4000000</v>
      </c>
      <c r="H75" s="264">
        <f t="shared" si="3"/>
        <v>4000000</v>
      </c>
      <c r="I75" s="265">
        <v>45632</v>
      </c>
      <c r="J75" s="274">
        <v>4.8000000000000001E-2</v>
      </c>
      <c r="K75" s="296" t="s">
        <v>376</v>
      </c>
      <c r="L75" s="1594"/>
      <c r="M75" s="260"/>
      <c r="N75" s="260"/>
      <c r="O75" s="268">
        <f t="shared" si="2"/>
        <v>2024</v>
      </c>
    </row>
    <row r="76" spans="1:15" s="269" customFormat="1" ht="32.65" customHeight="1">
      <c r="A76" s="260"/>
      <c r="B76" s="1592" t="s">
        <v>548</v>
      </c>
      <c r="C76" s="271" t="s">
        <v>548</v>
      </c>
      <c r="D76" s="271" t="s">
        <v>528</v>
      </c>
      <c r="E76" s="272">
        <f>SUM(H76:$H$115)-SUM(E77:E$115)</f>
        <v>20000000</v>
      </c>
      <c r="F76" s="262" t="s">
        <v>529</v>
      </c>
      <c r="G76" s="263">
        <v>20000000</v>
      </c>
      <c r="H76" s="264">
        <f t="shared" si="3"/>
        <v>20000000</v>
      </c>
      <c r="I76" s="265">
        <v>45615</v>
      </c>
      <c r="J76" s="274">
        <v>3.2000000000000001E-2</v>
      </c>
      <c r="K76" s="267" t="s">
        <v>376</v>
      </c>
      <c r="L76" s="271" t="s">
        <v>530</v>
      </c>
      <c r="M76" s="260"/>
      <c r="N76" s="260"/>
      <c r="O76" s="268">
        <f t="shared" si="2"/>
        <v>2024</v>
      </c>
    </row>
    <row r="77" spans="1:15" s="269" customFormat="1" ht="32.65" customHeight="1">
      <c r="A77" s="260"/>
      <c r="B77" s="1593"/>
      <c r="C77" s="271" t="s">
        <v>548</v>
      </c>
      <c r="D77" s="271" t="s">
        <v>531</v>
      </c>
      <c r="E77" s="272">
        <f>SUM(H77:$H$115)-SUM(E78:E$115)</f>
        <v>23000000</v>
      </c>
      <c r="F77" s="262" t="s">
        <v>529</v>
      </c>
      <c r="G77" s="263">
        <v>23000000</v>
      </c>
      <c r="H77" s="264">
        <f t="shared" si="3"/>
        <v>23000000</v>
      </c>
      <c r="I77" s="297">
        <v>45890</v>
      </c>
      <c r="J77" s="298">
        <v>6.9000000000000006E-2</v>
      </c>
      <c r="K77" s="267" t="s">
        <v>376</v>
      </c>
      <c r="L77" s="271" t="s">
        <v>530</v>
      </c>
      <c r="M77" s="260"/>
      <c r="N77" s="260"/>
      <c r="O77" s="268">
        <f t="shared" si="2"/>
        <v>2025</v>
      </c>
    </row>
    <row r="78" spans="1:15" s="269" customFormat="1" ht="26.25" customHeight="1">
      <c r="A78" s="260"/>
      <c r="B78" s="1594"/>
      <c r="C78" s="271" t="s">
        <v>548</v>
      </c>
      <c r="D78" s="271" t="s">
        <v>532</v>
      </c>
      <c r="E78" s="272">
        <f>SUM(H78:$H$115)-SUM(E79:E$115)</f>
        <v>20000000</v>
      </c>
      <c r="F78" s="271" t="s">
        <v>529</v>
      </c>
      <c r="G78" s="263">
        <v>20000000</v>
      </c>
      <c r="H78" s="264">
        <f t="shared" si="3"/>
        <v>20000000</v>
      </c>
      <c r="I78" s="299">
        <v>45825</v>
      </c>
      <c r="J78" s="300">
        <v>4.4999999999999998E-2</v>
      </c>
      <c r="K78" s="267" t="s">
        <v>376</v>
      </c>
      <c r="L78" s="271" t="s">
        <v>530</v>
      </c>
      <c r="M78" s="260"/>
      <c r="N78" s="260"/>
      <c r="O78" s="268">
        <f t="shared" si="2"/>
        <v>2025</v>
      </c>
    </row>
    <row r="79" spans="1:15" s="260" customFormat="1" ht="26.25" customHeight="1">
      <c r="B79" s="1589" t="s">
        <v>549</v>
      </c>
      <c r="C79" s="261" t="s">
        <v>549</v>
      </c>
      <c r="D79" s="271" t="s">
        <v>528</v>
      </c>
      <c r="E79" s="272">
        <f>SUM(H79:$H$115)-SUM(E80:E$115)</f>
        <v>10000000</v>
      </c>
      <c r="F79" s="262" t="s">
        <v>529</v>
      </c>
      <c r="G79" s="263">
        <v>10000000</v>
      </c>
      <c r="H79" s="264">
        <f t="shared" si="3"/>
        <v>10000000</v>
      </c>
      <c r="I79" s="297">
        <v>45919</v>
      </c>
      <c r="J79" s="266">
        <v>3.0499999999999999E-2</v>
      </c>
      <c r="K79" s="267" t="s">
        <v>376</v>
      </c>
      <c r="L79" s="271" t="s">
        <v>530</v>
      </c>
      <c r="O79" s="268">
        <f t="shared" si="2"/>
        <v>2025</v>
      </c>
    </row>
    <row r="80" spans="1:15" s="269" customFormat="1" ht="26.25" customHeight="1">
      <c r="A80" s="260"/>
      <c r="B80" s="1590"/>
      <c r="C80" s="271" t="s">
        <v>549</v>
      </c>
      <c r="D80" s="271" t="s">
        <v>550</v>
      </c>
      <c r="E80" s="272">
        <f>SUM(H80:$H$115)-SUM(E81:E$115)</f>
        <v>5000000</v>
      </c>
      <c r="F80" s="271" t="s">
        <v>529</v>
      </c>
      <c r="G80" s="263">
        <v>5000000</v>
      </c>
      <c r="H80" s="264">
        <f t="shared" si="3"/>
        <v>5000000</v>
      </c>
      <c r="I80" s="297">
        <v>45700</v>
      </c>
      <c r="J80" s="266">
        <v>4.0500000000000001E-2</v>
      </c>
      <c r="K80" s="296" t="s">
        <v>376</v>
      </c>
      <c r="L80" s="271" t="s">
        <v>530</v>
      </c>
      <c r="M80" s="260"/>
      <c r="N80" s="260"/>
      <c r="O80" s="268">
        <f t="shared" si="2"/>
        <v>2025</v>
      </c>
    </row>
    <row r="81" spans="1:15" s="269" customFormat="1" ht="26.25" customHeight="1">
      <c r="A81" s="260"/>
      <c r="B81" s="1591"/>
      <c r="C81" s="261" t="s">
        <v>549</v>
      </c>
      <c r="D81" s="289" t="s">
        <v>536</v>
      </c>
      <c r="E81" s="272">
        <f>SUM(H81:$H$115)-SUM(E82:E$115)</f>
        <v>10000000</v>
      </c>
      <c r="F81" s="271" t="s">
        <v>529</v>
      </c>
      <c r="G81" s="263">
        <v>10000000</v>
      </c>
      <c r="H81" s="264">
        <f t="shared" si="3"/>
        <v>10000000</v>
      </c>
      <c r="I81" s="265">
        <v>45882</v>
      </c>
      <c r="J81" s="277">
        <v>0.04</v>
      </c>
      <c r="K81" s="267" t="s">
        <v>376</v>
      </c>
      <c r="L81" s="289" t="s">
        <v>530</v>
      </c>
      <c r="M81" s="260"/>
      <c r="N81" s="260"/>
      <c r="O81" s="268">
        <f t="shared" si="2"/>
        <v>2025</v>
      </c>
    </row>
    <row r="82" spans="1:15" s="269" customFormat="1" ht="26.25" customHeight="1">
      <c r="A82" s="260"/>
      <c r="B82" s="261" t="s">
        <v>551</v>
      </c>
      <c r="C82" s="261" t="s">
        <v>551</v>
      </c>
      <c r="D82" s="271" t="s">
        <v>528</v>
      </c>
      <c r="E82" s="272">
        <f>SUM(H82:$H$115)-SUM(E83:E$115)</f>
        <v>10000000</v>
      </c>
      <c r="F82" s="262" t="s">
        <v>529</v>
      </c>
      <c r="G82" s="263">
        <v>10000000</v>
      </c>
      <c r="H82" s="264">
        <f t="shared" si="3"/>
        <v>10000000</v>
      </c>
      <c r="I82" s="297">
        <v>45734</v>
      </c>
      <c r="J82" s="266">
        <v>3.0499999999999999E-2</v>
      </c>
      <c r="K82" s="267" t="s">
        <v>376</v>
      </c>
      <c r="L82" s="271" t="s">
        <v>530</v>
      </c>
      <c r="M82" s="260"/>
      <c r="N82" s="260"/>
      <c r="O82" s="268">
        <f t="shared" si="2"/>
        <v>2025</v>
      </c>
    </row>
    <row r="83" spans="1:15" s="269" customFormat="1" ht="26.25" customHeight="1">
      <c r="A83" s="260"/>
      <c r="B83" s="1592" t="s">
        <v>552</v>
      </c>
      <c r="C83" s="271" t="s">
        <v>552</v>
      </c>
      <c r="D83" s="271" t="s">
        <v>550</v>
      </c>
      <c r="E83" s="272">
        <f>SUM(H83:$H$115)-SUM(E84:E$115)</f>
        <v>9999999.9999995232</v>
      </c>
      <c r="F83" s="271" t="s">
        <v>529</v>
      </c>
      <c r="G83" s="263">
        <v>10000000</v>
      </c>
      <c r="H83" s="264">
        <f t="shared" si="3"/>
        <v>10000000</v>
      </c>
      <c r="I83" s="297">
        <v>45700</v>
      </c>
      <c r="J83" s="266">
        <v>4.0500000000000001E-2</v>
      </c>
      <c r="K83" s="296" t="s">
        <v>376</v>
      </c>
      <c r="L83" s="1598" t="s">
        <v>553</v>
      </c>
      <c r="M83" s="260"/>
      <c r="N83" s="260"/>
      <c r="O83" s="268">
        <f t="shared" ref="O83:O111" si="4">YEAR(I83)</f>
        <v>2025</v>
      </c>
    </row>
    <row r="84" spans="1:15" s="269" customFormat="1" ht="26.25" customHeight="1">
      <c r="A84" s="260"/>
      <c r="B84" s="1593"/>
      <c r="C84" s="271" t="s">
        <v>552</v>
      </c>
      <c r="D84" s="271" t="s">
        <v>528</v>
      </c>
      <c r="E84" s="272">
        <f>SUM(H84:$H$115)-SUM(E85:E$115)</f>
        <v>42793600.000000238</v>
      </c>
      <c r="F84" s="271" t="s">
        <v>529</v>
      </c>
      <c r="G84" s="263">
        <v>42793600</v>
      </c>
      <c r="H84" s="264">
        <f t="shared" si="3"/>
        <v>42793600</v>
      </c>
      <c r="I84" s="285">
        <v>47107</v>
      </c>
      <c r="J84" s="301">
        <v>4.3450000000000003E-2</v>
      </c>
      <c r="K84" s="267" t="s">
        <v>386</v>
      </c>
      <c r="L84" s="1593"/>
      <c r="M84" s="260"/>
      <c r="N84" s="260"/>
      <c r="O84" s="268">
        <f t="shared" si="4"/>
        <v>2028</v>
      </c>
    </row>
    <row r="85" spans="1:15" s="269" customFormat="1" ht="26.25" customHeight="1">
      <c r="A85" s="260"/>
      <c r="B85" s="1593"/>
      <c r="C85" s="271" t="s">
        <v>552</v>
      </c>
      <c r="D85" s="271" t="s">
        <v>533</v>
      </c>
      <c r="E85" s="272">
        <f>SUM(H85:$H$115)-SUM(E86:E$115)</f>
        <v>35272300.000000238</v>
      </c>
      <c r="F85" s="271" t="s">
        <v>529</v>
      </c>
      <c r="G85" s="263">
        <v>35272300</v>
      </c>
      <c r="H85" s="264">
        <f t="shared" si="3"/>
        <v>35272300</v>
      </c>
      <c r="I85" s="285">
        <v>47107</v>
      </c>
      <c r="J85" s="301">
        <v>4.4949999999999997E-2</v>
      </c>
      <c r="K85" s="267" t="s">
        <v>386</v>
      </c>
      <c r="L85" s="1593"/>
      <c r="M85" s="260"/>
      <c r="N85" s="260"/>
      <c r="O85" s="268">
        <f t="shared" si="4"/>
        <v>2028</v>
      </c>
    </row>
    <row r="86" spans="1:15" s="269" customFormat="1" ht="26.25" customHeight="1">
      <c r="A86" s="260"/>
      <c r="B86" s="1594"/>
      <c r="C86" s="271" t="s">
        <v>552</v>
      </c>
      <c r="D86" s="271" t="s">
        <v>535</v>
      </c>
      <c r="E86" s="272">
        <f>SUM(H86:$H$115)-SUM(E87:E$115)</f>
        <v>35272300.000000477</v>
      </c>
      <c r="F86" s="271" t="s">
        <v>529</v>
      </c>
      <c r="G86" s="263">
        <v>35272300</v>
      </c>
      <c r="H86" s="264">
        <f t="shared" si="3"/>
        <v>35272300</v>
      </c>
      <c r="I86" s="285">
        <v>47107</v>
      </c>
      <c r="J86" s="301">
        <v>5.1450000000000003E-2</v>
      </c>
      <c r="K86" s="267" t="s">
        <v>386</v>
      </c>
      <c r="L86" s="1594"/>
      <c r="M86" s="260"/>
      <c r="N86" s="260"/>
      <c r="O86" s="268">
        <f t="shared" si="4"/>
        <v>2028</v>
      </c>
    </row>
    <row r="87" spans="1:15" s="269" customFormat="1" ht="26.25" customHeight="1">
      <c r="A87" s="260"/>
      <c r="B87" s="1592" t="s">
        <v>554</v>
      </c>
      <c r="C87" s="271" t="s">
        <v>554</v>
      </c>
      <c r="D87" s="1592" t="s">
        <v>555</v>
      </c>
      <c r="E87" s="1595">
        <f>SUM(H87:$H$115)-SUM(E88:E$115)</f>
        <v>1045284003.5641097</v>
      </c>
      <c r="F87" s="271" t="s">
        <v>556</v>
      </c>
      <c r="G87" s="263">
        <v>1189529.05</v>
      </c>
      <c r="H87" s="264">
        <f t="shared" si="3"/>
        <v>10981732.1896</v>
      </c>
      <c r="I87" s="285" t="s">
        <v>557</v>
      </c>
      <c r="J87" s="302" t="s">
        <v>558</v>
      </c>
      <c r="K87" s="267" t="s">
        <v>559</v>
      </c>
      <c r="L87" s="1592" t="s">
        <v>530</v>
      </c>
      <c r="M87" s="260"/>
      <c r="N87" s="260"/>
      <c r="O87" s="268">
        <v>2024</v>
      </c>
    </row>
    <row r="88" spans="1:15" s="269" customFormat="1" ht="26.25" customHeight="1">
      <c r="A88" s="260"/>
      <c r="B88" s="1593"/>
      <c r="C88" s="271" t="str">
        <f t="shared" ref="C88:C94" si="5">C87</f>
        <v>Brunel</v>
      </c>
      <c r="D88" s="1593"/>
      <c r="E88" s="1596"/>
      <c r="F88" s="271" t="s">
        <v>556</v>
      </c>
      <c r="G88" s="263">
        <v>5029260.18</v>
      </c>
      <c r="H88" s="264">
        <f t="shared" si="3"/>
        <v>46430129.981759995</v>
      </c>
      <c r="I88" s="285">
        <v>45625</v>
      </c>
      <c r="J88" s="302" t="s">
        <v>560</v>
      </c>
      <c r="K88" s="267" t="s">
        <v>559</v>
      </c>
      <c r="L88" s="1593"/>
      <c r="M88" s="260"/>
      <c r="N88" s="260"/>
      <c r="O88" s="268">
        <v>2024</v>
      </c>
    </row>
    <row r="89" spans="1:15" s="269" customFormat="1" ht="26.25" customHeight="1">
      <c r="A89" s="260"/>
      <c r="B89" s="1593"/>
      <c r="C89" s="271" t="str">
        <f t="shared" si="5"/>
        <v>Brunel</v>
      </c>
      <c r="D89" s="1593"/>
      <c r="E89" s="1596"/>
      <c r="F89" s="271" t="s">
        <v>556</v>
      </c>
      <c r="G89" s="263">
        <v>5000720.75</v>
      </c>
      <c r="H89" s="264">
        <f t="shared" si="3"/>
        <v>46166653.963999994</v>
      </c>
      <c r="I89" s="285">
        <v>45657</v>
      </c>
      <c r="J89" s="303" t="s">
        <v>560</v>
      </c>
      <c r="K89" s="267" t="s">
        <v>559</v>
      </c>
      <c r="L89" s="1593"/>
      <c r="M89" s="260"/>
      <c r="N89" s="260"/>
      <c r="O89" s="268">
        <v>2024</v>
      </c>
    </row>
    <row r="90" spans="1:15" s="269" customFormat="1" ht="26.25" customHeight="1">
      <c r="A90" s="260"/>
      <c r="B90" s="1593"/>
      <c r="C90" s="271" t="str">
        <f t="shared" si="5"/>
        <v>Brunel</v>
      </c>
      <c r="D90" s="1593"/>
      <c r="E90" s="1596"/>
      <c r="F90" s="271" t="s">
        <v>556</v>
      </c>
      <c r="G90" s="263">
        <v>86358.420000000027</v>
      </c>
      <c r="H90" s="264">
        <f t="shared" si="3"/>
        <v>797260.93344000017</v>
      </c>
      <c r="I90" s="285">
        <v>45863</v>
      </c>
      <c r="J90" s="303">
        <v>3.9399999999999998E-2</v>
      </c>
      <c r="K90" s="267" t="s">
        <v>561</v>
      </c>
      <c r="L90" s="1593"/>
      <c r="M90" s="260"/>
      <c r="N90" s="260"/>
      <c r="O90" s="268">
        <v>2024</v>
      </c>
    </row>
    <row r="91" spans="1:15" s="269" customFormat="1" ht="26.25" customHeight="1">
      <c r="A91" s="260"/>
      <c r="B91" s="1593"/>
      <c r="C91" s="271" t="str">
        <f t="shared" si="5"/>
        <v>Brunel</v>
      </c>
      <c r="D91" s="1593"/>
      <c r="E91" s="1596"/>
      <c r="F91" s="271" t="s">
        <v>556</v>
      </c>
      <c r="G91" s="263">
        <v>77644.450000000041</v>
      </c>
      <c r="H91" s="264">
        <f t="shared" si="3"/>
        <v>716813.56240000029</v>
      </c>
      <c r="I91" s="285" t="s">
        <v>562</v>
      </c>
      <c r="J91" s="303">
        <v>3.9300000000000002E-2</v>
      </c>
      <c r="K91" s="267" t="s">
        <v>561</v>
      </c>
      <c r="L91" s="1593"/>
      <c r="M91" s="260"/>
      <c r="N91" s="260"/>
      <c r="O91" s="268">
        <v>2025</v>
      </c>
    </row>
    <row r="92" spans="1:15" s="269" customFormat="1" ht="26.25" customHeight="1">
      <c r="A92" s="260"/>
      <c r="B92" s="1593"/>
      <c r="C92" s="271" t="str">
        <f t="shared" si="5"/>
        <v>Brunel</v>
      </c>
      <c r="D92" s="1593"/>
      <c r="E92" s="1596"/>
      <c r="F92" s="271" t="s">
        <v>556</v>
      </c>
      <c r="G92" s="263">
        <v>660772.95999999973</v>
      </c>
      <c r="H92" s="264">
        <f t="shared" si="3"/>
        <v>6100255.9667199971</v>
      </c>
      <c r="I92" s="285" t="s">
        <v>563</v>
      </c>
      <c r="J92" s="303">
        <v>3.9199999999999999E-2</v>
      </c>
      <c r="K92" s="267" t="s">
        <v>561</v>
      </c>
      <c r="L92" s="1593"/>
      <c r="M92" s="260"/>
      <c r="N92" s="260"/>
      <c r="O92" s="268">
        <v>2025</v>
      </c>
    </row>
    <row r="93" spans="1:15" s="269" customFormat="1" ht="26.25" customHeight="1">
      <c r="A93" s="260"/>
      <c r="B93" s="1593"/>
      <c r="C93" s="271" t="str">
        <f t="shared" si="5"/>
        <v>Brunel</v>
      </c>
      <c r="D93" s="1593"/>
      <c r="E93" s="1596"/>
      <c r="F93" s="271" t="s">
        <v>556</v>
      </c>
      <c r="G93" s="263">
        <v>366169.51999999984</v>
      </c>
      <c r="H93" s="264">
        <f t="shared" si="3"/>
        <v>3380477.0086399983</v>
      </c>
      <c r="I93" s="285" t="s">
        <v>564</v>
      </c>
      <c r="J93" s="303">
        <v>3.9616289443299701E-2</v>
      </c>
      <c r="K93" s="267" t="s">
        <v>561</v>
      </c>
      <c r="L93" s="1593"/>
      <c r="M93" s="260"/>
      <c r="N93" s="260"/>
      <c r="O93" s="268">
        <v>2026</v>
      </c>
    </row>
    <row r="94" spans="1:15" s="269" customFormat="1" ht="26.25" customHeight="1">
      <c r="A94" s="260"/>
      <c r="B94" s="1593"/>
      <c r="C94" s="271" t="str">
        <f t="shared" si="5"/>
        <v>Brunel</v>
      </c>
      <c r="D94" s="1593"/>
      <c r="E94" s="1596"/>
      <c r="F94" s="271" t="s">
        <v>556</v>
      </c>
      <c r="G94" s="263">
        <v>150653.39999999988</v>
      </c>
      <c r="H94" s="264">
        <f t="shared" si="3"/>
        <v>1390832.1887999987</v>
      </c>
      <c r="I94" s="285">
        <v>46352</v>
      </c>
      <c r="J94" s="304">
        <v>3.9875879467928817E-2</v>
      </c>
      <c r="K94" s="267" t="s">
        <v>561</v>
      </c>
      <c r="L94" s="1593"/>
      <c r="M94" s="260"/>
      <c r="N94" s="260"/>
      <c r="O94" s="268">
        <v>2026</v>
      </c>
    </row>
    <row r="95" spans="1:15" s="269" customFormat="1" ht="26.25" customHeight="1">
      <c r="A95" s="260"/>
      <c r="B95" s="1592" t="s">
        <v>565</v>
      </c>
      <c r="C95" s="271" t="s">
        <v>565</v>
      </c>
      <c r="D95" s="1592" t="s">
        <v>566</v>
      </c>
      <c r="E95" s="1595">
        <f>SUM(H95:$H$96)</f>
        <v>185333419.29300001</v>
      </c>
      <c r="F95" s="271" t="s">
        <v>567</v>
      </c>
      <c r="G95" s="263">
        <v>4121308</v>
      </c>
      <c r="H95" s="264">
        <f t="shared" si="3"/>
        <v>21113873.014800001</v>
      </c>
      <c r="I95" s="285">
        <v>47090</v>
      </c>
      <c r="J95" s="304">
        <v>7.2900000000000006E-2</v>
      </c>
      <c r="K95" s="267" t="s">
        <v>559</v>
      </c>
      <c r="L95" s="1592" t="s">
        <v>530</v>
      </c>
      <c r="M95" s="260"/>
      <c r="N95" s="260"/>
      <c r="O95" s="268">
        <f t="shared" si="4"/>
        <v>2028</v>
      </c>
    </row>
    <row r="96" spans="1:15" s="269" customFormat="1" ht="26.25" customHeight="1">
      <c r="A96" s="260"/>
      <c r="B96" s="1594"/>
      <c r="C96" s="271" t="s">
        <v>565</v>
      </c>
      <c r="D96" s="1594"/>
      <c r="E96" s="1597"/>
      <c r="F96" s="271" t="s">
        <v>567</v>
      </c>
      <c r="G96" s="263">
        <v>32054722</v>
      </c>
      <c r="H96" s="264">
        <f t="shared" si="3"/>
        <v>164219546.2782</v>
      </c>
      <c r="I96" s="305">
        <v>54692</v>
      </c>
      <c r="J96" s="304">
        <v>6.7000000000000004E-2</v>
      </c>
      <c r="K96" s="267" t="s">
        <v>386</v>
      </c>
      <c r="L96" s="1594"/>
      <c r="M96" s="260"/>
      <c r="N96" s="260"/>
      <c r="O96" s="268">
        <f t="shared" si="4"/>
        <v>2049</v>
      </c>
    </row>
    <row r="97" spans="1:15" s="269" customFormat="1" ht="26.25" customHeight="1">
      <c r="A97" s="260"/>
      <c r="B97" s="1592" t="s">
        <v>568</v>
      </c>
      <c r="C97" s="271" t="s">
        <v>568</v>
      </c>
      <c r="D97" s="306" t="s">
        <v>569</v>
      </c>
      <c r="E97" s="272">
        <v>126000000</v>
      </c>
      <c r="F97" s="271" t="s">
        <v>570</v>
      </c>
      <c r="G97" s="263">
        <v>123000000</v>
      </c>
      <c r="H97" s="264">
        <f t="shared" si="3"/>
        <v>876375000</v>
      </c>
      <c r="I97" s="305">
        <v>46066</v>
      </c>
      <c r="J97" s="307" t="s">
        <v>571</v>
      </c>
      <c r="K97" s="267" t="s">
        <v>386</v>
      </c>
      <c r="L97" s="271" t="s">
        <v>530</v>
      </c>
      <c r="M97" s="260"/>
      <c r="N97" s="260"/>
      <c r="O97" s="268">
        <f t="shared" si="4"/>
        <v>2026</v>
      </c>
    </row>
    <row r="98" spans="1:15" s="269" customFormat="1" ht="26.25" customHeight="1">
      <c r="A98" s="260"/>
      <c r="B98" s="1593"/>
      <c r="C98" s="271"/>
      <c r="D98" s="308" t="s">
        <v>572</v>
      </c>
      <c r="E98" s="272">
        <v>28780726.829999998</v>
      </c>
      <c r="F98" s="271" t="s">
        <v>570</v>
      </c>
      <c r="G98" s="263">
        <v>28780726.829999998</v>
      </c>
      <c r="H98" s="264">
        <f t="shared" si="3"/>
        <v>205062678.66374999</v>
      </c>
      <c r="I98" s="305">
        <v>46796</v>
      </c>
      <c r="J98" s="307" t="s">
        <v>573</v>
      </c>
      <c r="K98" s="267" t="s">
        <v>386</v>
      </c>
      <c r="L98" s="271" t="s">
        <v>530</v>
      </c>
      <c r="M98" s="260"/>
      <c r="N98" s="260"/>
      <c r="O98" s="268"/>
    </row>
    <row r="99" spans="1:15" s="269" customFormat="1" ht="26.25" customHeight="1">
      <c r="A99" s="260"/>
      <c r="B99" s="1593"/>
      <c r="C99" s="271" t="e">
        <f>#REF!</f>
        <v>#REF!</v>
      </c>
      <c r="D99" s="308" t="s">
        <v>574</v>
      </c>
      <c r="E99" s="272">
        <v>434758.52</v>
      </c>
      <c r="F99" s="271" t="s">
        <v>570</v>
      </c>
      <c r="G99" s="263">
        <v>434758.52</v>
      </c>
      <c r="H99" s="264">
        <f t="shared" si="3"/>
        <v>3097654.4550000001</v>
      </c>
      <c r="I99" s="305">
        <v>45850</v>
      </c>
      <c r="J99" s="304">
        <v>7.9899999999999999E-2</v>
      </c>
      <c r="K99" s="267" t="s">
        <v>575</v>
      </c>
      <c r="L99" s="271" t="s">
        <v>530</v>
      </c>
      <c r="M99" s="260"/>
      <c r="N99" s="260"/>
      <c r="O99" s="268">
        <f t="shared" si="4"/>
        <v>2025</v>
      </c>
    </row>
    <row r="100" spans="1:15" s="269" customFormat="1" ht="26.25" customHeight="1">
      <c r="A100" s="260"/>
      <c r="B100" s="1589" t="s">
        <v>527</v>
      </c>
      <c r="C100" s="261" t="s">
        <v>527</v>
      </c>
      <c r="D100" s="289" t="s">
        <v>576</v>
      </c>
      <c r="E100" s="272">
        <f>SUM(H100:$H$115)-SUM(E101:E$115)</f>
        <v>17965557.810000002</v>
      </c>
      <c r="F100" s="271" t="s">
        <v>529</v>
      </c>
      <c r="G100" s="263">
        <v>17965557.809999999</v>
      </c>
      <c r="H100" s="264">
        <f t="shared" si="3"/>
        <v>17965557.809999999</v>
      </c>
      <c r="I100" s="285">
        <v>46396</v>
      </c>
      <c r="J100" s="304">
        <v>5.3999999999999999E-2</v>
      </c>
      <c r="K100" s="267" t="s">
        <v>389</v>
      </c>
      <c r="L100" s="289" t="s">
        <v>577</v>
      </c>
      <c r="M100" s="309" t="s">
        <v>578</v>
      </c>
      <c r="N100" s="260"/>
      <c r="O100" s="268">
        <f t="shared" si="4"/>
        <v>2027</v>
      </c>
    </row>
    <row r="101" spans="1:15" s="269" customFormat="1" ht="26.25" customHeight="1">
      <c r="A101" s="260"/>
      <c r="B101" s="1590"/>
      <c r="C101" s="271" t="s">
        <v>527</v>
      </c>
      <c r="D101" s="289" t="s">
        <v>579</v>
      </c>
      <c r="E101" s="272">
        <f>SUM(H101:$H$115)-SUM(E102:E$115)</f>
        <v>7897860.849999994</v>
      </c>
      <c r="F101" s="271" t="s">
        <v>529</v>
      </c>
      <c r="G101" s="263">
        <v>7897860.8499999996</v>
      </c>
      <c r="H101" s="264">
        <f t="shared" si="3"/>
        <v>7897860.8499999996</v>
      </c>
      <c r="I101" s="265">
        <v>46446</v>
      </c>
      <c r="J101" s="304">
        <v>8.2504681420429299E-2</v>
      </c>
      <c r="K101" s="267" t="s">
        <v>387</v>
      </c>
      <c r="L101" s="289" t="s">
        <v>577</v>
      </c>
      <c r="M101" s="310" t="s">
        <v>580</v>
      </c>
      <c r="N101" s="260"/>
      <c r="O101" s="268">
        <f t="shared" si="4"/>
        <v>2027</v>
      </c>
    </row>
    <row r="102" spans="1:15" s="269" customFormat="1" ht="26.25" customHeight="1">
      <c r="A102" s="260"/>
      <c r="B102" s="1590"/>
      <c r="C102" s="261" t="s">
        <v>527</v>
      </c>
      <c r="D102" s="1599" t="s">
        <v>581</v>
      </c>
      <c r="E102" s="1595">
        <f>SUM(H102:$H$115)-SUM(E103:E$115)</f>
        <v>14521585</v>
      </c>
      <c r="F102" s="271" t="s">
        <v>529</v>
      </c>
      <c r="G102" s="263">
        <v>4609599</v>
      </c>
      <c r="H102" s="264">
        <f t="shared" si="3"/>
        <v>4609599</v>
      </c>
      <c r="I102" s="311">
        <v>45986</v>
      </c>
      <c r="J102" s="304">
        <v>8.0937999999999996E-2</v>
      </c>
      <c r="K102" s="267" t="s">
        <v>387</v>
      </c>
      <c r="L102" s="1599" t="s">
        <v>577</v>
      </c>
      <c r="M102" s="309" t="s">
        <v>582</v>
      </c>
      <c r="N102" s="260"/>
      <c r="O102" s="268">
        <f t="shared" si="4"/>
        <v>2025</v>
      </c>
    </row>
    <row r="103" spans="1:15" s="269" customFormat="1" ht="26.25" customHeight="1">
      <c r="A103" s="260"/>
      <c r="B103" s="1590"/>
      <c r="C103" s="261" t="s">
        <v>527</v>
      </c>
      <c r="D103" s="1601"/>
      <c r="E103" s="1597"/>
      <c r="F103" s="271" t="s">
        <v>529</v>
      </c>
      <c r="G103" s="263">
        <v>9911986</v>
      </c>
      <c r="H103" s="264">
        <f t="shared" si="3"/>
        <v>9911986</v>
      </c>
      <c r="I103" s="285">
        <v>46410</v>
      </c>
      <c r="J103" s="304">
        <v>8.7752778765755005E-2</v>
      </c>
      <c r="K103" s="267" t="s">
        <v>387</v>
      </c>
      <c r="L103" s="1601"/>
      <c r="M103" s="309" t="s">
        <v>582</v>
      </c>
      <c r="N103" s="260"/>
      <c r="O103" s="268">
        <f t="shared" si="4"/>
        <v>2027</v>
      </c>
    </row>
    <row r="104" spans="1:15" s="269" customFormat="1" ht="26.25" customHeight="1">
      <c r="A104" s="260"/>
      <c r="B104" s="1590"/>
      <c r="C104" s="261" t="s">
        <v>527</v>
      </c>
      <c r="D104" s="289" t="s">
        <v>583</v>
      </c>
      <c r="E104" s="272">
        <f>SUM(H104:$H$115)-SUM(E105:E$115)</f>
        <v>5561111.0799999982</v>
      </c>
      <c r="F104" s="271" t="s">
        <v>529</v>
      </c>
      <c r="G104" s="263">
        <v>5561111.0800000001</v>
      </c>
      <c r="H104" s="264">
        <f t="shared" si="3"/>
        <v>5561111.0800000001</v>
      </c>
      <c r="I104" s="285">
        <v>46255</v>
      </c>
      <c r="J104" s="304">
        <v>6.7825689999999994E-2</v>
      </c>
      <c r="K104" s="267" t="s">
        <v>387</v>
      </c>
      <c r="L104" s="289" t="s">
        <v>577</v>
      </c>
      <c r="M104" s="312" t="s">
        <v>584</v>
      </c>
      <c r="N104" s="260"/>
      <c r="O104" s="268">
        <f t="shared" si="4"/>
        <v>2026</v>
      </c>
    </row>
    <row r="105" spans="1:15" s="269" customFormat="1" ht="26.25" customHeight="1">
      <c r="A105" s="260"/>
      <c r="B105" s="1591"/>
      <c r="C105" s="261" t="s">
        <v>527</v>
      </c>
      <c r="D105" s="289" t="s">
        <v>585</v>
      </c>
      <c r="E105" s="272">
        <f>SUM(H105:$H$115)-SUM(E106:E$115)</f>
        <v>5379999.9999999851</v>
      </c>
      <c r="F105" s="271" t="s">
        <v>529</v>
      </c>
      <c r="G105" s="263">
        <v>5380000</v>
      </c>
      <c r="H105" s="264">
        <f t="shared" si="3"/>
        <v>5380000</v>
      </c>
      <c r="I105" s="285">
        <v>45984</v>
      </c>
      <c r="J105" s="304">
        <v>6.7619525E-2</v>
      </c>
      <c r="K105" s="267" t="s">
        <v>387</v>
      </c>
      <c r="L105" s="289" t="s">
        <v>577</v>
      </c>
      <c r="M105" s="309" t="s">
        <v>586</v>
      </c>
      <c r="N105" s="260"/>
      <c r="O105" s="268">
        <f t="shared" si="4"/>
        <v>2025</v>
      </c>
    </row>
    <row r="106" spans="1:15" s="269" customFormat="1" ht="26.25" customHeight="1">
      <c r="A106" s="260"/>
      <c r="B106" s="1589" t="s">
        <v>548</v>
      </c>
      <c r="C106" s="261" t="s">
        <v>548</v>
      </c>
      <c r="D106" s="1599" t="s">
        <v>583</v>
      </c>
      <c r="E106" s="1595">
        <f>SUM(H106:$H$115)-SUM(E107:E$115)</f>
        <v>6879573.7300000116</v>
      </c>
      <c r="F106" s="271" t="s">
        <v>529</v>
      </c>
      <c r="G106" s="263">
        <v>1571240.43</v>
      </c>
      <c r="H106" s="264">
        <f t="shared" si="3"/>
        <v>1571240.43</v>
      </c>
      <c r="I106" s="285">
        <v>45752</v>
      </c>
      <c r="J106" s="304">
        <v>6.9830000000000003E-2</v>
      </c>
      <c r="K106" s="267" t="s">
        <v>387</v>
      </c>
      <c r="L106" s="1599" t="s">
        <v>577</v>
      </c>
      <c r="M106" s="309" t="s">
        <v>587</v>
      </c>
      <c r="N106" s="260"/>
      <c r="O106" s="268">
        <f t="shared" si="4"/>
        <v>2025</v>
      </c>
    </row>
    <row r="107" spans="1:15" s="269" customFormat="1" ht="26.25" customHeight="1">
      <c r="A107" s="260"/>
      <c r="B107" s="1591"/>
      <c r="C107" s="261" t="s">
        <v>548</v>
      </c>
      <c r="D107" s="1601"/>
      <c r="E107" s="1597"/>
      <c r="F107" s="271" t="s">
        <v>529</v>
      </c>
      <c r="G107" s="263">
        <v>5308333.3</v>
      </c>
      <c r="H107" s="264">
        <f t="shared" si="3"/>
        <v>5308333.3</v>
      </c>
      <c r="I107" s="285">
        <v>46395</v>
      </c>
      <c r="J107" s="304">
        <v>6.7000000000000004E-2</v>
      </c>
      <c r="K107" s="267" t="s">
        <v>387</v>
      </c>
      <c r="L107" s="1601"/>
      <c r="M107" s="309" t="s">
        <v>587</v>
      </c>
      <c r="N107" s="260"/>
      <c r="O107" s="268">
        <f t="shared" si="4"/>
        <v>2027</v>
      </c>
    </row>
    <row r="108" spans="1:15" s="269" customFormat="1" ht="26.25" customHeight="1">
      <c r="A108" s="260"/>
      <c r="B108" s="1592" t="s">
        <v>552</v>
      </c>
      <c r="C108" s="271" t="s">
        <v>552</v>
      </c>
      <c r="D108" s="289" t="s">
        <v>588</v>
      </c>
      <c r="E108" s="272">
        <f>SUM(H108:$H$115)-SUM(E109:E$115)</f>
        <v>35319246.840000011</v>
      </c>
      <c r="F108" s="271" t="s">
        <v>529</v>
      </c>
      <c r="G108" s="263">
        <v>35319246.840000004</v>
      </c>
      <c r="H108" s="264">
        <f t="shared" si="3"/>
        <v>35319246.840000004</v>
      </c>
      <c r="I108" s="285">
        <v>46045</v>
      </c>
      <c r="J108" s="304">
        <v>6.5973561138849696E-2</v>
      </c>
      <c r="K108" s="267" t="s">
        <v>387</v>
      </c>
      <c r="L108" s="289" t="s">
        <v>577</v>
      </c>
      <c r="M108" s="313" t="s">
        <v>589</v>
      </c>
      <c r="N108" s="260"/>
      <c r="O108" s="268">
        <f t="shared" si="4"/>
        <v>2026</v>
      </c>
    </row>
    <row r="109" spans="1:15" s="269" customFormat="1" ht="26.25" customHeight="1">
      <c r="A109" s="260"/>
      <c r="B109" s="1594"/>
      <c r="C109" s="271" t="s">
        <v>552</v>
      </c>
      <c r="D109" s="289" t="s">
        <v>579</v>
      </c>
      <c r="E109" s="314">
        <f>SUM(H109:$H$115)-SUM(E110:E$115)</f>
        <v>7827710.0100000016</v>
      </c>
      <c r="F109" s="271" t="s">
        <v>529</v>
      </c>
      <c r="G109" s="263">
        <v>7827710.0099999998</v>
      </c>
      <c r="H109" s="264">
        <f t="shared" si="3"/>
        <v>7827710.0099999998</v>
      </c>
      <c r="I109" s="285">
        <v>46412</v>
      </c>
      <c r="J109" s="304">
        <v>8.2504681420429299E-2</v>
      </c>
      <c r="K109" s="267" t="s">
        <v>387</v>
      </c>
      <c r="L109" s="289" t="s">
        <v>577</v>
      </c>
      <c r="M109" s="313" t="s">
        <v>590</v>
      </c>
      <c r="N109" s="260"/>
      <c r="O109" s="268">
        <f t="shared" si="4"/>
        <v>2027</v>
      </c>
    </row>
    <row r="110" spans="1:15" s="269" customFormat="1" ht="26.25" customHeight="1">
      <c r="A110" s="260"/>
      <c r="B110" s="1592" t="s">
        <v>546</v>
      </c>
      <c r="C110" s="271" t="s">
        <v>546</v>
      </c>
      <c r="D110" s="1600" t="s">
        <v>579</v>
      </c>
      <c r="E110" s="1608">
        <f>SUM(H110:$H$115)-SUM(E111:E$115)</f>
        <v>11335671.599999996</v>
      </c>
      <c r="F110" s="271" t="s">
        <v>529</v>
      </c>
      <c r="G110" s="263">
        <v>9049322.6799999997</v>
      </c>
      <c r="H110" s="264">
        <f t="shared" si="3"/>
        <v>9049322.6799999997</v>
      </c>
      <c r="I110" s="265">
        <v>46140</v>
      </c>
      <c r="J110" s="304">
        <v>8.2504681420429299E-2</v>
      </c>
      <c r="K110" s="267" t="s">
        <v>387</v>
      </c>
      <c r="L110" s="1600" t="s">
        <v>577</v>
      </c>
      <c r="M110" s="315" t="s">
        <v>591</v>
      </c>
      <c r="N110" s="260"/>
      <c r="O110" s="268">
        <f t="shared" si="4"/>
        <v>2026</v>
      </c>
    </row>
    <row r="111" spans="1:15" s="269" customFormat="1" ht="26.25" customHeight="1">
      <c r="A111" s="260"/>
      <c r="B111" s="1593"/>
      <c r="C111" s="271" t="s">
        <v>546</v>
      </c>
      <c r="D111" s="1601"/>
      <c r="E111" s="1608"/>
      <c r="F111" s="271" t="s">
        <v>529</v>
      </c>
      <c r="G111" s="263">
        <v>2286348.92</v>
      </c>
      <c r="H111" s="264">
        <f t="shared" si="3"/>
        <v>2286348.92</v>
      </c>
      <c r="I111" s="265">
        <v>46389</v>
      </c>
      <c r="J111" s="304">
        <v>8.2504681420429299E-2</v>
      </c>
      <c r="K111" s="267" t="s">
        <v>387</v>
      </c>
      <c r="L111" s="1601"/>
      <c r="M111" s="315" t="s">
        <v>591</v>
      </c>
      <c r="N111" s="260"/>
      <c r="O111" s="268">
        <f t="shared" si="4"/>
        <v>2027</v>
      </c>
    </row>
    <row r="112" spans="1:15" s="269" customFormat="1" ht="26.25" customHeight="1">
      <c r="A112" s="260"/>
      <c r="B112" s="1593"/>
      <c r="C112" s="271" t="s">
        <v>546</v>
      </c>
      <c r="D112" s="1599" t="s">
        <v>592</v>
      </c>
      <c r="E112" s="1608">
        <f>SUM(H112:$H$115)-SUM(E113:E$115)</f>
        <v>10742821.040000001</v>
      </c>
      <c r="F112" s="271" t="s">
        <v>529</v>
      </c>
      <c r="G112" s="263">
        <v>859863.92</v>
      </c>
      <c r="H112" s="264">
        <f t="shared" si="3"/>
        <v>859863.92</v>
      </c>
      <c r="I112" s="285">
        <v>46558</v>
      </c>
      <c r="J112" s="304">
        <v>9.0899999999999995E-2</v>
      </c>
      <c r="K112" s="267" t="s">
        <v>387</v>
      </c>
      <c r="L112" s="1609" t="s">
        <v>577</v>
      </c>
      <c r="M112" s="1610" t="s">
        <v>593</v>
      </c>
      <c r="N112" s="260"/>
      <c r="O112" s="268"/>
    </row>
    <row r="113" spans="1:15" s="269" customFormat="1" ht="26.25" customHeight="1">
      <c r="A113" s="260"/>
      <c r="B113" s="1593"/>
      <c r="C113" s="271" t="s">
        <v>546</v>
      </c>
      <c r="D113" s="1600"/>
      <c r="E113" s="1608"/>
      <c r="F113" s="271" t="s">
        <v>529</v>
      </c>
      <c r="G113" s="263">
        <v>4359727.95</v>
      </c>
      <c r="H113" s="264">
        <f t="shared" si="3"/>
        <v>4359727.95</v>
      </c>
      <c r="I113" s="285">
        <v>46589</v>
      </c>
      <c r="J113" s="304">
        <v>9.0899999999999995E-2</v>
      </c>
      <c r="K113" s="267" t="s">
        <v>387</v>
      </c>
      <c r="L113" s="1609"/>
      <c r="M113" s="1611"/>
      <c r="N113" s="260"/>
      <c r="O113" s="268">
        <f>YEAR(I113)</f>
        <v>2027</v>
      </c>
    </row>
    <row r="114" spans="1:15" s="269" customFormat="1" ht="26.25" customHeight="1">
      <c r="A114" s="260"/>
      <c r="B114" s="1593"/>
      <c r="C114" s="271" t="s">
        <v>546</v>
      </c>
      <c r="D114" s="1600"/>
      <c r="E114" s="1608"/>
      <c r="F114" s="271" t="s">
        <v>529</v>
      </c>
      <c r="G114" s="263">
        <v>3969573.52</v>
      </c>
      <c r="H114" s="264">
        <f t="shared" si="3"/>
        <v>3969573.52</v>
      </c>
      <c r="I114" s="285">
        <v>46599</v>
      </c>
      <c r="J114" s="304">
        <v>9.0899999999999995E-2</v>
      </c>
      <c r="K114" s="267" t="s">
        <v>387</v>
      </c>
      <c r="L114" s="1609"/>
      <c r="M114" s="1611"/>
      <c r="N114" s="260"/>
      <c r="O114" s="268">
        <f>YEAR(I114)</f>
        <v>2027</v>
      </c>
    </row>
    <row r="115" spans="1:15" s="269" customFormat="1" ht="26.25" customHeight="1">
      <c r="A115" s="260"/>
      <c r="B115" s="1594"/>
      <c r="C115" s="271" t="s">
        <v>546</v>
      </c>
      <c r="D115" s="1601"/>
      <c r="E115" s="1608"/>
      <c r="F115" s="271" t="s">
        <v>529</v>
      </c>
      <c r="G115" s="263">
        <v>1553655.65</v>
      </c>
      <c r="H115" s="264">
        <f t="shared" si="3"/>
        <v>1553655.65</v>
      </c>
      <c r="I115" s="285">
        <v>46583</v>
      </c>
      <c r="J115" s="304">
        <v>9.0899999999999995E-2</v>
      </c>
      <c r="K115" s="267" t="s">
        <v>387</v>
      </c>
      <c r="L115" s="1609"/>
      <c r="M115" s="1611"/>
      <c r="N115" s="260"/>
      <c r="O115" s="268">
        <f>YEAR(I115)</f>
        <v>2027</v>
      </c>
    </row>
    <row r="116" spans="1:15" s="319" customFormat="1" ht="22" customHeight="1">
      <c r="A116" s="260"/>
      <c r="B116" s="1612" t="s">
        <v>594</v>
      </c>
      <c r="C116" s="1612"/>
      <c r="D116" s="1612"/>
      <c r="E116" s="1612"/>
      <c r="F116" s="316" t="s">
        <v>529</v>
      </c>
      <c r="G116" s="317">
        <v>1528508132.0999999</v>
      </c>
      <c r="H116" s="264">
        <f t="shared" si="3"/>
        <v>1528508132.0999999</v>
      </c>
      <c r="I116" s="1613"/>
      <c r="J116" s="318"/>
      <c r="K116" s="318"/>
      <c r="L116" s="318"/>
      <c r="M116" s="261"/>
      <c r="N116" s="260"/>
      <c r="O116" s="268"/>
    </row>
    <row r="117" spans="1:15" s="269" customFormat="1" ht="22" customHeight="1">
      <c r="A117" s="260"/>
      <c r="B117" s="1612"/>
      <c r="C117" s="1612"/>
      <c r="D117" s="1612"/>
      <c r="E117" s="1612"/>
      <c r="F117" s="316" t="s">
        <v>570</v>
      </c>
      <c r="G117" s="317">
        <v>152215485.34999999</v>
      </c>
      <c r="H117" s="264">
        <f>VLOOKUP(F117,$B$121:$D$124,3,0)*G117</f>
        <v>1084535333.1187499</v>
      </c>
      <c r="I117" s="1613"/>
      <c r="J117" s="318"/>
      <c r="K117" s="318"/>
      <c r="L117" s="318"/>
      <c r="M117" s="261"/>
      <c r="N117" s="260"/>
      <c r="O117" s="268"/>
    </row>
    <row r="118" spans="1:15" s="269" customFormat="1" ht="22" customHeight="1">
      <c r="A118" s="260"/>
      <c r="B118" s="1612"/>
      <c r="C118" s="1612"/>
      <c r="D118" s="1612"/>
      <c r="E118" s="1612"/>
      <c r="F118" s="316" t="s">
        <v>567</v>
      </c>
      <c r="G118" s="317">
        <v>36176030</v>
      </c>
      <c r="H118" s="264">
        <f t="shared" si="3"/>
        <v>185333419.29300001</v>
      </c>
      <c r="I118" s="1613"/>
      <c r="J118" s="318"/>
      <c r="K118" s="318"/>
      <c r="L118" s="318"/>
      <c r="M118" s="261"/>
      <c r="N118" s="260"/>
      <c r="O118" s="268"/>
    </row>
    <row r="119" spans="1:15" s="269" customFormat="1" ht="22" customHeight="1">
      <c r="A119" s="260"/>
      <c r="B119" s="1612"/>
      <c r="C119" s="1612"/>
      <c r="D119" s="1612"/>
      <c r="E119" s="1612"/>
      <c r="F119" s="316" t="s">
        <v>556</v>
      </c>
      <c r="G119" s="317">
        <v>12561108.729999999</v>
      </c>
      <c r="H119" s="264">
        <f t="shared" si="3"/>
        <v>115964155.79535998</v>
      </c>
      <c r="I119" s="1613"/>
      <c r="J119" s="318"/>
      <c r="K119" s="318"/>
      <c r="L119" s="318"/>
      <c r="M119" s="261"/>
      <c r="N119" s="260"/>
      <c r="O119" s="268"/>
    </row>
    <row r="120" spans="1:15">
      <c r="B120" s="321" t="s">
        <v>595</v>
      </c>
      <c r="C120" s="321"/>
      <c r="D120" s="321"/>
      <c r="H120" s="324"/>
      <c r="I120" s="325"/>
      <c r="J120" s="325"/>
      <c r="K120" s="325"/>
      <c r="L120" s="325"/>
    </row>
    <row r="121" spans="1:15">
      <c r="B121" s="327" t="s">
        <v>570</v>
      </c>
      <c r="C121" s="327"/>
      <c r="D121" s="328">
        <v>7.125</v>
      </c>
      <c r="G121" s="324">
        <v>215.28283550704225</v>
      </c>
    </row>
    <row r="122" spans="1:15">
      <c r="B122" s="271" t="s">
        <v>567</v>
      </c>
      <c r="C122" s="271"/>
      <c r="D122" s="328">
        <v>5.1231</v>
      </c>
      <c r="G122" s="324"/>
    </row>
    <row r="123" spans="1:15">
      <c r="B123" s="329" t="s">
        <v>556</v>
      </c>
      <c r="C123" s="329"/>
      <c r="D123" s="328">
        <v>9.2319999999999993</v>
      </c>
    </row>
    <row r="124" spans="1:15">
      <c r="B124" s="329" t="s">
        <v>529</v>
      </c>
      <c r="C124" s="329"/>
      <c r="D124" s="328">
        <v>1</v>
      </c>
      <c r="G124" s="324"/>
    </row>
    <row r="125" spans="1:15">
      <c r="G125" s="324"/>
      <c r="H125" s="324"/>
    </row>
    <row r="126" spans="1:15" s="331" customFormat="1" ht="11.5">
      <c r="A126" s="320"/>
      <c r="F126" s="322"/>
      <c r="G126" s="323"/>
      <c r="H126" s="324"/>
      <c r="I126" s="320"/>
      <c r="J126" s="320"/>
      <c r="K126" s="320"/>
      <c r="L126" s="320"/>
      <c r="O126" s="326"/>
    </row>
    <row r="127" spans="1:15" s="331" customFormat="1" ht="11.5">
      <c r="A127" s="320"/>
      <c r="B127" s="330"/>
      <c r="C127" s="330"/>
      <c r="D127" s="322"/>
      <c r="E127" s="322"/>
      <c r="F127" s="322"/>
      <c r="G127" s="323"/>
      <c r="H127" s="323"/>
      <c r="I127" s="320"/>
      <c r="J127" s="320"/>
      <c r="K127" s="320"/>
      <c r="L127" s="320"/>
      <c r="O127" s="326"/>
    </row>
    <row r="129" spans="1:15" s="331" customFormat="1" ht="11.5">
      <c r="A129" s="320"/>
      <c r="B129" s="332" t="s">
        <v>596</v>
      </c>
      <c r="C129" s="332"/>
      <c r="D129" s="333"/>
      <c r="E129" s="334" t="s">
        <v>529</v>
      </c>
      <c r="F129" s="322"/>
      <c r="G129" s="323"/>
      <c r="H129" s="323"/>
      <c r="I129" s="320"/>
      <c r="J129" s="320"/>
      <c r="K129" s="320"/>
      <c r="L129" s="320"/>
      <c r="O129" s="326"/>
    </row>
    <row r="130" spans="1:15">
      <c r="B130" s="333"/>
      <c r="C130" s="333"/>
      <c r="D130" s="335">
        <v>2024</v>
      </c>
      <c r="E130" s="336">
        <f>SUMIF($O$3:$O$115,D130,$H$3:$H$115)</f>
        <v>279929777.06880003</v>
      </c>
    </row>
    <row r="131" spans="1:15" s="322" customFormat="1" ht="11.5">
      <c r="A131" s="320"/>
      <c r="B131" s="333"/>
      <c r="C131" s="333"/>
      <c r="D131" s="335">
        <v>2025</v>
      </c>
      <c r="E131" s="336">
        <f>SUMIF($O$3:$O$115,D131,$H$3:$H$115)</f>
        <v>1107860357.5541201</v>
      </c>
      <c r="F131" s="337"/>
      <c r="G131" s="323"/>
      <c r="H131" s="323"/>
      <c r="I131" s="320"/>
      <c r="J131" s="320"/>
      <c r="K131" s="320"/>
      <c r="L131" s="320"/>
      <c r="O131" s="338"/>
    </row>
    <row r="132" spans="1:15" s="322" customFormat="1" ht="11.5">
      <c r="A132" s="320"/>
      <c r="B132" s="333"/>
      <c r="C132" s="333"/>
      <c r="D132" s="335">
        <v>2026</v>
      </c>
      <c r="E132" s="336">
        <f>SUMIF($O$3:$O$115,D132,$H$3:$H$115)</f>
        <v>931075989.79744005</v>
      </c>
      <c r="G132" s="323"/>
      <c r="H132" s="323"/>
      <c r="I132" s="320"/>
      <c r="J132" s="320"/>
      <c r="K132" s="320"/>
      <c r="L132" s="320"/>
      <c r="O132" s="338"/>
    </row>
    <row r="133" spans="1:15" s="322" customFormat="1" ht="11.5">
      <c r="A133" s="320"/>
      <c r="B133" s="333"/>
      <c r="C133" s="333"/>
      <c r="D133" s="335">
        <v>2027</v>
      </c>
      <c r="E133" s="336">
        <f>SUMIF($O$3:$O$115,D133,$H$3:$H$115)</f>
        <v>61080754.009999998</v>
      </c>
      <c r="G133" s="323"/>
      <c r="H133" s="323"/>
      <c r="I133" s="320"/>
      <c r="J133" s="320"/>
      <c r="K133" s="320"/>
      <c r="L133" s="320"/>
      <c r="O133" s="338"/>
    </row>
    <row r="134" spans="1:15" s="322" customFormat="1" ht="11.5">
      <c r="A134" s="320"/>
      <c r="B134" s="333"/>
      <c r="C134" s="333"/>
      <c r="D134" s="335" t="s">
        <v>597</v>
      </c>
      <c r="E134" s="336">
        <f>E135-E130-E131-E132-E133</f>
        <v>534394161.87675023</v>
      </c>
      <c r="G134" s="323"/>
      <c r="H134" s="323"/>
      <c r="I134" s="320"/>
      <c r="J134" s="320"/>
      <c r="K134" s="320"/>
      <c r="L134" s="320"/>
      <c r="O134" s="338"/>
    </row>
    <row r="135" spans="1:15" s="322" customFormat="1" ht="11.5">
      <c r="A135" s="320"/>
      <c r="B135" s="330"/>
      <c r="C135" s="330"/>
      <c r="D135" s="336" t="s">
        <v>598</v>
      </c>
      <c r="E135" s="336">
        <f>H116+H117+H118+H119</f>
        <v>2914341040.3071103</v>
      </c>
      <c r="G135" s="323"/>
      <c r="H135" s="323"/>
      <c r="I135" s="320"/>
      <c r="J135" s="320"/>
      <c r="K135" s="320"/>
      <c r="L135" s="320"/>
      <c r="M135" s="339"/>
      <c r="O135" s="338"/>
    </row>
    <row r="136" spans="1:15">
      <c r="M136" s="340"/>
    </row>
  </sheetData>
  <autoFilter ref="A2:XFA138"/>
  <mergeCells count="71">
    <mergeCell ref="E112:E115"/>
    <mergeCell ref="L112:L115"/>
    <mergeCell ref="M112:M115"/>
    <mergeCell ref="B116:E119"/>
    <mergeCell ref="I116:I119"/>
    <mergeCell ref="B110:B115"/>
    <mergeCell ref="D110:D111"/>
    <mergeCell ref="E110:E111"/>
    <mergeCell ref="L110:L111"/>
    <mergeCell ref="D112:D115"/>
    <mergeCell ref="B106:B107"/>
    <mergeCell ref="D106:D107"/>
    <mergeCell ref="E106:E107"/>
    <mergeCell ref="L106:L107"/>
    <mergeCell ref="B108:B109"/>
    <mergeCell ref="B100:B105"/>
    <mergeCell ref="D102:D103"/>
    <mergeCell ref="E102:E103"/>
    <mergeCell ref="L102:L103"/>
    <mergeCell ref="B83:B86"/>
    <mergeCell ref="L83:L86"/>
    <mergeCell ref="B87:B94"/>
    <mergeCell ref="D87:D94"/>
    <mergeCell ref="E87:E94"/>
    <mergeCell ref="L87:L94"/>
    <mergeCell ref="B95:B96"/>
    <mergeCell ref="D95:D96"/>
    <mergeCell ref="E95:E96"/>
    <mergeCell ref="L95:L96"/>
    <mergeCell ref="B97:B99"/>
    <mergeCell ref="B79:B81"/>
    <mergeCell ref="D63:D65"/>
    <mergeCell ref="E63:E65"/>
    <mergeCell ref="L63:L65"/>
    <mergeCell ref="D69:D70"/>
    <mergeCell ref="E69:E70"/>
    <mergeCell ref="L69:L70"/>
    <mergeCell ref="B72:B75"/>
    <mergeCell ref="D74:D75"/>
    <mergeCell ref="E74:E75"/>
    <mergeCell ref="L74:L75"/>
    <mergeCell ref="B76:B78"/>
    <mergeCell ref="D54:D60"/>
    <mergeCell ref="E54:E60"/>
    <mergeCell ref="L54:L60"/>
    <mergeCell ref="D61:D62"/>
    <mergeCell ref="E61:E62"/>
    <mergeCell ref="L61:L62"/>
    <mergeCell ref="L22:L24"/>
    <mergeCell ref="D25:D51"/>
    <mergeCell ref="E25:E51"/>
    <mergeCell ref="L25:L51"/>
    <mergeCell ref="D52:D53"/>
    <mergeCell ref="E52:E53"/>
    <mergeCell ref="L52:L53"/>
    <mergeCell ref="B1:L1"/>
    <mergeCell ref="B3:B71"/>
    <mergeCell ref="D3:D7"/>
    <mergeCell ref="E3:E7"/>
    <mergeCell ref="L3:L7"/>
    <mergeCell ref="D9:D11"/>
    <mergeCell ref="E9:E11"/>
    <mergeCell ref="L9:L11"/>
    <mergeCell ref="D12:D16"/>
    <mergeCell ref="E12:E16"/>
    <mergeCell ref="L12:L16"/>
    <mergeCell ref="D17:D21"/>
    <mergeCell ref="E17:E21"/>
    <mergeCell ref="L17:L21"/>
    <mergeCell ref="D22:D24"/>
    <mergeCell ref="E22:E24"/>
  </mergeCells>
  <phoneticPr fontId="5" type="noConversion"/>
  <hyperlinks>
    <hyperlink ref="M100" location="'江苏艾兰得浙银金租-ivcn直租折现'!A1" display="江苏艾兰得浙银金租-ivcn直租折现'!A1"/>
    <hyperlink ref="M101" location="'台中银-IVCN'!A1" display="台中银-IVCN'!A1"/>
    <hyperlink ref="M102" location="'江苏金租(IVCN)'!A1" display="江苏金租(江苏艾兰得)'!A1"/>
    <hyperlink ref="M104" location="苏州金租公司利息ivcn!A1" display="苏州金租公司利息ivcn!A1"/>
    <hyperlink ref="M105" location="'永丰金租（IVCN）'!A1" display="永丰金租（江苏艾兰得）'!A1"/>
    <hyperlink ref="M103" location="'江苏金租(IVCN)'!A1" display="江苏金租(江苏艾兰得)'!A1"/>
    <hyperlink ref="M106" location="'苏州金租（泰州）'!A1" display="苏州金租（泰州）'!A1"/>
    <hyperlink ref="M107" location="'苏州金租（泰州）'!A1" display="苏州金租（泰州）'!A1"/>
    <hyperlink ref="M108" location="'恒艾中集（深圳市融资） '!A1" display="中集（恒艾） '!A1"/>
    <hyperlink ref="M109" location="'台中银-恒艾'!A1" display="台中银-恒艾'!A1"/>
    <hyperlink ref="M110" location="浙江台中金租!A1" display="浙江台中金租!A1"/>
    <hyperlink ref="M111" location="浙江台中金租!A1" display="浙江台中金租!A1"/>
    <hyperlink ref="M112:M115" location="'永赢金租（浙江）'!A1" display="永赢金租（浙江）'!A1"/>
  </hyperlinks>
  <pageMargins left="0.7" right="0.7" top="0.75" bottom="0.75" header="0.3" footer="0.3"/>
  <pageSetup paperSize="9" scale="26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C40"/>
  <sheetViews>
    <sheetView showGridLines="0" zoomScale="90" zoomScaleNormal="115" workbookViewId="0">
      <selection activeCell="C20" sqref="C20"/>
    </sheetView>
  </sheetViews>
  <sheetFormatPr defaultColWidth="8.83203125" defaultRowHeight="13"/>
  <cols>
    <col min="1" max="1" width="40.5" style="187" customWidth="1"/>
    <col min="2" max="2" width="19.33203125" style="187" customWidth="1"/>
    <col min="3" max="3" width="22.75" style="187" customWidth="1"/>
    <col min="4" max="16384" width="8.83203125" style="187"/>
  </cols>
  <sheetData>
    <row r="1" spans="1:3">
      <c r="A1" s="1614" t="s">
        <v>364</v>
      </c>
      <c r="B1" s="1614"/>
      <c r="C1" s="1614"/>
    </row>
    <row r="2" spans="1:3">
      <c r="A2" s="188"/>
      <c r="B2" s="188" t="s">
        <v>359</v>
      </c>
      <c r="C2" s="188" t="s">
        <v>360</v>
      </c>
    </row>
    <row r="3" spans="1:3" ht="26">
      <c r="A3" s="189" t="s">
        <v>362</v>
      </c>
      <c r="B3" s="190" t="s">
        <v>363</v>
      </c>
      <c r="C3" s="190" t="s">
        <v>363</v>
      </c>
    </row>
    <row r="4" spans="1:3">
      <c r="A4" s="191" t="s">
        <v>401</v>
      </c>
      <c r="B4" s="192"/>
      <c r="C4" s="192"/>
    </row>
    <row r="5" spans="1:3">
      <c r="A5" s="193" t="s">
        <v>402</v>
      </c>
      <c r="B5" s="194">
        <v>6621138020.7600002</v>
      </c>
      <c r="C5" s="194">
        <v>6969008489.5600004</v>
      </c>
    </row>
    <row r="6" spans="1:3">
      <c r="A6" s="193" t="s">
        <v>403</v>
      </c>
      <c r="B6" s="194">
        <v>89203831.209999993</v>
      </c>
      <c r="C6" s="194">
        <v>122141517.66</v>
      </c>
    </row>
    <row r="7" spans="1:3">
      <c r="A7" s="193" t="s">
        <v>404</v>
      </c>
      <c r="B7" s="194">
        <v>213358587.90000001</v>
      </c>
      <c r="C7" s="194">
        <v>365570407.18000001</v>
      </c>
    </row>
    <row r="8" spans="1:3">
      <c r="A8" s="191" t="s">
        <v>405</v>
      </c>
      <c r="B8" s="192">
        <f>SUM(B5:B7)</f>
        <v>6923700439.8699999</v>
      </c>
      <c r="C8" s="192">
        <v>7456720414.3999996</v>
      </c>
    </row>
    <row r="9" spans="1:3">
      <c r="A9" s="193" t="s">
        <v>406</v>
      </c>
      <c r="B9" s="194">
        <v>4979771488.0699997</v>
      </c>
      <c r="C9" s="194">
        <v>4877657790.2200003</v>
      </c>
    </row>
    <row r="10" spans="1:3">
      <c r="A10" s="193" t="s">
        <v>407</v>
      </c>
      <c r="B10" s="194">
        <v>1513321830.77</v>
      </c>
      <c r="C10" s="194">
        <v>1743254842.4400001</v>
      </c>
    </row>
    <row r="11" spans="1:3">
      <c r="A11" s="193" t="s">
        <v>408</v>
      </c>
      <c r="B11" s="194">
        <v>12062436.65</v>
      </c>
      <c r="C11" s="194">
        <v>31980816.190000001</v>
      </c>
    </row>
    <row r="12" spans="1:3">
      <c r="A12" s="193" t="s">
        <v>409</v>
      </c>
      <c r="B12" s="194">
        <v>508334301.72000003</v>
      </c>
      <c r="C12" s="194">
        <v>394787107.91000003</v>
      </c>
    </row>
    <row r="13" spans="1:3">
      <c r="A13" s="191" t="s">
        <v>410</v>
      </c>
      <c r="B13" s="192">
        <f>SUM(B9:B12)</f>
        <v>7013490057.21</v>
      </c>
      <c r="C13" s="192">
        <v>7047680556.7600002</v>
      </c>
    </row>
    <row r="14" spans="1:3">
      <c r="A14" s="191" t="s">
        <v>411</v>
      </c>
      <c r="B14" s="192">
        <f>B8-B13</f>
        <v>-89789617.340000153</v>
      </c>
      <c r="C14" s="192">
        <v>409039857.63999999</v>
      </c>
    </row>
    <row r="15" spans="1:3">
      <c r="A15" s="191" t="s">
        <v>412</v>
      </c>
      <c r="B15" s="194"/>
      <c r="C15" s="192"/>
    </row>
    <row r="16" spans="1:3">
      <c r="A16" s="193" t="s">
        <v>413</v>
      </c>
      <c r="B16" s="194"/>
      <c r="C16" s="192"/>
    </row>
    <row r="17" spans="1:3">
      <c r="A17" s="193" t="s">
        <v>414</v>
      </c>
      <c r="B17" s="194">
        <v>8166754.8200000003</v>
      </c>
      <c r="C17" s="194">
        <v>3093982.43</v>
      </c>
    </row>
    <row r="18" spans="1:3">
      <c r="A18" s="193" t="s">
        <v>415</v>
      </c>
      <c r="B18" s="194">
        <v>7762439.6399999997</v>
      </c>
      <c r="C18" s="194">
        <v>4896477.08</v>
      </c>
    </row>
    <row r="19" spans="1:3">
      <c r="A19" s="193" t="s">
        <v>416</v>
      </c>
      <c r="B19" s="194">
        <v>10235540.130000001</v>
      </c>
      <c r="C19" s="194">
        <v>0</v>
      </c>
    </row>
    <row r="20" spans="1:3">
      <c r="A20" s="191" t="s">
        <v>417</v>
      </c>
      <c r="B20" s="192">
        <f>SUM(B16:B19)</f>
        <v>26164734.590000004</v>
      </c>
      <c r="C20" s="192">
        <v>7990459.5099999998</v>
      </c>
    </row>
    <row r="21" spans="1:3">
      <c r="A21" s="193" t="s">
        <v>418</v>
      </c>
      <c r="B21" s="194">
        <v>287201720.16000003</v>
      </c>
      <c r="C21" s="194">
        <v>337533342.72000003</v>
      </c>
    </row>
    <row r="22" spans="1:3">
      <c r="A22" s="193" t="s">
        <v>419</v>
      </c>
      <c r="B22" s="194"/>
      <c r="C22" s="194">
        <v>8750000</v>
      </c>
    </row>
    <row r="23" spans="1:3">
      <c r="A23" s="193" t="s">
        <v>420</v>
      </c>
      <c r="B23" s="194">
        <v>228966947</v>
      </c>
      <c r="C23" s="194">
        <v>0</v>
      </c>
    </row>
    <row r="24" spans="1:3">
      <c r="A24" s="193" t="s">
        <v>421</v>
      </c>
      <c r="B24" s="194">
        <v>39066195.270000003</v>
      </c>
      <c r="C24" s="194">
        <v>0</v>
      </c>
    </row>
    <row r="25" spans="1:3">
      <c r="A25" s="191" t="s">
        <v>422</v>
      </c>
      <c r="B25" s="192">
        <f>SUM(B21:B24)</f>
        <v>555234862.43000007</v>
      </c>
      <c r="C25" s="192">
        <v>346283342.72000003</v>
      </c>
    </row>
    <row r="26" spans="1:3">
      <c r="A26" s="191" t="s">
        <v>423</v>
      </c>
      <c r="B26" s="195">
        <f>B20-B25</f>
        <v>-529070127.84000003</v>
      </c>
      <c r="C26" s="192">
        <v>-338292883.20999998</v>
      </c>
    </row>
    <row r="27" spans="1:3">
      <c r="A27" s="193" t="s">
        <v>424</v>
      </c>
      <c r="B27" s="194"/>
      <c r="C27" s="194"/>
    </row>
    <row r="28" spans="1:3">
      <c r="A28" s="193" t="s">
        <v>425</v>
      </c>
      <c r="B28" s="194">
        <v>32490500</v>
      </c>
      <c r="C28" s="194">
        <v>0</v>
      </c>
    </row>
    <row r="29" spans="1:3">
      <c r="A29" s="193" t="s">
        <v>426</v>
      </c>
      <c r="B29" s="194">
        <v>2381802288.8299999</v>
      </c>
      <c r="C29" s="194">
        <v>1577692176.6400001</v>
      </c>
    </row>
    <row r="30" spans="1:3">
      <c r="A30" s="193" t="s">
        <v>427</v>
      </c>
      <c r="B30" s="194"/>
      <c r="C30" s="192"/>
    </row>
    <row r="31" spans="1:3">
      <c r="A31" s="191" t="s">
        <v>428</v>
      </c>
      <c r="B31" s="192">
        <f>SUM(B28:B30)</f>
        <v>2414292788.8299999</v>
      </c>
      <c r="C31" s="192">
        <v>1577692176.6400001</v>
      </c>
    </row>
    <row r="32" spans="1:3">
      <c r="A32" s="193" t="s">
        <v>429</v>
      </c>
      <c r="B32" s="194">
        <v>2004310161.78</v>
      </c>
      <c r="C32" s="194">
        <v>1228519915.97</v>
      </c>
    </row>
    <row r="33" spans="1:3">
      <c r="A33" s="193" t="s">
        <v>430</v>
      </c>
      <c r="B33" s="194">
        <v>63983723.409999996</v>
      </c>
      <c r="C33" s="194">
        <v>200218820.09</v>
      </c>
    </row>
    <row r="34" spans="1:3">
      <c r="A34" s="193" t="s">
        <v>431</v>
      </c>
      <c r="B34" s="194">
        <v>76635913.390000001</v>
      </c>
      <c r="C34" s="194">
        <v>81703638.180000007</v>
      </c>
    </row>
    <row r="35" spans="1:3">
      <c r="A35" s="191" t="s">
        <v>432</v>
      </c>
      <c r="B35" s="192">
        <f>SUM(B32:B34)</f>
        <v>2144929798.5800002</v>
      </c>
      <c r="C35" s="192">
        <v>1510442374.24</v>
      </c>
    </row>
    <row r="36" spans="1:3">
      <c r="A36" s="191" t="s">
        <v>433</v>
      </c>
      <c r="B36" s="192">
        <f>B31-B35</f>
        <v>269362990.24999976</v>
      </c>
      <c r="C36" s="192">
        <v>67249802.400000006</v>
      </c>
    </row>
    <row r="37" spans="1:3">
      <c r="A37" s="196" t="s">
        <v>434</v>
      </c>
      <c r="B37" s="194">
        <v>-7575684.4500000002</v>
      </c>
      <c r="C37" s="194">
        <v>3943405.08</v>
      </c>
    </row>
    <row r="38" spans="1:3">
      <c r="A38" s="196" t="s">
        <v>435</v>
      </c>
      <c r="B38" s="195">
        <f>B40-B39</f>
        <v>-357072439.38</v>
      </c>
      <c r="C38" s="192">
        <v>141940181.91</v>
      </c>
    </row>
    <row r="39" spans="1:3">
      <c r="A39" s="193" t="s">
        <v>436</v>
      </c>
      <c r="B39" s="194">
        <v>636963936.35000002</v>
      </c>
      <c r="C39" s="194">
        <v>279891496.97000003</v>
      </c>
    </row>
    <row r="40" spans="1:3">
      <c r="A40" s="193" t="s">
        <v>437</v>
      </c>
      <c r="B40" s="195">
        <v>279891496.97000003</v>
      </c>
      <c r="C40" s="192">
        <v>421831678.88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1:D32"/>
  <sheetViews>
    <sheetView showGridLines="0" zoomScale="130" zoomScaleNormal="130" workbookViewId="0">
      <pane xSplit="2" ySplit="2" topLeftCell="C19" activePane="bottomRight" state="frozen"/>
      <selection activeCell="C20" sqref="C20"/>
      <selection pane="topRight" activeCell="C20" sqref="C20"/>
      <selection pane="bottomLeft" activeCell="C20" sqref="C20"/>
      <selection pane="bottomRight" activeCell="C20" sqref="C20"/>
    </sheetView>
  </sheetViews>
  <sheetFormatPr defaultColWidth="8.83203125" defaultRowHeight="14"/>
  <cols>
    <col min="1" max="1" width="3" style="186" customWidth="1"/>
    <col min="2" max="2" width="23.75" style="186" customWidth="1"/>
    <col min="3" max="4" width="21.58203125" style="186" customWidth="1"/>
    <col min="5" max="16384" width="8.83203125" style="186"/>
  </cols>
  <sheetData>
    <row r="1" spans="2:4">
      <c r="B1" s="197" t="s">
        <v>438</v>
      </c>
      <c r="C1" s="198"/>
      <c r="D1" s="198"/>
    </row>
    <row r="2" spans="2:4">
      <c r="B2" s="199" t="s">
        <v>439</v>
      </c>
      <c r="C2" s="200" t="s">
        <v>440</v>
      </c>
      <c r="D2" s="200" t="s">
        <v>361</v>
      </c>
    </row>
    <row r="3" spans="2:4">
      <c r="B3" s="201" t="s">
        <v>441</v>
      </c>
      <c r="C3" s="202">
        <v>-257804083.18962201</v>
      </c>
      <c r="D3" s="202">
        <v>44306720.958742619</v>
      </c>
    </row>
    <row r="4" spans="2:4">
      <c r="B4" s="203" t="s">
        <v>442</v>
      </c>
      <c r="C4" s="204">
        <v>293538182.19103998</v>
      </c>
      <c r="D4" s="204">
        <v>202129275.46101278</v>
      </c>
    </row>
    <row r="5" spans="2:4">
      <c r="B5" s="203" t="s">
        <v>443</v>
      </c>
      <c r="C5" s="204">
        <v>260945397.220357</v>
      </c>
      <c r="D5" s="204">
        <v>188671189.26075199</v>
      </c>
    </row>
    <row r="6" spans="2:4">
      <c r="B6" s="203" t="s">
        <v>444</v>
      </c>
      <c r="C6" s="204">
        <v>101854878.97135399</v>
      </c>
      <c r="D6" s="204">
        <v>66288748.658344492</v>
      </c>
    </row>
    <row r="7" spans="2:4">
      <c r="B7" s="201" t="s">
        <v>445</v>
      </c>
      <c r="C7" s="202">
        <v>398534375.193129</v>
      </c>
      <c r="D7" s="202">
        <v>501395934.33885187</v>
      </c>
    </row>
    <row r="8" spans="2:4">
      <c r="B8" s="203" t="s">
        <v>446</v>
      </c>
      <c r="C8" s="204">
        <v>228326348.98004201</v>
      </c>
      <c r="D8" s="204">
        <v>-129832814.50789356</v>
      </c>
    </row>
    <row r="9" spans="2:4">
      <c r="B9" s="203" t="s">
        <v>447</v>
      </c>
      <c r="C9" s="204">
        <v>-121959864.017719</v>
      </c>
      <c r="D9" s="204">
        <v>10766482.770047396</v>
      </c>
    </row>
    <row r="10" spans="2:4">
      <c r="B10" s="203" t="s">
        <v>448</v>
      </c>
      <c r="C10" s="204">
        <v>-421589206.60671097</v>
      </c>
      <c r="D10" s="204">
        <v>-93712854.635940045</v>
      </c>
    </row>
    <row r="11" spans="2:4">
      <c r="B11" s="203" t="s">
        <v>449</v>
      </c>
      <c r="C11" s="204">
        <v>0</v>
      </c>
      <c r="D11" s="204">
        <v>0</v>
      </c>
    </row>
    <row r="12" spans="2:4">
      <c r="B12" s="203" t="s">
        <v>450</v>
      </c>
      <c r="C12" s="204">
        <v>0</v>
      </c>
      <c r="D12" s="204">
        <v>0</v>
      </c>
    </row>
    <row r="13" spans="2:4">
      <c r="B13" s="201" t="s">
        <v>451</v>
      </c>
      <c r="C13" s="202">
        <v>83311653.548741102</v>
      </c>
      <c r="D13" s="202">
        <v>288616747.9650656</v>
      </c>
    </row>
    <row r="14" spans="2:4">
      <c r="B14" s="203" t="s">
        <v>452</v>
      </c>
      <c r="C14" s="204">
        <v>-126762453.397458</v>
      </c>
      <c r="D14" s="204">
        <v>-88997809.284334376</v>
      </c>
    </row>
    <row r="15" spans="2:4">
      <c r="B15" s="203" t="s">
        <v>453</v>
      </c>
      <c r="C15" s="204">
        <v>-7000000</v>
      </c>
      <c r="D15" s="204">
        <v>-2316431.3800000008</v>
      </c>
    </row>
    <row r="16" spans="2:4">
      <c r="B16" s="203" t="s">
        <v>454</v>
      </c>
      <c r="C16" s="204">
        <v>88888204.724976003</v>
      </c>
      <c r="D16" s="204">
        <v>50519018.495662004</v>
      </c>
    </row>
    <row r="17" spans="2:4">
      <c r="B17" s="203" t="s">
        <v>455</v>
      </c>
      <c r="C17" s="204">
        <v>0</v>
      </c>
      <c r="D17" s="204">
        <v>0</v>
      </c>
    </row>
    <row r="18" spans="2:4">
      <c r="B18" s="203" t="s">
        <v>456</v>
      </c>
      <c r="C18" s="204">
        <v>-7503794.6799999997</v>
      </c>
      <c r="D18" s="204">
        <v>27737.109999999404</v>
      </c>
    </row>
    <row r="19" spans="2:4">
      <c r="B19" s="201" t="s">
        <v>457</v>
      </c>
      <c r="C19" s="202">
        <v>-52378043.352482401</v>
      </c>
      <c r="D19" s="202">
        <v>-40767485.058672376</v>
      </c>
    </row>
    <row r="20" spans="2:4">
      <c r="B20" s="203" t="s">
        <v>458</v>
      </c>
      <c r="C20" s="204">
        <v>0</v>
      </c>
      <c r="D20" s="204">
        <v>0</v>
      </c>
    </row>
    <row r="21" spans="2:4">
      <c r="B21" s="203" t="s">
        <v>459</v>
      </c>
      <c r="C21" s="204">
        <v>-115761934.23429801</v>
      </c>
      <c r="D21" s="204">
        <v>-159103862.67667401</v>
      </c>
    </row>
    <row r="22" spans="2:4">
      <c r="B22" s="203" t="s">
        <v>460</v>
      </c>
      <c r="C22" s="204">
        <v>3606050180.1728601</v>
      </c>
      <c r="D22" s="204">
        <v>1647355443.0117149</v>
      </c>
    </row>
    <row r="23" spans="2:4">
      <c r="B23" s="203" t="s">
        <v>461</v>
      </c>
      <c r="C23" s="204">
        <v>-3783047713.29882</v>
      </c>
      <c r="D23" s="204">
        <v>-1663514284.3042407</v>
      </c>
    </row>
    <row r="24" spans="2:4">
      <c r="B24" s="203" t="s">
        <v>462</v>
      </c>
      <c r="C24" s="204"/>
      <c r="D24" s="204">
        <v>0</v>
      </c>
    </row>
    <row r="25" spans="2:4">
      <c r="B25" s="203" t="s">
        <v>463</v>
      </c>
      <c r="C25" s="204">
        <v>0</v>
      </c>
      <c r="D25" s="204">
        <v>0</v>
      </c>
    </row>
    <row r="26" spans="2:4">
      <c r="B26" s="203" t="s">
        <v>464</v>
      </c>
      <c r="C26" s="204">
        <v>0</v>
      </c>
      <c r="D26" s="204">
        <v>0</v>
      </c>
    </row>
    <row r="27" spans="2:4">
      <c r="B27" s="203" t="s">
        <v>465</v>
      </c>
      <c r="C27" s="204">
        <v>-13320656.560000001</v>
      </c>
      <c r="D27" s="204">
        <v>-12895721.910000004</v>
      </c>
    </row>
    <row r="28" spans="2:4">
      <c r="B28" s="201" t="s">
        <v>466</v>
      </c>
      <c r="C28" s="202">
        <v>-306080123.92025203</v>
      </c>
      <c r="D28" s="202">
        <v>-188158425.87919965</v>
      </c>
    </row>
    <row r="29" spans="2:4">
      <c r="B29" s="201" t="s">
        <v>467</v>
      </c>
      <c r="C29" s="202">
        <v>406706896.75736898</v>
      </c>
      <c r="D29" s="202">
        <v>135919476.5706557</v>
      </c>
    </row>
    <row r="30" spans="2:4">
      <c r="B30" s="201" t="s">
        <v>468</v>
      </c>
      <c r="C30" s="202">
        <v>-275146513.72399402</v>
      </c>
      <c r="D30" s="202">
        <v>59690837.027193457</v>
      </c>
    </row>
    <row r="31" spans="2:4">
      <c r="B31" s="203" t="s">
        <v>469</v>
      </c>
      <c r="C31" s="204">
        <v>4359093.2076629996</v>
      </c>
      <c r="D31" s="204">
        <v>7825100.3577744989</v>
      </c>
    </row>
    <row r="32" spans="2:4">
      <c r="B32" s="201" t="s">
        <v>470</v>
      </c>
      <c r="C32" s="202">
        <v>135919476.24103799</v>
      </c>
      <c r="D32" s="202">
        <v>203435413.95562366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25</vt:i4>
      </vt:variant>
      <vt:variant>
        <vt:lpstr>命名范围</vt:lpstr>
      </vt:variant>
      <vt:variant>
        <vt:i4>7</vt:i4>
      </vt:variant>
    </vt:vector>
  </HeadingPairs>
  <TitlesOfParts>
    <vt:vector size="32" baseType="lpstr">
      <vt:lpstr>回报测算-EVEBITDA（核心假设）</vt:lpstr>
      <vt:lpstr>回报测算-PE（仅供参考）</vt:lpstr>
      <vt:lpstr>Output_财务</vt:lpstr>
      <vt:lpstr>Output_产能</vt:lpstr>
      <vt:lpstr>Output_区域剂型毛利</vt:lpstr>
      <vt:lpstr>&gt;&gt;财务预测</vt:lpstr>
      <vt:lpstr>利润表</vt:lpstr>
      <vt:lpstr>资产负债表</vt:lpstr>
      <vt:lpstr>现金流量表</vt:lpstr>
      <vt:lpstr>Ratio</vt:lpstr>
      <vt:lpstr>&gt;&gt;核心假设及区域拆分</vt:lpstr>
      <vt:lpstr>集团</vt:lpstr>
      <vt:lpstr>美国</vt:lpstr>
      <vt:lpstr>中国</vt:lpstr>
      <vt:lpstr>Sheet1</vt:lpstr>
      <vt:lpstr>中国（旧版）</vt:lpstr>
      <vt:lpstr>加拿大</vt:lpstr>
      <vt:lpstr>欧洲</vt:lpstr>
      <vt:lpstr>各区域分剂型成本优化</vt:lpstr>
      <vt:lpstr>产能及CAPEX</vt:lpstr>
      <vt:lpstr>固定资产&amp;无形资产</vt:lpstr>
      <vt:lpstr>债务&amp;权益</vt:lpstr>
      <vt:lpstr>贷款明细</vt:lpstr>
      <vt:lpstr>CF_21-22</vt:lpstr>
      <vt:lpstr>CF_23-24(间接法)</vt:lpstr>
      <vt:lpstr>'回报测算-EVEBITDA（核心假设）'!case</vt:lpstr>
      <vt:lpstr>case</vt:lpstr>
      <vt:lpstr>dividend</vt:lpstr>
      <vt:lpstr>产能及CAPEX!Print_Area</vt:lpstr>
      <vt:lpstr>贷款明细!Print_Area</vt:lpstr>
      <vt:lpstr>'回报测算-PE（仅供参考）'!Print_Area</vt:lpstr>
      <vt:lpstr>产能及CAPEX!Print_Titles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韩涵</dc:creator>
  <cp:lastModifiedBy>张至楷</cp:lastModifiedBy>
  <dcterms:created xsi:type="dcterms:W3CDTF">2015-06-05T18:19:34Z</dcterms:created>
  <dcterms:modified xsi:type="dcterms:W3CDTF">2026-03-17T12:07:41Z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{DA26E8A8-7A78-4898-879E-1E4B5B135BE6}</vt:lpwstr>
  </property>
</Properties>
</file>