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niel\Desktop\WPI\Grad\1_Thesis\1_Data Analysis\"/>
    </mc:Choice>
  </mc:AlternateContent>
  <bookViews>
    <workbookView xWindow="0" yWindow="0" windowWidth="28800" windowHeight="12330"/>
  </bookViews>
  <sheets>
    <sheet name="Summary" sheetId="1" r:id="rId1"/>
    <sheet name="All_Data"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s>
  <definedNames>
    <definedName name="_xlnm._FilterDatabase" localSheetId="0" hidden="1">Summary!$A$5:$N$23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9" i="2" l="1"/>
  <c r="P108" i="2"/>
  <c r="P107" i="2"/>
  <c r="P106"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4" i="2"/>
  <c r="P73" i="2"/>
  <c r="P72" i="2"/>
  <c r="P71" i="2"/>
  <c r="P70" i="2"/>
  <c r="P69" i="2"/>
  <c r="P68" i="2"/>
  <c r="P67" i="2"/>
  <c r="P66"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O8" i="1" l="1"/>
  <c r="P10" i="1"/>
  <c r="O12" i="1"/>
  <c r="O13" i="1"/>
  <c r="P14" i="1"/>
  <c r="O16" i="1"/>
  <c r="O17" i="1"/>
  <c r="P19" i="1"/>
  <c r="P20" i="1"/>
  <c r="O21" i="1"/>
  <c r="P23" i="1"/>
  <c r="O9" i="1"/>
  <c r="P6" i="1"/>
  <c r="P22" i="1"/>
  <c r="P7" i="1"/>
  <c r="P9" i="1"/>
  <c r="P11" i="1"/>
  <c r="P13" i="1"/>
  <c r="P15" i="1"/>
  <c r="O20" i="1"/>
  <c r="P18" i="1"/>
  <c r="P17" i="1"/>
  <c r="O6" i="1"/>
  <c r="O10" i="1"/>
  <c r="O14" i="1"/>
  <c r="O18" i="1"/>
  <c r="O22" i="1"/>
  <c r="P21" i="1"/>
  <c r="P16" i="1"/>
  <c r="O7" i="1"/>
  <c r="O11" i="1"/>
  <c r="O15" i="1"/>
  <c r="AB21" i="1" s="1"/>
  <c r="O19" i="1"/>
  <c r="O23" i="1"/>
  <c r="P8" i="1"/>
  <c r="P12" i="1"/>
  <c r="T6" i="1"/>
  <c r="V18" i="1"/>
  <c r="U16" i="1"/>
  <c r="U13" i="1"/>
  <c r="W12" i="1" s="1"/>
  <c r="V6" i="1"/>
  <c r="AF20" i="1" l="1"/>
  <c r="AA22" i="1"/>
  <c r="AF44" i="1"/>
  <c r="AF21" i="1"/>
  <c r="AB44" i="1"/>
  <c r="AF42" i="1"/>
  <c r="AF43" i="1"/>
  <c r="AG43" i="1"/>
  <c r="AF22" i="1"/>
  <c r="AA21" i="1"/>
  <c r="AC21" i="1" s="1"/>
  <c r="AB20" i="1"/>
  <c r="AG44" i="1"/>
  <c r="AH44" i="1" s="1"/>
  <c r="AG22" i="1"/>
  <c r="AH22" i="1" s="1"/>
  <c r="AA44" i="1"/>
  <c r="AB22" i="1"/>
  <c r="AC22" i="1" s="1"/>
  <c r="AG21" i="1"/>
  <c r="AH21" i="1" s="1"/>
  <c r="AA43" i="1"/>
  <c r="AB42" i="1"/>
  <c r="AG42" i="1"/>
  <c r="AG20" i="1"/>
  <c r="AH20" i="1" s="1"/>
  <c r="AA42" i="1"/>
  <c r="AA20" i="1"/>
  <c r="AB43" i="1"/>
  <c r="V12" i="1"/>
  <c r="X18" i="1"/>
  <c r="X12" i="1"/>
  <c r="X6" i="1"/>
  <c r="AC44" i="1" l="1"/>
  <c r="AH42" i="1"/>
  <c r="AC42" i="1"/>
  <c r="AC43" i="1"/>
  <c r="AH43" i="1"/>
  <c r="AC20" i="1"/>
  <c r="W18" i="1"/>
  <c r="W6" i="1"/>
  <c r="W3" i="1" l="1"/>
  <c r="N14" i="1" l="1"/>
  <c r="O109" i="2"/>
  <c r="O108" i="2"/>
  <c r="L108" i="2" s="1"/>
  <c r="O107" i="2"/>
  <c r="L107" i="2" s="1"/>
  <c r="O106" i="2"/>
  <c r="L106" i="2" s="1"/>
  <c r="O104" i="2"/>
  <c r="O103" i="2"/>
  <c r="L103" i="2" s="1"/>
  <c r="O102" i="2"/>
  <c r="L102" i="2" s="1"/>
  <c r="O101" i="2"/>
  <c r="L101" i="2" s="1"/>
  <c r="O100" i="2"/>
  <c r="O99" i="2"/>
  <c r="L99" i="2" s="1"/>
  <c r="O98" i="2"/>
  <c r="L98" i="2" s="1"/>
  <c r="O97" i="2"/>
  <c r="L97" i="2" s="1"/>
  <c r="O96" i="2"/>
  <c r="O95" i="2"/>
  <c r="L95" i="2" s="1"/>
  <c r="O94" i="2"/>
  <c r="L94" i="2" s="1"/>
  <c r="O93" i="2"/>
  <c r="L93" i="2" s="1"/>
  <c r="O92" i="2"/>
  <c r="O91" i="2"/>
  <c r="L91" i="2" s="1"/>
  <c r="O90" i="2"/>
  <c r="L90" i="2" s="1"/>
  <c r="O89" i="2"/>
  <c r="L89" i="2" s="1"/>
  <c r="O88" i="2"/>
  <c r="O87" i="2"/>
  <c r="L87" i="2" s="1"/>
  <c r="O86" i="2"/>
  <c r="L86" i="2" s="1"/>
  <c r="O85" i="2"/>
  <c r="L85" i="2" s="1"/>
  <c r="O84" i="2"/>
  <c r="O83" i="2"/>
  <c r="L83" i="2" s="1"/>
  <c r="O82" i="2"/>
  <c r="L82" i="2" s="1"/>
  <c r="O81" i="2"/>
  <c r="L81" i="2" s="1"/>
  <c r="O80" i="2"/>
  <c r="O79" i="2"/>
  <c r="L79" i="2" s="1"/>
  <c r="O78" i="2"/>
  <c r="L78" i="2" s="1"/>
  <c r="O77" i="2"/>
  <c r="L77" i="2" s="1"/>
  <c r="O76" i="2"/>
  <c r="O74" i="2"/>
  <c r="O73" i="2"/>
  <c r="L73" i="2" s="1"/>
  <c r="O72" i="2"/>
  <c r="L72" i="2" s="1"/>
  <c r="O71" i="2"/>
  <c r="O70" i="2"/>
  <c r="O69" i="2"/>
  <c r="L69" i="2" s="1"/>
  <c r="O68" i="2"/>
  <c r="L68" i="2" s="1"/>
  <c r="O67" i="2"/>
  <c r="O66" i="2"/>
  <c r="O64" i="2"/>
  <c r="L64" i="2" s="1"/>
  <c r="O63" i="2"/>
  <c r="L63" i="2" s="1"/>
  <c r="O62" i="2"/>
  <c r="O61" i="2"/>
  <c r="O60" i="2"/>
  <c r="L60" i="2" s="1"/>
  <c r="O59" i="2"/>
  <c r="L59" i="2" s="1"/>
  <c r="O58" i="2"/>
  <c r="O57" i="2"/>
  <c r="O56" i="2"/>
  <c r="L56" i="2" s="1"/>
  <c r="O55" i="2"/>
  <c r="L55" i="2" s="1"/>
  <c r="O54" i="2"/>
  <c r="O53" i="2"/>
  <c r="O52" i="2"/>
  <c r="L52" i="2" s="1"/>
  <c r="O51" i="2"/>
  <c r="L51" i="2" s="1"/>
  <c r="O50" i="2"/>
  <c r="O49" i="2"/>
  <c r="O48" i="2"/>
  <c r="L48" i="2" s="1"/>
  <c r="O47" i="2"/>
  <c r="L47" i="2" s="1"/>
  <c r="O46" i="2"/>
  <c r="O45" i="2"/>
  <c r="O44" i="2"/>
  <c r="L44" i="2" s="1"/>
  <c r="O43" i="2"/>
  <c r="L43" i="2" s="1"/>
  <c r="O42" i="2"/>
  <c r="O41" i="2"/>
  <c r="O40" i="2"/>
  <c r="L40" i="2" s="1"/>
  <c r="O39" i="2"/>
  <c r="L39" i="2" s="1"/>
  <c r="O38" i="2"/>
  <c r="L38" i="2" s="1"/>
  <c r="O37" i="2"/>
  <c r="L37" i="2" s="1"/>
  <c r="O36" i="2"/>
  <c r="L36" i="2" s="1"/>
  <c r="O35" i="2"/>
  <c r="L35" i="2" s="1"/>
  <c r="O34" i="2"/>
  <c r="L34" i="2" s="1"/>
  <c r="O33" i="2"/>
  <c r="L33" i="2" s="1"/>
  <c r="O32" i="2"/>
  <c r="L32" i="2" s="1"/>
  <c r="O31" i="2"/>
  <c r="L31" i="2" s="1"/>
  <c r="O30" i="2"/>
  <c r="L30" i="2" s="1"/>
  <c r="O29" i="2"/>
  <c r="L29" i="2" s="1"/>
  <c r="O28" i="2"/>
  <c r="L28" i="2" s="1"/>
  <c r="O27" i="2"/>
  <c r="L27" i="2" s="1"/>
  <c r="O26" i="2"/>
  <c r="L26" i="2" s="1"/>
  <c r="O24" i="2"/>
  <c r="L24" i="2" s="1"/>
  <c r="O25" i="2"/>
  <c r="L25" i="2" s="1"/>
  <c r="O23" i="2"/>
  <c r="L23" i="2" s="1"/>
  <c r="O22" i="2"/>
  <c r="L22" i="2" s="1"/>
  <c r="O21" i="2"/>
  <c r="L21" i="2" s="1"/>
  <c r="O20" i="2"/>
  <c r="L20" i="2" s="1"/>
  <c r="O19" i="2"/>
  <c r="L19" i="2" s="1"/>
  <c r="O18" i="2"/>
  <c r="L18" i="2" s="1"/>
  <c r="O17" i="2"/>
  <c r="L17" i="2" s="1"/>
  <c r="O16" i="2"/>
  <c r="L16" i="2" s="1"/>
  <c r="O15" i="2"/>
  <c r="L15" i="2" s="1"/>
  <c r="O14" i="2"/>
  <c r="L14" i="2" s="1"/>
  <c r="O13" i="2"/>
  <c r="L13" i="2" s="1"/>
  <c r="O12" i="2"/>
  <c r="L12" i="2" s="1"/>
  <c r="O11" i="2"/>
  <c r="L11" i="2" s="1"/>
  <c r="O10" i="2"/>
  <c r="L10" i="2" s="1"/>
  <c r="O9" i="2"/>
  <c r="L9" i="2" s="1"/>
  <c r="O8" i="2"/>
  <c r="L8" i="2" s="1"/>
  <c r="O7" i="2"/>
  <c r="L7" i="2" s="1"/>
  <c r="O6" i="2"/>
  <c r="L6" i="2" s="1"/>
  <c r="O5" i="2"/>
  <c r="L5" i="2" s="1"/>
  <c r="O4" i="2"/>
  <c r="L4" i="2" s="1"/>
  <c r="O3" i="2"/>
  <c r="L3" i="2" s="1"/>
  <c r="N109" i="2"/>
  <c r="N108" i="2"/>
  <c r="N107" i="2"/>
  <c r="N106"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4" i="2"/>
  <c r="N73" i="2"/>
  <c r="N72" i="2"/>
  <c r="N71" i="2"/>
  <c r="N70" i="2"/>
  <c r="N69" i="2"/>
  <c r="N68" i="2"/>
  <c r="N67" i="2"/>
  <c r="N66"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M109" i="2"/>
  <c r="M108" i="2"/>
  <c r="M107" i="2"/>
  <c r="M106"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4" i="2"/>
  <c r="M73" i="2"/>
  <c r="M72" i="2"/>
  <c r="M71" i="2"/>
  <c r="M70" i="2"/>
  <c r="M69" i="2"/>
  <c r="M68" i="2"/>
  <c r="M67" i="2"/>
  <c r="M66" i="2"/>
  <c r="M64" i="2"/>
  <c r="M63" i="2"/>
  <c r="M62" i="2"/>
  <c r="M61" i="2"/>
  <c r="M60" i="2"/>
  <c r="M59" i="2"/>
  <c r="M58" i="2"/>
  <c r="M57" i="2"/>
  <c r="M56" i="2"/>
  <c r="M55" i="2"/>
  <c r="M54" i="2"/>
  <c r="M53" i="2"/>
  <c r="M52" i="2"/>
  <c r="M51" i="2"/>
  <c r="M50" i="2"/>
  <c r="M49" i="2"/>
  <c r="M48" i="2"/>
  <c r="M47" i="2"/>
  <c r="M46" i="2"/>
  <c r="M45" i="2"/>
  <c r="L41" i="2" l="1"/>
  <c r="L45" i="2"/>
  <c r="L49" i="2"/>
  <c r="L53" i="2"/>
  <c r="L57" i="2"/>
  <c r="L61" i="2"/>
  <c r="L66" i="2"/>
  <c r="L70" i="2"/>
  <c r="L74" i="2"/>
  <c r="L42" i="2"/>
  <c r="L46" i="2"/>
  <c r="L50" i="2"/>
  <c r="L54" i="2"/>
  <c r="L58" i="2"/>
  <c r="L62" i="2"/>
  <c r="L67" i="2"/>
  <c r="L71" i="2"/>
  <c r="L76" i="2"/>
  <c r="L80" i="2"/>
  <c r="L84" i="2"/>
  <c r="L88" i="2"/>
  <c r="L92" i="2"/>
  <c r="L96" i="2"/>
  <c r="L100" i="2"/>
  <c r="L104" i="2"/>
  <c r="L109" i="2"/>
  <c r="K48" i="2"/>
  <c r="K52" i="2"/>
  <c r="K56" i="2"/>
  <c r="K60" i="2"/>
  <c r="K64" i="2"/>
  <c r="K69" i="2"/>
  <c r="K73" i="2"/>
  <c r="K45" i="2"/>
  <c r="K49" i="2"/>
  <c r="K53" i="2"/>
  <c r="K57" i="2"/>
  <c r="K61" i="2"/>
  <c r="K66" i="2"/>
  <c r="K70" i="2"/>
  <c r="K74" i="2"/>
  <c r="K46" i="2"/>
  <c r="K50" i="2"/>
  <c r="K54" i="2"/>
  <c r="K58" i="2"/>
  <c r="K62" i="2"/>
  <c r="K67" i="2"/>
  <c r="K71" i="2"/>
  <c r="K47" i="2"/>
  <c r="K51" i="2"/>
  <c r="K55" i="2"/>
  <c r="K59" i="2"/>
  <c r="K63" i="2"/>
  <c r="K68" i="2"/>
  <c r="K72" i="2"/>
  <c r="K78" i="2"/>
  <c r="K82" i="2"/>
  <c r="K86" i="2"/>
  <c r="K90" i="2"/>
  <c r="K94" i="2"/>
  <c r="K98" i="2"/>
  <c r="K102" i="2"/>
  <c r="K107" i="2"/>
  <c r="K79" i="2"/>
  <c r="K83" i="2"/>
  <c r="K87" i="2"/>
  <c r="K91" i="2"/>
  <c r="K95" i="2"/>
  <c r="K99" i="2"/>
  <c r="K103" i="2"/>
  <c r="K108" i="2"/>
  <c r="K80" i="2"/>
  <c r="K84" i="2"/>
  <c r="K88" i="2"/>
  <c r="K92" i="2"/>
  <c r="K96" i="2"/>
  <c r="K100" i="2"/>
  <c r="K104" i="2"/>
  <c r="K109" i="2"/>
  <c r="K77" i="2"/>
  <c r="K81" i="2"/>
  <c r="K85" i="2"/>
  <c r="K89" i="2"/>
  <c r="K93" i="2"/>
  <c r="K97" i="2"/>
  <c r="K101" i="2"/>
  <c r="K106" i="2"/>
  <c r="K76" i="2"/>
  <c r="M44" i="2"/>
  <c r="K44" i="2" s="1"/>
  <c r="M43" i="2"/>
  <c r="K43" i="2" s="1"/>
  <c r="M42" i="2"/>
  <c r="K42" i="2" s="1"/>
  <c r="M41" i="2"/>
  <c r="K41" i="2" s="1"/>
  <c r="M40" i="2"/>
  <c r="K40" i="2" s="1"/>
  <c r="M39" i="2"/>
  <c r="K39" i="2" s="1"/>
  <c r="H12" i="1"/>
  <c r="G12" i="1" s="1"/>
  <c r="M38" i="2"/>
  <c r="K38" i="2" s="1"/>
  <c r="M37" i="2"/>
  <c r="K37" i="2" s="1"/>
  <c r="M36" i="2"/>
  <c r="K36" i="2" s="1"/>
  <c r="M35" i="2"/>
  <c r="K35" i="2" s="1"/>
  <c r="M34" i="2"/>
  <c r="K34" i="2" s="1"/>
  <c r="M33" i="2"/>
  <c r="K33" i="2" s="1"/>
  <c r="M32" i="2"/>
  <c r="K32" i="2" s="1"/>
  <c r="M31" i="2"/>
  <c r="K31" i="2" s="1"/>
  <c r="M30" i="2"/>
  <c r="K30" i="2" s="1"/>
  <c r="M29" i="2"/>
  <c r="K29" i="2" s="1"/>
  <c r="M28" i="2"/>
  <c r="K28" i="2" s="1"/>
  <c r="M27" i="2"/>
  <c r="K27" i="2" s="1"/>
  <c r="M26" i="2"/>
  <c r="K26" i="2" s="1"/>
  <c r="M25" i="2"/>
  <c r="K25" i="2" s="1"/>
  <c r="M24" i="2"/>
  <c r="K24" i="2" s="1"/>
  <c r="M23" i="2"/>
  <c r="K23" i="2" s="1"/>
  <c r="M22" i="2"/>
  <c r="K22" i="2" s="1"/>
  <c r="M21" i="2"/>
  <c r="K21" i="2" s="1"/>
  <c r="M20" i="2"/>
  <c r="K20" i="2" s="1"/>
  <c r="M19" i="2"/>
  <c r="K19" i="2" s="1"/>
  <c r="M18" i="2"/>
  <c r="K18" i="2" s="1"/>
  <c r="M17" i="2"/>
  <c r="K17" i="2" s="1"/>
  <c r="M16" i="2"/>
  <c r="K16" i="2" s="1"/>
  <c r="M15" i="2"/>
  <c r="K15" i="2" s="1"/>
  <c r="M14" i="2"/>
  <c r="K14" i="2" s="1"/>
  <c r="M13" i="2"/>
  <c r="K13" i="2" s="1"/>
  <c r="M12" i="2"/>
  <c r="K12" i="2" s="1"/>
  <c r="M11" i="2"/>
  <c r="K11" i="2" s="1"/>
  <c r="M10" i="2"/>
  <c r="K10" i="2" s="1"/>
  <c r="M9" i="2"/>
  <c r="K9" i="2" s="1"/>
  <c r="M8" i="2"/>
  <c r="K8" i="2" s="1"/>
  <c r="M7" i="2"/>
  <c r="K7" i="2" s="1"/>
  <c r="M6" i="2"/>
  <c r="K6" i="2" s="1"/>
  <c r="M5" i="2"/>
  <c r="K5" i="2" s="1"/>
  <c r="M4" i="2"/>
  <c r="K4" i="2" s="1"/>
  <c r="M3" i="2"/>
  <c r="K3" i="2" s="1"/>
  <c r="E31" i="2" l="1"/>
  <c r="E25" i="2"/>
  <c r="E3" i="2" l="1"/>
  <c r="E4" i="2"/>
  <c r="E5" i="2"/>
  <c r="E6" i="2"/>
  <c r="E7" i="2"/>
  <c r="E8" i="2"/>
  <c r="E9" i="2"/>
  <c r="E10" i="2"/>
  <c r="E11" i="2"/>
  <c r="E12" i="2"/>
  <c r="E13" i="2"/>
  <c r="E14" i="2"/>
  <c r="E15" i="2"/>
  <c r="E16" i="2"/>
  <c r="E17" i="2"/>
  <c r="E18" i="2"/>
  <c r="E19" i="2"/>
  <c r="E20" i="2"/>
  <c r="E21" i="2"/>
  <c r="E22" i="2"/>
  <c r="E23" i="2"/>
  <c r="E24" i="2"/>
  <c r="E26" i="2"/>
  <c r="E27" i="2"/>
  <c r="E28" i="2"/>
  <c r="E29" i="2"/>
  <c r="E30"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R9" i="1" l="1"/>
  <c r="Q9" i="1"/>
  <c r="R10" i="1"/>
  <c r="Q10" i="1"/>
  <c r="Q12" i="1"/>
  <c r="R12" i="1"/>
  <c r="Q7" i="1"/>
  <c r="R7" i="1"/>
  <c r="Q11" i="1"/>
  <c r="R11" i="1"/>
  <c r="Q8" i="1"/>
  <c r="R8" i="1"/>
  <c r="R6" i="1"/>
  <c r="S6" i="1"/>
  <c r="Q6" i="1"/>
  <c r="R23" i="1"/>
  <c r="Q23" i="1"/>
  <c r="R22" i="1"/>
  <c r="Q22" i="1"/>
  <c r="R21" i="1"/>
  <c r="Q21" i="1"/>
  <c r="R20" i="1"/>
  <c r="Q20" i="1"/>
  <c r="R18" i="1"/>
  <c r="Q18" i="1"/>
  <c r="T18" i="1"/>
  <c r="Q19" i="1"/>
  <c r="R19" i="1"/>
  <c r="S18" i="1"/>
  <c r="R17" i="1"/>
  <c r="Q17" i="1"/>
  <c r="R16" i="1"/>
  <c r="Q16" i="1"/>
  <c r="R15" i="1"/>
  <c r="Q15" i="1"/>
  <c r="R14" i="1"/>
  <c r="Q14" i="1"/>
  <c r="R13" i="1"/>
  <c r="T12" i="1"/>
  <c r="Q13" i="1"/>
  <c r="S12" i="1"/>
  <c r="E2" i="2"/>
  <c r="N23" i="1" l="1"/>
  <c r="N22" i="1"/>
  <c r="N21" i="1"/>
  <c r="N20" i="1"/>
  <c r="N19" i="1"/>
  <c r="N18" i="1"/>
  <c r="N17" i="1"/>
  <c r="N16" i="1"/>
  <c r="N15" i="1"/>
  <c r="N13" i="1"/>
  <c r="N12" i="1"/>
  <c r="N11" i="1"/>
  <c r="N10" i="1"/>
  <c r="N9" i="1"/>
  <c r="N8" i="1"/>
  <c r="N7" i="1"/>
  <c r="N6" i="1"/>
  <c r="K15" i="1"/>
  <c r="K18" i="1"/>
  <c r="K23" i="1"/>
  <c r="K22" i="1"/>
  <c r="K21" i="1"/>
  <c r="K20" i="1"/>
  <c r="K19" i="1"/>
  <c r="K17" i="1"/>
  <c r="K16" i="1"/>
  <c r="K14" i="1"/>
  <c r="K13" i="1"/>
  <c r="K12" i="1"/>
  <c r="K11" i="1"/>
  <c r="K10" i="1"/>
  <c r="K9" i="1"/>
  <c r="K8" i="1"/>
  <c r="K7" i="1"/>
  <c r="K6" i="1"/>
  <c r="I23" i="1"/>
  <c r="I22" i="1"/>
  <c r="I21" i="1"/>
  <c r="I20" i="1"/>
  <c r="I19" i="1"/>
  <c r="I18" i="1"/>
  <c r="I17" i="1"/>
  <c r="I16" i="1"/>
  <c r="I15" i="1"/>
  <c r="I14" i="1"/>
  <c r="I13" i="1"/>
  <c r="I12" i="1"/>
  <c r="I11" i="1"/>
  <c r="I10" i="1"/>
  <c r="I9" i="1"/>
  <c r="I8" i="1"/>
  <c r="I7" i="1"/>
  <c r="I6" i="1"/>
  <c r="M23" i="1"/>
  <c r="L23" i="1" s="1"/>
  <c r="M22" i="1"/>
  <c r="L22" i="1" s="1"/>
  <c r="M21" i="1"/>
  <c r="M20" i="1"/>
  <c r="M19" i="1"/>
  <c r="M18" i="1"/>
  <c r="M17" i="1"/>
  <c r="L17" i="1" s="1"/>
  <c r="M16" i="1"/>
  <c r="L16" i="1" s="1"/>
  <c r="M15" i="1"/>
  <c r="M14" i="1"/>
  <c r="L14" i="1" s="1"/>
  <c r="M13" i="1"/>
  <c r="M12" i="1"/>
  <c r="M11" i="1"/>
  <c r="L11" i="1" s="1"/>
  <c r="M10" i="1"/>
  <c r="L10" i="1" s="1"/>
  <c r="M9" i="1"/>
  <c r="M8" i="1"/>
  <c r="M7" i="1"/>
  <c r="M6" i="1"/>
  <c r="J23" i="1"/>
  <c r="J22" i="1"/>
  <c r="J21" i="1"/>
  <c r="J20" i="1"/>
  <c r="J19" i="1"/>
  <c r="J18" i="1"/>
  <c r="J17" i="1"/>
  <c r="J16" i="1"/>
  <c r="J15" i="1"/>
  <c r="J14" i="1"/>
  <c r="J13" i="1"/>
  <c r="J12" i="1"/>
  <c r="J11" i="1"/>
  <c r="J10" i="1"/>
  <c r="J9" i="1"/>
  <c r="J8" i="1"/>
  <c r="J7" i="1"/>
  <c r="J6" i="1"/>
  <c r="H23" i="1"/>
  <c r="G23" i="1" s="1"/>
  <c r="H22" i="1"/>
  <c r="G22" i="1" s="1"/>
  <c r="H21" i="1"/>
  <c r="G21" i="1" s="1"/>
  <c r="H20" i="1"/>
  <c r="G20" i="1" s="1"/>
  <c r="H19" i="1"/>
  <c r="G19" i="1" s="1"/>
  <c r="H18" i="1"/>
  <c r="G18" i="1" s="1"/>
  <c r="H17" i="1"/>
  <c r="G17" i="1" s="1"/>
  <c r="H16" i="1"/>
  <c r="G16" i="1" s="1"/>
  <c r="H15" i="1"/>
  <c r="G15" i="1" s="1"/>
  <c r="H14" i="1"/>
  <c r="G14" i="1" s="1"/>
  <c r="H13" i="1"/>
  <c r="G13" i="1" s="1"/>
  <c r="H11" i="1"/>
  <c r="G11" i="1" s="1"/>
  <c r="H10" i="1"/>
  <c r="G10" i="1" s="1"/>
  <c r="H9" i="1"/>
  <c r="G9" i="1" s="1"/>
  <c r="H8" i="1"/>
  <c r="G8" i="1" s="1"/>
  <c r="H7" i="1"/>
  <c r="G7" i="1" s="1"/>
  <c r="H6" i="1"/>
  <c r="G6" i="1" s="1"/>
  <c r="E34" i="1" l="1"/>
  <c r="E29" i="1" s="1"/>
  <c r="G36" i="1"/>
  <c r="F31" i="1" s="1"/>
  <c r="C34" i="1"/>
  <c r="D29" i="1" s="1"/>
  <c r="H34" i="1"/>
  <c r="G34" i="1"/>
  <c r="F29" i="1" s="1"/>
  <c r="C36" i="1"/>
  <c r="D31" i="1" s="1"/>
  <c r="E36" i="1"/>
  <c r="E31" i="1" s="1"/>
  <c r="F34" i="1"/>
  <c r="F36" i="1"/>
  <c r="L6" i="1"/>
  <c r="AG37" i="1"/>
  <c r="AA15" i="1"/>
  <c r="AG15" i="1"/>
  <c r="AA37" i="1"/>
  <c r="L18" i="1"/>
  <c r="AG39" i="1"/>
  <c r="AG17" i="1"/>
  <c r="AA39" i="1"/>
  <c r="AB17" i="1"/>
  <c r="L13" i="1"/>
  <c r="AG16" i="1"/>
  <c r="AB38" i="1"/>
  <c r="AG38" i="1"/>
  <c r="L7" i="1"/>
  <c r="AF37" i="1"/>
  <c r="L15" i="1"/>
  <c r="AB16" i="1"/>
  <c r="L19" i="1"/>
  <c r="AF17" i="1"/>
  <c r="L9" i="1"/>
  <c r="AF15" i="1"/>
  <c r="AB37" i="1"/>
  <c r="L21" i="1"/>
  <c r="AB39" i="1"/>
  <c r="AF39" i="1"/>
  <c r="L8" i="1"/>
  <c r="AB15" i="1"/>
  <c r="L12" i="1"/>
  <c r="G35" i="1" s="1"/>
  <c r="F30" i="1" s="1"/>
  <c r="AA38" i="1"/>
  <c r="AF38" i="1"/>
  <c r="AA16" i="1"/>
  <c r="AF16" i="1"/>
  <c r="L20" i="1"/>
  <c r="AA17" i="1"/>
  <c r="AF32" i="1"/>
  <c r="AF12" i="1"/>
  <c r="AF7" i="1"/>
  <c r="AG27" i="1"/>
  <c r="AA27" i="1"/>
  <c r="AG5" i="1"/>
  <c r="AG33" i="1"/>
  <c r="AB33" i="1"/>
  <c r="AG11" i="1"/>
  <c r="AF27" i="1"/>
  <c r="AG10" i="1"/>
  <c r="AG32" i="1"/>
  <c r="AA32" i="1"/>
  <c r="AG12" i="1"/>
  <c r="AH12" i="1" s="1"/>
  <c r="AA34" i="1"/>
  <c r="AG34" i="1"/>
  <c r="AF10" i="1"/>
  <c r="AB32" i="1"/>
  <c r="AF34" i="1"/>
  <c r="AB34" i="1"/>
  <c r="AB29" i="1"/>
  <c r="AF29" i="1"/>
  <c r="AG6" i="1"/>
  <c r="AG28" i="1"/>
  <c r="AB28" i="1"/>
  <c r="AB27" i="1"/>
  <c r="AF5" i="1"/>
  <c r="AF6" i="1"/>
  <c r="AA28" i="1"/>
  <c r="AF28" i="1"/>
  <c r="AG29" i="1"/>
  <c r="AA29" i="1"/>
  <c r="AG7" i="1"/>
  <c r="AF33" i="1"/>
  <c r="AF11" i="1"/>
  <c r="AA33" i="1"/>
  <c r="AA5" i="1"/>
  <c r="AA6" i="1"/>
  <c r="AB11" i="1"/>
  <c r="AB5" i="1"/>
  <c r="AB10" i="1"/>
  <c r="AA11" i="1"/>
  <c r="AA12" i="1"/>
  <c r="AA10" i="1"/>
  <c r="AB12" i="1"/>
  <c r="AB7" i="1"/>
  <c r="AB6" i="1"/>
  <c r="AA7" i="1"/>
  <c r="D34" i="1" l="1"/>
  <c r="AH6" i="1"/>
  <c r="AC34" i="1"/>
  <c r="D36" i="1"/>
  <c r="E35" i="1"/>
  <c r="E30" i="1" s="1"/>
  <c r="C35" i="1"/>
  <c r="D30" i="1" s="1"/>
  <c r="H36" i="1"/>
  <c r="E40" i="1" s="1"/>
  <c r="D40" i="1"/>
  <c r="H35" i="1"/>
  <c r="D35" i="1"/>
  <c r="AH32" i="1"/>
  <c r="AC32" i="1"/>
  <c r="AH29" i="1"/>
  <c r="AH7" i="1"/>
  <c r="AH27" i="1"/>
  <c r="AH37" i="1"/>
  <c r="AH10" i="1"/>
  <c r="AH33" i="1"/>
  <c r="AH39" i="1"/>
  <c r="AC16" i="1"/>
  <c r="AC27" i="1"/>
  <c r="AH17" i="1"/>
  <c r="AH16" i="1"/>
  <c r="AH15" i="1"/>
  <c r="AC6" i="1"/>
  <c r="AC17" i="1"/>
  <c r="AC28" i="1"/>
  <c r="AH28" i="1"/>
  <c r="AC37" i="1"/>
  <c r="AC38" i="1"/>
  <c r="AC12" i="1"/>
  <c r="AH38" i="1"/>
  <c r="AH11" i="1"/>
  <c r="AC39" i="1"/>
  <c r="AC5" i="1"/>
  <c r="AC29" i="1"/>
  <c r="AH34" i="1"/>
  <c r="AC33" i="1"/>
  <c r="AC11" i="1"/>
  <c r="AH5" i="1"/>
  <c r="AC15" i="1"/>
  <c r="AC10" i="1"/>
  <c r="AC7" i="1"/>
  <c r="F35" i="1" l="1"/>
  <c r="D39" i="1" s="1"/>
  <c r="E39" i="1"/>
</calcChain>
</file>

<file path=xl/sharedStrings.xml><?xml version="1.0" encoding="utf-8"?>
<sst xmlns="http://schemas.openxmlformats.org/spreadsheetml/2006/main" count="443" uniqueCount="172">
  <si>
    <t>Pattern</t>
  </si>
  <si>
    <t>Extrusion Temp (°C)</t>
  </si>
  <si>
    <t>Layer Thickness (micron)</t>
  </si>
  <si>
    <t>Print Bed Temperature (°C)</t>
  </si>
  <si>
    <t>Print Speed (mm/sec)</t>
  </si>
  <si>
    <t>Printer</t>
  </si>
  <si>
    <t>MakerBot Replicator 2X</t>
  </si>
  <si>
    <t>Ultimaker^3</t>
  </si>
  <si>
    <t>Zortrax M200</t>
  </si>
  <si>
    <t>Avg. Elongation at Break (mm/mm)</t>
  </si>
  <si>
    <t>Avg. Elastic Modulus (MPa)</t>
  </si>
  <si>
    <t>STDEV</t>
  </si>
  <si>
    <t>Sample ID</t>
  </si>
  <si>
    <t>M2211A</t>
  </si>
  <si>
    <t>M2211B</t>
  </si>
  <si>
    <t>M2211C</t>
  </si>
  <si>
    <t>M2211D</t>
  </si>
  <si>
    <t>M2211E</t>
  </si>
  <si>
    <t>M2211F</t>
  </si>
  <si>
    <t>M2212A</t>
  </si>
  <si>
    <t>M2212B</t>
  </si>
  <si>
    <t>M2212C</t>
  </si>
  <si>
    <t>M2212D</t>
  </si>
  <si>
    <t>M2212E</t>
  </si>
  <si>
    <t>M2212F</t>
  </si>
  <si>
    <t>ASTM_TYPEV_STL</t>
  </si>
  <si>
    <t>T1 (mm)</t>
  </si>
  <si>
    <t>W1 (mm)</t>
  </si>
  <si>
    <t>W2 (mm)</t>
  </si>
  <si>
    <t>M1212A</t>
  </si>
  <si>
    <t>M1212B</t>
  </si>
  <si>
    <t>M1212C</t>
  </si>
  <si>
    <t>M1212D</t>
  </si>
  <si>
    <t>M1212E</t>
  </si>
  <si>
    <t>M1212F</t>
  </si>
  <si>
    <t>M1121A</t>
  </si>
  <si>
    <t>M1121B</t>
  </si>
  <si>
    <t>M1121C</t>
  </si>
  <si>
    <t>M1121D</t>
  </si>
  <si>
    <t>M1121E</t>
  </si>
  <si>
    <t>M1121F</t>
  </si>
  <si>
    <t>M1122A</t>
  </si>
  <si>
    <t>M1122B</t>
  </si>
  <si>
    <t>M1122C</t>
  </si>
  <si>
    <t>M1122D</t>
  </si>
  <si>
    <t>M1122E</t>
  </si>
  <si>
    <t>M1122F</t>
  </si>
  <si>
    <t>U2222A</t>
  </si>
  <si>
    <t>U2222B</t>
  </si>
  <si>
    <t>U2222C</t>
  </si>
  <si>
    <t>U2222D</t>
  </si>
  <si>
    <t>U2222E</t>
  </si>
  <si>
    <t>U2222F</t>
  </si>
  <si>
    <t>U2111A</t>
  </si>
  <si>
    <t>U2111B</t>
  </si>
  <si>
    <t>U2111C</t>
  </si>
  <si>
    <t>U2111D</t>
  </si>
  <si>
    <t>U2111E</t>
  </si>
  <si>
    <t>U2111F</t>
  </si>
  <si>
    <t>U1111A</t>
  </si>
  <si>
    <t>U1111B</t>
  </si>
  <si>
    <t>U1111C</t>
  </si>
  <si>
    <t>U1111D</t>
  </si>
  <si>
    <t>U1111E</t>
  </si>
  <si>
    <t>U1111F</t>
  </si>
  <si>
    <t>U1222A</t>
  </si>
  <si>
    <t>U1222B</t>
  </si>
  <si>
    <t>U1222C</t>
  </si>
  <si>
    <t>U1222D</t>
  </si>
  <si>
    <t>U1222E</t>
  </si>
  <si>
    <t>U1222F</t>
  </si>
  <si>
    <t>Z1211A</t>
  </si>
  <si>
    <t>Z1211B</t>
  </si>
  <si>
    <t>Z1211C</t>
  </si>
  <si>
    <t>Z1211D</t>
  </si>
  <si>
    <t>Z1211E</t>
  </si>
  <si>
    <t>Z1211F</t>
  </si>
  <si>
    <t>Z1221A</t>
  </si>
  <si>
    <t>Z1221B</t>
  </si>
  <si>
    <t>Z1221C</t>
  </si>
  <si>
    <t>Z1221D</t>
  </si>
  <si>
    <t>Z1221E</t>
  </si>
  <si>
    <t>Z1221F</t>
  </si>
  <si>
    <t>Z2221A</t>
  </si>
  <si>
    <t>Z2221B</t>
  </si>
  <si>
    <t>Z2221C</t>
  </si>
  <si>
    <t>Z2221D</t>
  </si>
  <si>
    <t>Z2221E</t>
  </si>
  <si>
    <t>Z2221F</t>
  </si>
  <si>
    <t>Z2112A</t>
  </si>
  <si>
    <t>Z2112B</t>
  </si>
  <si>
    <t>Z2112C</t>
  </si>
  <si>
    <t>Z2112D</t>
  </si>
  <si>
    <t>Z2112E</t>
  </si>
  <si>
    <t>Z2112F</t>
  </si>
  <si>
    <t>Z2122A</t>
  </si>
  <si>
    <t>Z2122B</t>
  </si>
  <si>
    <t>Z2122C</t>
  </si>
  <si>
    <t>Z2122D</t>
  </si>
  <si>
    <t>Z2122E</t>
  </si>
  <si>
    <t>Z2122F</t>
  </si>
  <si>
    <t>Z1112A</t>
  </si>
  <si>
    <t>Z1112B</t>
  </si>
  <si>
    <t>Z1112C</t>
  </si>
  <si>
    <t>Z1112D</t>
  </si>
  <si>
    <t>Z1112E</t>
  </si>
  <si>
    <t>Z1112F</t>
  </si>
  <si>
    <t>Notes</t>
  </si>
  <si>
    <t>These samples are more parallelogram like than rectangular. All measurments are from the smallest
parallel side to the next. All samples broke just inside the gage length, this may have been do the to the
raised corner features that were at the start and end of the gage length on each sample.</t>
  </si>
  <si>
    <t>All samples were hand placed without jig for the gage section was too large for jig.</t>
  </si>
  <si>
    <t>M2121A</t>
  </si>
  <si>
    <t>M2121B</t>
  </si>
  <si>
    <t>M2121C</t>
  </si>
  <si>
    <t>M2121D</t>
  </si>
  <si>
    <t>M2121E</t>
  </si>
  <si>
    <t>M2121F</t>
  </si>
  <si>
    <t>All samples, but M2121D, were hand placed without jig for the gage section was too large for jig.</t>
  </si>
  <si>
    <t>Avg. Dimensional Accuracy (%)</t>
  </si>
  <si>
    <t>Dimentional Accuracy (%)</t>
  </si>
  <si>
    <t>Overal Dimensional Accuracy (%)</t>
  </si>
  <si>
    <t>U1222B, U1222D, U1222E, and U1222F were secured without jig due to surface roughness. U1222C failed
in installation.</t>
  </si>
  <si>
    <t>Far more humid day than last testing.</t>
  </si>
  <si>
    <t>Second pull, forgot to zero extension first. Sixth sample broke because of over compressing placement jig.</t>
  </si>
  <si>
    <t>Avg. Tensile Strength (MPa)</t>
  </si>
  <si>
    <t>Tensile Strength (MPa)</t>
  </si>
  <si>
    <t>Elongation at Break (mm/mm)</t>
  </si>
  <si>
    <t>Elastic Modulus (MPa)</t>
  </si>
  <si>
    <t>Deviation Above Average</t>
  </si>
  <si>
    <t>Humidity at Print (%)</t>
  </si>
  <si>
    <t>Perecnt decrease due to print temp</t>
  </si>
  <si>
    <t>avg high</t>
  </si>
  <si>
    <t>tensile</t>
  </si>
  <si>
    <t>avg low</t>
  </si>
  <si>
    <t>prcnt diff</t>
  </si>
  <si>
    <t>M</t>
  </si>
  <si>
    <t>Z</t>
  </si>
  <si>
    <t>U</t>
  </si>
  <si>
    <t>elongation</t>
  </si>
  <si>
    <t>Percent decrease due to layer thickenss</t>
  </si>
  <si>
    <t>Perecnt decrease due to print bed temp</t>
  </si>
  <si>
    <t>Perecnt decrease due to print speed</t>
  </si>
  <si>
    <t>printer</t>
  </si>
  <si>
    <t>tensile NO CLEAR EFFECT</t>
  </si>
  <si>
    <t>elongation NO CLEAR EFFECT</t>
  </si>
  <si>
    <t>modulus NO CLEAR EFFECT</t>
  </si>
  <si>
    <t>modulus PRINTER SPECIFIC</t>
  </si>
  <si>
    <t>Cross Sectional Difference Ratio (Actual/Standard)</t>
  </si>
  <si>
    <t>Actual Cross Sectional Area (mm^2)</t>
  </si>
  <si>
    <t>Avg. CSA (mm^2)</t>
  </si>
  <si>
    <t>Print ID</t>
  </si>
  <si>
    <t>Standard Cross Sectional Area (mm^2)</t>
  </si>
  <si>
    <t>Toughness (MPa)</t>
  </si>
  <si>
    <t>Avg. Toughness (MPa)</t>
  </si>
  <si>
    <t>toughness</t>
  </si>
  <si>
    <t>Bulk Extruded ABS</t>
  </si>
  <si>
    <t>Avg. MB</t>
  </si>
  <si>
    <t>Avg. Z</t>
  </si>
  <si>
    <t>Avg. U</t>
  </si>
  <si>
    <t>Prcnt diff</t>
  </si>
  <si>
    <t>stdev</t>
  </si>
  <si>
    <t>average</t>
  </si>
  <si>
    <t>ALL EaB</t>
  </si>
  <si>
    <t>Avg. Corrected TS (MPa)</t>
  </si>
  <si>
    <t>Avg. Corrected EM (MPa)</t>
  </si>
  <si>
    <t>TS (MPa)</t>
  </si>
  <si>
    <t>EM (MPa)</t>
  </si>
  <si>
    <t>ALL EM</t>
  </si>
  <si>
    <t>Corrected Tensile Strength (MPa)</t>
  </si>
  <si>
    <t>Corrected Elastic Modulus (MPa)</t>
  </si>
  <si>
    <t>MakerBot</t>
  </si>
  <si>
    <t>Ultimaker</t>
  </si>
  <si>
    <t>Zortrax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</si>
</sst>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
    <numFmt numFmtId="166" formatCode="0.00000"/>
    <numFmt numFmtId="167" formatCode="0.0"/>
  </numFmts>
  <fonts count="8"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sz val="10"/>
      <color theme="1"/>
      <name val="Calibri"/>
      <family val="2"/>
      <scheme val="minor"/>
    </font>
    <font>
      <sz val="11"/>
      <color rgb="FFFF0000"/>
      <name val="Calibri"/>
      <family val="2"/>
      <scheme val="minor"/>
    </font>
    <font>
      <sz val="11"/>
      <name val="Calibri"/>
      <family val="2"/>
      <scheme val="minor"/>
    </font>
    <font>
      <sz val="11"/>
      <color theme="5"/>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2"/>
        <bgColor indexed="64"/>
      </patternFill>
    </fill>
    <fill>
      <patternFill patternType="solid">
        <fgColor theme="9" tint="0.59999389629810485"/>
        <bgColor indexed="64"/>
      </patternFill>
    </fill>
    <fill>
      <patternFill patternType="solid">
        <fgColor theme="1"/>
        <bgColor indexed="64"/>
      </patternFill>
    </fill>
  </fills>
  <borders count="32">
    <border>
      <left/>
      <right/>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style="thin">
        <color indexed="64"/>
      </left>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8">
    <xf numFmtId="0" fontId="0" fillId="0" borderId="0" xfId="0"/>
    <xf numFmtId="0" fontId="0" fillId="0" borderId="1" xfId="0" applyBorder="1"/>
    <xf numFmtId="49" fontId="2" fillId="0" borderId="0" xfId="0" applyNumberFormat="1" applyFont="1" applyFill="1" applyBorder="1" applyProtection="1">
      <protection hidden="1"/>
    </xf>
    <xf numFmtId="2" fontId="0" fillId="0" borderId="3" xfId="0" applyNumberFormat="1" applyBorder="1"/>
    <xf numFmtId="2" fontId="0" fillId="0" borderId="4" xfId="0" applyNumberFormat="1" applyBorder="1"/>
    <xf numFmtId="2" fontId="0" fillId="0" borderId="0" xfId="0" applyNumberFormat="1"/>
    <xf numFmtId="2" fontId="0" fillId="0" borderId="5" xfId="0" applyNumberFormat="1" applyBorder="1"/>
    <xf numFmtId="2" fontId="0" fillId="0" borderId="1" xfId="0" applyNumberFormat="1" applyBorder="1"/>
    <xf numFmtId="0" fontId="1" fillId="0" borderId="0" xfId="0" applyFont="1" applyBorder="1"/>
    <xf numFmtId="0" fontId="2" fillId="0" borderId="0" xfId="0" applyFont="1" applyBorder="1"/>
    <xf numFmtId="0" fontId="2" fillId="0" borderId="0" xfId="0" applyFont="1" applyFill="1" applyBorder="1"/>
    <xf numFmtId="2" fontId="0" fillId="0" borderId="7" xfId="0" applyNumberFormat="1" applyBorder="1"/>
    <xf numFmtId="2" fontId="0" fillId="0" borderId="6" xfId="0" applyNumberFormat="1" applyBorder="1"/>
    <xf numFmtId="2" fontId="0" fillId="0" borderId="8" xfId="0" applyNumberFormat="1" applyBorder="1"/>
    <xf numFmtId="2" fontId="0" fillId="0" borderId="0" xfId="0" applyNumberFormat="1" applyBorder="1"/>
    <xf numFmtId="164" fontId="0" fillId="0" borderId="0" xfId="0" applyNumberFormat="1"/>
    <xf numFmtId="0" fontId="3" fillId="0" borderId="0" xfId="0" applyFont="1"/>
    <xf numFmtId="0" fontId="0" fillId="0" borderId="13" xfId="0" applyBorder="1"/>
    <xf numFmtId="0" fontId="0" fillId="0" borderId="0" xfId="0" applyBorder="1"/>
    <xf numFmtId="0" fontId="0" fillId="0" borderId="12" xfId="0" applyBorder="1"/>
    <xf numFmtId="0" fontId="0" fillId="0" borderId="18" xfId="0" applyBorder="1"/>
    <xf numFmtId="0" fontId="0" fillId="0" borderId="9" xfId="0" applyBorder="1"/>
    <xf numFmtId="0" fontId="3" fillId="0" borderId="19" xfId="0" applyFont="1" applyBorder="1"/>
    <xf numFmtId="0" fontId="3" fillId="0" borderId="4" xfId="0" applyFont="1" applyBorder="1"/>
    <xf numFmtId="0" fontId="3" fillId="0" borderId="2" xfId="0" applyFont="1" applyBorder="1"/>
    <xf numFmtId="0" fontId="3" fillId="0" borderId="4" xfId="0" applyFont="1" applyFill="1" applyBorder="1"/>
    <xf numFmtId="0" fontId="3" fillId="2" borderId="3" xfId="0" applyFont="1" applyFill="1" applyBorder="1"/>
    <xf numFmtId="0" fontId="3" fillId="2" borderId="4" xfId="0" applyFont="1" applyFill="1" applyBorder="1"/>
    <xf numFmtId="0" fontId="0" fillId="2" borderId="4" xfId="0" applyFill="1" applyBorder="1"/>
    <xf numFmtId="0" fontId="0" fillId="2" borderId="10" xfId="0" applyFill="1" applyBorder="1"/>
    <xf numFmtId="0" fontId="0" fillId="0" borderId="19" xfId="0" applyBorder="1"/>
    <xf numFmtId="49" fontId="2" fillId="0" borderId="20" xfId="0" applyNumberFormat="1" applyFont="1" applyFill="1" applyBorder="1" applyProtection="1">
      <protection hidden="1"/>
    </xf>
    <xf numFmtId="49" fontId="2" fillId="0" borderId="21" xfId="0" applyNumberFormat="1" applyFont="1" applyFill="1" applyBorder="1" applyProtection="1">
      <protection hidden="1"/>
    </xf>
    <xf numFmtId="49" fontId="2" fillId="0" borderId="22" xfId="0" applyNumberFormat="1" applyFont="1" applyFill="1" applyBorder="1" applyProtection="1">
      <protection hidden="1"/>
    </xf>
    <xf numFmtId="0" fontId="3" fillId="2" borderId="6" xfId="0" applyFont="1" applyFill="1" applyBorder="1" applyAlignment="1"/>
    <xf numFmtId="0" fontId="3" fillId="2" borderId="1" xfId="0" applyFont="1" applyFill="1" applyBorder="1" applyAlignment="1"/>
    <xf numFmtId="0" fontId="3" fillId="2" borderId="16" xfId="0" applyFont="1" applyFill="1" applyBorder="1" applyAlignment="1"/>
    <xf numFmtId="0" fontId="3" fillId="2" borderId="15" xfId="0" applyFont="1" applyFill="1" applyBorder="1" applyAlignment="1"/>
    <xf numFmtId="0" fontId="0" fillId="3" borderId="0" xfId="0" applyFill="1"/>
    <xf numFmtId="0" fontId="0" fillId="4" borderId="13" xfId="0" applyFill="1" applyBorder="1"/>
    <xf numFmtId="0" fontId="0" fillId="4" borderId="0" xfId="0" applyFill="1" applyBorder="1"/>
    <xf numFmtId="0" fontId="0" fillId="4" borderId="12" xfId="0" applyFill="1" applyBorder="1"/>
    <xf numFmtId="0" fontId="0" fillId="4" borderId="18" xfId="0" applyFill="1" applyBorder="1"/>
    <xf numFmtId="0" fontId="0" fillId="4" borderId="1" xfId="0" applyFill="1" applyBorder="1"/>
    <xf numFmtId="0" fontId="0" fillId="4" borderId="9" xfId="0" applyFill="1" applyBorder="1"/>
    <xf numFmtId="49" fontId="2" fillId="2" borderId="15" xfId="0" applyNumberFormat="1" applyFont="1" applyFill="1" applyBorder="1" applyProtection="1">
      <protection hidden="1"/>
    </xf>
    <xf numFmtId="0" fontId="2" fillId="2" borderId="23" xfId="0" applyFont="1" applyFill="1" applyBorder="1"/>
    <xf numFmtId="0" fontId="3" fillId="2" borderId="16" xfId="0" applyFont="1" applyFill="1" applyBorder="1"/>
    <xf numFmtId="0" fontId="3" fillId="2" borderId="24" xfId="0" applyFont="1" applyFill="1" applyBorder="1"/>
    <xf numFmtId="0" fontId="3" fillId="2" borderId="17" xfId="0" applyFont="1" applyFill="1" applyBorder="1"/>
    <xf numFmtId="0" fontId="2" fillId="2" borderId="14" xfId="0" applyFont="1" applyFill="1" applyBorder="1"/>
    <xf numFmtId="49" fontId="2" fillId="0" borderId="13" xfId="0" applyNumberFormat="1" applyFont="1" applyFill="1" applyBorder="1" applyProtection="1">
      <protection hidden="1"/>
    </xf>
    <xf numFmtId="0" fontId="2" fillId="0" borderId="12" xfId="0" applyFont="1" applyFill="1" applyBorder="1"/>
    <xf numFmtId="49" fontId="2" fillId="0" borderId="18" xfId="0" applyNumberFormat="1" applyFont="1" applyFill="1" applyBorder="1" applyProtection="1">
      <protection hidden="1"/>
    </xf>
    <xf numFmtId="0" fontId="2" fillId="0" borderId="1" xfId="0" applyFont="1" applyBorder="1"/>
    <xf numFmtId="0" fontId="2" fillId="0" borderId="9" xfId="0" applyFont="1" applyFill="1" applyBorder="1"/>
    <xf numFmtId="49" fontId="2" fillId="0" borderId="25" xfId="0" applyNumberFormat="1" applyFont="1" applyFill="1" applyBorder="1" applyProtection="1">
      <protection hidden="1"/>
    </xf>
    <xf numFmtId="0" fontId="2" fillId="0" borderId="6" xfId="0" applyFont="1" applyBorder="1"/>
    <xf numFmtId="0" fontId="2" fillId="0" borderId="11" xfId="0" applyFont="1" applyFill="1" applyBorder="1"/>
    <xf numFmtId="0" fontId="3" fillId="2" borderId="26" xfId="0" applyFont="1" applyFill="1" applyBorder="1" applyAlignment="1"/>
    <xf numFmtId="0" fontId="3" fillId="2" borderId="28" xfId="0" applyFont="1" applyFill="1" applyBorder="1" applyAlignment="1"/>
    <xf numFmtId="0" fontId="0" fillId="0" borderId="0" xfId="0" applyAlignment="1"/>
    <xf numFmtId="0" fontId="0" fillId="5" borderId="13" xfId="0" applyFill="1" applyBorder="1"/>
    <xf numFmtId="2" fontId="0" fillId="5" borderId="0" xfId="0" applyNumberFormat="1" applyFill="1" applyBorder="1"/>
    <xf numFmtId="10" fontId="0" fillId="5" borderId="0" xfId="0" applyNumberFormat="1" applyFill="1" applyBorder="1"/>
    <xf numFmtId="0" fontId="5" fillId="0" borderId="0" xfId="0" applyFont="1" applyBorder="1"/>
    <xf numFmtId="2" fontId="5" fillId="0" borderId="0" xfId="0" applyNumberFormat="1" applyFont="1" applyBorder="1"/>
    <xf numFmtId="10" fontId="5" fillId="0" borderId="12" xfId="0" applyNumberFormat="1" applyFont="1" applyBorder="1"/>
    <xf numFmtId="0" fontId="0" fillId="5" borderId="0" xfId="0" applyFill="1" applyBorder="1"/>
    <xf numFmtId="0" fontId="5" fillId="0" borderId="12" xfId="0" applyFont="1" applyBorder="1"/>
    <xf numFmtId="0" fontId="5" fillId="0" borderId="13" xfId="0" applyFont="1" applyBorder="1"/>
    <xf numFmtId="10" fontId="5" fillId="0" borderId="0" xfId="0" applyNumberFormat="1" applyFont="1" applyBorder="1"/>
    <xf numFmtId="0" fontId="7" fillId="0" borderId="0" xfId="0" applyFont="1" applyBorder="1"/>
    <xf numFmtId="2" fontId="7" fillId="0" borderId="0" xfId="0" applyNumberFormat="1" applyFont="1" applyBorder="1"/>
    <xf numFmtId="10" fontId="7" fillId="0" borderId="12" xfId="0" applyNumberFormat="1" applyFont="1" applyBorder="1"/>
    <xf numFmtId="0" fontId="5" fillId="0" borderId="13" xfId="0" applyFont="1" applyBorder="1" applyAlignment="1"/>
    <xf numFmtId="0" fontId="5" fillId="0" borderId="0" xfId="0" applyFont="1" applyBorder="1" applyAlignment="1"/>
    <xf numFmtId="0" fontId="0" fillId="5" borderId="12" xfId="0" applyFill="1" applyBorder="1"/>
    <xf numFmtId="0" fontId="5" fillId="0" borderId="0" xfId="0" applyFont="1" applyFill="1" applyBorder="1"/>
    <xf numFmtId="2" fontId="5" fillId="0" borderId="0" xfId="0" applyNumberFormat="1" applyFont="1" applyFill="1" applyBorder="1"/>
    <xf numFmtId="10" fontId="5" fillId="0" borderId="12" xfId="0" applyNumberFormat="1" applyFont="1" applyFill="1" applyBorder="1"/>
    <xf numFmtId="0" fontId="7" fillId="0" borderId="13" xfId="0" applyFont="1" applyFill="1" applyBorder="1"/>
    <xf numFmtId="2" fontId="7" fillId="0" borderId="0" xfId="0" applyNumberFormat="1" applyFont="1" applyFill="1" applyBorder="1"/>
    <xf numFmtId="10" fontId="7" fillId="0" borderId="0" xfId="0" applyNumberFormat="1" applyFont="1" applyFill="1" applyBorder="1"/>
    <xf numFmtId="0" fontId="7" fillId="0" borderId="0" xfId="0" applyFont="1" applyFill="1" applyBorder="1"/>
    <xf numFmtId="10" fontId="7" fillId="0" borderId="12" xfId="0" applyNumberFormat="1" applyFont="1" applyFill="1" applyBorder="1"/>
    <xf numFmtId="0" fontId="0" fillId="5" borderId="13" xfId="0" applyFill="1" applyBorder="1" applyAlignment="1"/>
    <xf numFmtId="0" fontId="0" fillId="6" borderId="6" xfId="0" applyFill="1" applyBorder="1"/>
    <xf numFmtId="0" fontId="0" fillId="6" borderId="0" xfId="0" applyFill="1" applyBorder="1"/>
    <xf numFmtId="0" fontId="6" fillId="6" borderId="0" xfId="0" applyFont="1" applyFill="1" applyBorder="1"/>
    <xf numFmtId="0" fontId="7" fillId="6" borderId="0" xfId="0" applyFont="1" applyFill="1" applyBorder="1"/>
    <xf numFmtId="0" fontId="0" fillId="6" borderId="1" xfId="0" applyFill="1" applyBorder="1"/>
    <xf numFmtId="0" fontId="5" fillId="6" borderId="13" xfId="0" applyFont="1" applyFill="1" applyBorder="1"/>
    <xf numFmtId="0" fontId="5" fillId="6" borderId="0" xfId="0" applyFont="1" applyFill="1" applyBorder="1"/>
    <xf numFmtId="0" fontId="0" fillId="6" borderId="12" xfId="0" applyFill="1" applyBorder="1"/>
    <xf numFmtId="0" fontId="0" fillId="0" borderId="1" xfId="0" applyBorder="1" applyAlignment="1">
      <alignment horizontal="center"/>
    </xf>
    <xf numFmtId="0" fontId="3" fillId="2" borderId="6" xfId="0" applyFont="1" applyFill="1" applyBorder="1"/>
    <xf numFmtId="0" fontId="3" fillId="0" borderId="0" xfId="0" applyFont="1" applyAlignment="1"/>
    <xf numFmtId="0" fontId="0" fillId="0" borderId="28" xfId="0" applyBorder="1" applyAlignment="1">
      <alignment horizontal="center" vertical="top"/>
    </xf>
    <xf numFmtId="0" fontId="0" fillId="4" borderId="25" xfId="0" applyFill="1" applyBorder="1"/>
    <xf numFmtId="0" fontId="3" fillId="0" borderId="0" xfId="0" applyFont="1" applyBorder="1"/>
    <xf numFmtId="2" fontId="2" fillId="0" borderId="0" xfId="0" applyNumberFormat="1" applyFont="1" applyFill="1" applyBorder="1"/>
    <xf numFmtId="0" fontId="0" fillId="0" borderId="0" xfId="0" applyBorder="1" applyAlignment="1">
      <alignment horizontal="center" vertical="top"/>
    </xf>
    <xf numFmtId="0" fontId="0" fillId="0" borderId="1" xfId="0" applyBorder="1" applyAlignment="1">
      <alignment horizontal="center" vertical="top"/>
    </xf>
    <xf numFmtId="0" fontId="3" fillId="2" borderId="26" xfId="0" applyFont="1" applyFill="1" applyBorder="1"/>
    <xf numFmtId="0" fontId="0" fillId="0" borderId="28" xfId="0" applyBorder="1" applyAlignment="1">
      <alignment horizontal="center"/>
    </xf>
    <xf numFmtId="0" fontId="0" fillId="0" borderId="27" xfId="0" applyBorder="1" applyAlignment="1">
      <alignment horizontal="center" vertical="top"/>
    </xf>
    <xf numFmtId="0" fontId="0" fillId="4" borderId="27" xfId="0" applyFill="1" applyBorder="1"/>
    <xf numFmtId="0" fontId="0" fillId="4" borderId="28" xfId="0" applyFill="1" applyBorder="1"/>
    <xf numFmtId="165" fontId="0" fillId="0" borderId="0" xfId="0" applyNumberFormat="1" applyAlignment="1">
      <alignment horizontal="center" vertical="center"/>
    </xf>
    <xf numFmtId="0" fontId="5" fillId="0" borderId="0" xfId="0" applyFont="1" applyBorder="1" applyAlignment="1">
      <alignment horizontal="center"/>
    </xf>
    <xf numFmtId="0" fontId="5" fillId="0" borderId="12" xfId="0" applyFont="1" applyBorder="1" applyAlignment="1">
      <alignment horizontal="center"/>
    </xf>
    <xf numFmtId="0" fontId="0" fillId="5" borderId="0" xfId="0" applyFill="1" applyBorder="1" applyAlignment="1">
      <alignment horizontal="center"/>
    </xf>
    <xf numFmtId="165" fontId="0" fillId="0" borderId="0" xfId="0" applyNumberFormat="1" applyAlignment="1">
      <alignment vertical="center"/>
    </xf>
    <xf numFmtId="0" fontId="0" fillId="0" borderId="0" xfId="0" applyAlignment="1">
      <alignment horizontal="center"/>
    </xf>
    <xf numFmtId="0" fontId="3" fillId="2" borderId="24" xfId="0" applyFont="1" applyFill="1" applyBorder="1" applyAlignment="1"/>
    <xf numFmtId="0" fontId="3" fillId="2" borderId="23" xfId="0" applyFont="1" applyFill="1" applyBorder="1" applyAlignment="1"/>
    <xf numFmtId="0" fontId="0" fillId="4" borderId="6" xfId="0" applyFill="1" applyBorder="1"/>
    <xf numFmtId="0" fontId="0" fillId="0" borderId="6" xfId="0" applyBorder="1"/>
    <xf numFmtId="166" fontId="0" fillId="0" borderId="0" xfId="0" applyNumberFormat="1"/>
    <xf numFmtId="10" fontId="5" fillId="0" borderId="0" xfId="0" applyNumberFormat="1" applyFont="1" applyFill="1" applyBorder="1"/>
    <xf numFmtId="0" fontId="5" fillId="0" borderId="13" xfId="0" applyFont="1" applyFill="1" applyBorder="1"/>
    <xf numFmtId="10" fontId="0" fillId="5" borderId="12" xfId="0" applyNumberFormat="1" applyFill="1" applyBorder="1"/>
    <xf numFmtId="0" fontId="6" fillId="0" borderId="13" xfId="0" applyFont="1" applyBorder="1"/>
    <xf numFmtId="0" fontId="6" fillId="0" borderId="0" xfId="0" applyFont="1" applyBorder="1"/>
    <xf numFmtId="164" fontId="6" fillId="0" borderId="0" xfId="0" applyNumberFormat="1" applyFont="1" applyBorder="1"/>
    <xf numFmtId="0" fontId="6" fillId="5" borderId="13" xfId="0" applyFont="1" applyFill="1" applyBorder="1"/>
    <xf numFmtId="0" fontId="6" fillId="5" borderId="0" xfId="0" applyFont="1" applyFill="1" applyBorder="1"/>
    <xf numFmtId="164" fontId="6" fillId="5" borderId="0" xfId="0" applyNumberFormat="1" applyFont="1" applyFill="1" applyBorder="1"/>
    <xf numFmtId="10" fontId="6" fillId="5" borderId="0" xfId="0" applyNumberFormat="1" applyFont="1" applyFill="1" applyBorder="1"/>
    <xf numFmtId="0" fontId="6" fillId="0" borderId="12" xfId="0" applyFont="1" applyBorder="1"/>
    <xf numFmtId="10" fontId="6" fillId="0" borderId="12" xfId="0" applyNumberFormat="1" applyFont="1" applyBorder="1"/>
    <xf numFmtId="0" fontId="6" fillId="0" borderId="18" xfId="0" applyFont="1" applyBorder="1"/>
    <xf numFmtId="0" fontId="6" fillId="0" borderId="1" xfId="0" applyFont="1" applyBorder="1"/>
    <xf numFmtId="165" fontId="6" fillId="0" borderId="0" xfId="0" applyNumberFormat="1" applyFont="1" applyAlignment="1">
      <alignment horizontal="center" vertical="center"/>
    </xf>
    <xf numFmtId="10" fontId="6" fillId="0" borderId="0" xfId="0" applyNumberFormat="1" applyFont="1" applyFill="1" applyBorder="1"/>
    <xf numFmtId="10" fontId="6" fillId="0" borderId="1" xfId="0" applyNumberFormat="1" applyFont="1" applyFill="1" applyBorder="1"/>
    <xf numFmtId="164" fontId="6" fillId="0" borderId="0" xfId="0" applyNumberFormat="1" applyFont="1" applyFill="1" applyBorder="1"/>
    <xf numFmtId="164" fontId="6" fillId="0" borderId="1" xfId="0" applyNumberFormat="1" applyFont="1" applyFill="1" applyBorder="1"/>
    <xf numFmtId="10" fontId="6" fillId="5" borderId="12" xfId="0" applyNumberFormat="1" applyFont="1" applyFill="1" applyBorder="1"/>
    <xf numFmtId="0" fontId="6" fillId="5" borderId="12" xfId="0" applyFont="1" applyFill="1" applyBorder="1"/>
    <xf numFmtId="0" fontId="7" fillId="0" borderId="13" xfId="0" applyFont="1" applyBorder="1"/>
    <xf numFmtId="164" fontId="7" fillId="0" borderId="0" xfId="0" applyNumberFormat="1" applyFont="1" applyFill="1" applyBorder="1"/>
    <xf numFmtId="164" fontId="7" fillId="0" borderId="0" xfId="0" applyNumberFormat="1" applyFont="1" applyBorder="1"/>
    <xf numFmtId="10" fontId="6" fillId="0" borderId="12" xfId="0" applyNumberFormat="1" applyFont="1" applyFill="1" applyBorder="1"/>
    <xf numFmtId="10" fontId="6" fillId="0" borderId="9" xfId="0" applyNumberFormat="1" applyFont="1" applyFill="1" applyBorder="1"/>
    <xf numFmtId="0" fontId="0" fillId="0" borderId="29" xfId="0" applyBorder="1"/>
    <xf numFmtId="0" fontId="0" fillId="6" borderId="29" xfId="0" applyFill="1" applyBorder="1"/>
    <xf numFmtId="2" fontId="0" fillId="0" borderId="29" xfId="0" applyNumberFormat="1" applyBorder="1"/>
    <xf numFmtId="164" fontId="0" fillId="0" borderId="29" xfId="0" applyNumberFormat="1" applyBorder="1"/>
    <xf numFmtId="0" fontId="0" fillId="0" borderId="29" xfId="0" applyFill="1" applyBorder="1"/>
    <xf numFmtId="10" fontId="0" fillId="0" borderId="29" xfId="0" applyNumberFormat="1" applyBorder="1"/>
    <xf numFmtId="10" fontId="0" fillId="0" borderId="0" xfId="0" applyNumberFormat="1"/>
    <xf numFmtId="0" fontId="0" fillId="0" borderId="29" xfId="0" applyBorder="1" applyAlignment="1"/>
    <xf numFmtId="0" fontId="0" fillId="6" borderId="29" xfId="0" applyFill="1" applyBorder="1" applyAlignment="1"/>
    <xf numFmtId="167" fontId="0" fillId="0" borderId="29" xfId="0" applyNumberFormat="1" applyBorder="1"/>
    <xf numFmtId="165" fontId="0" fillId="0" borderId="29" xfId="0" applyNumberFormat="1" applyBorder="1"/>
    <xf numFmtId="1" fontId="0" fillId="0" borderId="29" xfId="0" applyNumberFormat="1" applyBorder="1"/>
    <xf numFmtId="2" fontId="0" fillId="0" borderId="0" xfId="0" applyNumberFormat="1" applyAlignment="1">
      <alignment horizontal="center" vertical="center"/>
    </xf>
    <xf numFmtId="0" fontId="0" fillId="0" borderId="0" xfId="0" applyAlignment="1">
      <alignment horizontal="center" vertical="center"/>
    </xf>
    <xf numFmtId="0" fontId="0" fillId="2" borderId="30" xfId="0" applyFill="1" applyBorder="1" applyAlignment="1">
      <alignment horizontal="center"/>
    </xf>
    <xf numFmtId="0" fontId="0" fillId="2" borderId="31" xfId="0" applyFill="1" applyBorder="1" applyAlignment="1">
      <alignment horizontal="center"/>
    </xf>
    <xf numFmtId="165" fontId="0" fillId="0" borderId="0" xfId="0" applyNumberFormat="1" applyAlignment="1">
      <alignment horizontal="center" vertical="center"/>
    </xf>
    <xf numFmtId="165" fontId="0" fillId="0" borderId="0" xfId="0" applyNumberFormat="1" applyFill="1" applyAlignment="1">
      <alignment horizontal="center" vertical="center"/>
    </xf>
    <xf numFmtId="0" fontId="0" fillId="0" borderId="29" xfId="0" applyBorder="1" applyAlignment="1">
      <alignment horizontal="center"/>
    </xf>
    <xf numFmtId="0" fontId="0" fillId="0" borderId="25" xfId="0" applyBorder="1" applyAlignment="1">
      <alignment horizontal="center"/>
    </xf>
    <xf numFmtId="0" fontId="0" fillId="0" borderId="6" xfId="0" applyBorder="1" applyAlignment="1">
      <alignment horizontal="center"/>
    </xf>
    <xf numFmtId="0" fontId="6" fillId="0" borderId="6" xfId="0" applyFont="1" applyBorder="1" applyAlignment="1">
      <alignment horizontal="center"/>
    </xf>
    <xf numFmtId="0" fontId="6" fillId="0" borderId="11" xfId="0" applyFont="1" applyBorder="1" applyAlignment="1">
      <alignment horizontal="center"/>
    </xf>
    <xf numFmtId="2" fontId="6" fillId="5" borderId="0" xfId="0" applyNumberFormat="1" applyFont="1" applyFill="1" applyBorder="1" applyAlignment="1">
      <alignment horizontal="center"/>
    </xf>
    <xf numFmtId="2" fontId="6" fillId="5" borderId="12" xfId="0" applyNumberFormat="1" applyFont="1" applyFill="1" applyBorder="1" applyAlignment="1">
      <alignment horizontal="center"/>
    </xf>
    <xf numFmtId="2" fontId="6" fillId="0" borderId="0" xfId="0" applyNumberFormat="1" applyFont="1" applyBorder="1" applyAlignment="1">
      <alignment horizontal="center"/>
    </xf>
    <xf numFmtId="2" fontId="6" fillId="0" borderId="12" xfId="0" applyNumberFormat="1" applyFont="1" applyBorder="1" applyAlignment="1">
      <alignment horizontal="center"/>
    </xf>
    <xf numFmtId="0" fontId="5" fillId="0" borderId="0" xfId="0" applyFont="1" applyBorder="1" applyAlignment="1">
      <alignment horizontal="center"/>
    </xf>
    <xf numFmtId="0" fontId="5" fillId="0" borderId="12" xfId="0" applyFont="1" applyBorder="1" applyAlignment="1">
      <alignment horizontal="center"/>
    </xf>
    <xf numFmtId="0" fontId="0" fillId="5" borderId="0" xfId="0" applyFill="1" applyBorder="1" applyAlignment="1">
      <alignment horizontal="center"/>
    </xf>
    <xf numFmtId="0" fontId="0" fillId="5" borderId="12" xfId="0" applyFill="1" applyBorder="1" applyAlignment="1">
      <alignment horizontal="center"/>
    </xf>
    <xf numFmtId="0" fontId="6" fillId="0" borderId="13" xfId="0" applyFont="1" applyBorder="1" applyAlignment="1">
      <alignment horizontal="center"/>
    </xf>
    <xf numFmtId="0" fontId="6" fillId="0" borderId="0" xfId="0" applyFont="1" applyBorder="1" applyAlignment="1">
      <alignment horizontal="center"/>
    </xf>
    <xf numFmtId="0" fontId="6" fillId="0" borderId="12" xfId="0" applyFont="1" applyBorder="1" applyAlignment="1">
      <alignment horizont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6" xfId="0" applyFill="1" applyBorder="1" applyAlignment="1">
      <alignment horizontal="center" vertical="center"/>
    </xf>
    <xf numFmtId="0" fontId="0" fillId="0" borderId="27" xfId="0" applyFill="1" applyBorder="1" applyAlignment="1">
      <alignment horizontal="center" vertical="center"/>
    </xf>
    <xf numFmtId="0" fontId="0" fillId="0" borderId="28" xfId="0" applyFill="1" applyBorder="1" applyAlignment="1">
      <alignment horizontal="center" vertical="center"/>
    </xf>
    <xf numFmtId="0" fontId="4" fillId="0" borderId="7" xfId="0" applyFont="1" applyBorder="1" applyAlignment="1">
      <alignment horizontal="center" vertical="top" wrapText="1"/>
    </xf>
    <xf numFmtId="0" fontId="0" fillId="0" borderId="6" xfId="0" applyBorder="1" applyAlignment="1">
      <alignment horizontal="center" vertical="top"/>
    </xf>
    <xf numFmtId="0" fontId="0" fillId="0" borderId="11" xfId="0" applyBorder="1" applyAlignment="1">
      <alignment horizontal="center" vertical="top"/>
    </xf>
    <xf numFmtId="0" fontId="0" fillId="0" borderId="8" xfId="0" applyBorder="1" applyAlignment="1">
      <alignment horizontal="center" vertical="top"/>
    </xf>
    <xf numFmtId="0" fontId="0" fillId="0" borderId="0" xfId="0" applyBorder="1" applyAlignment="1">
      <alignment horizontal="center" vertical="top"/>
    </xf>
    <xf numFmtId="0" fontId="0" fillId="0" borderId="12" xfId="0" applyBorder="1" applyAlignment="1">
      <alignment horizontal="center" vertical="top"/>
    </xf>
    <xf numFmtId="0" fontId="0" fillId="0" borderId="5" xfId="0" applyBorder="1" applyAlignment="1">
      <alignment horizontal="center" vertical="top"/>
    </xf>
    <xf numFmtId="0" fontId="0" fillId="0" borderId="1" xfId="0" applyBorder="1" applyAlignment="1">
      <alignment horizontal="center" vertical="top"/>
    </xf>
    <xf numFmtId="0" fontId="0" fillId="0" borderId="9" xfId="0" applyBorder="1" applyAlignment="1">
      <alignment horizontal="center" vertical="top"/>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cellXfs>
  <cellStyles count="1">
    <cellStyle name="Normal" xfId="0" builtinId="0"/>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37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84" Type="http://schemas.openxmlformats.org/officeDocument/2006/relationships/externalLink" Target="externalLinks/externalLink82.xml"/><Relationship Id="rId89" Type="http://schemas.openxmlformats.org/officeDocument/2006/relationships/externalLink" Target="externalLinks/externalLink87.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07" Type="http://schemas.openxmlformats.org/officeDocument/2006/relationships/theme" Target="theme/theme1.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66" Type="http://schemas.openxmlformats.org/officeDocument/2006/relationships/externalLink" Target="externalLinks/externalLink64.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87" Type="http://schemas.openxmlformats.org/officeDocument/2006/relationships/externalLink" Target="externalLinks/externalLink85.xml"/><Relationship Id="rId102" Type="http://schemas.openxmlformats.org/officeDocument/2006/relationships/externalLink" Target="externalLinks/externalLink100.xml"/><Relationship Id="rId110" Type="http://schemas.openxmlformats.org/officeDocument/2006/relationships/calcChain" Target="calcChain.xml"/><Relationship Id="rId5" Type="http://schemas.openxmlformats.org/officeDocument/2006/relationships/externalLink" Target="externalLinks/externalLink3.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90" Type="http://schemas.openxmlformats.org/officeDocument/2006/relationships/externalLink" Target="externalLinks/externalLink88.xml"/><Relationship Id="rId95" Type="http://schemas.openxmlformats.org/officeDocument/2006/relationships/externalLink" Target="externalLinks/externalLink93.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103" Type="http://schemas.openxmlformats.org/officeDocument/2006/relationships/externalLink" Target="externalLinks/externalLink101.xml"/><Relationship Id="rId108" Type="http://schemas.openxmlformats.org/officeDocument/2006/relationships/styles" Target="styles.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109" Type="http://schemas.openxmlformats.org/officeDocument/2006/relationships/sharedStrings" Target="sharedStrings.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04" Type="http://schemas.openxmlformats.org/officeDocument/2006/relationships/externalLink" Target="externalLinks/externalLink102.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kerBot/22111/Analysis_M2211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MakerBot/22121/Analysis_M2212C.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Zortrax/21223/Analysis_Z2122F.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Zortrax/11123/Analysis_Z1112B.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Zortrax/11123/Analysis_Z1112C.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Zortrax/11123/Analysis_Z1112D.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Zortrax/11123/Analysis_Z1112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akerBot/22121/Analysis_M2212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akerBot/22121/Analysis_M2212E.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akerBot/22121/Analysis_M2212F.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MakerBot/12121/Analysis_M1212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MakerBot/12121/Analysis_M1212B.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MakerBot/12121/Analysis_M1212C.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MakerBot/12121/Analysis_M1212D.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MakerBot/12121/Analysis_M1212E.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MakerBot/12121/Analysis_M1212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kerBot/22111/Analysis_M2211B.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MakerBot/11211/Analysis_M1121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MakerBot/11211/Analysis_M1121B.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MakerBot/11211/Analysis_M1121C.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MakerBot/11211/Analysis_M1121D.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MakerBot/11211/Analysis_M1121E.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MakerBot/11211/Analysis_M1121F.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MakerBot/11221/Analysis_M1122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MakerBot/11221/Analysis_M1122B.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MakerBot/11221/Analysis_M1122C.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MakerBot/11221/Analysis_M1122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kerBot/22111/Analysis_M2211C.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MakerBot/11221/Analysis_M1122E.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MakerBot/11221/Analysis_M1122F.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MakerBot/21211/Analysis_M2121A.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MakerBot/21211/Analysis_M2121B.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MakerBot/21211/Analysis_M2121C.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MakerBot/21211/Analysis_M2121D.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MakerBot/21211/Analysis_M2121E.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MakerBot/21211/Analysis_M2121F.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ltimaker/22222%7bSet1%7d/Analysis_U2222A.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ltimaker/22222%7bSet1%7d/Analysis_U2222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kerBot/22111/Analysis_M2211D.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ltimaker/22222%7bSet1%7d/Analysis_U2222C.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ltimaker/22222%7bSet1%7d/Analysis_U2222D.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ltimaker/22222%7bSet1%7d/Analysis_U2222E.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ltimaker/22222%7bSet1%7d/Analysis_U2222F.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ltimaker/21112/Analysis_U2111A.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ltimaker/21112/Analysis_U2111C.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ltimaker/21112/Analysis_U2111D.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ltimaker/21112/Analysis_U2111E.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ltimaker/21112/Analysis_U2111F.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ltimaker/22222%7bSet2%7d/Analysis_U2222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akerBot/22111/Analysis_M2211E.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ltimaker/22222%7bSet2%7d/Analysis_U2222B.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ltimaker/22222%7bSet2%7d/Analysis_U2222C.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ltimaker/22222%7bSet2%7d/Analysis_U2222D.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ltimaker/22222%7bSet2%7d/Analysis_U2222E.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ltimaker/22222%7bSet2%7d/Analysis_U2222F.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ltimaker/11112%7bSet1%7d/Analysis_U1111A.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ltimaker/11112%7bSet1%7d/Analysis_U1111B.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ltimaker/11112%7bSet1%7d/Analysis_U1111C.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ltimaker/11112%7bSet1%7d/Analysis_U1111D.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ltimaker/11112%7bSet1%7d/Analysis_U1111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akerBot/22111/Analysis_M2211F.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ltimaker/11112%7bSet1%7d/Analysis_U1111F.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ltimaker/12222/Analysis_U1222A.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ltimaker/12222/Analysis_U1222B.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Ultimaker/12222/Analysis_U1222D.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Ultimaker/12222/Analysis_U1222E.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Ultimaker/12222/Analysis_U1222F.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Ultimaker/11112%7bSet2%7d/Analysis_U1111A.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Ultimaker/11112%7bSet2%7d/Analysis_U1111B.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Ultimaker/11112%7bSet2%7d/Analysis_U1111C.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Ultimaker/11112%7bSet2%7d/Analysis_U1111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niel/Desktop/WPI/Grad/1_Thesis/Braconnier_SEM_2018/imagej_Analysis.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ltimaker/11112%7bSet2%7d/Analysis_U1111E.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Ultimaker/11112%7bSet2%7d/Analysis_U1111F.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Zortrax/12113/Analysis_Z1211B.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Zortrax/12113/Analysis_Z1211C.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Zortrax/12113/Analysis_Z1211D.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Zortrax/12113/Analysis_Z1211E.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Zortrax/12113/Analysis_Z1211F.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Zortrax/12213/Analysis_Z1221A.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Zortrax/12213/Analysis_Z1221B.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Zortrax/12213/Analysis_Z1221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akerBot/22121/Analysis_M2212A.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Zortrax/12213/Analysis_Z1221D.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Zortrax/12213/Analysis_Z1221E.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Zortrax/12213/Analysis_Z1221F.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Zortrax/22213/Analysis_Z2221A.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Zortrax/22213/Analysis_Z2221B.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Zortrax/22213/Analysis_Z2221C.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Zortrax/22213/Analysis_Z2221D.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Zortrax/22213/Analysis_Z2221E.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Zortrax/22213/Analysis_Z2221F.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Zortrax/21123/Analysis_Z2112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MakerBot/22121/Analysis_M2212B.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Zortrax/21123/Analysis_Z2112B.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Zortrax/21123/Analysis_Z2112C.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Zortrax/21123/Analysis_Z2112D.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Zortrax/21123/Analysis_Z2112E.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Zortrax/21123/Analysis_Z2112F.xlsx"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Zortrax/21223/Analysis_Z2122A.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Zortrax/21223/Analysis_Z2122B.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Zortrax/21223/Analysis_Z2122C.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Zortrax/21223/Analysis_Z2122D.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Zortrax/21223/Analysis_Z2122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27.405539999999998</v>
          </cell>
        </row>
        <row r="19">
          <cell r="J19">
            <v>5.8500000000000003E-2</v>
          </cell>
        </row>
        <row r="24">
          <cell r="J24">
            <v>9.6708910389999968E-3</v>
          </cell>
        </row>
        <row r="25">
          <cell r="J25">
            <v>474.6613176512966</v>
          </cell>
        </row>
      </sheetData>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24.864540000000002</v>
          </cell>
        </row>
        <row r="19">
          <cell r="J19">
            <v>5.5359999999999999E-2</v>
          </cell>
        </row>
        <row r="24">
          <cell r="J24">
            <v>7.8840419010000017E-3</v>
          </cell>
        </row>
        <row r="25">
          <cell r="J25">
            <v>476.31923327855367</v>
          </cell>
        </row>
      </sheetData>
      <sheetData sheetId="1"/>
      <sheetData sheetId="2"/>
      <sheetData sheetId="3"/>
      <sheetData sheetId="4"/>
      <sheetData sheetId="5"/>
      <sheetData sheetId="6"/>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24.077069999999999</v>
          </cell>
        </row>
        <row r="19">
          <cell r="J19">
            <v>4.6989999999999997E-2</v>
          </cell>
        </row>
        <row r="24">
          <cell r="J24">
            <v>5.8192184159999985E-3</v>
          </cell>
        </row>
        <row r="25">
          <cell r="J25">
            <v>517.91678096419867</v>
          </cell>
        </row>
      </sheetData>
      <sheetData sheetId="1"/>
      <sheetData sheetId="2"/>
      <sheetData sheetId="3"/>
      <sheetData sheetId="4"/>
      <sheetData sheetId="5"/>
      <sheetData sheetId="6"/>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11.793979999999999</v>
          </cell>
        </row>
        <row r="19">
          <cell r="J19">
            <v>2.2870000000000001E-2</v>
          </cell>
        </row>
        <row r="24">
          <cell r="J24">
            <v>1.3195801560000001E-3</v>
          </cell>
        </row>
        <row r="25">
          <cell r="J25">
            <v>521.60236840044911</v>
          </cell>
        </row>
      </sheetData>
      <sheetData sheetId="1"/>
      <sheetData sheetId="2"/>
      <sheetData sheetId="3"/>
      <sheetData sheetId="4"/>
      <sheetData sheetId="5"/>
      <sheetData sheetId="6"/>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10.428699999999999</v>
          </cell>
        </row>
        <row r="19">
          <cell r="J19">
            <v>2.0789999999999999E-2</v>
          </cell>
        </row>
        <row r="24">
          <cell r="J24">
            <v>1.0588169279999999E-3</v>
          </cell>
        </row>
        <row r="25">
          <cell r="J25">
            <v>508.61629898550058</v>
          </cell>
        </row>
      </sheetData>
      <sheetData sheetId="1"/>
      <sheetData sheetId="2"/>
      <sheetData sheetId="3"/>
      <sheetData sheetId="4"/>
      <sheetData sheetId="5"/>
      <sheetData sheetId="6"/>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9.5320400000000003</v>
          </cell>
        </row>
        <row r="19">
          <cell r="J19">
            <v>1.9740000000000001E-2</v>
          </cell>
        </row>
        <row r="24">
          <cell r="J24">
            <v>9.1240570299999993E-4</v>
          </cell>
        </row>
        <row r="25">
          <cell r="J25">
            <v>486.62452374615714</v>
          </cell>
        </row>
      </sheetData>
      <sheetData sheetId="1"/>
      <sheetData sheetId="2"/>
      <sheetData sheetId="3"/>
      <sheetData sheetId="4"/>
      <sheetData sheetId="5"/>
      <sheetData sheetId="6"/>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6.8257399999999997</v>
          </cell>
        </row>
        <row r="19">
          <cell r="J19">
            <v>1.4460000000000001E-2</v>
          </cell>
        </row>
        <row r="24">
          <cell r="J24">
            <v>4.7205013500000001E-4</v>
          </cell>
        </row>
        <row r="25">
          <cell r="J25">
            <v>478.86897075687455</v>
          </cell>
        </row>
      </sheetData>
      <sheetData sheetId="1"/>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26.694120000000002</v>
          </cell>
        </row>
        <row r="19">
          <cell r="J19">
            <v>5.33E-2</v>
          </cell>
        </row>
        <row r="24">
          <cell r="J24">
            <v>7.7310032040000011E-3</v>
          </cell>
        </row>
        <row r="25">
          <cell r="J25">
            <v>521.64665616981426</v>
          </cell>
        </row>
      </sheetData>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25.16187</v>
          </cell>
        </row>
        <row r="19">
          <cell r="J19">
            <v>5.3319999999999999E-2</v>
          </cell>
        </row>
        <row r="24">
          <cell r="J24">
            <v>7.2349932409999998E-3</v>
          </cell>
        </row>
        <row r="25">
          <cell r="J25">
            <v>488.54834478558217</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22.447340000000001</v>
          </cell>
        </row>
        <row r="19">
          <cell r="J19">
            <v>5.4359999999999999E-2</v>
          </cell>
        </row>
        <row r="24">
          <cell r="J24">
            <v>7.0118636980000017E-3</v>
          </cell>
        </row>
        <row r="25">
          <cell r="J25">
            <v>439.86455725201228</v>
          </cell>
        </row>
      </sheetData>
      <sheetData sheetId="1"/>
      <sheetData sheetId="2"/>
      <sheetData sheetId="3"/>
      <sheetData sheetId="4"/>
      <sheetData sheetId="5"/>
      <sheetData sheetId="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28.036490000000001</v>
          </cell>
        </row>
        <row r="19">
          <cell r="J19">
            <v>5.645E-2</v>
          </cell>
        </row>
        <row r="24">
          <cell r="J24">
            <v>8.570795719000001E-3</v>
          </cell>
        </row>
        <row r="25">
          <cell r="J25">
            <v>511.85227573897856</v>
          </cell>
        </row>
      </sheetData>
      <sheetData sheetId="1"/>
      <sheetData sheetId="2"/>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20.026620000000001</v>
          </cell>
        </row>
        <row r="19">
          <cell r="J19">
            <v>3.8620000000000002E-2</v>
          </cell>
        </row>
        <row r="24">
          <cell r="J24">
            <v>4.1096978840000006E-3</v>
          </cell>
        </row>
        <row r="25">
          <cell r="J25">
            <v>538.18909963040232</v>
          </cell>
        </row>
      </sheetData>
      <sheetData sheetId="1"/>
      <sheetData sheetId="2"/>
      <sheetData sheetId="3"/>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24.46265</v>
          </cell>
        </row>
        <row r="19">
          <cell r="J19">
            <v>4.8039999999999999E-2</v>
          </cell>
        </row>
        <row r="24">
          <cell r="J24">
            <v>6.2305002720000014E-3</v>
          </cell>
        </row>
        <row r="25">
          <cell r="J25">
            <v>520.51083088992402</v>
          </cell>
        </row>
      </sheetData>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25.814720000000001</v>
          </cell>
        </row>
        <row r="19">
          <cell r="J19">
            <v>4.8050000000000002E-2</v>
          </cell>
        </row>
        <row r="24">
          <cell r="J24">
            <v>6.5291303200000006E-3</v>
          </cell>
        </row>
        <row r="25">
          <cell r="J25">
            <v>551.8266306137765</v>
          </cell>
        </row>
      </sheetData>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20.167660000000001</v>
          </cell>
        </row>
        <row r="19">
          <cell r="J19">
            <v>4.3839999999999997E-2</v>
          </cell>
        </row>
        <row r="24">
          <cell r="J24">
            <v>4.872496690999999E-3</v>
          </cell>
        </row>
        <row r="25">
          <cell r="J25">
            <v>478.32700674459863</v>
          </cell>
        </row>
      </sheetData>
      <sheetData sheetId="1"/>
      <sheetData sheetId="2"/>
      <sheetData sheetId="3"/>
      <sheetData sheetId="4"/>
      <sheetData sheetId="5"/>
      <sheetData sheetId="6"/>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25.40185</v>
          </cell>
        </row>
        <row r="19">
          <cell r="J19">
            <v>5.0169999999999999E-2</v>
          </cell>
        </row>
        <row r="24">
          <cell r="J24">
            <v>6.7189256959999995E-3</v>
          </cell>
        </row>
        <row r="25">
          <cell r="J25">
            <v>518.21944863300996</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27.843499999999999</v>
          </cell>
        </row>
        <row r="19">
          <cell r="J19">
            <v>5.6469999999999999E-2</v>
          </cell>
        </row>
        <row r="24">
          <cell r="J24">
            <v>8.6106094469999995E-3</v>
          </cell>
        </row>
        <row r="25">
          <cell r="J25">
            <v>516.8156058361792</v>
          </cell>
        </row>
      </sheetData>
      <sheetData sheetId="1"/>
      <sheetData sheetId="2"/>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29.507719999999999</v>
          </cell>
        </row>
        <row r="19">
          <cell r="J19">
            <v>5.5399999999999998E-2</v>
          </cell>
        </row>
        <row r="24">
          <cell r="J24">
            <v>9.052389949999998E-3</v>
          </cell>
        </row>
        <row r="25">
          <cell r="J25">
            <v>543.37433091179525</v>
          </cell>
        </row>
      </sheetData>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29.305430000000001</v>
          </cell>
        </row>
        <row r="19">
          <cell r="J19">
            <v>4.8050000000000002E-2</v>
          </cell>
        </row>
        <row r="24">
          <cell r="J24">
            <v>7.4059915189999999E-3</v>
          </cell>
        </row>
        <row r="25">
          <cell r="J25">
            <v>625.66354247261052</v>
          </cell>
        </row>
      </sheetData>
      <sheetData sheetId="1"/>
      <sheetData sheetId="2"/>
      <sheetData sheetId="3"/>
      <sheetData sheetId="4"/>
      <sheetData sheetId="5"/>
      <sheetData sheetId="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25.430420000000002</v>
          </cell>
        </row>
        <row r="19">
          <cell r="J19">
            <v>4.6989999999999997E-2</v>
          </cell>
        </row>
        <row r="24">
          <cell r="J24">
            <v>6.3248852350000009E-3</v>
          </cell>
        </row>
        <row r="25">
          <cell r="J25">
            <v>558.95812884098711</v>
          </cell>
        </row>
      </sheetData>
      <sheetData sheetId="1"/>
      <sheetData sheetId="2"/>
      <sheetData sheetId="3"/>
      <sheetData sheetId="4"/>
      <sheetData sheetId="5"/>
      <sheetData sheetId="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24.88045</v>
          </cell>
        </row>
        <row r="19">
          <cell r="J19">
            <v>3.9690000000000003E-2</v>
          </cell>
        </row>
        <row r="24">
          <cell r="J24">
            <v>5.0046926080000009E-3</v>
          </cell>
        </row>
        <row r="25">
          <cell r="J25">
            <v>633.97689183804084</v>
          </cell>
        </row>
      </sheetData>
      <sheetData sheetId="1"/>
      <sheetData sheetId="2"/>
      <sheetData sheetId="3"/>
      <sheetData sheetId="4"/>
      <sheetData sheetId="5"/>
      <sheetData sheetId="6"/>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18.725930000000002</v>
          </cell>
        </row>
        <row r="19">
          <cell r="J19">
            <v>3.2309999999999998E-2</v>
          </cell>
        </row>
        <row r="24">
          <cell r="J24">
            <v>3.0365418169999996E-3</v>
          </cell>
        </row>
        <row r="25">
          <cell r="J25">
            <v>588.25149680756408</v>
          </cell>
        </row>
      </sheetData>
      <sheetData sheetId="1"/>
      <sheetData sheetId="2"/>
      <sheetData sheetId="3"/>
      <sheetData sheetId="4"/>
      <sheetData sheetId="5"/>
      <sheetData sheetId="6"/>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25.989139999999999</v>
          </cell>
        </row>
        <row r="19">
          <cell r="J19">
            <v>4.5969999999999997E-2</v>
          </cell>
        </row>
        <row r="24">
          <cell r="J24">
            <v>6.184572268E-3</v>
          </cell>
        </row>
        <row r="25">
          <cell r="J25">
            <v>574.15523859523307</v>
          </cell>
        </row>
      </sheetData>
      <sheetData sheetId="1"/>
      <sheetData sheetId="2"/>
      <sheetData sheetId="3"/>
      <sheetData sheetId="4"/>
      <sheetData sheetId="5"/>
      <sheetData sheetId="6"/>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28.113510000000002</v>
          </cell>
        </row>
        <row r="19">
          <cell r="J19">
            <v>5.1220000000000002E-2</v>
          </cell>
        </row>
        <row r="24">
          <cell r="J24">
            <v>7.5171685289999977E-3</v>
          </cell>
        </row>
        <row r="25">
          <cell r="J25">
            <v>561.15021503966</v>
          </cell>
        </row>
      </sheetData>
      <sheetData sheetId="1"/>
      <sheetData sheetId="2"/>
      <sheetData sheetId="3"/>
      <sheetData sheetId="4"/>
      <sheetData sheetId="5"/>
      <sheetData sheetId="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28.462949999999999</v>
          </cell>
        </row>
        <row r="19">
          <cell r="J19">
            <v>4.6989999999999997E-2</v>
          </cell>
        </row>
        <row r="24">
          <cell r="J24">
            <v>6.9406110729999995E-3</v>
          </cell>
        </row>
        <row r="25">
          <cell r="J25">
            <v>618.05936630025394</v>
          </cell>
        </row>
      </sheetData>
      <sheetData sheetId="1"/>
      <sheetData sheetId="2"/>
      <sheetData sheetId="3"/>
      <sheetData sheetId="4"/>
      <sheetData sheetId="5"/>
      <sheetData sheetId="6"/>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24.509080000000001</v>
          </cell>
        </row>
        <row r="19">
          <cell r="J19">
            <v>4.3860000000000003E-2</v>
          </cell>
        </row>
        <row r="24">
          <cell r="J24">
            <v>5.5264849600000013E-3</v>
          </cell>
        </row>
        <row r="25">
          <cell r="J25">
            <v>568.68667119969007</v>
          </cell>
        </row>
      </sheetData>
      <sheetData sheetId="1"/>
      <sheetData sheetId="2"/>
      <sheetData sheetId="3"/>
      <sheetData sheetId="4"/>
      <sheetData sheetId="5"/>
      <sheetData sheetId="6"/>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23.578869999999998</v>
          </cell>
        </row>
        <row r="19">
          <cell r="J19">
            <v>3.8609999999999998E-2</v>
          </cell>
        </row>
        <row r="24">
          <cell r="J24">
            <v>4.5875164639999997E-3</v>
          </cell>
        </row>
        <row r="25">
          <cell r="J25">
            <v>617.59771340527448</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27.515840000000001</v>
          </cell>
        </row>
        <row r="19">
          <cell r="J19">
            <v>6.2719999999999998E-2</v>
          </cell>
        </row>
        <row r="24">
          <cell r="J24">
            <v>1.0759283070000004E-2</v>
          </cell>
        </row>
        <row r="25">
          <cell r="J25">
            <v>446.51325853545154</v>
          </cell>
        </row>
      </sheetData>
      <sheetData sheetId="1"/>
      <sheetData sheetId="2"/>
      <sheetData sheetId="3"/>
      <sheetData sheetId="4"/>
      <sheetData sheetId="5"/>
      <sheetData sheetId="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14.739560000000001</v>
          </cell>
        </row>
        <row r="19">
          <cell r="J19">
            <v>2.7089999999999999E-2</v>
          </cell>
        </row>
        <row r="24">
          <cell r="J24">
            <v>2.0166918649999997E-3</v>
          </cell>
        </row>
        <row r="25">
          <cell r="J25">
            <v>560.29041677339001</v>
          </cell>
        </row>
      </sheetData>
      <sheetData sheetId="1"/>
      <sheetData sheetId="2"/>
      <sheetData sheetId="3"/>
      <sheetData sheetId="4"/>
      <sheetData sheetId="5"/>
      <sheetData sheetId="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25.007180000000002</v>
          </cell>
        </row>
        <row r="19">
          <cell r="J19">
            <v>4.2840000000000003E-2</v>
          </cell>
        </row>
        <row r="24">
          <cell r="J24">
            <v>5.4682703390000007E-3</v>
          </cell>
        </row>
        <row r="25">
          <cell r="J25">
            <v>592.31027429234132</v>
          </cell>
        </row>
      </sheetData>
      <sheetData sheetId="1"/>
      <sheetData sheetId="2"/>
      <sheetData sheetId="3"/>
      <sheetData sheetId="4"/>
      <sheetData sheetId="5"/>
      <sheetData sheetId="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23.039660000000001</v>
          </cell>
        </row>
        <row r="19">
          <cell r="J19">
            <v>6.4879999999999993E-2</v>
          </cell>
        </row>
        <row r="24">
          <cell r="J24">
            <v>1.1898517692999995E-2</v>
          </cell>
        </row>
        <row r="25">
          <cell r="J25">
            <v>480.90376982705129</v>
          </cell>
        </row>
      </sheetData>
      <sheetData sheetId="1"/>
      <sheetData sheetId="2"/>
      <sheetData sheetId="3"/>
      <sheetData sheetId="4"/>
      <sheetData sheetId="5"/>
      <sheetData sheetId="6"/>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27.161580000000001</v>
          </cell>
        </row>
        <row r="19">
          <cell r="J19">
            <v>5.8549999999999998E-2</v>
          </cell>
        </row>
        <row r="24">
          <cell r="J24">
            <v>1.5025912689000005E-2</v>
          </cell>
        </row>
        <row r="25">
          <cell r="J25">
            <v>539.45966806451759</v>
          </cell>
        </row>
      </sheetData>
      <sheetData sheetId="1"/>
      <sheetData sheetId="2"/>
      <sheetData sheetId="3"/>
      <sheetData sheetId="4"/>
      <sheetData sheetId="5"/>
      <sheetData sheetId="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29.267330000000001</v>
          </cell>
        </row>
        <row r="19">
          <cell r="J19">
            <v>5.4339999999999999E-2</v>
          </cell>
        </row>
        <row r="24">
          <cell r="J24">
            <v>1.6985546000999999E-2</v>
          </cell>
        </row>
        <row r="25">
          <cell r="J25">
            <v>610.70480513977566</v>
          </cell>
        </row>
      </sheetData>
      <sheetData sheetId="1"/>
      <sheetData sheetId="2"/>
      <sheetData sheetId="3"/>
      <sheetData sheetId="4"/>
      <sheetData sheetId="5"/>
      <sheetData sheetId="6"/>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31.231159999999999</v>
          </cell>
        </row>
        <row r="19">
          <cell r="J19">
            <v>7.7439999999999995E-2</v>
          </cell>
        </row>
        <row r="24">
          <cell r="J24">
            <v>1.6280103628000003E-2</v>
          </cell>
        </row>
        <row r="25">
          <cell r="J25">
            <v>581.41263529329456</v>
          </cell>
        </row>
      </sheetData>
      <sheetData sheetId="1"/>
      <sheetData sheetId="2"/>
      <sheetData sheetId="3"/>
      <sheetData sheetId="4"/>
      <sheetData sheetId="5"/>
      <sheetData sheetId="6"/>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29.41911</v>
          </cell>
        </row>
        <row r="19">
          <cell r="J19">
            <v>5.96E-2</v>
          </cell>
        </row>
        <row r="24">
          <cell r="J24">
            <v>1.4072987402000005E-2</v>
          </cell>
        </row>
        <row r="25">
          <cell r="J25">
            <v>493.74939125072615</v>
          </cell>
        </row>
      </sheetData>
      <sheetData sheetId="1"/>
      <sheetData sheetId="2"/>
      <sheetData sheetId="3"/>
      <sheetData sheetId="4"/>
      <sheetData sheetId="5"/>
      <sheetData sheetId="6"/>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25.59374</v>
          </cell>
        </row>
        <row r="19">
          <cell r="J19">
            <v>5.5350000000000003E-2</v>
          </cell>
        </row>
        <row r="24">
          <cell r="J24">
            <v>1.1049280910999999E-2</v>
          </cell>
        </row>
        <row r="25">
          <cell r="J25">
            <v>489.02256154211693</v>
          </cell>
        </row>
      </sheetData>
      <sheetData sheetId="1"/>
      <sheetData sheetId="2"/>
      <sheetData sheetId="3"/>
      <sheetData sheetId="4"/>
      <sheetData sheetId="5"/>
      <sheetData sheetId="6"/>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6.7789900000000003</v>
          </cell>
        </row>
        <row r="19">
          <cell r="J19">
            <v>2.2870000000000001E-2</v>
          </cell>
        </row>
        <row r="24">
          <cell r="J24">
            <v>7.8076148500000016E-4</v>
          </cell>
        </row>
        <row r="25">
          <cell r="J25">
            <v>304.18507777925953</v>
          </cell>
        </row>
      </sheetData>
      <sheetData sheetId="1"/>
      <sheetData sheetId="2"/>
      <sheetData sheetId="3"/>
      <sheetData sheetId="4"/>
      <sheetData sheetId="5"/>
      <sheetData sheetId="6"/>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5.56</v>
          </cell>
        </row>
        <row r="19">
          <cell r="J19">
            <v>1.8669999999999999E-2</v>
          </cell>
        </row>
        <row r="24">
          <cell r="J24">
            <v>4.9942617700000002E-4</v>
          </cell>
        </row>
        <row r="25">
          <cell r="J25">
            <v>303.80540028278591</v>
          </cell>
        </row>
      </sheetData>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26.439109999999999</v>
          </cell>
        </row>
        <row r="19">
          <cell r="J19">
            <v>5.8560000000000001E-2</v>
          </cell>
        </row>
        <row r="24">
          <cell r="J24">
            <v>8.8088102540000001E-3</v>
          </cell>
        </row>
        <row r="25">
          <cell r="J25">
            <v>477.34724845137362</v>
          </cell>
        </row>
      </sheetData>
      <sheetData sheetId="1"/>
      <sheetData sheetId="2"/>
      <sheetData sheetId="3"/>
      <sheetData sheetId="4"/>
      <sheetData sheetId="5"/>
      <sheetData sheetId="6"/>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5.8490200000000003</v>
          </cell>
        </row>
        <row r="19">
          <cell r="J19">
            <v>2.078E-2</v>
          </cell>
        </row>
        <row r="24">
          <cell r="J24">
            <v>5.9947800000000008E-4</v>
          </cell>
        </row>
        <row r="25">
          <cell r="J25">
            <v>287.59189333112818</v>
          </cell>
        </row>
      </sheetData>
      <sheetData sheetId="1"/>
      <sheetData sheetId="2"/>
      <sheetData sheetId="3"/>
      <sheetData sheetId="4"/>
      <sheetData sheetId="5"/>
      <sheetData sheetId="6"/>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
          <cell r="B1" t="str">
            <v>U2222D</v>
          </cell>
        </row>
        <row r="18">
          <cell r="J18">
            <v>5.9300600000000001</v>
          </cell>
        </row>
        <row r="19">
          <cell r="J19">
            <v>2.0789999999999999E-2</v>
          </cell>
        </row>
        <row r="24">
          <cell r="J24">
            <v>6.0365575399999995E-4</v>
          </cell>
        </row>
        <row r="25">
          <cell r="J25">
            <v>291.30650039006946</v>
          </cell>
        </row>
        <row r="31">
          <cell r="B31">
            <v>0</v>
          </cell>
          <cell r="C31">
            <v>3.0400000000000002E-3</v>
          </cell>
        </row>
        <row r="32">
          <cell r="B32">
            <v>7.3999999999999999E-4</v>
          </cell>
          <cell r="C32">
            <v>0.14715</v>
          </cell>
        </row>
        <row r="33">
          <cell r="B33">
            <v>1.89E-3</v>
          </cell>
          <cell r="C33">
            <v>0.50663000000000002</v>
          </cell>
        </row>
        <row r="34">
          <cell r="B34">
            <v>2.96E-3</v>
          </cell>
          <cell r="C34">
            <v>0.83340999999999998</v>
          </cell>
        </row>
        <row r="35">
          <cell r="B35">
            <v>3.9699999999999996E-3</v>
          </cell>
          <cell r="C35">
            <v>1.161</v>
          </cell>
        </row>
        <row r="36">
          <cell r="B36">
            <v>5.0299999999999997E-3</v>
          </cell>
          <cell r="C36">
            <v>1.48306</v>
          </cell>
        </row>
        <row r="37">
          <cell r="B37">
            <v>6.0800000000000003E-3</v>
          </cell>
          <cell r="C37">
            <v>1.79796</v>
          </cell>
        </row>
        <row r="38">
          <cell r="B38">
            <v>7.1500000000000001E-3</v>
          </cell>
          <cell r="C38">
            <v>2.13259</v>
          </cell>
        </row>
        <row r="39">
          <cell r="B39">
            <v>8.2100000000000003E-3</v>
          </cell>
          <cell r="C39">
            <v>2.4512499999999999</v>
          </cell>
        </row>
        <row r="40">
          <cell r="B40">
            <v>9.2300000000000004E-3</v>
          </cell>
          <cell r="C40">
            <v>2.7563200000000001</v>
          </cell>
        </row>
        <row r="41">
          <cell r="B41">
            <v>1.027E-2</v>
          </cell>
          <cell r="C41">
            <v>3.0830899999999999</v>
          </cell>
        </row>
        <row r="42">
          <cell r="B42">
            <v>1.1310000000000001E-2</v>
          </cell>
          <cell r="C42">
            <v>3.3749600000000002</v>
          </cell>
        </row>
        <row r="43">
          <cell r="B43">
            <v>1.239E-2</v>
          </cell>
          <cell r="C43">
            <v>3.7074699999999998</v>
          </cell>
        </row>
        <row r="44">
          <cell r="B44">
            <v>1.3440000000000001E-2</v>
          </cell>
          <cell r="C44">
            <v>4.0031800000000004</v>
          </cell>
        </row>
        <row r="45">
          <cell r="B45">
            <v>1.448E-2</v>
          </cell>
          <cell r="C45">
            <v>4.3069899999999999</v>
          </cell>
        </row>
        <row r="46">
          <cell r="B46">
            <v>1.553E-2</v>
          </cell>
          <cell r="C46">
            <v>4.5882100000000001</v>
          </cell>
        </row>
        <row r="47">
          <cell r="B47">
            <v>1.6559999999999998E-2</v>
          </cell>
          <cell r="C47">
            <v>4.8785999999999996</v>
          </cell>
        </row>
        <row r="48">
          <cell r="B48">
            <v>1.763E-2</v>
          </cell>
          <cell r="C48">
            <v>5.1406599999999996</v>
          </cell>
        </row>
        <row r="49">
          <cell r="B49">
            <v>1.8679999999999999E-2</v>
          </cell>
          <cell r="C49">
            <v>5.4125300000000003</v>
          </cell>
        </row>
        <row r="50">
          <cell r="B50">
            <v>1.9740000000000001E-2</v>
          </cell>
          <cell r="C50">
            <v>5.6765600000000003</v>
          </cell>
        </row>
        <row r="51">
          <cell r="B51">
            <v>2.0789999999999999E-2</v>
          </cell>
          <cell r="C51">
            <v>5.9300600000000001</v>
          </cell>
        </row>
      </sheetData>
      <sheetData sheetId="1"/>
      <sheetData sheetId="2"/>
      <sheetData sheetId="3"/>
      <sheetData sheetId="4"/>
      <sheetData sheetId="5"/>
      <sheetData sheetId="6"/>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6.0216200000000004</v>
          </cell>
        </row>
        <row r="19">
          <cell r="J19">
            <v>2.0750000000000001E-2</v>
          </cell>
        </row>
        <row r="24">
          <cell r="J24">
            <v>6.1440192500000009E-4</v>
          </cell>
        </row>
        <row r="25">
          <cell r="J25">
            <v>294.59278436803226</v>
          </cell>
        </row>
      </sheetData>
      <sheetData sheetId="1"/>
      <sheetData sheetId="2"/>
      <sheetData sheetId="3"/>
      <sheetData sheetId="4"/>
      <sheetData sheetId="5"/>
      <sheetData sheetId="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7.0528199999999996</v>
          </cell>
        </row>
        <row r="19">
          <cell r="J19">
            <v>2.0789999999999999E-2</v>
          </cell>
        </row>
        <row r="24">
          <cell r="J24">
            <v>7.1183767400000001E-4</v>
          </cell>
        </row>
        <row r="25">
          <cell r="J25">
            <v>344.91453313609685</v>
          </cell>
        </row>
      </sheetData>
      <sheetData sheetId="1"/>
      <sheetData sheetId="2"/>
      <sheetData sheetId="3"/>
      <sheetData sheetId="4"/>
      <sheetData sheetId="5"/>
      <sheetData sheetId="6"/>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7.6352000000000002</v>
          </cell>
        </row>
        <row r="19">
          <cell r="J19">
            <v>2.1839999999999998E-2</v>
          </cell>
        </row>
        <row r="24">
          <cell r="J24">
            <v>8.3446332699999991E-4</v>
          </cell>
        </row>
        <row r="25">
          <cell r="J25">
            <v>358.42104261142578</v>
          </cell>
        </row>
      </sheetData>
      <sheetData sheetId="1"/>
      <sheetData sheetId="2"/>
      <sheetData sheetId="3"/>
      <sheetData sheetId="4"/>
      <sheetData sheetId="5"/>
      <sheetData sheetId="6"/>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7.8170200000000003</v>
          </cell>
        </row>
        <row r="19">
          <cell r="J19">
            <v>2.2890000000000001E-2</v>
          </cell>
        </row>
        <row r="24">
          <cell r="J24">
            <v>9.0245051499999996E-4</v>
          </cell>
        </row>
        <row r="25">
          <cell r="J25">
            <v>350.6542336627856</v>
          </cell>
        </row>
      </sheetData>
      <sheetData sheetId="1"/>
      <sheetData sheetId="2"/>
      <sheetData sheetId="3"/>
      <sheetData sheetId="4"/>
      <sheetData sheetId="5"/>
      <sheetData sheetId="6"/>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7.1246400000000003</v>
          </cell>
        </row>
        <row r="19">
          <cell r="J19">
            <v>2.078E-2</v>
          </cell>
        </row>
        <row r="24">
          <cell r="J24">
            <v>7.2409240799999996E-4</v>
          </cell>
        </row>
        <row r="25">
          <cell r="J25">
            <v>349.7270800535814</v>
          </cell>
        </row>
      </sheetData>
      <sheetData sheetId="1"/>
      <sheetData sheetId="2"/>
      <sheetData sheetId="3"/>
      <sheetData sheetId="4"/>
      <sheetData sheetId="5"/>
      <sheetData sheetId="6"/>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8.9469200000000004</v>
          </cell>
        </row>
        <row r="19">
          <cell r="J19">
            <v>2.8070000000000001E-2</v>
          </cell>
        </row>
        <row r="24">
          <cell r="J24">
            <v>1.319534484E-3</v>
          </cell>
        </row>
        <row r="25">
          <cell r="J25">
            <v>326.78304228936281</v>
          </cell>
        </row>
      </sheetData>
      <sheetData sheetId="1"/>
      <sheetData sheetId="2"/>
      <sheetData sheetId="3"/>
      <sheetData sheetId="4"/>
      <sheetData sheetId="5"/>
      <sheetData sheetId="6"/>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8.9001999999999999</v>
          </cell>
        </row>
        <row r="19">
          <cell r="J19">
            <v>2.7029999999999998E-2</v>
          </cell>
        </row>
        <row r="24">
          <cell r="J24">
            <v>1.2503020159999999E-3</v>
          </cell>
        </row>
        <row r="25">
          <cell r="J25">
            <v>340.8040867003146</v>
          </cell>
        </row>
      </sheetData>
      <sheetData sheetId="1"/>
      <sheetData sheetId="2"/>
      <sheetData sheetId="3"/>
      <sheetData sheetId="4"/>
      <sheetData sheetId="5"/>
      <sheetData sheetId="6"/>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6.4233200000000004</v>
          </cell>
        </row>
        <row r="19">
          <cell r="J19">
            <v>2.1839999999999998E-2</v>
          </cell>
        </row>
        <row r="24">
          <cell r="J24">
            <v>6.97621175E-4</v>
          </cell>
        </row>
        <row r="25">
          <cell r="J25">
            <v>300.28098756263398</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27.50384</v>
          </cell>
        </row>
        <row r="19">
          <cell r="J19">
            <v>5.7500000000000002E-2</v>
          </cell>
        </row>
        <row r="24">
          <cell r="J24">
            <v>8.7172901189999999E-3</v>
          </cell>
        </row>
        <row r="25">
          <cell r="J25">
            <v>503.55457784593011</v>
          </cell>
        </row>
      </sheetData>
      <sheetData sheetId="1"/>
      <sheetData sheetId="2"/>
      <sheetData sheetId="3"/>
      <sheetData sheetId="4"/>
      <sheetData sheetId="5"/>
      <sheetData sheetId="6"/>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7.1567800000000004</v>
          </cell>
        </row>
        <row r="19">
          <cell r="J19">
            <v>2.5999999999999999E-2</v>
          </cell>
        </row>
        <row r="24">
          <cell r="J24">
            <v>9.4768035500000011E-4</v>
          </cell>
        </row>
        <row r="25">
          <cell r="J25">
            <v>283.11402192868042</v>
          </cell>
        </row>
      </sheetData>
      <sheetData sheetId="1"/>
      <sheetData sheetId="2"/>
      <sheetData sheetId="3"/>
      <sheetData sheetId="4"/>
      <sheetData sheetId="5"/>
      <sheetData sheetId="6"/>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6.05185</v>
          </cell>
        </row>
        <row r="19">
          <cell r="J19">
            <v>2.1870000000000001E-2</v>
          </cell>
        </row>
        <row r="24">
          <cell r="J24">
            <v>6.5674940599999999E-4</v>
          </cell>
        </row>
        <row r="25">
          <cell r="J25">
            <v>282.18271023293795</v>
          </cell>
        </row>
      </sheetData>
      <sheetData sheetId="1"/>
      <sheetData sheetId="2"/>
      <sheetData sheetId="3"/>
      <sheetData sheetId="4"/>
      <sheetData sheetId="5"/>
      <sheetData sheetId="6"/>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6.1517200000000001</v>
          </cell>
        </row>
        <row r="19">
          <cell r="J19">
            <v>2.1819999999999999E-2</v>
          </cell>
        </row>
        <row r="24">
          <cell r="J24">
            <v>6.6723038900000007E-4</v>
          </cell>
        </row>
        <row r="25">
          <cell r="J25">
            <v>286.98160271163556</v>
          </cell>
        </row>
      </sheetData>
      <sheetData sheetId="1"/>
      <sheetData sheetId="2"/>
      <sheetData sheetId="3"/>
      <sheetData sheetId="4"/>
      <sheetData sheetId="5"/>
      <sheetData sheetId="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8.55593</v>
          </cell>
        </row>
        <row r="19">
          <cell r="J19">
            <v>3.022E-2</v>
          </cell>
        </row>
        <row r="24">
          <cell r="J24">
            <v>1.3130712599999999E-3</v>
          </cell>
        </row>
        <row r="25">
          <cell r="J25">
            <v>289.87764090195213</v>
          </cell>
        </row>
      </sheetData>
      <sheetData sheetId="1"/>
      <sheetData sheetId="2"/>
      <sheetData sheetId="3"/>
      <sheetData sheetId="4"/>
      <sheetData sheetId="5"/>
      <sheetData sheetId="6"/>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8.1572899999999997</v>
          </cell>
        </row>
        <row r="19">
          <cell r="J19">
            <v>2.4910000000000002E-2</v>
          </cell>
        </row>
        <row r="24">
          <cell r="J24">
            <v>1.0052964410000003E-3</v>
          </cell>
        </row>
        <row r="25">
          <cell r="J25">
            <v>332.61614691872467</v>
          </cell>
        </row>
      </sheetData>
      <sheetData sheetId="1"/>
      <sheetData sheetId="2"/>
      <sheetData sheetId="3"/>
      <sheetData sheetId="4"/>
      <sheetData sheetId="5"/>
      <sheetData sheetId="6"/>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6.2170199999999998</v>
          </cell>
        </row>
        <row r="19">
          <cell r="J19">
            <v>1.6570000000000001E-2</v>
          </cell>
        </row>
        <row r="24">
          <cell r="J24">
            <v>4.8474047800000009E-4</v>
          </cell>
        </row>
        <row r="25">
          <cell r="J25">
            <v>381.47885221485859</v>
          </cell>
        </row>
      </sheetData>
      <sheetData sheetId="1"/>
      <sheetData sheetId="2"/>
      <sheetData sheetId="3"/>
      <sheetData sheetId="4"/>
      <sheetData sheetId="5"/>
      <sheetData sheetId="6"/>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6.7427200000000003</v>
          </cell>
        </row>
        <row r="19">
          <cell r="J19">
            <v>1.8679999999999999E-2</v>
          </cell>
        </row>
        <row r="24">
          <cell r="J24">
            <v>6.0196643699999999E-4</v>
          </cell>
        </row>
        <row r="25">
          <cell r="J25">
            <v>366.84296185527245</v>
          </cell>
        </row>
      </sheetData>
      <sheetData sheetId="1"/>
      <sheetData sheetId="2"/>
      <sheetData sheetId="3"/>
      <sheetData sheetId="4"/>
      <sheetData sheetId="5"/>
      <sheetData sheetId="6"/>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6.92814</v>
          </cell>
        </row>
        <row r="19">
          <cell r="J19">
            <v>1.9740000000000001E-2</v>
          </cell>
        </row>
        <row r="24">
          <cell r="J24">
            <v>6.628979440000001E-4</v>
          </cell>
        </row>
        <row r="25">
          <cell r="J25">
            <v>357.49898053884829</v>
          </cell>
        </row>
      </sheetData>
      <sheetData sheetId="1"/>
      <sheetData sheetId="2"/>
      <sheetData sheetId="3"/>
      <sheetData sheetId="4"/>
      <sheetData sheetId="5"/>
      <sheetData sheetId="6"/>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6.8395200000000003</v>
          </cell>
        </row>
        <row r="19">
          <cell r="J19">
            <v>1.9720000000000001E-2</v>
          </cell>
        </row>
        <row r="24">
          <cell r="J24">
            <v>6.5013350900000014E-4</v>
          </cell>
        </row>
        <row r="25">
          <cell r="J25">
            <v>353.43280089899173</v>
          </cell>
        </row>
      </sheetData>
      <sheetData sheetId="1"/>
      <sheetData sheetId="2"/>
      <sheetData sheetId="3"/>
      <sheetData sheetId="4"/>
      <sheetData sheetId="5"/>
      <sheetData sheetId="6"/>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7.0170000000000003</v>
          </cell>
        </row>
        <row r="19">
          <cell r="J19">
            <v>1.9689999999999999E-2</v>
          </cell>
        </row>
        <row r="24">
          <cell r="J24">
            <v>6.7035666300000005E-4</v>
          </cell>
        </row>
        <row r="25">
          <cell r="J25">
            <v>364.57605850726736</v>
          </cell>
        </row>
      </sheetData>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
          <cell r="B1" t="str">
            <v>M2211F</v>
          </cell>
        </row>
        <row r="18">
          <cell r="J18">
            <v>25.912659999999999</v>
          </cell>
        </row>
        <row r="19">
          <cell r="J19">
            <v>5.96E-2</v>
          </cell>
        </row>
        <row r="24">
          <cell r="J24">
            <v>8.7964517480000008E-3</v>
          </cell>
        </row>
        <row r="25">
          <cell r="J25">
            <v>464.28462498757011</v>
          </cell>
        </row>
        <row r="31">
          <cell r="B31">
            <v>0</v>
          </cell>
          <cell r="C31">
            <v>2.836E-2</v>
          </cell>
        </row>
        <row r="32">
          <cell r="B32">
            <v>7.1000000000000002E-4</v>
          </cell>
          <cell r="C32">
            <v>0.25391000000000002</v>
          </cell>
        </row>
        <row r="33">
          <cell r="B33">
            <v>1.8699999999999999E-3</v>
          </cell>
          <cell r="C33">
            <v>0.93052000000000001</v>
          </cell>
        </row>
        <row r="34">
          <cell r="B34">
            <v>2.9499999999999999E-3</v>
          </cell>
          <cell r="C34">
            <v>1.52321</v>
          </cell>
        </row>
        <row r="35">
          <cell r="B35">
            <v>4.0099999999999997E-3</v>
          </cell>
          <cell r="C35">
            <v>2.1071800000000001</v>
          </cell>
        </row>
        <row r="36">
          <cell r="B36">
            <v>5.0299999999999997E-3</v>
          </cell>
          <cell r="C36">
            <v>2.6774900000000001</v>
          </cell>
        </row>
        <row r="37">
          <cell r="B37">
            <v>6.0800000000000003E-3</v>
          </cell>
          <cell r="C37">
            <v>3.2444099999999998</v>
          </cell>
        </row>
        <row r="38">
          <cell r="B38">
            <v>7.1199999999999996E-3</v>
          </cell>
          <cell r="C38">
            <v>3.8069099999999998</v>
          </cell>
        </row>
        <row r="39">
          <cell r="B39">
            <v>8.1899999999999994E-3</v>
          </cell>
          <cell r="C39">
            <v>4.3817000000000004</v>
          </cell>
        </row>
        <row r="40">
          <cell r="B40">
            <v>9.2499999999999995E-3</v>
          </cell>
          <cell r="C40">
            <v>4.9651399999999999</v>
          </cell>
        </row>
        <row r="41">
          <cell r="B41">
            <v>1.0290000000000001E-2</v>
          </cell>
          <cell r="C41">
            <v>5.5610099999999996</v>
          </cell>
        </row>
        <row r="42">
          <cell r="B42">
            <v>1.1339999999999999E-2</v>
          </cell>
          <cell r="C42">
            <v>6.1340300000000001</v>
          </cell>
        </row>
        <row r="43">
          <cell r="B43">
            <v>1.2359999999999999E-2</v>
          </cell>
          <cell r="C43">
            <v>6.6879099999999996</v>
          </cell>
        </row>
        <row r="44">
          <cell r="B44">
            <v>1.3429999999999999E-2</v>
          </cell>
          <cell r="C44">
            <v>7.2594099999999999</v>
          </cell>
        </row>
        <row r="45">
          <cell r="B45">
            <v>1.448E-2</v>
          </cell>
          <cell r="C45">
            <v>7.7999900000000002</v>
          </cell>
        </row>
        <row r="46">
          <cell r="B46">
            <v>1.554E-2</v>
          </cell>
          <cell r="C46">
            <v>8.35886</v>
          </cell>
        </row>
        <row r="47">
          <cell r="B47">
            <v>1.66E-2</v>
          </cell>
          <cell r="C47">
            <v>8.9154300000000006</v>
          </cell>
        </row>
        <row r="48">
          <cell r="B48">
            <v>1.7600000000000001E-2</v>
          </cell>
          <cell r="C48">
            <v>9.4570699999999999</v>
          </cell>
        </row>
        <row r="49">
          <cell r="B49">
            <v>1.8669999999999999E-2</v>
          </cell>
          <cell r="C49">
            <v>10.026630000000001</v>
          </cell>
        </row>
        <row r="50">
          <cell r="B50">
            <v>1.9720000000000001E-2</v>
          </cell>
          <cell r="C50">
            <v>10.583589999999999</v>
          </cell>
        </row>
        <row r="51">
          <cell r="B51">
            <v>2.0789999999999999E-2</v>
          </cell>
          <cell r="C51">
            <v>11.15354</v>
          </cell>
        </row>
        <row r="52">
          <cell r="B52">
            <v>2.1850000000000001E-2</v>
          </cell>
          <cell r="C52">
            <v>11.697319999999999</v>
          </cell>
        </row>
        <row r="53">
          <cell r="B53">
            <v>2.2870000000000001E-2</v>
          </cell>
          <cell r="C53">
            <v>12.24216</v>
          </cell>
        </row>
        <row r="54">
          <cell r="B54">
            <v>2.3910000000000001E-2</v>
          </cell>
          <cell r="C54">
            <v>12.814310000000001</v>
          </cell>
        </row>
        <row r="55">
          <cell r="B55">
            <v>2.496E-2</v>
          </cell>
          <cell r="C55">
            <v>13.32804</v>
          </cell>
        </row>
        <row r="56">
          <cell r="B56">
            <v>2.6030000000000001E-2</v>
          </cell>
          <cell r="C56">
            <v>13.846220000000001</v>
          </cell>
        </row>
        <row r="57">
          <cell r="B57">
            <v>2.708E-2</v>
          </cell>
          <cell r="C57">
            <v>14.34695</v>
          </cell>
        </row>
        <row r="58">
          <cell r="B58">
            <v>2.8129999999999999E-2</v>
          </cell>
          <cell r="C58">
            <v>14.895720000000001</v>
          </cell>
        </row>
        <row r="59">
          <cell r="B59">
            <v>2.9180000000000001E-2</v>
          </cell>
          <cell r="C59">
            <v>15.434939999999999</v>
          </cell>
        </row>
        <row r="60">
          <cell r="B60">
            <v>3.0200000000000001E-2</v>
          </cell>
          <cell r="C60">
            <v>15.97017</v>
          </cell>
        </row>
        <row r="61">
          <cell r="B61">
            <v>3.1269999999999999E-2</v>
          </cell>
          <cell r="C61">
            <v>16.476859999999999</v>
          </cell>
        </row>
        <row r="62">
          <cell r="B62">
            <v>3.2320000000000002E-2</v>
          </cell>
          <cell r="C62">
            <v>16.996970000000001</v>
          </cell>
        </row>
        <row r="63">
          <cell r="B63">
            <v>3.338E-2</v>
          </cell>
          <cell r="C63">
            <v>17.522189999999998</v>
          </cell>
        </row>
        <row r="64">
          <cell r="B64">
            <v>3.4439999999999998E-2</v>
          </cell>
          <cell r="C64">
            <v>18.041460000000001</v>
          </cell>
        </row>
        <row r="65">
          <cell r="B65">
            <v>3.5450000000000002E-2</v>
          </cell>
          <cell r="C65">
            <v>18.51699</v>
          </cell>
        </row>
        <row r="66">
          <cell r="B66">
            <v>3.6499999999999998E-2</v>
          </cell>
          <cell r="C66">
            <v>19.000499999999999</v>
          </cell>
        </row>
        <row r="67">
          <cell r="B67">
            <v>3.7560000000000003E-2</v>
          </cell>
          <cell r="C67">
            <v>19.476389999999999</v>
          </cell>
        </row>
        <row r="68">
          <cell r="B68">
            <v>3.8629999999999998E-2</v>
          </cell>
          <cell r="C68">
            <v>19.949940000000002</v>
          </cell>
        </row>
        <row r="69">
          <cell r="B69">
            <v>3.9690000000000003E-2</v>
          </cell>
          <cell r="C69">
            <v>20.390899999999998</v>
          </cell>
        </row>
        <row r="70">
          <cell r="B70">
            <v>4.0710000000000003E-2</v>
          </cell>
          <cell r="C70">
            <v>20.86009</v>
          </cell>
        </row>
        <row r="71">
          <cell r="B71">
            <v>4.1759999999999999E-2</v>
          </cell>
          <cell r="C71">
            <v>21.326170000000001</v>
          </cell>
        </row>
        <row r="72">
          <cell r="B72">
            <v>4.2790000000000002E-2</v>
          </cell>
          <cell r="C72">
            <v>21.7623</v>
          </cell>
        </row>
        <row r="73">
          <cell r="B73">
            <v>4.3869999999999999E-2</v>
          </cell>
          <cell r="C73">
            <v>22.202960000000001</v>
          </cell>
        </row>
        <row r="74">
          <cell r="B74">
            <v>4.4929999999999998E-2</v>
          </cell>
          <cell r="C74">
            <v>22.631519999999998</v>
          </cell>
        </row>
        <row r="75">
          <cell r="B75">
            <v>4.5969999999999997E-2</v>
          </cell>
          <cell r="C75">
            <v>23.057020000000001</v>
          </cell>
        </row>
        <row r="76">
          <cell r="B76">
            <v>4.7010000000000003E-2</v>
          </cell>
          <cell r="C76">
            <v>23.453690000000002</v>
          </cell>
        </row>
        <row r="77">
          <cell r="B77">
            <v>4.8039999999999999E-2</v>
          </cell>
          <cell r="C77">
            <v>23.819320000000001</v>
          </cell>
        </row>
        <row r="78">
          <cell r="B78">
            <v>4.9110000000000001E-2</v>
          </cell>
          <cell r="C78">
            <v>24.167850000000001</v>
          </cell>
        </row>
        <row r="79">
          <cell r="B79">
            <v>5.0160000000000003E-2</v>
          </cell>
          <cell r="C79">
            <v>24.490179999999999</v>
          </cell>
        </row>
        <row r="80">
          <cell r="B80">
            <v>5.1220000000000002E-2</v>
          </cell>
          <cell r="C80">
            <v>24.805679999999999</v>
          </cell>
        </row>
        <row r="81">
          <cell r="B81">
            <v>5.228E-2</v>
          </cell>
          <cell r="C81">
            <v>25.070509999999999</v>
          </cell>
        </row>
        <row r="82">
          <cell r="B82">
            <v>5.3280000000000001E-2</v>
          </cell>
          <cell r="C82">
            <v>25.287590000000002</v>
          </cell>
        </row>
        <row r="83">
          <cell r="B83">
            <v>5.4350000000000002E-2</v>
          </cell>
          <cell r="C83">
            <v>25.497979999999998</v>
          </cell>
        </row>
        <row r="84">
          <cell r="B84">
            <v>5.5399999999999998E-2</v>
          </cell>
          <cell r="C84">
            <v>25.624369999999999</v>
          </cell>
        </row>
        <row r="85">
          <cell r="B85">
            <v>5.6460000000000003E-2</v>
          </cell>
          <cell r="C85">
            <v>25.753810000000001</v>
          </cell>
        </row>
        <row r="86">
          <cell r="B86">
            <v>5.7529999999999998E-2</v>
          </cell>
          <cell r="C86">
            <v>25.83464</v>
          </cell>
        </row>
        <row r="87">
          <cell r="B87">
            <v>5.8549999999999998E-2</v>
          </cell>
          <cell r="C87">
            <v>25.88381</v>
          </cell>
        </row>
        <row r="88">
          <cell r="B88">
            <v>5.96E-2</v>
          </cell>
          <cell r="C88">
            <v>25.912659999999999</v>
          </cell>
        </row>
        <row r="89">
          <cell r="B89">
            <v>25.91265869140625</v>
          </cell>
          <cell r="C89">
            <v>25.91265869140625</v>
          </cell>
        </row>
        <row r="90">
          <cell r="B90">
            <v>25.91265869140625</v>
          </cell>
          <cell r="C90">
            <v>25.91265869140625</v>
          </cell>
        </row>
        <row r="91">
          <cell r="B91">
            <v>25.91265869140625</v>
          </cell>
          <cell r="C91">
            <v>25.91265869140625</v>
          </cell>
        </row>
        <row r="92">
          <cell r="B92">
            <v>25.91265869140625</v>
          </cell>
          <cell r="C92">
            <v>25.91265869140625</v>
          </cell>
        </row>
        <row r="93">
          <cell r="B93">
            <v>25.91265869140625</v>
          </cell>
          <cell r="C93">
            <v>25.91265869140625</v>
          </cell>
        </row>
        <row r="94">
          <cell r="B94">
            <v>25.91265869140625</v>
          </cell>
          <cell r="C94">
            <v>25.91265869140625</v>
          </cell>
        </row>
        <row r="95">
          <cell r="B95">
            <v>25.91265869140625</v>
          </cell>
          <cell r="C95">
            <v>25.91265869140625</v>
          </cell>
        </row>
        <row r="96">
          <cell r="B96">
            <v>25.91265869140625</v>
          </cell>
          <cell r="C96">
            <v>25.91265869140625</v>
          </cell>
        </row>
        <row r="97">
          <cell r="B97">
            <v>25.91265869140625</v>
          </cell>
          <cell r="C97">
            <v>25.91265869140625</v>
          </cell>
        </row>
        <row r="98">
          <cell r="B98">
            <v>25.91265869140625</v>
          </cell>
          <cell r="C98">
            <v>25.91265869140625</v>
          </cell>
        </row>
        <row r="99">
          <cell r="B99">
            <v>25.91265869140625</v>
          </cell>
          <cell r="C99">
            <v>25.91265869140625</v>
          </cell>
        </row>
        <row r="100">
          <cell r="B100">
            <v>25.91265869140625</v>
          </cell>
          <cell r="C100">
            <v>25.91265869140625</v>
          </cell>
        </row>
        <row r="101">
          <cell r="B101">
            <v>25.91265869140625</v>
          </cell>
          <cell r="C101">
            <v>25.91265869140625</v>
          </cell>
        </row>
        <row r="102">
          <cell r="B102">
            <v>25.91265869140625</v>
          </cell>
          <cell r="C102">
            <v>25.91265869140625</v>
          </cell>
        </row>
        <row r="103">
          <cell r="B103">
            <v>25.91265869140625</v>
          </cell>
          <cell r="C103">
            <v>25.91265869140625</v>
          </cell>
        </row>
        <row r="104">
          <cell r="B104">
            <v>25.91265869140625</v>
          </cell>
          <cell r="C104">
            <v>25.91265869140625</v>
          </cell>
        </row>
        <row r="105">
          <cell r="B105">
            <v>25.91265869140625</v>
          </cell>
          <cell r="C105">
            <v>25.91265869140625</v>
          </cell>
        </row>
        <row r="106">
          <cell r="B106">
            <v>25.91265869140625</v>
          </cell>
          <cell r="C106">
            <v>25.91265869140625</v>
          </cell>
        </row>
        <row r="107">
          <cell r="B107">
            <v>25.91265869140625</v>
          </cell>
          <cell r="C107">
            <v>25.91265869140625</v>
          </cell>
        </row>
        <row r="108">
          <cell r="B108">
            <v>25.91265869140625</v>
          </cell>
          <cell r="C108">
            <v>25.91265869140625</v>
          </cell>
        </row>
        <row r="109">
          <cell r="B109">
            <v>25.91265869140625</v>
          </cell>
          <cell r="C109">
            <v>25.91265869140625</v>
          </cell>
        </row>
        <row r="110">
          <cell r="B110">
            <v>25.91265869140625</v>
          </cell>
          <cell r="C110">
            <v>25.91265869140625</v>
          </cell>
        </row>
        <row r="111">
          <cell r="B111">
            <v>25.91265869140625</v>
          </cell>
          <cell r="C111">
            <v>25.91265869140625</v>
          </cell>
        </row>
      </sheetData>
      <sheetData sheetId="1"/>
      <sheetData sheetId="2"/>
      <sheetData sheetId="3"/>
      <sheetData sheetId="4"/>
      <sheetData sheetId="5"/>
      <sheetData sheetId="6"/>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6.9834300000000002</v>
          </cell>
        </row>
        <row r="19">
          <cell r="J19">
            <v>1.8700000000000001E-2</v>
          </cell>
        </row>
        <row r="24">
          <cell r="J24">
            <v>6.2562791600000015E-4</v>
          </cell>
        </row>
        <row r="25">
          <cell r="J25">
            <v>380.12597951080232</v>
          </cell>
        </row>
      </sheetData>
      <sheetData sheetId="1"/>
      <sheetData sheetId="2"/>
      <sheetData sheetId="3"/>
      <sheetData sheetId="4"/>
      <sheetData sheetId="5"/>
      <sheetData sheetId="6"/>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6.2227100000000002</v>
          </cell>
        </row>
        <row r="19">
          <cell r="J19">
            <v>2.392E-2</v>
          </cell>
        </row>
        <row r="24">
          <cell r="J24">
            <v>7.3513789599999985E-4</v>
          </cell>
        </row>
        <row r="25">
          <cell r="J25">
            <v>266.34014396895572</v>
          </cell>
        </row>
      </sheetData>
      <sheetData sheetId="1"/>
      <sheetData sheetId="2"/>
      <sheetData sheetId="3"/>
      <sheetData sheetId="4"/>
      <sheetData sheetId="5"/>
      <sheetData sheetId="6"/>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3.3317399999999999</v>
          </cell>
        </row>
        <row r="19">
          <cell r="J19">
            <v>1.3440000000000001E-2</v>
          </cell>
        </row>
        <row r="24">
          <cell r="J24">
            <v>2.1240840300000002E-4</v>
          </cell>
        </row>
        <row r="25">
          <cell r="J25">
            <v>254.50339653355311</v>
          </cell>
        </row>
      </sheetData>
      <sheetData sheetId="1"/>
      <sheetData sheetId="2"/>
      <sheetData sheetId="3"/>
      <sheetData sheetId="4"/>
      <sheetData sheetId="5"/>
      <sheetData sheetId="6"/>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2.8268</v>
          </cell>
        </row>
        <row r="19">
          <cell r="J19">
            <v>1.1299999999999999E-2</v>
          </cell>
        </row>
        <row r="24">
          <cell r="J24">
            <v>1.4498387399999998E-4</v>
          </cell>
        </row>
        <row r="25">
          <cell r="J25">
            <v>254.71498684309256</v>
          </cell>
        </row>
      </sheetData>
      <sheetData sheetId="1"/>
      <sheetData sheetId="2"/>
      <sheetData sheetId="3"/>
      <sheetData sheetId="4"/>
      <sheetData sheetId="5"/>
      <sheetData sheetId="6"/>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3.4363899999999998</v>
          </cell>
        </row>
        <row r="19">
          <cell r="J19">
            <v>1.4489999999999999E-2</v>
          </cell>
        </row>
        <row r="24">
          <cell r="J24">
            <v>2.4355287600000001E-4</v>
          </cell>
        </row>
        <row r="25">
          <cell r="J25">
            <v>247.25585180213034</v>
          </cell>
        </row>
      </sheetData>
      <sheetData sheetId="1"/>
      <sheetData sheetId="2"/>
      <sheetData sheetId="3"/>
      <sheetData sheetId="4"/>
      <sheetData sheetId="5"/>
      <sheetData sheetId="6"/>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3.75312</v>
          </cell>
        </row>
        <row r="19">
          <cell r="J19">
            <v>1.3440000000000001E-2</v>
          </cell>
        </row>
        <row r="24">
          <cell r="J24">
            <v>2.33684754E-4</v>
          </cell>
        </row>
        <row r="25">
          <cell r="J25">
            <v>283.44149984126074</v>
          </cell>
        </row>
      </sheetData>
      <sheetData sheetId="1"/>
      <sheetData sheetId="2"/>
      <sheetData sheetId="3"/>
      <sheetData sheetId="4"/>
      <sheetData sheetId="5"/>
      <sheetData sheetId="6"/>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6.8605799999999997</v>
          </cell>
        </row>
        <row r="19">
          <cell r="J19">
            <v>1.9740000000000001E-2</v>
          </cell>
        </row>
        <row r="24">
          <cell r="J24">
            <v>6.6571233300000002E-4</v>
          </cell>
        </row>
        <row r="25">
          <cell r="J25">
            <v>357.20079792410064</v>
          </cell>
        </row>
      </sheetData>
      <sheetData sheetId="1"/>
      <sheetData sheetId="2"/>
      <sheetData sheetId="3"/>
      <sheetData sheetId="4"/>
      <sheetData sheetId="5"/>
      <sheetData sheetId="6"/>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5.9825400000000002</v>
          </cell>
        </row>
        <row r="19">
          <cell r="J19">
            <v>1.7610000000000001E-2</v>
          </cell>
        </row>
        <row r="24">
          <cell r="J24">
            <v>5.0035666800000002E-4</v>
          </cell>
        </row>
        <row r="25">
          <cell r="J25">
            <v>345.29558762741971</v>
          </cell>
        </row>
      </sheetData>
      <sheetData sheetId="1"/>
      <sheetData sheetId="2"/>
      <sheetData sheetId="3"/>
      <sheetData sheetId="4"/>
      <sheetData sheetId="5"/>
      <sheetData sheetId="6"/>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6.3872999999999998</v>
          </cell>
        </row>
        <row r="19">
          <cell r="J19">
            <v>1.864E-2</v>
          </cell>
        </row>
        <row r="24">
          <cell r="J24">
            <v>5.7086355799999995E-4</v>
          </cell>
        </row>
        <row r="25">
          <cell r="J25">
            <v>348.6114423791131</v>
          </cell>
        </row>
      </sheetData>
      <sheetData sheetId="1"/>
      <sheetData sheetId="2"/>
      <sheetData sheetId="3"/>
      <sheetData sheetId="4"/>
      <sheetData sheetId="5"/>
      <sheetData sheetId="6"/>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6.2099599999999997</v>
          </cell>
        </row>
        <row r="19">
          <cell r="J19">
            <v>1.8669999999999999E-2</v>
          </cell>
        </row>
        <row r="24">
          <cell r="J24">
            <v>5.5455778999999989E-4</v>
          </cell>
        </row>
        <row r="25">
          <cell r="J25">
            <v>337.50741964865199</v>
          </cell>
        </row>
      </sheetData>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5">
          <cell r="E5">
            <v>0.91553655660377342</v>
          </cell>
        </row>
        <row r="11">
          <cell r="E11">
            <v>0.75368514150943389</v>
          </cell>
        </row>
        <row r="17">
          <cell r="E17">
            <v>0.98432586477987405</v>
          </cell>
        </row>
      </sheetData>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6.4054399999999996</v>
          </cell>
        </row>
        <row r="19">
          <cell r="J19">
            <v>1.8689999999999998E-2</v>
          </cell>
        </row>
        <row r="24">
          <cell r="J24">
            <v>5.7378234999999991E-4</v>
          </cell>
        </row>
        <row r="25">
          <cell r="J25">
            <v>348.41888489240694</v>
          </cell>
        </row>
      </sheetData>
      <sheetData sheetId="1"/>
      <sheetData sheetId="2"/>
      <sheetData sheetId="3"/>
      <sheetData sheetId="4"/>
      <sheetData sheetId="5"/>
      <sheetData sheetId="6"/>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7.4759700000000002</v>
          </cell>
        </row>
        <row r="19">
          <cell r="J19">
            <v>2.078E-2</v>
          </cell>
        </row>
        <row r="24">
          <cell r="J24">
            <v>7.5786534600000006E-4</v>
          </cell>
        </row>
        <row r="25">
          <cell r="J25">
            <v>367.45002307530882</v>
          </cell>
        </row>
      </sheetData>
      <sheetData sheetId="1"/>
      <sheetData sheetId="2"/>
      <sheetData sheetId="3"/>
      <sheetData sheetId="4"/>
      <sheetData sheetId="5"/>
      <sheetData sheetId="6"/>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6.5142800000000003</v>
          </cell>
        </row>
        <row r="19">
          <cell r="J19">
            <v>1.447E-2</v>
          </cell>
        </row>
        <row r="24">
          <cell r="J24">
            <v>4.4158309000000002E-4</v>
          </cell>
        </row>
        <row r="25">
          <cell r="J25">
            <v>455.57533497253041</v>
          </cell>
        </row>
      </sheetData>
      <sheetData sheetId="1"/>
      <sheetData sheetId="2"/>
      <sheetData sheetId="3"/>
      <sheetData sheetId="4"/>
      <sheetData sheetId="5"/>
      <sheetData sheetId="6"/>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7.3909500000000001</v>
          </cell>
        </row>
        <row r="19">
          <cell r="J19">
            <v>1.6580000000000001E-2</v>
          </cell>
        </row>
        <row r="24">
          <cell r="J24">
            <v>5.8881499700000014E-4</v>
          </cell>
        </row>
        <row r="25">
          <cell r="J25">
            <v>452.16050575463186</v>
          </cell>
        </row>
      </sheetData>
      <sheetData sheetId="1"/>
      <sheetData sheetId="2"/>
      <sheetData sheetId="3"/>
      <sheetData sheetId="4"/>
      <sheetData sheetId="5"/>
      <sheetData sheetId="6"/>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7.7008900000000002</v>
          </cell>
        </row>
        <row r="19">
          <cell r="J19">
            <v>1.7610000000000001E-2</v>
          </cell>
        </row>
        <row r="24">
          <cell r="J24">
            <v>6.5443025099999998E-4</v>
          </cell>
        </row>
        <row r="25">
          <cell r="J25">
            <v>443.46508540431967</v>
          </cell>
        </row>
      </sheetData>
      <sheetData sheetId="1"/>
      <sheetData sheetId="2"/>
      <sheetData sheetId="3"/>
      <sheetData sheetId="4"/>
      <sheetData sheetId="5"/>
      <sheetData sheetId="6"/>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9.7381899999999995</v>
          </cell>
        </row>
        <row r="19">
          <cell r="J19">
            <v>2.2870000000000001E-2</v>
          </cell>
        </row>
        <row r="24">
          <cell r="J24">
            <v>1.1026317820000001E-3</v>
          </cell>
        </row>
        <row r="25">
          <cell r="J25">
            <v>430.91430897980433</v>
          </cell>
        </row>
      </sheetData>
      <sheetData sheetId="1"/>
      <sheetData sheetId="2"/>
      <sheetData sheetId="3"/>
      <sheetData sheetId="4"/>
      <sheetData sheetId="5"/>
      <sheetData sheetId="6"/>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9.0622000000000007</v>
          </cell>
        </row>
        <row r="19">
          <cell r="J19">
            <v>1.9730000000000001E-2</v>
          </cell>
        </row>
        <row r="24">
          <cell r="J24">
            <v>8.6549767900000001E-4</v>
          </cell>
        </row>
        <row r="25">
          <cell r="J25">
            <v>463.92007008920052</v>
          </cell>
        </row>
      </sheetData>
      <sheetData sheetId="1"/>
      <sheetData sheetId="2"/>
      <sheetData sheetId="3"/>
      <sheetData sheetId="4"/>
      <sheetData sheetId="5"/>
      <sheetData sheetId="6"/>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6.6101200000000002</v>
          </cell>
        </row>
        <row r="19">
          <cell r="J19">
            <v>1.451E-2</v>
          </cell>
        </row>
        <row r="24">
          <cell r="J24">
            <v>4.5453679699999997E-4</v>
          </cell>
        </row>
        <row r="25">
          <cell r="J25">
            <v>468.13312621744541</v>
          </cell>
        </row>
      </sheetData>
      <sheetData sheetId="1"/>
      <sheetData sheetId="2"/>
      <sheetData sheetId="3"/>
      <sheetData sheetId="4"/>
      <sheetData sheetId="5"/>
      <sheetData sheetId="6"/>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10.599679999999999</v>
          </cell>
        </row>
        <row r="19">
          <cell r="J19">
            <v>2.181E-2</v>
          </cell>
        </row>
        <row r="24">
          <cell r="J24">
            <v>1.1195470869999999E-3</v>
          </cell>
        </row>
        <row r="25">
          <cell r="J25">
            <v>492.11041614078079</v>
          </cell>
        </row>
      </sheetData>
      <sheetData sheetId="1"/>
      <sheetData sheetId="2"/>
      <sheetData sheetId="3"/>
      <sheetData sheetId="4"/>
      <sheetData sheetId="5"/>
      <sheetData sheetId="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9.4792799999999993</v>
          </cell>
        </row>
        <row r="19">
          <cell r="J19">
            <v>1.9740000000000001E-2</v>
          </cell>
        </row>
        <row r="24">
          <cell r="J24">
            <v>8.9961769499999984E-4</v>
          </cell>
        </row>
        <row r="25">
          <cell r="J25">
            <v>487.28370935886363</v>
          </cell>
        </row>
      </sheetData>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23.98461</v>
          </cell>
        </row>
        <row r="19">
          <cell r="J19">
            <v>5.5370000000000003E-2</v>
          </cell>
        </row>
        <row r="24">
          <cell r="J24">
            <v>1.1103189413999997E-2</v>
          </cell>
        </row>
        <row r="25">
          <cell r="J25">
            <v>365.00952626963834</v>
          </cell>
        </row>
      </sheetData>
      <sheetData sheetId="1"/>
      <sheetData sheetId="2"/>
      <sheetData sheetId="3"/>
      <sheetData sheetId="4"/>
      <sheetData sheetId="5"/>
      <sheetData sheetId="6"/>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12.308719999999999</v>
          </cell>
        </row>
        <row r="19">
          <cell r="J19">
            <v>2.6020000000000001E-2</v>
          </cell>
        </row>
        <row r="24">
          <cell r="J24">
            <v>1.5802015090000002E-3</v>
          </cell>
        </row>
        <row r="25">
          <cell r="J25">
            <v>478.82624036211502</v>
          </cell>
        </row>
      </sheetData>
      <sheetData sheetId="1"/>
      <sheetData sheetId="2"/>
      <sheetData sheetId="3"/>
      <sheetData sheetId="4"/>
      <sheetData sheetId="5"/>
      <sheetData sheetId="6"/>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12.235670000000001</v>
          </cell>
        </row>
        <row r="19">
          <cell r="J19">
            <v>2.5999999999999999E-2</v>
          </cell>
        </row>
        <row r="24">
          <cell r="J24">
            <v>1.569525102E-3</v>
          </cell>
        </row>
        <row r="25">
          <cell r="J25">
            <v>476.42066318306007</v>
          </cell>
        </row>
      </sheetData>
      <sheetData sheetId="1"/>
      <sheetData sheetId="2"/>
      <sheetData sheetId="3"/>
      <sheetData sheetId="4"/>
      <sheetData sheetId="5"/>
      <sheetData sheetId="6"/>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11.33142</v>
          </cell>
        </row>
        <row r="19">
          <cell r="J19">
            <v>2.2859999999999998E-2</v>
          </cell>
        </row>
        <row r="24">
          <cell r="J24">
            <v>1.2608791669999997E-3</v>
          </cell>
        </row>
        <row r="25">
          <cell r="J25">
            <v>501.59304263828648</v>
          </cell>
        </row>
      </sheetData>
      <sheetData sheetId="1"/>
      <sheetData sheetId="2"/>
      <sheetData sheetId="3"/>
      <sheetData sheetId="4"/>
      <sheetData sheetId="5"/>
      <sheetData sheetId="6"/>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23.181619999999999</v>
          </cell>
        </row>
        <row r="19">
          <cell r="J19">
            <v>5.4330000000000003E-2</v>
          </cell>
        </row>
        <row r="24">
          <cell r="J24">
            <v>6.8754524330000011E-3</v>
          </cell>
        </row>
        <row r="25">
          <cell r="J25">
            <v>436.96802662533952</v>
          </cell>
        </row>
      </sheetData>
      <sheetData sheetId="1"/>
      <sheetData sheetId="2"/>
      <sheetData sheetId="3"/>
      <sheetData sheetId="4"/>
      <sheetData sheetId="5"/>
      <sheetData sheetId="6"/>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19.194240000000001</v>
          </cell>
        </row>
        <row r="19">
          <cell r="J19">
            <v>4.0689999999999997E-2</v>
          </cell>
        </row>
        <row r="24">
          <cell r="J24">
            <v>4.031392126999999E-3</v>
          </cell>
        </row>
        <row r="25">
          <cell r="J25">
            <v>479.28585744538208</v>
          </cell>
        </row>
      </sheetData>
      <sheetData sheetId="1"/>
      <sheetData sheetId="2"/>
      <sheetData sheetId="3"/>
      <sheetData sheetId="4"/>
      <sheetData sheetId="5"/>
      <sheetData sheetId="6"/>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21.407409999999999</v>
          </cell>
        </row>
        <row r="19">
          <cell r="J19">
            <v>7.954E-2</v>
          </cell>
        </row>
        <row r="24">
          <cell r="J24">
            <v>1.0095429167999999E-2</v>
          </cell>
        </row>
        <row r="25">
          <cell r="J25">
            <v>507.85788460316633</v>
          </cell>
        </row>
      </sheetData>
      <sheetData sheetId="1"/>
      <sheetData sheetId="2"/>
      <sheetData sheetId="3"/>
      <sheetData sheetId="4"/>
      <sheetData sheetId="5"/>
      <sheetData sheetId="6"/>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
          <cell r="B1" t="str">
            <v>Z2221D</v>
          </cell>
        </row>
        <row r="18">
          <cell r="J18">
            <v>22.064219999999999</v>
          </cell>
        </row>
        <row r="19">
          <cell r="J19">
            <v>5.645E-2</v>
          </cell>
        </row>
        <row r="24">
          <cell r="J24">
            <v>7.1571626499999999E-3</v>
          </cell>
        </row>
        <row r="25">
          <cell r="J25">
            <v>455.80825653072566</v>
          </cell>
        </row>
        <row r="31">
          <cell r="C31">
            <v>-2.4000000000000001E-4</v>
          </cell>
          <cell r="D31">
            <v>0</v>
          </cell>
        </row>
        <row r="32">
          <cell r="C32">
            <v>0.26347999999999999</v>
          </cell>
          <cell r="D32">
            <v>7.6999999999999996E-4</v>
          </cell>
        </row>
        <row r="33">
          <cell r="C33">
            <v>0.90751999999999999</v>
          </cell>
          <cell r="D33">
            <v>1.8600000000000001E-3</v>
          </cell>
        </row>
        <row r="34">
          <cell r="C34">
            <v>1.4836199999999999</v>
          </cell>
          <cell r="D34">
            <v>2.9399999999999999E-3</v>
          </cell>
        </row>
        <row r="35">
          <cell r="C35">
            <v>2.0670099999999998</v>
          </cell>
          <cell r="D35">
            <v>3.9899999999999996E-3</v>
          </cell>
        </row>
        <row r="36">
          <cell r="C36">
            <v>2.6381800000000002</v>
          </cell>
          <cell r="D36">
            <v>5.0600000000000003E-3</v>
          </cell>
        </row>
        <row r="37">
          <cell r="C37">
            <v>3.2217699999999998</v>
          </cell>
          <cell r="D37">
            <v>6.11E-3</v>
          </cell>
        </row>
        <row r="38">
          <cell r="C38">
            <v>3.7842500000000001</v>
          </cell>
          <cell r="D38">
            <v>7.1199999999999996E-3</v>
          </cell>
        </row>
        <row r="39">
          <cell r="C39">
            <v>4.3569000000000004</v>
          </cell>
          <cell r="D39">
            <v>8.1799999999999998E-3</v>
          </cell>
        </row>
        <row r="40">
          <cell r="C40">
            <v>4.8933999999999997</v>
          </cell>
          <cell r="D40">
            <v>9.2300000000000004E-3</v>
          </cell>
        </row>
        <row r="41">
          <cell r="C41">
            <v>5.4614399999999996</v>
          </cell>
          <cell r="D41">
            <v>1.03E-2</v>
          </cell>
        </row>
        <row r="42">
          <cell r="C42">
            <v>5.9803699999999997</v>
          </cell>
          <cell r="D42">
            <v>1.136E-2</v>
          </cell>
        </row>
        <row r="43">
          <cell r="C43">
            <v>6.5431900000000001</v>
          </cell>
          <cell r="D43">
            <v>1.239E-2</v>
          </cell>
        </row>
        <row r="44">
          <cell r="C44">
            <v>7.0648999999999997</v>
          </cell>
          <cell r="D44">
            <v>1.3440000000000001E-2</v>
          </cell>
        </row>
        <row r="45">
          <cell r="C45">
            <v>7.5542400000000001</v>
          </cell>
          <cell r="D45">
            <v>1.447E-2</v>
          </cell>
        </row>
        <row r="46">
          <cell r="C46">
            <v>8.0988799999999994</v>
          </cell>
          <cell r="D46">
            <v>1.554E-2</v>
          </cell>
        </row>
        <row r="47">
          <cell r="C47">
            <v>8.5835299999999997</v>
          </cell>
          <cell r="D47">
            <v>1.6590000000000001E-2</v>
          </cell>
        </row>
        <row r="48">
          <cell r="C48">
            <v>9.1302699999999994</v>
          </cell>
          <cell r="D48">
            <v>1.7649999999999999E-2</v>
          </cell>
        </row>
        <row r="49">
          <cell r="C49">
            <v>9.6223899999999993</v>
          </cell>
          <cell r="D49">
            <v>1.8700000000000001E-2</v>
          </cell>
        </row>
        <row r="50">
          <cell r="C50">
            <v>10.141220000000001</v>
          </cell>
          <cell r="D50">
            <v>1.9709999999999998E-2</v>
          </cell>
        </row>
        <row r="51">
          <cell r="C51">
            <v>10.65211</v>
          </cell>
          <cell r="D51">
            <v>2.077E-2</v>
          </cell>
        </row>
        <row r="52">
          <cell r="C52">
            <v>11.131500000000001</v>
          </cell>
          <cell r="D52">
            <v>2.1829999999999999E-2</v>
          </cell>
        </row>
        <row r="53">
          <cell r="C53">
            <v>11.628579999999999</v>
          </cell>
          <cell r="D53">
            <v>2.29E-2</v>
          </cell>
        </row>
        <row r="54">
          <cell r="C54">
            <v>12.09442</v>
          </cell>
          <cell r="D54">
            <v>2.3949999999999999E-2</v>
          </cell>
        </row>
        <row r="55">
          <cell r="C55">
            <v>12.56521</v>
          </cell>
          <cell r="D55">
            <v>2.4969999999999999E-2</v>
          </cell>
        </row>
        <row r="56">
          <cell r="C56">
            <v>13.02013</v>
          </cell>
          <cell r="D56">
            <v>2.6009999999999998E-2</v>
          </cell>
        </row>
        <row r="57">
          <cell r="C57">
            <v>13.448</v>
          </cell>
          <cell r="D57">
            <v>2.707E-2</v>
          </cell>
        </row>
        <row r="58">
          <cell r="C58">
            <v>13.88851</v>
          </cell>
          <cell r="D58">
            <v>2.8139999999999998E-2</v>
          </cell>
        </row>
        <row r="59">
          <cell r="C59">
            <v>14.323549999999999</v>
          </cell>
          <cell r="D59">
            <v>2.9190000000000001E-2</v>
          </cell>
        </row>
        <row r="60">
          <cell r="C60">
            <v>14.770350000000001</v>
          </cell>
          <cell r="D60">
            <v>3.023E-2</v>
          </cell>
        </row>
        <row r="61">
          <cell r="C61">
            <v>15.21715</v>
          </cell>
          <cell r="D61">
            <v>3.1280000000000002E-2</v>
          </cell>
        </row>
        <row r="62">
          <cell r="C62">
            <v>15.59784</v>
          </cell>
          <cell r="D62">
            <v>3.2300000000000002E-2</v>
          </cell>
        </row>
        <row r="63">
          <cell r="C63">
            <v>15.864369999999999</v>
          </cell>
          <cell r="D63">
            <v>3.338E-2</v>
          </cell>
        </row>
        <row r="64">
          <cell r="C64">
            <v>16.26107</v>
          </cell>
          <cell r="D64">
            <v>3.4430000000000002E-2</v>
          </cell>
        </row>
        <row r="65">
          <cell r="C65">
            <v>16.660630000000001</v>
          </cell>
          <cell r="D65">
            <v>3.5479999999999998E-2</v>
          </cell>
        </row>
        <row r="66">
          <cell r="C66">
            <v>17.05566</v>
          </cell>
          <cell r="D66">
            <v>3.6540000000000003E-2</v>
          </cell>
        </row>
        <row r="67">
          <cell r="C67">
            <v>17.3706</v>
          </cell>
          <cell r="D67">
            <v>3.755E-2</v>
          </cell>
        </row>
        <row r="68">
          <cell r="C68">
            <v>17.714459999999999</v>
          </cell>
          <cell r="D68">
            <v>3.8609999999999998E-2</v>
          </cell>
        </row>
        <row r="69">
          <cell r="C69">
            <v>18.020769999999999</v>
          </cell>
          <cell r="D69">
            <v>3.9669999999999997E-2</v>
          </cell>
        </row>
        <row r="70">
          <cell r="C70">
            <v>18.355519999999999</v>
          </cell>
          <cell r="D70">
            <v>4.0730000000000002E-2</v>
          </cell>
        </row>
        <row r="71">
          <cell r="C71">
            <v>18.659140000000001</v>
          </cell>
          <cell r="D71">
            <v>4.1790000000000001E-2</v>
          </cell>
        </row>
        <row r="72">
          <cell r="C72">
            <v>18.96527</v>
          </cell>
          <cell r="D72">
            <v>4.2799999999999998E-2</v>
          </cell>
        </row>
        <row r="73">
          <cell r="C73">
            <v>19.26596</v>
          </cell>
          <cell r="D73">
            <v>4.385E-2</v>
          </cell>
        </row>
        <row r="74">
          <cell r="C74">
            <v>19.548439999999999</v>
          </cell>
          <cell r="D74">
            <v>4.4900000000000002E-2</v>
          </cell>
        </row>
        <row r="75">
          <cell r="C75">
            <v>19.822120000000002</v>
          </cell>
          <cell r="D75">
            <v>4.598E-2</v>
          </cell>
        </row>
        <row r="76">
          <cell r="C76">
            <v>20.041</v>
          </cell>
          <cell r="D76">
            <v>4.7039999999999998E-2</v>
          </cell>
        </row>
        <row r="77">
          <cell r="C77">
            <v>20.290970000000002</v>
          </cell>
          <cell r="D77">
            <v>4.8059999999999999E-2</v>
          </cell>
        </row>
        <row r="78">
          <cell r="C78">
            <v>20.511559999999999</v>
          </cell>
          <cell r="D78">
            <v>4.9119999999999997E-2</v>
          </cell>
        </row>
        <row r="79">
          <cell r="C79">
            <v>20.698</v>
          </cell>
          <cell r="D79">
            <v>5.0139999999999997E-2</v>
          </cell>
        </row>
        <row r="80">
          <cell r="C80">
            <v>20.955539999999999</v>
          </cell>
          <cell r="D80">
            <v>5.1209999999999999E-2</v>
          </cell>
        </row>
        <row r="81">
          <cell r="C81">
            <v>21.182829999999999</v>
          </cell>
          <cell r="D81">
            <v>5.2269999999999997E-2</v>
          </cell>
        </row>
        <row r="82">
          <cell r="C82">
            <v>21.400220000000001</v>
          </cell>
          <cell r="D82">
            <v>5.3319999999999999E-2</v>
          </cell>
        </row>
        <row r="83">
          <cell r="C83">
            <v>21.622779999999999</v>
          </cell>
          <cell r="D83">
            <v>5.4379999999999998E-2</v>
          </cell>
        </row>
        <row r="84">
          <cell r="C84">
            <v>21.8474</v>
          </cell>
          <cell r="D84">
            <v>5.5390000000000002E-2</v>
          </cell>
        </row>
        <row r="85">
          <cell r="C85">
            <v>22.064219999999999</v>
          </cell>
          <cell r="D85">
            <v>5.645E-2</v>
          </cell>
        </row>
      </sheetData>
      <sheetData sheetId="1"/>
      <sheetData sheetId="2"/>
      <sheetData sheetId="3"/>
      <sheetData sheetId="4"/>
      <sheetData sheetId="5"/>
      <sheetData sheetId="6"/>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21.569220000000001</v>
          </cell>
        </row>
        <row r="19">
          <cell r="J19">
            <v>5.5390000000000002E-2</v>
          </cell>
        </row>
        <row r="24">
          <cell r="J24">
            <v>6.7825289059999993E-3</v>
          </cell>
        </row>
        <row r="25">
          <cell r="J25">
            <v>398.03111568281622</v>
          </cell>
        </row>
      </sheetData>
      <sheetData sheetId="1"/>
      <sheetData sheetId="2"/>
      <sheetData sheetId="3"/>
      <sheetData sheetId="4"/>
      <sheetData sheetId="5"/>
      <sheetData sheetId="6"/>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24.574680000000001</v>
          </cell>
        </row>
        <row r="19">
          <cell r="J19">
            <v>6.6930000000000003E-2</v>
          </cell>
        </row>
        <row r="24">
          <cell r="J24">
            <v>9.7327279549999993E-3</v>
          </cell>
        </row>
        <row r="25">
          <cell r="J25">
            <v>372.80471579596184</v>
          </cell>
        </row>
      </sheetData>
      <sheetData sheetId="1"/>
      <sheetData sheetId="2"/>
      <sheetData sheetId="3"/>
      <sheetData sheetId="4"/>
      <sheetData sheetId="5"/>
      <sheetData sheetId="6"/>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23.816140000000001</v>
          </cell>
        </row>
        <row r="19">
          <cell r="J19">
            <v>4.4900000000000002E-2</v>
          </cell>
        </row>
        <row r="24">
          <cell r="J24">
            <v>5.5974929780000012E-3</v>
          </cell>
        </row>
        <row r="25">
          <cell r="J25">
            <v>537.86042173032718</v>
          </cell>
        </row>
      </sheetData>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25.836089999999999</v>
          </cell>
        </row>
        <row r="19">
          <cell r="J19">
            <v>5.4350000000000002E-2</v>
          </cell>
        </row>
        <row r="24">
          <cell r="J24">
            <v>7.7742635649999999E-3</v>
          </cell>
        </row>
        <row r="25">
          <cell r="J25">
            <v>500.30367335987449</v>
          </cell>
        </row>
      </sheetData>
      <sheetData sheetId="1"/>
      <sheetData sheetId="2"/>
      <sheetData sheetId="3"/>
      <sheetData sheetId="4"/>
      <sheetData sheetId="5"/>
      <sheetData sheetId="6"/>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23.96968</v>
          </cell>
        </row>
        <row r="19">
          <cell r="J19">
            <v>4.4920000000000002E-2</v>
          </cell>
        </row>
        <row r="24">
          <cell r="J24">
            <v>5.5962163460000006E-3</v>
          </cell>
        </row>
        <row r="25">
          <cell r="J25">
            <v>539.32735958668889</v>
          </cell>
        </row>
      </sheetData>
      <sheetData sheetId="1"/>
      <sheetData sheetId="2"/>
      <sheetData sheetId="3"/>
      <sheetData sheetId="4"/>
      <sheetData sheetId="5"/>
      <sheetData sheetId="6"/>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23.74578</v>
          </cell>
        </row>
        <row r="19">
          <cell r="J19">
            <v>4.283E-2</v>
          </cell>
        </row>
        <row r="24">
          <cell r="J24">
            <v>5.1993317790000005E-3</v>
          </cell>
        </row>
        <row r="25">
          <cell r="J25">
            <v>559.82896585701747</v>
          </cell>
        </row>
      </sheetData>
      <sheetData sheetId="1"/>
      <sheetData sheetId="2"/>
      <sheetData sheetId="3"/>
      <sheetData sheetId="4"/>
      <sheetData sheetId="5"/>
      <sheetData sheetId="6"/>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22.97758</v>
          </cell>
        </row>
        <row r="19">
          <cell r="J19">
            <v>4.3839999999999997E-2</v>
          </cell>
        </row>
        <row r="24">
          <cell r="J24">
            <v>5.2613260139999993E-3</v>
          </cell>
        </row>
        <row r="25">
          <cell r="J25">
            <v>530.11291756620631</v>
          </cell>
        </row>
      </sheetData>
      <sheetData sheetId="1"/>
      <sheetData sheetId="2"/>
      <sheetData sheetId="3"/>
      <sheetData sheetId="4"/>
      <sheetData sheetId="5"/>
      <sheetData sheetId="6"/>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21.81156</v>
          </cell>
        </row>
        <row r="19">
          <cell r="J19">
            <v>4.0710000000000003E-2</v>
          </cell>
        </row>
        <row r="24">
          <cell r="J24">
            <v>4.5543774940000016E-3</v>
          </cell>
        </row>
        <row r="25">
          <cell r="J25">
            <v>541.0117679057845</v>
          </cell>
        </row>
      </sheetData>
      <sheetData sheetId="1"/>
      <sheetData sheetId="2"/>
      <sheetData sheetId="3"/>
      <sheetData sheetId="4"/>
      <sheetData sheetId="5"/>
      <sheetData sheetId="6"/>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23.25215</v>
          </cell>
        </row>
        <row r="19">
          <cell r="J19">
            <v>4.4909999999999999E-2</v>
          </cell>
        </row>
        <row r="24">
          <cell r="J24">
            <v>5.4352419330000006E-3</v>
          </cell>
        </row>
        <row r="25">
          <cell r="J25">
            <v>522.88146898299726</v>
          </cell>
        </row>
      </sheetData>
      <sheetData sheetId="1"/>
      <sheetData sheetId="2"/>
      <sheetData sheetId="3"/>
      <sheetData sheetId="4"/>
      <sheetData sheetId="5"/>
      <sheetData sheetId="6"/>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22.742560000000001</v>
          </cell>
        </row>
        <row r="19">
          <cell r="J19">
            <v>4.1770000000000002E-2</v>
          </cell>
        </row>
        <row r="24">
          <cell r="J24">
            <v>4.8673757700000006E-3</v>
          </cell>
        </row>
        <row r="25">
          <cell r="J25">
            <v>550.62346892048799</v>
          </cell>
        </row>
      </sheetData>
      <sheetData sheetId="1"/>
      <sheetData sheetId="2"/>
      <sheetData sheetId="3"/>
      <sheetData sheetId="4"/>
      <sheetData sheetId="5"/>
      <sheetData sheetId="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20.27749</v>
          </cell>
        </row>
        <row r="19">
          <cell r="J19">
            <v>3.7569999999999999E-2</v>
          </cell>
        </row>
        <row r="24">
          <cell r="J24">
            <v>3.8479863950000009E-3</v>
          </cell>
        </row>
        <row r="25">
          <cell r="J25">
            <v>544.54562846797455</v>
          </cell>
        </row>
      </sheetData>
      <sheetData sheetId="1"/>
      <sheetData sheetId="2"/>
      <sheetData sheetId="3"/>
      <sheetData sheetId="4"/>
      <sheetData sheetId="5"/>
      <sheetData sheetId="6"/>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25.355180000000001</v>
          </cell>
        </row>
        <row r="19">
          <cell r="J19">
            <v>4.5969999999999997E-2</v>
          </cell>
        </row>
        <row r="24">
          <cell r="J24">
            <v>6.0190589769999999E-3</v>
          </cell>
        </row>
        <row r="25">
          <cell r="J25">
            <v>557.52458045068306</v>
          </cell>
        </row>
      </sheetData>
      <sheetData sheetId="1"/>
      <sheetData sheetId="2"/>
      <sheetData sheetId="3"/>
      <sheetData sheetId="4"/>
      <sheetData sheetId="5"/>
      <sheetData sheetId="6"/>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22.9758</v>
          </cell>
        </row>
        <row r="19">
          <cell r="J19">
            <v>4.2819999999999997E-2</v>
          </cell>
        </row>
        <row r="24">
          <cell r="J24">
            <v>5.0561869489999991E-3</v>
          </cell>
        </row>
        <row r="25">
          <cell r="J25">
            <v>542.28713115042149</v>
          </cell>
        </row>
      </sheetData>
      <sheetData sheetId="1"/>
      <sheetData sheetId="2"/>
      <sheetData sheetId="3"/>
      <sheetData sheetId="4"/>
      <sheetData sheetId="5"/>
      <sheetData sheetId="6"/>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men"/>
      <sheetName val="Analysis Notes"/>
      <sheetName val="Attribute Lookup"/>
      <sheetName val="Export Lookup"/>
      <sheetName val="Parameter Lookup"/>
      <sheetName val="Import Options"/>
      <sheetName val="Model"/>
    </sheetNames>
    <sheetDataSet>
      <sheetData sheetId="0">
        <row r="18">
          <cell r="J18">
            <v>22.18037</v>
          </cell>
        </row>
        <row r="19">
          <cell r="J19">
            <v>4.2810000000000001E-2</v>
          </cell>
        </row>
        <row r="24">
          <cell r="J24">
            <v>4.8890226459999998E-3</v>
          </cell>
        </row>
        <row r="25">
          <cell r="J25">
            <v>523.583573330337</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
  <sheetViews>
    <sheetView tabSelected="1" zoomScaleNormal="100" workbookViewId="0">
      <pane xSplit="1" topLeftCell="B1" activePane="topRight" state="frozen"/>
      <selection pane="topRight" activeCell="X30" sqref="X30"/>
    </sheetView>
  </sheetViews>
  <sheetFormatPr defaultRowHeight="15" x14ac:dyDescent="0.25"/>
  <cols>
    <col min="1" max="1" width="13.28515625" bestFit="1" customWidth="1"/>
    <col min="2" max="2" width="21.85546875" bestFit="1" customWidth="1"/>
    <col min="3" max="3" width="27" bestFit="1" customWidth="1"/>
    <col min="4" max="4" width="29.28515625" bestFit="1" customWidth="1"/>
    <col min="5" max="5" width="23" bestFit="1" customWidth="1"/>
    <col min="6" max="6" width="23.140625" bestFit="1" customWidth="1"/>
    <col min="7" max="7" width="25.85546875" bestFit="1" customWidth="1"/>
    <col min="8" max="8" width="31.85546875" bestFit="1" customWidth="1"/>
    <col min="9" max="9" width="6.7109375" bestFit="1" customWidth="1"/>
    <col min="10" max="10" width="32.5703125" bestFit="1" customWidth="1"/>
    <col min="11" max="11" width="7.140625" bestFit="1" customWidth="1"/>
    <col min="12" max="13" width="25.5703125" bestFit="1" customWidth="1"/>
    <col min="14" max="14" width="6.7109375" bestFit="1" customWidth="1"/>
    <col min="15" max="15" width="25.5703125" bestFit="1" customWidth="1"/>
    <col min="16" max="16" width="7.140625" bestFit="1" customWidth="1"/>
    <col min="17" max="17" width="28.5703125" bestFit="1" customWidth="1"/>
    <col min="18" max="18" width="6.7109375" bestFit="1" customWidth="1"/>
    <col min="19" max="19" width="30.7109375" bestFit="1" customWidth="1"/>
    <col min="20" max="20" width="6.7109375" bestFit="1" customWidth="1"/>
    <col min="21" max="21" width="32.85546875" bestFit="1" customWidth="1"/>
    <col min="22" max="22" width="16.140625" bestFit="1" customWidth="1"/>
    <col min="23" max="23" width="10.28515625" customWidth="1"/>
    <col min="24" max="24" width="46.5703125" bestFit="1" customWidth="1"/>
    <col min="25" max="25" width="17.42578125" bestFit="1" customWidth="1"/>
    <col min="27" max="27" width="8.7109375" bestFit="1" customWidth="1"/>
    <col min="29" max="29" width="20.7109375" customWidth="1"/>
    <col min="30" max="30" width="12" bestFit="1" customWidth="1"/>
    <col min="34" max="34" width="21.28515625" customWidth="1"/>
  </cols>
  <sheetData>
    <row r="1" spans="1:34" ht="15.75" thickBot="1" x14ac:dyDescent="0.3"/>
    <row r="2" spans="1:34" x14ac:dyDescent="0.25">
      <c r="J2" s="38" t="s">
        <v>127</v>
      </c>
      <c r="W2" s="18"/>
      <c r="X2" s="38" t="s">
        <v>127</v>
      </c>
      <c r="Y2" s="61"/>
      <c r="Z2" s="165" t="s">
        <v>129</v>
      </c>
      <c r="AA2" s="166"/>
      <c r="AB2" s="166"/>
      <c r="AC2" s="166"/>
      <c r="AD2" s="87"/>
      <c r="AE2" s="167" t="s">
        <v>139</v>
      </c>
      <c r="AF2" s="167"/>
      <c r="AG2" s="167"/>
      <c r="AH2" s="168"/>
    </row>
    <row r="3" spans="1:34" x14ac:dyDescent="0.25">
      <c r="U3" s="164" t="s">
        <v>150</v>
      </c>
      <c r="V3" s="164"/>
      <c r="W3" s="160">
        <f>All_Data!B2*All_Data!D2</f>
        <v>10.176000000000002</v>
      </c>
      <c r="X3" s="161"/>
      <c r="Y3" s="61"/>
      <c r="Z3" s="86"/>
      <c r="AA3" s="112" t="s">
        <v>131</v>
      </c>
      <c r="AB3" s="112"/>
      <c r="AC3" s="112"/>
      <c r="AD3" s="88"/>
      <c r="AE3" s="76"/>
      <c r="AF3" s="110" t="s">
        <v>142</v>
      </c>
      <c r="AG3" s="110"/>
      <c r="AH3" s="111"/>
    </row>
    <row r="4" spans="1:34" x14ac:dyDescent="0.25">
      <c r="Z4" s="62" t="s">
        <v>141</v>
      </c>
      <c r="AA4" s="68" t="s">
        <v>130</v>
      </c>
      <c r="AB4" s="68" t="s">
        <v>132</v>
      </c>
      <c r="AC4" s="68" t="s">
        <v>133</v>
      </c>
      <c r="AD4" s="88"/>
      <c r="AE4" s="65" t="s">
        <v>141</v>
      </c>
      <c r="AF4" s="65" t="s">
        <v>130</v>
      </c>
      <c r="AG4" s="65" t="s">
        <v>132</v>
      </c>
      <c r="AH4" s="69" t="s">
        <v>133</v>
      </c>
    </row>
    <row r="5" spans="1:34" x14ac:dyDescent="0.25">
      <c r="A5" s="8" t="s">
        <v>149</v>
      </c>
      <c r="B5" s="8" t="s">
        <v>1</v>
      </c>
      <c r="C5" s="8" t="s">
        <v>2</v>
      </c>
      <c r="D5" s="8" t="s">
        <v>3</v>
      </c>
      <c r="E5" s="8" t="s">
        <v>4</v>
      </c>
      <c r="F5" s="8" t="s">
        <v>5</v>
      </c>
      <c r="G5" s="100" t="s">
        <v>162</v>
      </c>
      <c r="H5" s="16" t="s">
        <v>123</v>
      </c>
      <c r="I5" s="16" t="s">
        <v>11</v>
      </c>
      <c r="J5" s="16" t="s">
        <v>9</v>
      </c>
      <c r="K5" s="16" t="s">
        <v>11</v>
      </c>
      <c r="L5" s="16" t="s">
        <v>163</v>
      </c>
      <c r="M5" s="16" t="s">
        <v>10</v>
      </c>
      <c r="N5" s="16" t="s">
        <v>11</v>
      </c>
      <c r="O5" s="16" t="s">
        <v>152</v>
      </c>
      <c r="P5" s="16" t="s">
        <v>11</v>
      </c>
      <c r="Q5" s="16" t="s">
        <v>117</v>
      </c>
      <c r="R5" s="16" t="s">
        <v>11</v>
      </c>
      <c r="S5" s="16" t="s">
        <v>119</v>
      </c>
      <c r="T5" s="16" t="s">
        <v>11</v>
      </c>
      <c r="U5" s="16" t="s">
        <v>147</v>
      </c>
      <c r="V5" s="16" t="s">
        <v>148</v>
      </c>
      <c r="W5" s="16" t="s">
        <v>11</v>
      </c>
      <c r="X5" s="97" t="s">
        <v>146</v>
      </c>
      <c r="Y5" s="61"/>
      <c r="Z5" s="62" t="s">
        <v>134</v>
      </c>
      <c r="AA5" s="63">
        <f>AVERAGE(H6,H7,H11)</f>
        <v>26.517868888888888</v>
      </c>
      <c r="AB5" s="63">
        <f>AVERAGE(H8:H10)</f>
        <v>24.56445722222222</v>
      </c>
      <c r="AC5" s="64">
        <f>1-AB5/AA5</f>
        <v>7.3663976349364835E-2</v>
      </c>
      <c r="AD5" s="88"/>
      <c r="AE5" s="65" t="s">
        <v>134</v>
      </c>
      <c r="AF5" s="66">
        <f>AVERAGE(H9:H11)</f>
        <v>25.775712222222221</v>
      </c>
      <c r="AG5" s="66">
        <f>AVERAGE(H6:H8)</f>
        <v>25.30661388888889</v>
      </c>
      <c r="AH5" s="67">
        <f>1-AG5/AF5</f>
        <v>1.8199238464840728E-2</v>
      </c>
    </row>
    <row r="6" spans="1:34" x14ac:dyDescent="0.25">
      <c r="A6" s="2">
        <v>22111</v>
      </c>
      <c r="B6" s="9">
        <v>255</v>
      </c>
      <c r="C6" s="9">
        <v>290</v>
      </c>
      <c r="D6" s="9">
        <v>80</v>
      </c>
      <c r="E6" s="9">
        <v>10</v>
      </c>
      <c r="F6" s="10" t="s">
        <v>6</v>
      </c>
      <c r="G6" s="101">
        <f>H6/$X$6</f>
        <v>29.603858856866854</v>
      </c>
      <c r="H6" s="5">
        <f>AVERAGE([1]Specimen!$J$18,[2]Specimen!$J$18,[3]Specimen!$J$18,[4]Specimen!$J$18,[5]Specimen!$J$18,[6]Specimen!$J$18)</f>
        <v>27.103414999999998</v>
      </c>
      <c r="I6" s="5">
        <f>STDEV([1]Specimen!$J$18,[2]Specimen!$J$18,[3]Specimen!$J$18,[4]Specimen!$J$18,[5]Specimen!$J$18,[6]Specimen!$J$18)</f>
        <v>0.75214872028741786</v>
      </c>
      <c r="J6">
        <f>AVERAGE([1]Specimen!$J$19,[2]Specimen!$J$19,[3]Specimen!$J$19,[4]Specimen!$J$19,[5]Specimen!$J$19,[6]Specimen!$J$19)</f>
        <v>5.8891666666666669E-2</v>
      </c>
      <c r="K6" s="15">
        <f>STDEV([1]Specimen!$J$19,[2]Specimen!$J$19,[3]Specimen!$J$19,[4]Specimen!$J$19,[5]Specimen!$J$19,[6]Specimen!$J$19)</f>
        <v>2.1551094326429606E-3</v>
      </c>
      <c r="L6" s="15">
        <f>M6/$X$6</f>
        <v>524.86100682552797</v>
      </c>
      <c r="M6" s="5">
        <f>AVERAGE([1]Specimen!$J$25,[2]Specimen!$J$25,[3]Specimen!$J$25,[4]Specimen!$J$25,[5]Specimen!$J$25,[6]Specimen!$J$25)</f>
        <v>480.52943888463352</v>
      </c>
      <c r="N6" s="5">
        <f>STDEV([1]Specimen!$J$25,[2]Specimen!$J$25,[3]Specimen!$J$25,[4]Specimen!$J$25,[5]Specimen!$J$25,[6]Specimen!$J$25)</f>
        <v>25.738681485590647</v>
      </c>
      <c r="O6" s="119">
        <f>AVERAGE(All_Data!P3:P8)</f>
        <v>9.2272226128333329E-3</v>
      </c>
      <c r="P6" s="15">
        <f>STDEV(All_Data!P3:P8)</f>
        <v>8.420126247688656E-4</v>
      </c>
      <c r="Q6" s="5">
        <f>AVERAGE(All_Data!E3:E8)</f>
        <v>102.50492200051623</v>
      </c>
      <c r="R6" s="5">
        <f>STDEV(All_Data!E3:E8)</f>
        <v>0.97976801438247685</v>
      </c>
      <c r="S6" s="158">
        <f>AVERAGE(All_Data!E3:E38)</f>
        <v>99.923194323912185</v>
      </c>
      <c r="T6" s="158">
        <f>STDEV(All_Data!E3:E38)</f>
        <v>3.5125053096464507</v>
      </c>
      <c r="U6" s="113"/>
      <c r="V6" s="162">
        <f>AVERAGE(U8,U11)</f>
        <v>9.3164999999999996</v>
      </c>
      <c r="W6" s="158">
        <f>STDEV(U8,U11)</f>
        <v>0.17041273426595771</v>
      </c>
      <c r="X6" s="159">
        <f>[7]Sheet1!$E$5</f>
        <v>0.91553655660377342</v>
      </c>
      <c r="Z6" s="62" t="s">
        <v>136</v>
      </c>
      <c r="AA6" s="63">
        <f>AVERAGE(H12,H13,H14)</f>
        <v>7.0971433333333342</v>
      </c>
      <c r="AB6" s="63">
        <f>AVERAGE(H15:H17)</f>
        <v>5.7519184444444447</v>
      </c>
      <c r="AC6" s="64">
        <f t="shared" ref="AC6:AC7" si="0">1-AB6/AA6</f>
        <v>0.1895445569727664</v>
      </c>
      <c r="AD6" s="88"/>
      <c r="AE6" s="65" t="s">
        <v>136</v>
      </c>
      <c r="AF6" s="66">
        <f>AVERAGE(H12,H14,H16)</f>
        <v>5.7319062222222223</v>
      </c>
      <c r="AG6" s="66">
        <f>AVERAGE(H13,H15,H17)</f>
        <v>7.1171555555555548</v>
      </c>
      <c r="AH6" s="67">
        <f t="shared" ref="AH6:AH7" si="1">1-AG6/AF6</f>
        <v>-0.24167341188570246</v>
      </c>
    </row>
    <row r="7" spans="1:34" x14ac:dyDescent="0.25">
      <c r="A7" s="2">
        <v>22121</v>
      </c>
      <c r="B7" s="9">
        <v>255</v>
      </c>
      <c r="C7" s="9">
        <v>290</v>
      </c>
      <c r="D7" s="9">
        <v>80</v>
      </c>
      <c r="E7" s="9">
        <v>35</v>
      </c>
      <c r="F7" s="10" t="s">
        <v>6</v>
      </c>
      <c r="G7" s="101">
        <f t="shared" ref="G7:G11" si="2">H7/$X$6</f>
        <v>27.122268525733919</v>
      </c>
      <c r="H7" s="5">
        <f>AVERAGE([8]Specimen!$J$18,[9]Specimen!$J$18,[10]Specimen!$J$18,[11]Specimen!$J$18,[12]Specimen!$J$18,[13]Specimen!$J$18)</f>
        <v>24.831428333333335</v>
      </c>
      <c r="I7" s="5">
        <f>STDEV([8]Specimen!$J$18,[9]Specimen!$J$18,[10]Specimen!$J$18,[11]Specimen!$J$18,[12]Specimen!$J$18,[13]Specimen!$J$18)</f>
        <v>1.4825809831427985</v>
      </c>
      <c r="J7">
        <f>AVERAGE([8]Specimen!$J$19,[9]Specimen!$J$19,[10]Specimen!$J$19,[11]Specimen!$J$19,[12]Specimen!$J$19,[13]Specimen!$J$19)</f>
        <v>5.4343333333333334E-2</v>
      </c>
      <c r="K7" s="15">
        <f>STDEV([8]Specimen!$J$19,[9]Specimen!$J$19,[10]Specimen!$J$19,[11]Specimen!$J$19,[12]Specimen!$J$19,[13]Specimen!$J$19)</f>
        <v>9.1910101004550509E-4</v>
      </c>
      <c r="L7" s="15">
        <f t="shared" ref="L7:L11" si="3">M7/$X$6</f>
        <v>508.20690355088783</v>
      </c>
      <c r="M7" s="5">
        <f>AVERAGE([8]Specimen!$J$25,[9]Specimen!$J$25,[10]Specimen!$J$25,[11]Specimen!$J$25,[12]Specimen!$J$25,[13]Specimen!$J$25)</f>
        <v>465.28199851924586</v>
      </c>
      <c r="N7" s="5">
        <f>STDEV([8]Specimen!$J$25,[9]Specimen!$J$25,[10]Specimen!$J$25,[11]Specimen!$J$25,[12]Specimen!$J$25,[13]Specimen!$J$25)</f>
        <v>56.155588808323117</v>
      </c>
      <c r="O7" s="119">
        <f>AVERAGE(All_Data!P9:P14)</f>
        <v>8.1232258371666671E-3</v>
      </c>
      <c r="P7" s="15">
        <f>STDEV(All_Data!P9:P14)</f>
        <v>1.4991389585494381E-3</v>
      </c>
      <c r="Q7" s="5">
        <f>AVERAGE(All_Data!E9:E14)</f>
        <v>104.01812397020551</v>
      </c>
      <c r="R7" s="5">
        <f>STDEV(All_Data!E9:E14)</f>
        <v>1.7521316811654317</v>
      </c>
      <c r="S7" s="158"/>
      <c r="T7" s="159"/>
      <c r="U7" s="113"/>
      <c r="V7" s="162"/>
      <c r="W7" s="159"/>
      <c r="X7" s="159"/>
      <c r="Z7" s="62" t="s">
        <v>135</v>
      </c>
      <c r="AA7" s="63">
        <f>AVERAGE(H20:H22)</f>
        <v>22.731819444444444</v>
      </c>
      <c r="AB7" s="63">
        <f>AVERAGE(H18:H19,H23)</f>
        <v>9.3846328888888895</v>
      </c>
      <c r="AC7" s="64">
        <f t="shared" si="0"/>
        <v>0.58715874407569901</v>
      </c>
      <c r="AD7" s="88"/>
      <c r="AE7" s="65" t="s">
        <v>135</v>
      </c>
      <c r="AF7" s="66">
        <f>AVERAGE(H19,H20,H22)</f>
        <v>18.453597222222225</v>
      </c>
      <c r="AG7" s="66">
        <f>AVERAGE(H18,H21,H23)</f>
        <v>13.662855111111108</v>
      </c>
      <c r="AH7" s="67">
        <f t="shared" si="1"/>
        <v>0.25961020246730004</v>
      </c>
    </row>
    <row r="8" spans="1:34" x14ac:dyDescent="0.25">
      <c r="A8" s="2">
        <v>12121</v>
      </c>
      <c r="B8" s="9">
        <v>210</v>
      </c>
      <c r="C8" s="9">
        <v>290</v>
      </c>
      <c r="D8" s="9">
        <v>80</v>
      </c>
      <c r="E8" s="9">
        <v>35</v>
      </c>
      <c r="F8" s="10" t="s">
        <v>6</v>
      </c>
      <c r="G8" s="101">
        <f t="shared" si="2"/>
        <v>26.197750554392751</v>
      </c>
      <c r="H8" s="5">
        <f>AVERAGE([14]Specimen!$J$18,[15]Specimen!$J$18,[16]Specimen!$J$18,[17]Specimen!$J$18,[18]Specimen!$J$18,[19]Specimen!$J$18)</f>
        <v>23.984998333333337</v>
      </c>
      <c r="I8" s="5">
        <f>STDEV([14]Specimen!$J$18,[15]Specimen!$J$18,[16]Specimen!$J$18,[17]Specimen!$J$18,[18]Specimen!$J$18,[19]Specimen!$J$18)</f>
        <v>3.2323031059442093</v>
      </c>
      <c r="J8">
        <f>AVERAGE([14]Specimen!$J$19,[15]Specimen!$J$19,[16]Specimen!$J$19,[17]Specimen!$J$19,[18]Specimen!$J$19,[19]Specimen!$J$19)</f>
        <v>4.7528333333333339E-2</v>
      </c>
      <c r="K8" s="15">
        <f>STDEV([14]Specimen!$J$19,[15]Specimen!$J$19,[16]Specimen!$J$19,[17]Specimen!$J$19,[18]Specimen!$J$19,[19]Specimen!$J$19)</f>
        <v>6.0011779399270163E-3</v>
      </c>
      <c r="L8" s="15">
        <f t="shared" si="3"/>
        <v>567.77730860915278</v>
      </c>
      <c r="M8" s="5">
        <f>AVERAGE([14]Specimen!$J$25,[15]Specimen!$J$25,[16]Specimen!$J$25,[17]Specimen!$J$25,[18]Specimen!$J$25,[19]Specimen!$J$25)</f>
        <v>519.82088204178172</v>
      </c>
      <c r="N8" s="5">
        <f>STDEV([14]Specimen!$J$25,[15]Specimen!$J$25,[16]Specimen!$J$25,[17]Specimen!$J$25,[18]Specimen!$J$25,[19]Specimen!$J$25)</f>
        <v>25.099961557738272</v>
      </c>
      <c r="O8" s="119">
        <f>AVERAGE(All_Data!P15:P20)</f>
        <v>6.1719244303333337E-3</v>
      </c>
      <c r="P8" s="15">
        <f>STDEV(All_Data!P15:P20)</f>
        <v>1.5573125440463498E-3</v>
      </c>
      <c r="Q8" s="5">
        <f>AVERAGE(All_Data!E15:E20)</f>
        <v>100.70864570890556</v>
      </c>
      <c r="R8" s="5">
        <f>STDEV(All_Data!E15:E20)</f>
        <v>1.5693940169549949</v>
      </c>
      <c r="S8" s="158"/>
      <c r="T8" s="159"/>
      <c r="U8" s="109">
        <v>9.1959999999999997</v>
      </c>
      <c r="V8" s="162"/>
      <c r="W8" s="159"/>
      <c r="X8" s="159"/>
      <c r="Z8" s="62"/>
      <c r="AA8" s="112" t="s">
        <v>137</v>
      </c>
      <c r="AB8" s="112"/>
      <c r="AC8" s="112"/>
      <c r="AD8" s="88"/>
      <c r="AE8" s="65"/>
      <c r="AF8" s="110" t="s">
        <v>143</v>
      </c>
      <c r="AG8" s="110"/>
      <c r="AH8" s="111"/>
    </row>
    <row r="9" spans="1:34" x14ac:dyDescent="0.25">
      <c r="A9" s="2">
        <v>11211</v>
      </c>
      <c r="B9" s="9">
        <v>210</v>
      </c>
      <c r="C9" s="9">
        <v>140</v>
      </c>
      <c r="D9" s="9">
        <v>100</v>
      </c>
      <c r="E9" s="9">
        <v>10</v>
      </c>
      <c r="F9" s="10" t="s">
        <v>6</v>
      </c>
      <c r="G9" s="101">
        <f t="shared" si="2"/>
        <v>28.005269858852579</v>
      </c>
      <c r="H9" s="5">
        <f>AVERAGE([20]Specimen!$J$18,[21]Specimen!$J$18,[22]Specimen!$J$18,[23]Specimen!$J$18,[24]Specimen!$J$18,[25]Specimen!$J$18)</f>
        <v>25.639848333333333</v>
      </c>
      <c r="I9" s="5">
        <f>STDEV([20]Specimen!$J$18,[21]Specimen!$J$18,[22]Specimen!$J$18,[23]Specimen!$J$18,[24]Specimen!$J$18,[25]Specimen!$J$18)</f>
        <v>3.9227984304239572</v>
      </c>
      <c r="J9">
        <f>AVERAGE([20]Specimen!$J$19,[21]Specimen!$J$19,[22]Specimen!$J$19,[23]Specimen!$J$19,[24]Specimen!$J$19,[25]Specimen!$J$19)</f>
        <v>4.4734999999999997E-2</v>
      </c>
      <c r="K9" s="15">
        <f>STDEV([20]Specimen!$J$19,[21]Specimen!$J$19,[22]Specimen!$J$19,[23]Specimen!$J$19,[24]Specimen!$J$19,[25]Specimen!$J$19)</f>
        <v>7.8889080359705079E-3</v>
      </c>
      <c r="L9" s="15">
        <f t="shared" si="3"/>
        <v>641.5872754333418</v>
      </c>
      <c r="M9" s="5">
        <f>AVERAGE([20]Specimen!$J$25,[21]Specimen!$J$25,[22]Specimen!$J$25,[23]Specimen!$J$25,[24]Specimen!$J$25,[25]Specimen!$J$25)</f>
        <v>587.39660491103848</v>
      </c>
      <c r="N9" s="5">
        <f>STDEV([20]Specimen!$J$25,[21]Specimen!$J$25,[22]Specimen!$J$25,[23]Specimen!$J$25,[24]Specimen!$J$25,[25]Specimen!$J$25)</f>
        <v>36.212853496675848</v>
      </c>
      <c r="O9" s="119">
        <f>AVERAGE(All_Data!P21:P26)</f>
        <v>6.1681788995000012E-3</v>
      </c>
      <c r="P9" s="15">
        <f>STDEV(All_Data!P21:P26)</f>
        <v>2.0511718723663264E-3</v>
      </c>
      <c r="Q9" s="5">
        <f>AVERAGE(All_Data!E21:E26)</f>
        <v>95.372670450920737</v>
      </c>
      <c r="R9" s="5">
        <f>STDEV(All_Data!E21:E26)</f>
        <v>1.6457303930513429</v>
      </c>
      <c r="S9" s="158"/>
      <c r="T9" s="159"/>
      <c r="U9" s="162"/>
      <c r="V9" s="162"/>
      <c r="W9" s="159"/>
      <c r="X9" s="159"/>
      <c r="Z9" s="62" t="s">
        <v>141</v>
      </c>
      <c r="AA9" s="68" t="s">
        <v>130</v>
      </c>
      <c r="AB9" s="68" t="s">
        <v>132</v>
      </c>
      <c r="AC9" s="68" t="s">
        <v>133</v>
      </c>
      <c r="AD9" s="88"/>
      <c r="AE9" s="65" t="s">
        <v>141</v>
      </c>
      <c r="AF9" s="65" t="s">
        <v>130</v>
      </c>
      <c r="AG9" s="65" t="s">
        <v>132</v>
      </c>
      <c r="AH9" s="69" t="s">
        <v>133</v>
      </c>
    </row>
    <row r="10" spans="1:34" x14ac:dyDescent="0.25">
      <c r="A10" s="2">
        <v>11221</v>
      </c>
      <c r="B10" s="9">
        <v>210</v>
      </c>
      <c r="C10" s="9">
        <v>140</v>
      </c>
      <c r="D10" s="9">
        <v>100</v>
      </c>
      <c r="E10" s="9">
        <v>35</v>
      </c>
      <c r="F10" s="10" t="s">
        <v>6</v>
      </c>
      <c r="G10" s="101">
        <f t="shared" si="2"/>
        <v>26.288983030107875</v>
      </c>
      <c r="H10" s="5">
        <f>AVERAGE([26]Specimen!$J$18,[27]Specimen!$J$18,[28]Specimen!$J$18,[29]Specimen!$J$18,[30]Specimen!$J$18,[31]Specimen!$J$18)</f>
        <v>24.068524999999998</v>
      </c>
      <c r="I10" s="5">
        <f>STDEV([26]Specimen!$J$18,[27]Specimen!$J$18,[28]Specimen!$J$18,[29]Specimen!$J$18,[30]Specimen!$J$18,[31]Specimen!$J$18)</f>
        <v>4.9803089590536569</v>
      </c>
      <c r="J10">
        <f>AVERAGE([26]Specimen!$J$19,[27]Specimen!$J$19,[28]Specimen!$J$19,[29]Specimen!$J$19,[30]Specimen!$J$19,[31]Specimen!$J$19)</f>
        <v>4.1768333333333331E-2</v>
      </c>
      <c r="K10" s="15">
        <f>STDEV([26]Specimen!$J$19,[27]Specimen!$J$19,[28]Specimen!$J$19,[29]Specimen!$J$19,[30]Specimen!$J$19,[31]Specimen!$J$19)</f>
        <v>8.3372883281476063E-3</v>
      </c>
      <c r="L10" s="15">
        <f t="shared" si="3"/>
        <v>640.44314262759576</v>
      </c>
      <c r="M10" s="5">
        <f>AVERAGE([26]Specimen!$J$25,[27]Specimen!$J$25,[28]Specimen!$J$25,[29]Specimen!$J$25,[30]Specimen!$J$25,[31]Specimen!$J$25)</f>
        <v>586.34910950176834</v>
      </c>
      <c r="N10" s="5">
        <f>STDEV([26]Specimen!$J$25,[27]Specimen!$J$25,[28]Specimen!$J$25,[29]Specimen!$J$25,[30]Specimen!$J$25,[31]Specimen!$J$25)</f>
        <v>26.994638702541373</v>
      </c>
      <c r="O10" s="119">
        <f>AVERAGE(All_Data!P27:P32)</f>
        <v>5.3427905383333328E-3</v>
      </c>
      <c r="P10" s="15">
        <f>STDEV(All_Data!P27:P32)</f>
        <v>1.9475014885917139E-3</v>
      </c>
      <c r="Q10" s="5">
        <f>AVERAGE(All_Data!E27:E32)</f>
        <v>97.055093385447265</v>
      </c>
      <c r="R10" s="5">
        <f>STDEV(All_Data!E27:E32)</f>
        <v>1.6367023645364152</v>
      </c>
      <c r="S10" s="158"/>
      <c r="T10" s="159"/>
      <c r="U10" s="162"/>
      <c r="V10" s="162"/>
      <c r="W10" s="159"/>
      <c r="X10" s="159"/>
      <c r="Z10" s="62" t="s">
        <v>134</v>
      </c>
      <c r="AA10" s="63">
        <f>AVERAGE(J6,J7,J11)</f>
        <v>5.8309444444444442E-2</v>
      </c>
      <c r="AB10" s="63">
        <f>AVERAGE(J8:J10)</f>
        <v>4.4677222222222222E-2</v>
      </c>
      <c r="AC10" s="64">
        <f>1-AB10/AA10</f>
        <v>0.23379098106843754</v>
      </c>
      <c r="AD10" s="88"/>
      <c r="AE10" s="65" t="s">
        <v>134</v>
      </c>
      <c r="AF10" s="66">
        <f>AVERAGE(J9:J11)</f>
        <v>4.9398888888888881E-2</v>
      </c>
      <c r="AG10" s="66">
        <f>AVERAGE(J6:J8)</f>
        <v>5.3587777777777783E-2</v>
      </c>
      <c r="AH10" s="67">
        <f>1-AG10/AF10</f>
        <v>-8.4797228907533162E-2</v>
      </c>
    </row>
    <row r="11" spans="1:34" x14ac:dyDescent="0.25">
      <c r="A11" s="2">
        <v>21211</v>
      </c>
      <c r="B11" s="9">
        <v>255</v>
      </c>
      <c r="C11" s="9">
        <v>140</v>
      </c>
      <c r="D11" s="9">
        <v>100</v>
      </c>
      <c r="E11" s="9">
        <v>10</v>
      </c>
      <c r="F11" s="10" t="s">
        <v>6</v>
      </c>
      <c r="G11" s="101">
        <f t="shared" si="2"/>
        <v>30.166750998765636</v>
      </c>
      <c r="H11" s="5">
        <f>AVERAGE([32]Specimen!$J$18,[33]Specimen!$J$18,[34]Specimen!$J$18,[35]Specimen!$J$18,[36]Specimen!$J$18,[37]Specimen!$J$18)</f>
        <v>27.618763333333334</v>
      </c>
      <c r="I11" s="5">
        <f>STDEV([32]Specimen!$J$18,[33]Specimen!$J$18,[34]Specimen!$J$18,[35]Specimen!$J$18,[36]Specimen!$J$18,[37]Specimen!$J$18)</f>
        <v>2.976116707729497</v>
      </c>
      <c r="J11">
        <f>AVERAGE([32]Specimen!$J$19,[33]Specimen!$J$19,[34]Specimen!$J$19,[35]Specimen!$J$19,[36]Specimen!$J$19,[37]Specimen!$J$19)</f>
        <v>6.1693333333333329E-2</v>
      </c>
      <c r="K11" s="15">
        <f>STDEV([32]Specimen!$J$19,[33]Specimen!$J$19,[34]Specimen!$J$19,[35]Specimen!$J$19,[36]Specimen!$J$19,[37]Specimen!$J$19)</f>
        <v>8.563694685511998E-3</v>
      </c>
      <c r="L11" s="15">
        <f t="shared" si="3"/>
        <v>581.67217319543295</v>
      </c>
      <c r="M11" s="5">
        <f>AVERAGE([32]Specimen!$J$25,[33]Specimen!$J$25,[34]Specimen!$J$25,[35]Specimen!$J$25,[36]Specimen!$J$25,[37]Specimen!$J$25)</f>
        <v>532.54213851958036</v>
      </c>
      <c r="N11" s="5">
        <f>STDEV([32]Specimen!$J$25,[33]Specimen!$J$25,[34]Specimen!$J$25,[35]Specimen!$J$25,[36]Specimen!$J$25,[37]Specimen!$J$25)</f>
        <v>54.057251253245589</v>
      </c>
      <c r="O11" s="119">
        <f>AVERAGE(All_Data!P33:P38)</f>
        <v>1.4218724720666667E-2</v>
      </c>
      <c r="P11" s="15">
        <f>STDEV(All_Data!P33:P38)</f>
        <v>2.3666900723604088E-3</v>
      </c>
      <c r="Q11" s="5">
        <f>AVERAGE(All_Data!E33:E38)</f>
        <v>99.879710427477903</v>
      </c>
      <c r="R11" s="5">
        <f>STDEV(All_Data!E33:E38)</f>
        <v>3.3016191652720392</v>
      </c>
      <c r="S11" s="158"/>
      <c r="T11" s="159"/>
      <c r="U11" s="109">
        <v>9.4369999999999994</v>
      </c>
      <c r="V11" s="162"/>
      <c r="W11" s="159"/>
      <c r="X11" s="159"/>
      <c r="Z11" s="62" t="s">
        <v>136</v>
      </c>
      <c r="AA11" s="63">
        <f>AVERAGE(J12,J13,J14)</f>
        <v>2.2986666666666666E-2</v>
      </c>
      <c r="AB11" s="63">
        <f>AVERAGE(J15:J17)</f>
        <v>1.7729888888888892E-2</v>
      </c>
      <c r="AC11" s="64">
        <f t="shared" ref="AC11:AC12" si="4">1-AB11/AA11</f>
        <v>0.22868812838360386</v>
      </c>
      <c r="AD11" s="88"/>
      <c r="AE11" s="65" t="s">
        <v>136</v>
      </c>
      <c r="AF11" s="66">
        <f>AVERAGE(J12,J14,J16)</f>
        <v>2.0178777777777778E-2</v>
      </c>
      <c r="AG11" s="66">
        <f>AVERAGE(J13,J15,J17)</f>
        <v>2.053777777777778E-2</v>
      </c>
      <c r="AH11" s="67">
        <f t="shared" ref="AH11:AH12" si="5">1-AG11/AF11</f>
        <v>-1.7790968509270089E-2</v>
      </c>
    </row>
    <row r="12" spans="1:34" x14ac:dyDescent="0.25">
      <c r="A12" s="2">
        <v>22222</v>
      </c>
      <c r="B12" s="9">
        <v>255</v>
      </c>
      <c r="C12" s="9">
        <v>290</v>
      </c>
      <c r="D12" s="9">
        <v>100</v>
      </c>
      <c r="E12" s="9">
        <v>35</v>
      </c>
      <c r="F12" s="10" t="s">
        <v>7</v>
      </c>
      <c r="G12" s="101">
        <f>H12/$X$12</f>
        <v>8.2245905156789885</v>
      </c>
      <c r="H12" s="5">
        <f>AVERAGE([38]Specimen!$J$18,[39]Specimen!$J$18,[40]Specimen!$J$18,[41]Specimen!$J$18,[42]Specimen!$J$18,[43]Specimen!$J$18)</f>
        <v>6.1987516666666664</v>
      </c>
      <c r="I12" s="5">
        <f>STDEV([38]Specimen!$J$18,[39]Specimen!$J$18,[40]Specimen!$J$18,[41]Specimen!$J$18,[42]Specimen!$J$18,[43]Specimen!$J$18)</f>
        <v>0.58309450535626428</v>
      </c>
      <c r="J12">
        <f>AVERAGE([38]Specimen!$J$19,[39]Specimen!$J$19,[40]Specimen!$J$19,[41]Specimen!$J$19,[42]Specimen!$J$19,[43]Specimen!$J$19)</f>
        <v>2.0775000000000002E-2</v>
      </c>
      <c r="K12" s="15">
        <f>STDEV([38]Specimen!$J$19,[39]Specimen!$J$19,[40]Specimen!$J$19,[41]Specimen!$J$19,[42]Specimen!$J$19,[43]Specimen!$J$19)</f>
        <v>1.3282432006225375E-3</v>
      </c>
      <c r="L12" s="15">
        <f>M12/$X$12</f>
        <v>403.8813399871417</v>
      </c>
      <c r="M12" s="5">
        <f>AVERAGE([38]Specimen!$J$25,[39]Specimen!$J$25,[40]Specimen!$J$25,[41]Specimen!$J$25,[42]Specimen!$J$25,[43]Specimen!$J$25)</f>
        <v>304.39936488122868</v>
      </c>
      <c r="N12" s="5">
        <f>STDEV([38]Specimen!$J$25,[39]Specimen!$J$25,[40]Specimen!$J$25,[41]Specimen!$J$25,[42]Specimen!$J$25,[43]Specimen!$J$25)</f>
        <v>20.93781647392894</v>
      </c>
      <c r="O12" s="119">
        <f>AVERAGE(All_Data!P39:P44)</f>
        <v>6.3492683583333328E-4</v>
      </c>
      <c r="P12" s="15">
        <f>STDEV(All_Data!P39:P44)</f>
        <v>9.8182710244740438E-5</v>
      </c>
      <c r="Q12" s="5">
        <f>AVERAGE(All_Data!E39:E44)</f>
        <v>105.73778815913262</v>
      </c>
      <c r="R12" s="5">
        <f>STDEV(All_Data!E39:E44)</f>
        <v>1.1056385445226153</v>
      </c>
      <c r="S12" s="158">
        <f>AVERAGE(All_Data!E39:E74)</f>
        <v>104.3536282702276</v>
      </c>
      <c r="T12" s="158">
        <f>STDEV(All_Data!E39:E74)</f>
        <v>1.4905196091130426</v>
      </c>
      <c r="U12" s="109">
        <v>7.88</v>
      </c>
      <c r="V12" s="162">
        <f>AVERAGE(U12:U17)</f>
        <v>7.6695000000000002</v>
      </c>
      <c r="W12" s="158">
        <f>STDEV(U12:U17)</f>
        <v>0.39226610865584577</v>
      </c>
      <c r="X12" s="159">
        <f>[7]Sheet1!$E$11</f>
        <v>0.75368514150943389</v>
      </c>
      <c r="Z12" s="62" t="s">
        <v>135</v>
      </c>
      <c r="AA12" s="63">
        <f>AVERAGE(J20:J22)</f>
        <v>4.8520555555555546E-2</v>
      </c>
      <c r="AB12" s="63">
        <f>AVERAGE(J18:J19,J23)</f>
        <v>1.9846777777777779E-2</v>
      </c>
      <c r="AC12" s="64">
        <f t="shared" si="4"/>
        <v>0.59096144818347307</v>
      </c>
      <c r="AD12" s="88"/>
      <c r="AE12" s="65" t="s">
        <v>135</v>
      </c>
      <c r="AF12" s="66">
        <f>AVERAGE(J19,J20,J22)</f>
        <v>4.1233333333333323E-2</v>
      </c>
      <c r="AG12" s="66">
        <f>AVERAGE(J18,J21,J23)</f>
        <v>2.7134000000000002E-2</v>
      </c>
      <c r="AH12" s="67">
        <f t="shared" si="5"/>
        <v>0.34194017784963604</v>
      </c>
    </row>
    <row r="13" spans="1:34" x14ac:dyDescent="0.25">
      <c r="A13" s="2">
        <v>21112</v>
      </c>
      <c r="B13" s="9">
        <v>255</v>
      </c>
      <c r="C13" s="9">
        <v>140</v>
      </c>
      <c r="D13" s="9">
        <v>80</v>
      </c>
      <c r="E13" s="9">
        <v>10</v>
      </c>
      <c r="F13" s="10" t="s">
        <v>7</v>
      </c>
      <c r="G13" s="101">
        <f t="shared" ref="G13:G17" si="6">H13/$X$12</f>
        <v>10.627598836951563</v>
      </c>
      <c r="H13" s="5">
        <f>AVERAGE([44]Specimen!$J$18,[44]Specimen!$J$18,[45]Specimen!$J$18,[46]Specimen!$J$18,[47]Specimen!$J$18,[48]Specimen!$J$18)</f>
        <v>8.0098633333333336</v>
      </c>
      <c r="I13" s="5">
        <f>STDEV([44]Specimen!$J$18,[44]Specimen!$J$18,[45]Specimen!$J$18,[46]Specimen!$J$18,[47]Specimen!$J$18,[48]Specimen!$J$18)</f>
        <v>0.74462456370084018</v>
      </c>
      <c r="J13">
        <f>AVERAGE([44]Specimen!$J$19,[44]Specimen!$J$19,[45]Specimen!$J$19,[46]Specimen!$J$19,[47]Specimen!$J$19,[48]Specimen!$J$19)</f>
        <v>2.3741666666666661E-2</v>
      </c>
      <c r="K13" s="15">
        <f>STDEV([44]Specimen!$J$19,[44]Specimen!$J$19,[45]Specimen!$J$19,[46]Specimen!$J$19,[47]Specimen!$J$19,[48]Specimen!$J$19)</f>
        <v>3.0422716293366488E-3</v>
      </c>
      <c r="L13" s="15">
        <f t="shared" ref="L13:L17" si="7">M13/$X$12</f>
        <v>461.02596719048285</v>
      </c>
      <c r="M13" s="5">
        <f>AVERAGE([44]Specimen!$J$25,[44]Specimen!$J$25,[45]Specimen!$J$25,[46]Specimen!$J$25,[47]Specimen!$J$25,[48]Specimen!$J$25)</f>
        <v>347.46842132148271</v>
      </c>
      <c r="N13" s="5">
        <f>STDEV([44]Specimen!$J$25,[44]Specimen!$J$25,[45]Specimen!$J$25,[46]Specimen!$J$25,[47]Specimen!$J$25,[48]Specimen!$J$25)</f>
        <v>12.062081308209434</v>
      </c>
      <c r="O13" s="119">
        <f>AVERAGE(All_Data!P45:P50)</f>
        <v>9.7755101283333325E-4</v>
      </c>
      <c r="P13" s="15">
        <f>STDEV(All_Data!P45:P50)</f>
        <v>2.4583544296654096E-4</v>
      </c>
      <c r="Q13" s="5">
        <f>AVERAGE(All_Data!E45:E50)</f>
        <v>104.56024579502883</v>
      </c>
      <c r="R13" s="5">
        <f>STDEV(All_Data!E45:E50)</f>
        <v>0.44679655404862856</v>
      </c>
      <c r="S13" s="158"/>
      <c r="T13" s="159"/>
      <c r="U13" s="109">
        <f>10.121-2.121</f>
        <v>8</v>
      </c>
      <c r="V13" s="162"/>
      <c r="W13" s="159"/>
      <c r="X13" s="159"/>
      <c r="Z13" s="70"/>
      <c r="AA13" s="173" t="s">
        <v>144</v>
      </c>
      <c r="AB13" s="173"/>
      <c r="AC13" s="173"/>
      <c r="AD13" s="88"/>
      <c r="AE13" s="65"/>
      <c r="AF13" s="173" t="s">
        <v>144</v>
      </c>
      <c r="AG13" s="173"/>
      <c r="AH13" s="174"/>
    </row>
    <row r="14" spans="1:34" x14ac:dyDescent="0.25">
      <c r="A14" s="2">
        <v>22222</v>
      </c>
      <c r="B14" s="9">
        <v>255</v>
      </c>
      <c r="C14" s="9">
        <v>290</v>
      </c>
      <c r="D14" s="9">
        <v>100</v>
      </c>
      <c r="E14" s="9">
        <v>35</v>
      </c>
      <c r="F14" s="10" t="s">
        <v>7</v>
      </c>
      <c r="G14" s="101">
        <f t="shared" si="6"/>
        <v>9.3975781263446141</v>
      </c>
      <c r="H14" s="5">
        <f>AVERAGE([49]Specimen!$J$18,[50]Specimen!$J$18,[51]Specimen!$J$18,[52]Specimen!$J$18,[53]Specimen!$J$18,[54]Specimen!$J$18)</f>
        <v>7.082815000000001</v>
      </c>
      <c r="I14" s="5">
        <f>STDEV([49]Specimen!$J$18,[50]Specimen!$J$18,[51]Specimen!$J$18,[52]Specimen!$J$18,[53]Specimen!$J$18,[54]Specimen!$J$18)</f>
        <v>1.0672202711108796</v>
      </c>
      <c r="J14">
        <f>AVERAGE([49]Specimen!$J$19,[50]Specimen!$J$19,[51]Specimen!$J$19,[52]Specimen!$J$19,[53]Specimen!$J$19,[54]Specimen!$J$19)</f>
        <v>2.4443333333333334E-2</v>
      </c>
      <c r="K14" s="15">
        <f>STDEV([49]Specimen!$J$19,[50]Specimen!$J$19,[51]Specimen!$J$19,[52]Specimen!$J$19,[53]Specimen!$J$19,[54]Specimen!$J$19)</f>
        <v>3.35535790440702E-3</v>
      </c>
      <c r="L14" s="15">
        <f t="shared" si="7"/>
        <v>331.50356511951134</v>
      </c>
      <c r="M14" s="5">
        <f>AVERAGE([49]Specimen!$J$25,[50]Specimen!$J$18,[51]Specimen!$J$25,[52]Specimen!$J$25,[53]Specimen!$J$25,[54]Specimen!$J$25)</f>
        <v>249.84931138798075</v>
      </c>
      <c r="N14" s="5">
        <f>STDEV([49]Specimen!$J$25,[50]Specimen!$J$25,[51]Specimen!$J$25,[52]Specimen!$J$25,[53]Specimen!$J$25,[54]Specimen!$J$25)</f>
        <v>19.155679754362161</v>
      </c>
      <c r="O14" s="119">
        <f>AVERAGE(All_Data!P51:P56)</f>
        <v>8.8127483766666686E-4</v>
      </c>
      <c r="P14" s="15">
        <f>STDEV(All_Data!P51:P56)</f>
        <v>2.5930467193883982E-4</v>
      </c>
      <c r="Q14" s="5">
        <f>AVERAGE(All_Data!E51:E56)</f>
        <v>105.95839905319401</v>
      </c>
      <c r="R14" s="5">
        <f>STDEV(All_Data!E51:E56)</f>
        <v>1.0974563139773581</v>
      </c>
      <c r="S14" s="158"/>
      <c r="T14" s="159"/>
      <c r="U14" s="114">
        <v>8.1159999999999997</v>
      </c>
      <c r="V14" s="162"/>
      <c r="W14" s="159"/>
      <c r="X14" s="159"/>
      <c r="Z14" s="70" t="s">
        <v>141</v>
      </c>
      <c r="AA14" s="65" t="s">
        <v>130</v>
      </c>
      <c r="AB14" s="65" t="s">
        <v>132</v>
      </c>
      <c r="AC14" s="65" t="s">
        <v>133</v>
      </c>
      <c r="AD14" s="88"/>
      <c r="AE14" s="65" t="s">
        <v>141</v>
      </c>
      <c r="AF14" s="65" t="s">
        <v>130</v>
      </c>
      <c r="AG14" s="65" t="s">
        <v>132</v>
      </c>
      <c r="AH14" s="69" t="s">
        <v>133</v>
      </c>
    </row>
    <row r="15" spans="1:34" x14ac:dyDescent="0.25">
      <c r="A15" s="2">
        <v>11112</v>
      </c>
      <c r="B15" s="9">
        <v>210</v>
      </c>
      <c r="C15" s="9">
        <v>140</v>
      </c>
      <c r="D15" s="9">
        <v>80</v>
      </c>
      <c r="E15" s="9">
        <v>10</v>
      </c>
      <c r="F15" s="10" t="s">
        <v>7</v>
      </c>
      <c r="G15" s="101">
        <f t="shared" si="6"/>
        <v>9.0063758628333019</v>
      </c>
      <c r="H15" s="5">
        <f>AVERAGE([55]Specimen!$J$18,[56]Specimen!$J$18,[57]Specimen!$J$18,[58]Specimen!$J$18,[59]Specimen!$J$18,[60]Specimen!$J$18)</f>
        <v>6.7879716666666665</v>
      </c>
      <c r="I15" s="5">
        <f>STDEV([55]Specimen!$J$18,[56]Specimen!$J$18,[57]Specimen!$J$18,[58]Specimen!$J$18,[59]Specimen!$J$18,[60]Specimen!$J$18)</f>
        <v>0.29698345034137302</v>
      </c>
      <c r="J15">
        <f>AVERAGE([55]Specimen!$J$19,[56]Specimen!$J$19,[57]Specimen!$J$19,[58]Specimen!$J$19,[59]Specimen!$J$19,[60]Specimen!$J$19)</f>
        <v>1.8850000000000002E-2</v>
      </c>
      <c r="K15" s="15">
        <f>STDEV([55]Specimen!$J$19,[56]Specimen!$J$19,[57]Specimen!$J$19,[58]Specimen!$J$19,[59]Specimen!$J$19,[60]Specimen!$J$19)</f>
        <v>1.2251040772114012E-3</v>
      </c>
      <c r="L15" s="15">
        <f t="shared" si="7"/>
        <v>487.37319961668493</v>
      </c>
      <c r="M15" s="5">
        <f>AVERAGE([55]Specimen!$J$25,[56]Specimen!$J$25,[57]Specimen!$J$25,[58]Specimen!$J$25,[59]Specimen!$J$25,[60]Specimen!$J$25)</f>
        <v>367.32593892100675</v>
      </c>
      <c r="N15" s="5">
        <f>STDEV([55]Specimen!$J$25,[56]Specimen!$J$25,[57]Specimen!$J$25,[58]Specimen!$J$25,[59]Specimen!$J$25,[60]Specimen!$J$25)</f>
        <v>11.502430161344419</v>
      </c>
      <c r="O15" s="119">
        <f>AVERAGE(All_Data!P57:P62)</f>
        <v>6.159538245000001E-4</v>
      </c>
      <c r="P15" s="15">
        <f>STDEV(All_Data!P57:P62)</f>
        <v>6.9047588488174578E-5</v>
      </c>
      <c r="Q15" s="5">
        <f>AVERAGE(All_Data!E57:E62)</f>
        <v>103.42865886845981</v>
      </c>
      <c r="R15" s="5">
        <f>STDEV(All_Data!E57:E62)</f>
        <v>0.59548066623297213</v>
      </c>
      <c r="S15" s="158"/>
      <c r="T15" s="159"/>
      <c r="U15" s="109">
        <v>7.4980000000000002</v>
      </c>
      <c r="V15" s="162"/>
      <c r="W15" s="159"/>
      <c r="X15" s="159"/>
      <c r="Z15" s="70" t="s">
        <v>134</v>
      </c>
      <c r="AA15" s="66">
        <f>AVERAGE(M$6,M$7,M$11)</f>
        <v>492.78452530781988</v>
      </c>
      <c r="AB15" s="66">
        <f>AVERAGE(M$8:M$10)</f>
        <v>564.52219881819622</v>
      </c>
      <c r="AC15" s="71">
        <f>1-AB15/AA15</f>
        <v>-0.14557614905939897</v>
      </c>
      <c r="AD15" s="88"/>
      <c r="AE15" s="65" t="s">
        <v>134</v>
      </c>
      <c r="AF15" s="66">
        <f>AVERAGE(M$9:M$11)</f>
        <v>568.76261764412902</v>
      </c>
      <c r="AG15" s="66">
        <f>AVERAGE(M$6:M$8)</f>
        <v>488.54410648188701</v>
      </c>
      <c r="AH15" s="67">
        <f>1-AG15/AF15</f>
        <v>0.14104040714650867</v>
      </c>
    </row>
    <row r="16" spans="1:34" x14ac:dyDescent="0.25">
      <c r="A16" s="2">
        <v>12222</v>
      </c>
      <c r="B16" s="9">
        <v>210</v>
      </c>
      <c r="C16" s="9">
        <v>290</v>
      </c>
      <c r="D16" s="9">
        <v>100</v>
      </c>
      <c r="E16" s="9">
        <v>35</v>
      </c>
      <c r="F16" s="10" t="s">
        <v>7</v>
      </c>
      <c r="G16" s="101">
        <f t="shared" si="6"/>
        <v>5.1933516855075306</v>
      </c>
      <c r="H16" s="5">
        <f>AVERAGE([61]Specimen!$J$18,[62]Specimen!$J$18,[63]Specimen!$J$18,[64]Specimen!$J$18,[65]Specimen!$J$18)</f>
        <v>3.9141520000000001</v>
      </c>
      <c r="I16" s="5">
        <f>STDEV([61]Specimen!$J$18,[62]Specimen!$J$18,[63]Specimen!$J$18,[64]Specimen!$J$18,[65]Specimen!$J$18)</f>
        <v>1.3327758610021423</v>
      </c>
      <c r="J16">
        <f>AVERAGE([61]Specimen!$J$19,[62]Specimen!$J$19,[63]Specimen!$J$19,[64]Specimen!$J$19,[65]Specimen!$J$19)</f>
        <v>1.5317999999999998E-2</v>
      </c>
      <c r="K16" s="15">
        <f>STDEV([61]Specimen!$J$19,[62]Specimen!$J$19,[63]Specimen!$J$19,[64]Specimen!$J$19,[65]Specimen!$J$19)</f>
        <v>4.9466675651391855E-3</v>
      </c>
      <c r="L16" s="15">
        <f t="shared" si="7"/>
        <v>346.63171848469887</v>
      </c>
      <c r="M16" s="5">
        <f>AVERAGE([61]Specimen!$J$25,[62]Specimen!$J$25,[63]Specimen!$J$25,[64]Specimen!$J$25,[65]Specimen!$J$25)</f>
        <v>261.25117579779851</v>
      </c>
      <c r="N16" s="5">
        <f>STDEV([61]Specimen!$J$25,[62]Specimen!$J$25,[63]Specimen!$J$25,[64]Specimen!$J$25,[65]Specimen!$J$25)</f>
        <v>14.163610618370182</v>
      </c>
      <c r="O16" s="119">
        <f>AVERAGE(All_Data!P63:P68)</f>
        <v>3.1395356059999997E-4</v>
      </c>
      <c r="P16" s="15">
        <f>STDEV(All_Data!P63:P68)</f>
        <v>2.3856747269545545E-4</v>
      </c>
      <c r="Q16" s="5">
        <f>AVERAGE(All_Data!E63:E68)</f>
        <v>103.23017835838571</v>
      </c>
      <c r="R16" s="5">
        <f>STDEV(All_Data!E63:E68)</f>
        <v>1.3162386208612908</v>
      </c>
      <c r="S16" s="158"/>
      <c r="T16" s="159"/>
      <c r="U16" s="109">
        <f>8.659-1.562</f>
        <v>7.0970000000000004</v>
      </c>
      <c r="V16" s="162"/>
      <c r="W16" s="159"/>
      <c r="X16" s="159"/>
      <c r="Z16" s="70" t="s">
        <v>136</v>
      </c>
      <c r="AA16" s="66">
        <f>AVERAGE(M$12:M$14)</f>
        <v>300.57236586356402</v>
      </c>
      <c r="AB16" s="66">
        <f>AVERAGE(M$15:M$17)</f>
        <v>326.44149132554622</v>
      </c>
      <c r="AC16" s="71">
        <f t="shared" ref="AC16:AC17" si="8">1-AB16/AA16</f>
        <v>-8.6066213664248714E-2</v>
      </c>
      <c r="AD16" s="88"/>
      <c r="AE16" s="72" t="s">
        <v>136</v>
      </c>
      <c r="AF16" s="73">
        <f>AVERAGE(M$12,M$14,M$16)</f>
        <v>271.83328402233599</v>
      </c>
      <c r="AG16" s="73">
        <f>AVERAGE(M$13,M$15,M$17)</f>
        <v>355.18057316677431</v>
      </c>
      <c r="AH16" s="74">
        <f t="shared" ref="AH16:AH17" si="9">1-AG16/AF16</f>
        <v>-0.30661178760430907</v>
      </c>
    </row>
    <row r="17" spans="1:34" x14ac:dyDescent="0.25">
      <c r="A17" s="2">
        <v>11112</v>
      </c>
      <c r="B17" s="9">
        <v>210</v>
      </c>
      <c r="C17" s="9">
        <v>140</v>
      </c>
      <c r="D17" s="9">
        <v>80</v>
      </c>
      <c r="E17" s="9">
        <v>10</v>
      </c>
      <c r="F17" s="10" t="s">
        <v>7</v>
      </c>
      <c r="G17" s="101">
        <f t="shared" si="6"/>
        <v>8.6954502692483207</v>
      </c>
      <c r="H17" s="5">
        <f>AVERAGE([66]Specimen!$J$18,[67]Specimen!$J$18,[68]Specimen!$J$18,[69]Specimen!$J$18,[70]Specimen!$J$18,[71]Specimen!$J$18)</f>
        <v>6.5536316666666652</v>
      </c>
      <c r="I17" s="5">
        <f>STDEV([66]Specimen!$J$18,[67]Specimen!$J$18,[68]Specimen!$J$18,[69]Specimen!$J$18,[70]Specimen!$J$18,[71]Specimen!$J$18)</f>
        <v>0.53643418609990423</v>
      </c>
      <c r="J17">
        <f>AVERAGE([66]Specimen!$J$19,[67]Specimen!$J$19,[68]Specimen!$J$19,[69]Specimen!$J$19,[70]Specimen!$J$19,[71]Specimen!$J$19)</f>
        <v>1.9021666666666669E-2</v>
      </c>
      <c r="K17" s="15">
        <f>STDEV([66]Specimen!$J$19,[67]Specimen!$J$19,[68]Specimen!$J$19,[69]Specimen!$J$19,[70]Specimen!$J$19,[71]Specimen!$J$19)</f>
        <v>1.0936071811517454E-3</v>
      </c>
      <c r="L17" s="15">
        <f t="shared" si="7"/>
        <v>465.37650796110756</v>
      </c>
      <c r="M17" s="5">
        <f>AVERAGE([66]Specimen!$J$25,[67]Specimen!$J$25,[68]Specimen!$J$25,[69]Specimen!$J$25,[70]Specimen!$J$25,[71]Specimen!$J$25)</f>
        <v>350.74735925783352</v>
      </c>
      <c r="N17" s="5">
        <f>STDEV([66]Specimen!$J$25,[67]Specimen!$J$25,[68]Specimen!$J$25,[69]Specimen!$J$25,[70]Specimen!$J$25,[71]Specimen!$J$25)</f>
        <v>10.350145871117764</v>
      </c>
      <c r="O17" s="119">
        <f>AVERAGE(All_Data!P69:P74)</f>
        <v>6.0385634083333329E-4</v>
      </c>
      <c r="P17" s="15">
        <f>STDEV(All_Data!P69:P74)</f>
        <v>9.2390947039148628E-5</v>
      </c>
      <c r="Q17" s="5">
        <f>AVERAGE(All_Data!E69:E74)</f>
        <v>103.20649938716458</v>
      </c>
      <c r="R17" s="5">
        <f>STDEV(All_Data!E69:E74)</f>
        <v>1.1300423735742573</v>
      </c>
      <c r="S17" s="158"/>
      <c r="T17" s="159"/>
      <c r="U17" s="109">
        <v>7.4260000000000002</v>
      </c>
      <c r="V17" s="162"/>
      <c r="W17" s="159"/>
      <c r="X17" s="159"/>
      <c r="Z17" s="70" t="s">
        <v>135</v>
      </c>
      <c r="AA17" s="66">
        <f>AVERAGE(M$20:M$22)</f>
        <v>506.56999564425087</v>
      </c>
      <c r="AB17" s="66">
        <f>AVERAGE(M$18:M$19,M$23)</f>
        <v>477.39876705414491</v>
      </c>
      <c r="AC17" s="71">
        <f t="shared" si="8"/>
        <v>5.7585780525761798E-2</v>
      </c>
      <c r="AD17" s="88"/>
      <c r="AE17" s="65" t="s">
        <v>135</v>
      </c>
      <c r="AF17" s="66">
        <f>AVERAGE(M$19,M$20,M$22)</f>
        <v>488.42245654822483</v>
      </c>
      <c r="AG17" s="66">
        <f>AVERAGE(M$18,M$21,M$23)</f>
        <v>495.54630615017095</v>
      </c>
      <c r="AH17" s="67">
        <f t="shared" si="9"/>
        <v>-1.4585426010695235E-2</v>
      </c>
    </row>
    <row r="18" spans="1:34" x14ac:dyDescent="0.25">
      <c r="A18" s="2">
        <v>12113</v>
      </c>
      <c r="B18" s="9">
        <v>210</v>
      </c>
      <c r="C18" s="9">
        <v>290</v>
      </c>
      <c r="D18" s="9">
        <v>80</v>
      </c>
      <c r="E18" s="9">
        <v>10</v>
      </c>
      <c r="F18" s="10" t="s">
        <v>8</v>
      </c>
      <c r="G18" s="101">
        <f>H18/$X$18</f>
        <v>8.2099864375779976</v>
      </c>
      <c r="H18" s="5">
        <f>AVERAGE([72]Specimen!$J$18,[73]Specimen!$J$18,[74]Specimen!$J$18,[75]Specimen!$J$18,[76]Specimen!$J$18)</f>
        <v>8.0813019999999991</v>
      </c>
      <c r="I18" s="5">
        <f>STDEV([72]Specimen!$J$18,[73]Specimen!$J$18,[74]Specimen!$J$18,[75]Specimen!$J$18,[76]Specimen!$J$18)</f>
        <v>1.3023340444256264</v>
      </c>
      <c r="J18">
        <f>AVERAGE([72]Specimen!$J$19,[73]Specimen!$J$19,[74]Specimen!$J$19,[75]Specimen!$J$19,[76]Specimen!$J$19)</f>
        <v>1.8252000000000001E-2</v>
      </c>
      <c r="K18" s="15">
        <f>STDEV([72]Specimen!$J$19,[73]Specimen!$J$19,[74]Specimen!$J$19,[75]Specimen!$J$19,[76]Specimen!$J$19)</f>
        <v>3.2024084686373168E-3</v>
      </c>
      <c r="L18" s="15">
        <f>M18/$X$18</f>
        <v>456.360111131037</v>
      </c>
      <c r="M18" s="5">
        <f>AVERAGE([72]Specimen!$J$25,[73]Specimen!$J$25,[74]Specimen!$J$25,[75]Specimen!$J$25,[76]Specimen!$J$25)</f>
        <v>449.20706104009741</v>
      </c>
      <c r="N18" s="5">
        <f>STDEV([72]Specimen!$J$25,[73]Specimen!$J$25,[74]Specimen!$J$25,[75]Specimen!$J$25,[76]Specimen!$J$25)</f>
        <v>12.583177718491156</v>
      </c>
      <c r="O18" s="119">
        <f>AVERAGE(All_Data!P75:P80)</f>
        <v>7.3059155980000003E-4</v>
      </c>
      <c r="P18" s="15">
        <f>STDEV(All_Data!P75:P80)</f>
        <v>2.578956292116439E-4</v>
      </c>
      <c r="Q18" s="5">
        <f>AVERAGE(All_Data!E75:E80)</f>
        <v>103.63345987385452</v>
      </c>
      <c r="R18" s="5">
        <f>STDEV(All_Data!E75:E80)</f>
        <v>0.44122132736085856</v>
      </c>
      <c r="S18" s="158">
        <f>AVERAGE(All_Data!E75:E110)</f>
        <v>102.46954019272079</v>
      </c>
      <c r="T18" s="158">
        <f>STDEV(All_Data!E75:E110)</f>
        <v>1.4267762713284968</v>
      </c>
      <c r="U18" s="109">
        <v>9.81</v>
      </c>
      <c r="V18" s="162">
        <f>AVERAGE(U18,U21)</f>
        <v>10.016500000000001</v>
      </c>
      <c r="W18" s="158">
        <f>STDEV(U18,U21)</f>
        <v>0.29203510063004434</v>
      </c>
      <c r="X18" s="159">
        <f>[7]Sheet1!$E$17</f>
        <v>0.98432586477987405</v>
      </c>
      <c r="Z18" s="126"/>
      <c r="AA18" s="169" t="s">
        <v>153</v>
      </c>
      <c r="AB18" s="169"/>
      <c r="AC18" s="169"/>
      <c r="AD18" s="88"/>
      <c r="AE18" s="127"/>
      <c r="AF18" s="169" t="s">
        <v>153</v>
      </c>
      <c r="AG18" s="169"/>
      <c r="AH18" s="170"/>
    </row>
    <row r="19" spans="1:34" x14ac:dyDescent="0.25">
      <c r="A19" s="2">
        <v>12213</v>
      </c>
      <c r="B19" s="9">
        <v>210</v>
      </c>
      <c r="C19" s="9">
        <v>290</v>
      </c>
      <c r="D19" s="9">
        <v>100</v>
      </c>
      <c r="E19" s="9">
        <v>10</v>
      </c>
      <c r="F19" s="10" t="s">
        <v>8</v>
      </c>
      <c r="G19" s="101">
        <f t="shared" ref="G19:G23" si="10">H19/$X$18</f>
        <v>10.593526026057008</v>
      </c>
      <c r="H19" s="5">
        <f>AVERAGE([77]Specimen!$J$18,[78]Specimen!$J$18,[79]Specimen!$J$18,[80]Specimen!$J$18,[81]Specimen!$J$18,[82]Specimen!$J$18)</f>
        <v>10.427481666666667</v>
      </c>
      <c r="I19" s="5">
        <f>STDEV([77]Specimen!$J$18,[78]Specimen!$J$18,[79]Specimen!$J$18,[80]Specimen!$J$18,[81]Specimen!$J$18,[82]Specimen!$J$18)</f>
        <v>2.1506601771029947</v>
      </c>
      <c r="J19">
        <f>AVERAGE([77]Specimen!$J$19,[78]Specimen!$J$19,[79]Specimen!$J$19,[80]Specimen!$J$19,[81]Specimen!$J$19,[82]Specimen!$J$19)</f>
        <v>2.1823333333333333E-2</v>
      </c>
      <c r="K19" s="15">
        <f>STDEV([77]Specimen!$J$19,[78]Specimen!$J$19,[79]Specimen!$J$19,[80]Specimen!$J$19,[81]Specimen!$J$19,[82]Specimen!$J$19)</f>
        <v>4.3348940779062489E-3</v>
      </c>
      <c r="L19" s="15">
        <f t="shared" ref="L19:L23" si="11">M19/$X$18</f>
        <v>491.76925748907667</v>
      </c>
      <c r="M19" s="5">
        <f>AVERAGE([77]Specimen!$J$25,[78]Specimen!$J$25,[79]Specimen!$J$25,[80]Specimen!$J$25,[81]Specimen!$J$25,[82]Specimen!$J$25)</f>
        <v>484.06119965009196</v>
      </c>
      <c r="N19" s="5">
        <f>STDEV([77]Specimen!$J$25,[78]Specimen!$J$25,[79]Specimen!$J$25,[80]Specimen!$J$25,[81]Specimen!$J$25,[82]Specimen!$J$25)</f>
        <v>12.016872247189873</v>
      </c>
      <c r="O19" s="119">
        <f>AVERAGE(All_Data!P81:P86)</f>
        <v>1.1473845594999999E-3</v>
      </c>
      <c r="P19" s="15">
        <f>STDEV(All_Data!P81:P86)</f>
        <v>4.2909568661287311E-4</v>
      </c>
      <c r="Q19" s="5">
        <f>AVERAGE(All_Data!E81:E86)</f>
        <v>102.79533389447279</v>
      </c>
      <c r="R19" s="5">
        <f>STDEV(All_Data!E81:E86)</f>
        <v>0.76056218348227544</v>
      </c>
      <c r="S19" s="158"/>
      <c r="T19" s="159"/>
      <c r="U19" s="163"/>
      <c r="V19" s="162"/>
      <c r="W19" s="159"/>
      <c r="X19" s="159"/>
      <c r="Z19" s="126" t="s">
        <v>141</v>
      </c>
      <c r="AA19" s="127" t="s">
        <v>130</v>
      </c>
      <c r="AB19" s="127" t="s">
        <v>132</v>
      </c>
      <c r="AC19" s="127" t="s">
        <v>133</v>
      </c>
      <c r="AD19" s="88"/>
      <c r="AE19" s="127" t="s">
        <v>141</v>
      </c>
      <c r="AF19" s="127" t="s">
        <v>130</v>
      </c>
      <c r="AG19" s="127" t="s">
        <v>132</v>
      </c>
      <c r="AH19" s="140" t="s">
        <v>133</v>
      </c>
    </row>
    <row r="20" spans="1:34" x14ac:dyDescent="0.25">
      <c r="A20" s="2">
        <v>22213</v>
      </c>
      <c r="B20" s="9">
        <v>255</v>
      </c>
      <c r="C20" s="9">
        <v>290</v>
      </c>
      <c r="D20" s="9">
        <v>100</v>
      </c>
      <c r="E20" s="9">
        <v>10</v>
      </c>
      <c r="F20" s="10" t="s">
        <v>8</v>
      </c>
      <c r="G20" s="101">
        <f t="shared" si="10"/>
        <v>22.348864118204965</v>
      </c>
      <c r="H20" s="5">
        <f>AVERAGE([83]Specimen!$J$18,[84]Specimen!$J$18,[85]Specimen!$J$18,[86]Specimen!$J$18,[87]Specimen!$J$18,[88]Specimen!$J$18)</f>
        <v>21.998564999999999</v>
      </c>
      <c r="I20" s="5">
        <f>STDEV([83]Specimen!$J$18,[84]Specimen!$J$18,[85]Specimen!$J$18,[86]Specimen!$J$18,[87]Specimen!$J$18,[88]Specimen!$J$18)</f>
        <v>1.8131926689654356</v>
      </c>
      <c r="J20">
        <f>AVERAGE([83]Specimen!$J$19,[84]Specimen!$J$19,[85]Specimen!$J$19,[86]Specimen!$J$19,[87]Specimen!$J$19,[88]Specimen!$J$19)</f>
        <v>5.8888333333333327E-2</v>
      </c>
      <c r="K20" s="15">
        <f>STDEV([83]Specimen!$J$19,[84]Specimen!$J$19,[85]Specimen!$J$19,[86]Specimen!$J$19,[87]Specimen!$J$19,[88]Specimen!$J$19)</f>
        <v>1.3124795490470199E-2</v>
      </c>
      <c r="L20" s="15">
        <f t="shared" si="11"/>
        <v>448.8276277077855</v>
      </c>
      <c r="M20" s="5">
        <f>AVERAGE([83]Specimen!$J$25,[84]Specimen!$J$25,[85]Specimen!$J$25,[86]Specimen!$J$25,[87]Specimen!$J$25,[88]Specimen!$J$25)</f>
        <v>441.7926427805653</v>
      </c>
      <c r="N20" s="5">
        <f>STDEV([83]Specimen!$J$25,[84]Specimen!$J$25,[85]Specimen!$J$25,[86]Specimen!$J$25,[87]Specimen!$J$25,[88]Specimen!$J$25)</f>
        <v>50.327878946721846</v>
      </c>
      <c r="O20" s="119">
        <f>AVERAGE(All_Data!P87:P92)</f>
        <v>7.4457822064999991E-3</v>
      </c>
      <c r="P20" s="15">
        <f>STDEV(All_Data!P87:P92)</f>
        <v>2.2251872609609907E-3</v>
      </c>
      <c r="Q20" s="5">
        <f>AVERAGE(All_Data!E87:E92)</f>
        <v>103.38957995568079</v>
      </c>
      <c r="R20" s="5">
        <f>STDEV(All_Data!E87:E92)</f>
        <v>0.4706611148378238</v>
      </c>
      <c r="S20" s="158"/>
      <c r="T20" s="159"/>
      <c r="U20" s="163"/>
      <c r="V20" s="162"/>
      <c r="W20" s="159"/>
      <c r="X20" s="159"/>
      <c r="Z20" s="126" t="s">
        <v>134</v>
      </c>
      <c r="AA20" s="128">
        <f>AVERAGE(O$6,O$7,O$11)</f>
        <v>1.0523057723555556E-2</v>
      </c>
      <c r="AB20" s="128">
        <f>AVERAGE(O$8:O$10)</f>
        <v>5.8942979560555565E-3</v>
      </c>
      <c r="AC20" s="129">
        <f>1-AB20/AA20</f>
        <v>0.43986832431211098</v>
      </c>
      <c r="AD20" s="88"/>
      <c r="AE20" s="124" t="s">
        <v>134</v>
      </c>
      <c r="AF20" s="125">
        <f>AVERAGE(O$9:O$11)</f>
        <v>8.5765647195000013E-3</v>
      </c>
      <c r="AG20" s="125">
        <f>AVERAGE(O$6:O$8)</f>
        <v>7.8407909601111107E-3</v>
      </c>
      <c r="AH20" s="131">
        <f>1-AG20/AF20</f>
        <v>8.5788865758338884E-2</v>
      </c>
    </row>
    <row r="21" spans="1:34" x14ac:dyDescent="0.25">
      <c r="A21" s="2">
        <v>21123</v>
      </c>
      <c r="B21" s="9">
        <v>255</v>
      </c>
      <c r="C21" s="9">
        <v>140</v>
      </c>
      <c r="D21" s="9">
        <v>80</v>
      </c>
      <c r="E21" s="9">
        <v>35</v>
      </c>
      <c r="F21" s="10" t="s">
        <v>8</v>
      </c>
      <c r="G21" s="101">
        <f t="shared" si="10"/>
        <v>23.632568406129888</v>
      </c>
      <c r="H21" s="5">
        <f>AVERAGE([89]Specimen!$J$18,[90]Specimen!$J$18,[91]Specimen!$J$18,[92]Specimen!$J$18,[93]Specimen!$J$18,[94]Specimen!$J$18)</f>
        <v>23.262148333333332</v>
      </c>
      <c r="I21" s="5">
        <f>STDEV([89]Specimen!$J$18,[90]Specimen!$J$18,[91]Specimen!$J$18,[92]Specimen!$J$18,[93]Specimen!$J$18,[94]Specimen!$J$18)</f>
        <v>0.80332969954848987</v>
      </c>
      <c r="J21">
        <f>AVERAGE([89]Specimen!$J$19,[90]Specimen!$J$19,[91]Specimen!$J$19,[92]Specimen!$J$19,[93]Specimen!$J$19,[94]Specimen!$J$19)</f>
        <v>4.3685000000000002E-2</v>
      </c>
      <c r="K21" s="15">
        <f>STDEV([89]Specimen!$J$19,[90]Specimen!$J$19,[91]Specimen!$J$19,[92]Specimen!$J$19,[93]Specimen!$J$19,[94]Specimen!$J$19)</f>
        <v>1.6797470047599423E-3</v>
      </c>
      <c r="L21" s="15">
        <f t="shared" si="11"/>
        <v>547.0788040895344</v>
      </c>
      <c r="M21" s="5">
        <f>AVERAGE([89]Specimen!$J$25,[90]Specimen!$J$25,[91]Specimen!$J$25,[92]Specimen!$J$25,[93]Specimen!$J$25,[94]Specimen!$J$25)</f>
        <v>538.50381693817019</v>
      </c>
      <c r="N21" s="5">
        <f>STDEV([89]Specimen!$J$25,[90]Specimen!$J$25,[91]Specimen!$J$25,[92]Specimen!$J$25,[93]Specimen!$J$25,[94]Specimen!$J$25)</f>
        <v>12.46281607227913</v>
      </c>
      <c r="O21" s="119">
        <f>AVERAGE(All_Data!P93:P98)</f>
        <v>5.273997757333334E-3</v>
      </c>
      <c r="P21" s="15">
        <f>STDEV(All_Data!P93:P98)</f>
        <v>3.8937451525811276E-4</v>
      </c>
      <c r="Q21" s="5">
        <f>AVERAGE(All_Data!E93:E98)</f>
        <v>102.62547028197396</v>
      </c>
      <c r="R21" s="5">
        <f>STDEV(All_Data!E93:E98)</f>
        <v>0.41156181987902934</v>
      </c>
      <c r="S21" s="158"/>
      <c r="T21" s="159"/>
      <c r="U21" s="134">
        <v>10.223000000000001</v>
      </c>
      <c r="V21" s="162"/>
      <c r="W21" s="159"/>
      <c r="X21" s="159"/>
      <c r="Z21" s="126" t="s">
        <v>136</v>
      </c>
      <c r="AA21" s="128">
        <f>AVERAGE(O$12:O$14)</f>
        <v>8.3125089544444457E-4</v>
      </c>
      <c r="AB21" s="128">
        <f>AVERAGE(O$15:O$17)</f>
        <v>5.1125457531111119E-4</v>
      </c>
      <c r="AC21" s="129">
        <f t="shared" ref="AC21:AC22" si="12">1-AB21/AA21</f>
        <v>0.38495756442131845</v>
      </c>
      <c r="AD21" s="88"/>
      <c r="AE21" s="72" t="s">
        <v>136</v>
      </c>
      <c r="AF21" s="143">
        <f>AVERAGE(O$12,O$14,O$16)</f>
        <v>6.1005174470000003E-4</v>
      </c>
      <c r="AG21" s="143">
        <f>AVERAGE(O$13,O$15,O$17)</f>
        <v>7.3245372605555551E-4</v>
      </c>
      <c r="AH21" s="74">
        <f t="shared" ref="AH21:AH22" si="13">1-AG21/AF21</f>
        <v>-0.20064196589708638</v>
      </c>
    </row>
    <row r="22" spans="1:34" x14ac:dyDescent="0.25">
      <c r="A22" s="2">
        <v>21223</v>
      </c>
      <c r="B22" s="9">
        <v>255</v>
      </c>
      <c r="C22" s="9">
        <v>140</v>
      </c>
      <c r="D22" s="9">
        <v>100</v>
      </c>
      <c r="E22" s="9">
        <v>35</v>
      </c>
      <c r="F22" s="10" t="s">
        <v>8</v>
      </c>
      <c r="G22" s="101">
        <f t="shared" si="10"/>
        <v>23.299951591873416</v>
      </c>
      <c r="H22" s="5">
        <f>AVERAGE([95]Specimen!$J$18,[96]Specimen!$J$18,[97]Specimen!$J$18,[98]Specimen!$J$18,[99]Specimen!$J$18,[100]Specimen!$J$18)</f>
        <v>22.934745000000003</v>
      </c>
      <c r="I22" s="5">
        <f>STDEV([95]Specimen!$J$18,[96]Specimen!$J$18,[97]Specimen!$J$18,[98]Specimen!$J$18,[99]Specimen!$J$18,[100]Specimen!$J$18)</f>
        <v>1.7223308832944964</v>
      </c>
      <c r="J22">
        <f>AVERAGE([95]Specimen!$J$19,[96]Specimen!$J$19,[97]Specimen!$J$19,[98]Specimen!$J$19,[99]Specimen!$J$19,[100]Specimen!$J$19)</f>
        <v>4.2988333333333323E-2</v>
      </c>
      <c r="K22" s="15">
        <f>STDEV([95]Specimen!$J$19,[96]Specimen!$J$19,[97]Specimen!$J$19,[98]Specimen!$J$19,[99]Specimen!$J$19,[100]Specimen!$J$19)</f>
        <v>3.3408526855679614E-3</v>
      </c>
      <c r="L22" s="15">
        <f t="shared" si="11"/>
        <v>548.00300034241889</v>
      </c>
      <c r="M22" s="5">
        <f>AVERAGE([95]Specimen!$J$25,[96]Specimen!$J$25,[97]Specimen!$J$25,[98]Specimen!$J$25,[99]Specimen!$J$25,[100]Specimen!$J$25)</f>
        <v>539.41352721401711</v>
      </c>
      <c r="N22" s="5">
        <f>STDEV([95]Specimen!$J$25,[96]Specimen!$J$25,[97]Specimen!$J$25,[98]Specimen!$J$25,[99]Specimen!$J$25,[100]Specimen!$J$25)</f>
        <v>15.49817179254725</v>
      </c>
      <c r="O22" s="119">
        <f>AVERAGE(All_Data!P99:P104)</f>
        <v>5.0831415254999996E-3</v>
      </c>
      <c r="P22" s="15">
        <f>STDEV(All_Data!P99:P104)</f>
        <v>7.7824448741638859E-4</v>
      </c>
      <c r="Q22" s="5">
        <f>AVERAGE(All_Data!E99:E104)</f>
        <v>102.73513892463608</v>
      </c>
      <c r="R22" s="5">
        <f>STDEV(All_Data!E99:E104)</f>
        <v>0.67473403555003653</v>
      </c>
      <c r="S22" s="158"/>
      <c r="T22" s="159"/>
      <c r="U22" s="162"/>
      <c r="V22" s="162"/>
      <c r="W22" s="159"/>
      <c r="X22" s="159"/>
      <c r="Z22" s="126" t="s">
        <v>135</v>
      </c>
      <c r="AA22" s="128">
        <f>AVERAGE(O$20:O$22)</f>
        <v>5.9343071631111112E-3</v>
      </c>
      <c r="AB22" s="128">
        <f>AVERAGE(O$18:O$19,O$23)</f>
        <v>9.3956311659999998E-4</v>
      </c>
      <c r="AC22" s="129">
        <f t="shared" si="12"/>
        <v>0.84167265178982986</v>
      </c>
      <c r="AD22" s="88"/>
      <c r="AE22" s="127" t="s">
        <v>135</v>
      </c>
      <c r="AF22" s="128">
        <f>AVERAGE(O$19,O$20,O$22)</f>
        <v>4.5587694305000001E-3</v>
      </c>
      <c r="AG22" s="128">
        <f>AVERAGE(O$18,O$21,O$23)</f>
        <v>2.3151008492111112E-3</v>
      </c>
      <c r="AH22" s="139">
        <f t="shared" si="13"/>
        <v>0.49216540022354371</v>
      </c>
    </row>
    <row r="23" spans="1:34" x14ac:dyDescent="0.25">
      <c r="A23" s="2">
        <v>11123</v>
      </c>
      <c r="B23" s="9">
        <v>210</v>
      </c>
      <c r="C23" s="9">
        <v>140</v>
      </c>
      <c r="D23" s="9">
        <v>80</v>
      </c>
      <c r="E23" s="9">
        <v>35</v>
      </c>
      <c r="F23" s="10" t="s">
        <v>8</v>
      </c>
      <c r="G23" s="101">
        <f t="shared" si="10"/>
        <v>9.7987011670743289</v>
      </c>
      <c r="H23" s="5">
        <f>AVERAGE([101]Specimen!$J$18,[102]Specimen!$J$18,[103]Specimen!$J$18,[104]Specimen!$J$18)</f>
        <v>9.6451150000000005</v>
      </c>
      <c r="I23" s="5">
        <f>STDEV([101]Specimen!$J$18,[102]Specimen!$J$18,[103]Specimen!$J$18,[104]Specimen!$J$18)</f>
        <v>2.0970842922734341</v>
      </c>
      <c r="J23">
        <f>AVERAGE([101]Specimen!$J$19,[102]Specimen!$J$19,[103]Specimen!$J$19,[104]Specimen!$J$19)</f>
        <v>1.9465000000000003E-2</v>
      </c>
      <c r="K23" s="15">
        <f>STDEV([101]Specimen!$J$19,[102]Specimen!$J$19,[103]Specimen!$J$19,[104]Specimen!$J$19)</f>
        <v>3.5812148776637239E-3</v>
      </c>
      <c r="L23" s="15">
        <f t="shared" si="11"/>
        <v>506.8728338087725</v>
      </c>
      <c r="M23" s="5">
        <f>AVERAGE([101]Specimen!$J$25,[102]Specimen!$J$25,[103]Specimen!$J$25,[104]Specimen!$J$25)</f>
        <v>498.92804047224536</v>
      </c>
      <c r="N23" s="5">
        <f>STDEV([101]Specimen!$J$25,[102]Specimen!$J$25,[103]Specimen!$J$25,[104]Specimen!$J$25)</f>
        <v>19.678501820435262</v>
      </c>
      <c r="O23" s="119">
        <f>AVERAGE(All_Data!P105:P110)</f>
        <v>9.4071323050000009E-4</v>
      </c>
      <c r="P23" s="15">
        <f>STDEV(All_Data!P105:P110)</f>
        <v>3.5493428678080657E-4</v>
      </c>
      <c r="Q23" s="5">
        <f>AVERAGE(All_Data!E105:E110)</f>
        <v>99.63825822570675</v>
      </c>
      <c r="R23" s="5">
        <f>STDEV(All_Data!E105:E110)</f>
        <v>0.35850488302894162</v>
      </c>
      <c r="S23" s="158"/>
      <c r="T23" s="159"/>
      <c r="U23" s="162"/>
      <c r="V23" s="162"/>
      <c r="W23" s="159"/>
      <c r="X23" s="159"/>
      <c r="Z23" s="92"/>
      <c r="AA23" s="93"/>
      <c r="AB23" s="93"/>
      <c r="AC23" s="93"/>
      <c r="AD23" s="88"/>
      <c r="AE23" s="88"/>
      <c r="AF23" s="88"/>
      <c r="AG23" s="88"/>
      <c r="AH23" s="94"/>
    </row>
    <row r="24" spans="1:34" x14ac:dyDescent="0.25">
      <c r="Z24" s="177" t="s">
        <v>138</v>
      </c>
      <c r="AA24" s="178"/>
      <c r="AB24" s="178"/>
      <c r="AC24" s="178"/>
      <c r="AD24" s="89"/>
      <c r="AE24" s="178" t="s">
        <v>140</v>
      </c>
      <c r="AF24" s="178"/>
      <c r="AG24" s="178"/>
      <c r="AH24" s="179"/>
    </row>
    <row r="25" spans="1:34" x14ac:dyDescent="0.25">
      <c r="Z25" s="75"/>
      <c r="AA25" s="173" t="s">
        <v>142</v>
      </c>
      <c r="AB25" s="173"/>
      <c r="AC25" s="173"/>
      <c r="AD25" s="88"/>
      <c r="AE25" s="76"/>
      <c r="AF25" s="173" t="s">
        <v>142</v>
      </c>
      <c r="AG25" s="173"/>
      <c r="AH25" s="174"/>
    </row>
    <row r="26" spans="1:34" x14ac:dyDescent="0.25">
      <c r="Z26" s="70" t="s">
        <v>141</v>
      </c>
      <c r="AA26" s="65" t="s">
        <v>130</v>
      </c>
      <c r="AB26" s="65" t="s">
        <v>132</v>
      </c>
      <c r="AC26" s="65" t="s">
        <v>133</v>
      </c>
      <c r="AD26" s="88"/>
      <c r="AE26" s="65" t="s">
        <v>141</v>
      </c>
      <c r="AF26" s="65" t="s">
        <v>130</v>
      </c>
      <c r="AG26" s="65" t="s">
        <v>132</v>
      </c>
      <c r="AH26" s="69" t="s">
        <v>133</v>
      </c>
    </row>
    <row r="27" spans="1:34" x14ac:dyDescent="0.25">
      <c r="Z27" s="70" t="s">
        <v>134</v>
      </c>
      <c r="AA27" s="66">
        <f>AVERAGE(H6,H7,H8)</f>
        <v>25.30661388888889</v>
      </c>
      <c r="AB27" s="66">
        <f>AVERAGE(H9:H11)</f>
        <v>25.775712222222221</v>
      </c>
      <c r="AC27" s="71">
        <f>1-AB27/AA27</f>
        <v>-1.8536590291887922E-2</v>
      </c>
      <c r="AD27" s="88"/>
      <c r="AE27" s="65" t="s">
        <v>134</v>
      </c>
      <c r="AF27" s="66">
        <f>AVERAGE(H7:H8,H10)</f>
        <v>24.29498388888889</v>
      </c>
      <c r="AG27" s="66">
        <f>AVERAGE(H6,H9,H11)</f>
        <v>26.787342222222222</v>
      </c>
      <c r="AH27" s="67">
        <f>1-AG27/AF27</f>
        <v>-0.10258736308416294</v>
      </c>
    </row>
    <row r="28" spans="1:34" x14ac:dyDescent="0.25">
      <c r="B28" s="154"/>
      <c r="C28" s="153" t="s">
        <v>154</v>
      </c>
      <c r="D28" s="146" t="s">
        <v>169</v>
      </c>
      <c r="E28" s="146" t="s">
        <v>171</v>
      </c>
      <c r="F28" s="146" t="s">
        <v>170</v>
      </c>
      <c r="Z28" s="70" t="s">
        <v>136</v>
      </c>
      <c r="AA28" s="66">
        <f>AVERAGE(H12,H14,H16)</f>
        <v>5.7319062222222223</v>
      </c>
      <c r="AB28" s="66">
        <f>AVERAGE(H13,H15,H17)</f>
        <v>7.1171555555555548</v>
      </c>
      <c r="AC28" s="71">
        <f t="shared" ref="AC28:AC29" si="14">1-AB28/AA28</f>
        <v>-0.24167341188570246</v>
      </c>
      <c r="AD28" s="88"/>
      <c r="AE28" s="65" t="s">
        <v>136</v>
      </c>
      <c r="AF28" s="66">
        <f>AVERAGE(H12,H14,H16)</f>
        <v>5.7319062222222223</v>
      </c>
      <c r="AG28" s="66">
        <f>AVERAGE(H13,H15,H17)</f>
        <v>7.1171555555555548</v>
      </c>
      <c r="AH28" s="67">
        <f t="shared" ref="AH28:AH29" si="15">1-AG28/AF28</f>
        <v>-0.24167341188570246</v>
      </c>
    </row>
    <row r="29" spans="1:34" x14ac:dyDescent="0.25">
      <c r="B29" s="146" t="s">
        <v>124</v>
      </c>
      <c r="C29" s="155">
        <v>40.5</v>
      </c>
      <c r="D29" s="155">
        <f>C34</f>
        <v>27.897480304119938</v>
      </c>
      <c r="E29" s="155">
        <f>E34</f>
        <v>16.313932957819599</v>
      </c>
      <c r="F29" s="155">
        <f>G34</f>
        <v>1.8239085811916813</v>
      </c>
      <c r="Z29" s="70" t="s">
        <v>135</v>
      </c>
      <c r="AA29" s="66">
        <f>AVERAGE(H18:H20)</f>
        <v>13.502449555555556</v>
      </c>
      <c r="AB29" s="66">
        <f>AVERAGE(H21:H23)</f>
        <v>18.614002777777781</v>
      </c>
      <c r="AC29" s="71">
        <f t="shared" si="14"/>
        <v>-0.37856488196388693</v>
      </c>
      <c r="AD29" s="88"/>
      <c r="AE29" s="65" t="s">
        <v>135</v>
      </c>
      <c r="AF29" s="66">
        <f>AVERAGE(H21,H23,H22)</f>
        <v>18.614002777777781</v>
      </c>
      <c r="AG29" s="66">
        <f>AVERAGE(H18:H20)</f>
        <v>13.502449555555556</v>
      </c>
      <c r="AH29" s="67">
        <f t="shared" si="15"/>
        <v>0.27460795419696737</v>
      </c>
    </row>
    <row r="30" spans="1:34" x14ac:dyDescent="0.25">
      <c r="B30" s="146" t="s">
        <v>126</v>
      </c>
      <c r="C30" s="157">
        <v>2070</v>
      </c>
      <c r="D30" s="157">
        <f t="shared" ref="D30:D31" si="16">C35</f>
        <v>577.42463504032321</v>
      </c>
      <c r="E30" s="157">
        <f t="shared" ref="E30:E31" si="17">E35</f>
        <v>499.81860576143754</v>
      </c>
      <c r="F30" s="157">
        <f t="shared" ref="F30:F31" si="18">G35</f>
        <v>65.814848783242894</v>
      </c>
      <c r="Z30" s="70"/>
      <c r="AA30" s="173" t="s">
        <v>143</v>
      </c>
      <c r="AB30" s="173"/>
      <c r="AC30" s="173"/>
      <c r="AD30" s="88"/>
      <c r="AE30" s="65"/>
      <c r="AF30" s="173" t="s">
        <v>143</v>
      </c>
      <c r="AG30" s="173"/>
      <c r="AH30" s="174"/>
    </row>
    <row r="31" spans="1:34" x14ac:dyDescent="0.25">
      <c r="B31" s="146" t="s">
        <v>125</v>
      </c>
      <c r="C31" s="156">
        <v>0.34200000000000003</v>
      </c>
      <c r="D31" s="156">
        <f t="shared" si="16"/>
        <v>5.1493333333333335E-2</v>
      </c>
      <c r="E31" s="156">
        <f t="shared" si="17"/>
        <v>3.4183666666666668E-2</v>
      </c>
      <c r="F31" s="156">
        <f t="shared" si="18"/>
        <v>3.3992495604286055E-3</v>
      </c>
      <c r="Z31" s="70" t="s">
        <v>141</v>
      </c>
      <c r="AA31" s="65" t="s">
        <v>130</v>
      </c>
      <c r="AB31" s="65" t="s">
        <v>132</v>
      </c>
      <c r="AC31" s="65" t="s">
        <v>133</v>
      </c>
      <c r="AD31" s="88"/>
      <c r="AE31" s="65" t="s">
        <v>141</v>
      </c>
      <c r="AF31" s="65" t="s">
        <v>130</v>
      </c>
      <c r="AG31" s="65" t="s">
        <v>132</v>
      </c>
      <c r="AH31" s="69" t="s">
        <v>133</v>
      </c>
    </row>
    <row r="32" spans="1:34" x14ac:dyDescent="0.25">
      <c r="Z32" s="70" t="s">
        <v>134</v>
      </c>
      <c r="AA32" s="66">
        <f>AVERAGE(J6:J8)</f>
        <v>5.3587777777777783E-2</v>
      </c>
      <c r="AB32" s="66">
        <f>AVERAGE(J9:J11)</f>
        <v>4.9398888888888881E-2</v>
      </c>
      <c r="AC32" s="71">
        <f>1-AB32/AA32</f>
        <v>7.8168736652221904E-2</v>
      </c>
      <c r="AD32" s="88"/>
      <c r="AE32" s="65" t="s">
        <v>134</v>
      </c>
      <c r="AF32" s="66">
        <f>AVERAGE(J7:J8,J10)</f>
        <v>4.7879999999999999E-2</v>
      </c>
      <c r="AG32" s="66">
        <f>AVERAGE(J6,J9,J11)</f>
        <v>5.5106666666666665E-2</v>
      </c>
      <c r="AH32" s="67">
        <f>1-AG32/AF32</f>
        <v>-0.15093288777499292</v>
      </c>
    </row>
    <row r="33" spans="2:34" x14ac:dyDescent="0.25">
      <c r="B33" s="147"/>
      <c r="C33" s="146" t="s">
        <v>155</v>
      </c>
      <c r="D33" s="146" t="s">
        <v>158</v>
      </c>
      <c r="E33" s="146" t="s">
        <v>156</v>
      </c>
      <c r="F33" s="150" t="s">
        <v>133</v>
      </c>
      <c r="G33" s="146" t="s">
        <v>157</v>
      </c>
      <c r="H33" s="150" t="s">
        <v>133</v>
      </c>
      <c r="Z33" s="70" t="s">
        <v>136</v>
      </c>
      <c r="AA33" s="66">
        <f>AVERAGE(J12,J14,J16)</f>
        <v>2.0178777777777778E-2</v>
      </c>
      <c r="AB33" s="66">
        <f>AVERAGE(J13,J15,J17)</f>
        <v>2.053777777777778E-2</v>
      </c>
      <c r="AC33" s="71">
        <f t="shared" ref="AC33:AC34" si="19">1-AB33/AA33</f>
        <v>-1.7790968509270089E-2</v>
      </c>
      <c r="AD33" s="88"/>
      <c r="AE33" s="65" t="s">
        <v>136</v>
      </c>
      <c r="AF33" s="66">
        <f>AVERAGE(J12,J14,J16)</f>
        <v>2.0178777777777778E-2</v>
      </c>
      <c r="AG33" s="66">
        <f>AVERAGE(J13,J15,J17)</f>
        <v>2.053777777777778E-2</v>
      </c>
      <c r="AH33" s="67">
        <f t="shared" ref="AH33:AH34" si="20">1-AG33/AF33</f>
        <v>-1.7790968509270089E-2</v>
      </c>
    </row>
    <row r="34" spans="2:34" x14ac:dyDescent="0.25">
      <c r="B34" s="146" t="s">
        <v>164</v>
      </c>
      <c r="C34" s="148">
        <f>AVERAGE(G6:G11)</f>
        <v>27.897480304119938</v>
      </c>
      <c r="D34" s="151">
        <f>1-C34/$C$29</f>
        <v>0.3111733258241991</v>
      </c>
      <c r="E34" s="148">
        <f>AVERAGE(G18:G23)</f>
        <v>16.313932957819599</v>
      </c>
      <c r="F34" s="151">
        <f>1-E34/$C$29</f>
        <v>0.59718684054766424</v>
      </c>
      <c r="G34" s="148">
        <f>STDEV(G12:G17)</f>
        <v>1.8239085811916813</v>
      </c>
      <c r="H34" s="151">
        <f>1-G34/$C$29</f>
        <v>0.95496522021748931</v>
      </c>
      <c r="Z34" s="70" t="s">
        <v>135</v>
      </c>
      <c r="AA34" s="66">
        <f>AVERAGE(J18:J20)</f>
        <v>3.2987888888888893E-2</v>
      </c>
      <c r="AB34" s="66">
        <f>AVERAGE(J21:J23)</f>
        <v>3.5379444444444443E-2</v>
      </c>
      <c r="AC34" s="71">
        <f t="shared" si="19"/>
        <v>-7.2497987476885184E-2</v>
      </c>
      <c r="AD34" s="88"/>
      <c r="AE34" s="65" t="s">
        <v>135</v>
      </c>
      <c r="AF34" s="66">
        <f>AVERAGE(J21:J23)</f>
        <v>3.5379444444444443E-2</v>
      </c>
      <c r="AG34" s="66">
        <f>AVERAGE(J18:J20)</f>
        <v>3.2987888888888893E-2</v>
      </c>
      <c r="AH34" s="67">
        <f t="shared" si="20"/>
        <v>6.759731796554791E-2</v>
      </c>
    </row>
    <row r="35" spans="2:34" x14ac:dyDescent="0.25">
      <c r="B35" s="146" t="s">
        <v>165</v>
      </c>
      <c r="C35" s="149">
        <f>AVERAGE(L6:L11)</f>
        <v>577.42463504032321</v>
      </c>
      <c r="D35" s="151">
        <f>1-C35/$C$30</f>
        <v>0.72105090094670377</v>
      </c>
      <c r="E35" s="149">
        <f>AVERAGE(L18:L23)</f>
        <v>499.81860576143754</v>
      </c>
      <c r="F35" s="151">
        <f>1-E35/$C$30</f>
        <v>0.75854173634713162</v>
      </c>
      <c r="G35" s="149">
        <f>STDEV(L12:L17)</f>
        <v>65.814848783242894</v>
      </c>
      <c r="H35" s="151">
        <f>1-G35/$C$30</f>
        <v>0.96820538706123527</v>
      </c>
      <c r="Z35" s="62"/>
      <c r="AA35" s="175" t="s">
        <v>145</v>
      </c>
      <c r="AB35" s="175"/>
      <c r="AC35" s="175"/>
      <c r="AD35" s="88"/>
      <c r="AE35" s="68"/>
      <c r="AF35" s="175" t="s">
        <v>145</v>
      </c>
      <c r="AG35" s="175"/>
      <c r="AH35" s="176"/>
    </row>
    <row r="36" spans="2:34" x14ac:dyDescent="0.25">
      <c r="B36" s="146" t="s">
        <v>125</v>
      </c>
      <c r="C36" s="146">
        <f>AVERAGE(J6:J11)</f>
        <v>5.1493333333333335E-2</v>
      </c>
      <c r="D36" s="151">
        <f>1-C36/$C$31</f>
        <v>0.84943469785575054</v>
      </c>
      <c r="E36" s="148">
        <f>AVERAGE(J18:J23)</f>
        <v>3.4183666666666668E-2</v>
      </c>
      <c r="F36" s="151">
        <f>1-E36/$C$31</f>
        <v>0.90004775828460037</v>
      </c>
      <c r="G36" s="146">
        <f>STDEV(J12:J17)</f>
        <v>3.3992495604286055E-3</v>
      </c>
      <c r="H36" s="151">
        <f>1-G36/$C$31</f>
        <v>0.99006067379991636</v>
      </c>
      <c r="Z36" s="62" t="s">
        <v>141</v>
      </c>
      <c r="AA36" s="68" t="s">
        <v>130</v>
      </c>
      <c r="AB36" s="68" t="s">
        <v>132</v>
      </c>
      <c r="AC36" s="68" t="s">
        <v>133</v>
      </c>
      <c r="AD36" s="88"/>
      <c r="AE36" s="68" t="s">
        <v>141</v>
      </c>
      <c r="AF36" s="68" t="s">
        <v>130</v>
      </c>
      <c r="AG36" s="68" t="s">
        <v>132</v>
      </c>
      <c r="AH36" s="77" t="s">
        <v>133</v>
      </c>
    </row>
    <row r="37" spans="2:34" x14ac:dyDescent="0.25">
      <c r="Z37" s="62" t="s">
        <v>134</v>
      </c>
      <c r="AA37" s="63">
        <f>AVERAGE(M$6:M$8)</f>
        <v>488.54410648188701</v>
      </c>
      <c r="AB37" s="63">
        <f>AVERAGE(M$9:M$11)</f>
        <v>568.76261764412902</v>
      </c>
      <c r="AC37" s="64">
        <f>1-AB37/AA37</f>
        <v>-0.16419911753702876</v>
      </c>
      <c r="AD37" s="88"/>
      <c r="AE37" s="78" t="s">
        <v>134</v>
      </c>
      <c r="AF37" s="79">
        <f>AVERAGE(M$7,M$8,M$10)</f>
        <v>523.81733002093199</v>
      </c>
      <c r="AG37" s="79">
        <f>AVERAGE(M$6,M$9,M$11)</f>
        <v>533.4893941050841</v>
      </c>
      <c r="AH37" s="80">
        <f>1-AG37/AF37</f>
        <v>-1.8464574441944492E-2</v>
      </c>
    </row>
    <row r="38" spans="2:34" x14ac:dyDescent="0.25">
      <c r="D38" t="s">
        <v>160</v>
      </c>
      <c r="E38" t="s">
        <v>159</v>
      </c>
      <c r="Z38" s="81" t="s">
        <v>136</v>
      </c>
      <c r="AA38" s="82">
        <f>AVERAGE(M$12,M$14,M$16)</f>
        <v>271.83328402233599</v>
      </c>
      <c r="AB38" s="82">
        <f>AVERAGE(M$13,M$15,M$17)</f>
        <v>355.18057316677431</v>
      </c>
      <c r="AC38" s="83">
        <f t="shared" ref="AC38:AC39" si="21">1-AB38/AA38</f>
        <v>-0.30661178760430907</v>
      </c>
      <c r="AD38" s="90"/>
      <c r="AE38" s="84" t="s">
        <v>136</v>
      </c>
      <c r="AF38" s="82">
        <f>AVERAGE(M$12,M$14,M$16)</f>
        <v>271.83328402233599</v>
      </c>
      <c r="AG38" s="82">
        <f>AVERAGE(M$13,M$15,M$17)</f>
        <v>355.18057316677431</v>
      </c>
      <c r="AH38" s="85">
        <f t="shared" ref="AH38:AH39" si="22">1-AG38/AF38</f>
        <v>-0.30661178760430907</v>
      </c>
    </row>
    <row r="39" spans="2:34" x14ac:dyDescent="0.25">
      <c r="C39" t="s">
        <v>166</v>
      </c>
      <c r="D39" s="152">
        <f>AVERAGE(D35,F35,H35)</f>
        <v>0.81593267478502352</v>
      </c>
      <c r="E39" s="152">
        <f>STDEV(D35,F35,H35)</f>
        <v>0.13319769090611525</v>
      </c>
      <c r="Z39" s="121" t="s">
        <v>135</v>
      </c>
      <c r="AA39" s="79">
        <f>AVERAGE(M$18:M$20)</f>
        <v>458.35363449025158</v>
      </c>
      <c r="AB39" s="79">
        <f>AVERAGE(M$21:M$23)</f>
        <v>525.61512820814426</v>
      </c>
      <c r="AC39" s="120">
        <f t="shared" si="21"/>
        <v>-0.1467458500524299</v>
      </c>
      <c r="AD39" s="88"/>
      <c r="AE39" s="68" t="s">
        <v>135</v>
      </c>
      <c r="AF39" s="63">
        <f>AVERAGE(M$21:M$23)</f>
        <v>525.61512820814426</v>
      </c>
      <c r="AG39" s="63">
        <f>AVERAGE(M$18:M$20)</f>
        <v>458.35363449025158</v>
      </c>
      <c r="AH39" s="122">
        <f t="shared" si="22"/>
        <v>0.12796719521219158</v>
      </c>
    </row>
    <row r="40" spans="2:34" x14ac:dyDescent="0.25">
      <c r="C40" t="s">
        <v>161</v>
      </c>
      <c r="D40" s="152">
        <f>AVERAGE(D36,F36,H36)</f>
        <v>0.91318104331342242</v>
      </c>
      <c r="E40" s="152">
        <f>STDEV(D36,F36,H36)</f>
        <v>7.1226951775984954E-2</v>
      </c>
      <c r="Z40" s="123"/>
      <c r="AA40" s="171" t="s">
        <v>153</v>
      </c>
      <c r="AB40" s="171"/>
      <c r="AC40" s="171"/>
      <c r="AD40" s="88"/>
      <c r="AE40" s="124"/>
      <c r="AF40" s="171" t="s">
        <v>153</v>
      </c>
      <c r="AG40" s="171"/>
      <c r="AH40" s="172"/>
    </row>
    <row r="41" spans="2:34" x14ac:dyDescent="0.25">
      <c r="Z41" s="123" t="s">
        <v>141</v>
      </c>
      <c r="AA41" s="124" t="s">
        <v>130</v>
      </c>
      <c r="AB41" s="124" t="s">
        <v>132</v>
      </c>
      <c r="AC41" s="124" t="s">
        <v>133</v>
      </c>
      <c r="AD41" s="88"/>
      <c r="AE41" s="124" t="s">
        <v>141</v>
      </c>
      <c r="AF41" s="124" t="s">
        <v>130</v>
      </c>
      <c r="AG41" s="124" t="s">
        <v>132</v>
      </c>
      <c r="AH41" s="130" t="s">
        <v>133</v>
      </c>
    </row>
    <row r="42" spans="2:34" x14ac:dyDescent="0.25">
      <c r="Z42" s="123" t="s">
        <v>134</v>
      </c>
      <c r="AA42" s="137">
        <f>AVERAGE(O$6:O$8)</f>
        <v>7.8407909601111107E-3</v>
      </c>
      <c r="AB42" s="137">
        <f>AVERAGE(O$9:O$11)</f>
        <v>8.5765647195000013E-3</v>
      </c>
      <c r="AC42" s="135">
        <f>1-AB42/AA42</f>
        <v>-9.3839226569364387E-2</v>
      </c>
      <c r="AD42" s="88"/>
      <c r="AE42" s="124" t="s">
        <v>134</v>
      </c>
      <c r="AF42" s="137">
        <f>AVERAGE(O$7,O$8,O$10)</f>
        <v>6.5459802686111115E-3</v>
      </c>
      <c r="AG42" s="137">
        <f>AVERAGE(O$6,O$9,O$11)</f>
        <v>9.8713754110000013E-3</v>
      </c>
      <c r="AH42" s="144">
        <f>1-AG42/AF42</f>
        <v>-0.50800567767284965</v>
      </c>
    </row>
    <row r="43" spans="2:34" x14ac:dyDescent="0.25">
      <c r="Z43" s="141" t="s">
        <v>136</v>
      </c>
      <c r="AA43" s="142">
        <f>AVERAGE(O$12,O$14,O$16)</f>
        <v>6.1005174470000003E-4</v>
      </c>
      <c r="AB43" s="142">
        <f>AVERAGE(O$13,O$15,O$17)</f>
        <v>7.3245372605555551E-4</v>
      </c>
      <c r="AC43" s="83">
        <f t="shared" ref="AC43:AC44" si="23">1-AB43/AA43</f>
        <v>-0.20064196589708638</v>
      </c>
      <c r="AD43" s="88"/>
      <c r="AE43" s="72" t="s">
        <v>136</v>
      </c>
      <c r="AF43" s="142">
        <f>AVERAGE(O$12,O$14,O$16)</f>
        <v>6.1005174470000003E-4</v>
      </c>
      <c r="AG43" s="142">
        <f>AVERAGE(O$13,O$15,O$17)</f>
        <v>7.3245372605555551E-4</v>
      </c>
      <c r="AH43" s="85">
        <f t="shared" ref="AH43:AH44" si="24">1-AG43/AF43</f>
        <v>-0.20064196589708638</v>
      </c>
    </row>
    <row r="44" spans="2:34" ht="15.75" thickBot="1" x14ac:dyDescent="0.3">
      <c r="Z44" s="132" t="s">
        <v>135</v>
      </c>
      <c r="AA44" s="138">
        <f>AVERAGE(O$18:O$20)</f>
        <v>3.107919441933333E-3</v>
      </c>
      <c r="AB44" s="138">
        <f>AVERAGE(O$21:O$23)</f>
        <v>3.7659508377777783E-3</v>
      </c>
      <c r="AC44" s="136">
        <f t="shared" si="23"/>
        <v>-0.21172730121830496</v>
      </c>
      <c r="AD44" s="91"/>
      <c r="AE44" s="133" t="s">
        <v>135</v>
      </c>
      <c r="AF44" s="138">
        <f>AVERAGE(O$21:O$23)</f>
        <v>3.7659508377777783E-3</v>
      </c>
      <c r="AG44" s="138">
        <f>AVERAGE(O$18:O$20)</f>
        <v>3.107919441933333E-3</v>
      </c>
      <c r="AH44" s="145">
        <f t="shared" si="24"/>
        <v>0.17473180723536419</v>
      </c>
    </row>
  </sheetData>
  <mergeCells count="36">
    <mergeCell ref="Z2:AC2"/>
    <mergeCell ref="AE2:AH2"/>
    <mergeCell ref="AA18:AC18"/>
    <mergeCell ref="AF18:AH18"/>
    <mergeCell ref="AA40:AC40"/>
    <mergeCell ref="AF40:AH40"/>
    <mergeCell ref="AA30:AC30"/>
    <mergeCell ref="AF30:AH30"/>
    <mergeCell ref="AA35:AC35"/>
    <mergeCell ref="AF35:AH35"/>
    <mergeCell ref="Z24:AC24"/>
    <mergeCell ref="AE24:AH24"/>
    <mergeCell ref="AA13:AC13"/>
    <mergeCell ref="AF13:AH13"/>
    <mergeCell ref="AA25:AC25"/>
    <mergeCell ref="AF25:AH25"/>
    <mergeCell ref="W3:X3"/>
    <mergeCell ref="U22:U23"/>
    <mergeCell ref="U19:U20"/>
    <mergeCell ref="U9:U10"/>
    <mergeCell ref="V6:V11"/>
    <mergeCell ref="V12:V17"/>
    <mergeCell ref="V18:V23"/>
    <mergeCell ref="U3:V3"/>
    <mergeCell ref="X6:X11"/>
    <mergeCell ref="X12:X17"/>
    <mergeCell ref="X18:X23"/>
    <mergeCell ref="W6:W11"/>
    <mergeCell ref="W12:W17"/>
    <mergeCell ref="W18:W23"/>
    <mergeCell ref="S6:S11"/>
    <mergeCell ref="T6:T11"/>
    <mergeCell ref="S12:S17"/>
    <mergeCell ref="S18:S23"/>
    <mergeCell ref="T12:T17"/>
    <mergeCell ref="T18:T23"/>
  </mergeCells>
  <conditionalFormatting sqref="N6:N23">
    <cfRule type="aboveAverage" dxfId="7" priority="10"/>
  </conditionalFormatting>
  <conditionalFormatting sqref="I6:I23">
    <cfRule type="aboveAverage" dxfId="6" priority="8"/>
  </conditionalFormatting>
  <conditionalFormatting sqref="R6:R23">
    <cfRule type="aboveAverage" dxfId="5" priority="6"/>
  </conditionalFormatting>
  <conditionalFormatting sqref="T6:T23">
    <cfRule type="aboveAverage" dxfId="4" priority="5"/>
  </conditionalFormatting>
  <conditionalFormatting sqref="W6:W23">
    <cfRule type="aboveAverage" dxfId="3" priority="4"/>
  </conditionalFormatting>
  <conditionalFormatting sqref="U6 U21:U22 U16:U19 U8:U9 U11:U13">
    <cfRule type="aboveAverage" dxfId="2" priority="3"/>
  </conditionalFormatting>
  <conditionalFormatting sqref="P6:P23">
    <cfRule type="aboveAverage" dxfId="1" priority="2"/>
  </conditionalFormatting>
  <conditionalFormatting sqref="K6:K23">
    <cfRule type="aboveAverage"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4"/>
  <sheetViews>
    <sheetView zoomScaleNormal="100" workbookViewId="0">
      <pane xSplit="1" topLeftCell="B1" activePane="topRight" state="frozen"/>
      <selection pane="topRight" activeCell="O13" sqref="O13"/>
    </sheetView>
  </sheetViews>
  <sheetFormatPr defaultRowHeight="15" x14ac:dyDescent="0.25"/>
  <cols>
    <col min="1" max="1" width="16.42578125" bestFit="1" customWidth="1"/>
    <col min="2" max="4" width="9.140625" style="5"/>
    <col min="5" max="5" width="24" bestFit="1" customWidth="1"/>
    <col min="11" max="11" width="32.7109375" bestFit="1" customWidth="1"/>
    <col min="12" max="12" width="32.140625" bestFit="1" customWidth="1"/>
    <col min="13" max="13" width="21.5703125" bestFit="1" customWidth="1"/>
    <col min="14" max="14" width="28.140625" bestFit="1" customWidth="1"/>
    <col min="15" max="15" width="20.7109375" bestFit="1" customWidth="1"/>
    <col min="16" max="16" width="16.42578125" bestFit="1" customWidth="1"/>
    <col min="17" max="17" width="19.7109375" bestFit="1" customWidth="1"/>
    <col min="18" max="18" width="7.5703125" bestFit="1" customWidth="1"/>
    <col min="19" max="19" width="18.7109375" bestFit="1" customWidth="1"/>
    <col min="20" max="20" width="23.140625" bestFit="1" customWidth="1"/>
    <col min="21" max="21" width="25.28515625" bestFit="1" customWidth="1"/>
    <col min="22" max="22" width="20.5703125" bestFit="1" customWidth="1"/>
    <col min="23" max="23" width="23.140625" bestFit="1" customWidth="1"/>
  </cols>
  <sheetData>
    <row r="1" spans="1:23" ht="15.75" thickBot="1" x14ac:dyDescent="0.3">
      <c r="A1" s="22" t="s">
        <v>12</v>
      </c>
      <c r="B1" s="23" t="s">
        <v>26</v>
      </c>
      <c r="C1" s="24" t="s">
        <v>27</v>
      </c>
      <c r="D1" s="24" t="s">
        <v>28</v>
      </c>
      <c r="E1" s="25" t="s">
        <v>118</v>
      </c>
      <c r="F1" s="26" t="s">
        <v>107</v>
      </c>
      <c r="G1" s="27"/>
      <c r="H1" s="28"/>
      <c r="I1" s="28"/>
      <c r="J1" s="29"/>
      <c r="K1" s="104" t="s">
        <v>167</v>
      </c>
      <c r="L1" s="96" t="s">
        <v>168</v>
      </c>
      <c r="M1" s="36" t="s">
        <v>124</v>
      </c>
      <c r="N1" s="34" t="s">
        <v>125</v>
      </c>
      <c r="O1" s="115" t="s">
        <v>126</v>
      </c>
      <c r="P1" s="34" t="s">
        <v>151</v>
      </c>
      <c r="Q1" s="59" t="s">
        <v>128</v>
      </c>
      <c r="R1" s="47" t="s">
        <v>0</v>
      </c>
      <c r="S1" s="48" t="s">
        <v>1</v>
      </c>
      <c r="T1" s="48" t="s">
        <v>2</v>
      </c>
      <c r="U1" s="48" t="s">
        <v>3</v>
      </c>
      <c r="V1" s="48" t="s">
        <v>4</v>
      </c>
      <c r="W1" s="49" t="s">
        <v>5</v>
      </c>
    </row>
    <row r="2" spans="1:23" ht="15.75" thickBot="1" x14ac:dyDescent="0.3">
      <c r="A2" s="30" t="s">
        <v>25</v>
      </c>
      <c r="B2" s="3">
        <v>3.2</v>
      </c>
      <c r="C2" s="4">
        <v>9.5299999999999994</v>
      </c>
      <c r="D2" s="4">
        <v>3.18</v>
      </c>
      <c r="E2" s="4">
        <f>AVERAGE(B2/$B$2,C2/$C$2,D2/$D$2)*100</f>
        <v>100</v>
      </c>
      <c r="F2" s="195"/>
      <c r="G2" s="196"/>
      <c r="H2" s="196"/>
      <c r="I2" s="196"/>
      <c r="J2" s="197"/>
      <c r="K2" s="105"/>
      <c r="L2" s="95"/>
      <c r="M2" s="37"/>
      <c r="N2" s="35"/>
      <c r="O2" s="116"/>
      <c r="P2" s="35"/>
      <c r="Q2" s="60"/>
      <c r="R2" s="45"/>
      <c r="S2" s="46"/>
      <c r="T2" s="46"/>
      <c r="U2" s="46"/>
      <c r="V2" s="46"/>
      <c r="W2" s="50"/>
    </row>
    <row r="3" spans="1:23" x14ac:dyDescent="0.25">
      <c r="A3" s="31" t="s">
        <v>13</v>
      </c>
      <c r="B3" s="14">
        <v>3.57</v>
      </c>
      <c r="C3" s="14">
        <v>9.43</v>
      </c>
      <c r="D3" s="14">
        <v>3.17</v>
      </c>
      <c r="E3" s="14">
        <f t="shared" ref="E3:E66" si="0">AVERAGE(B3/$B$2,C3/$C$2,D3/$D$2)*100</f>
        <v>103.3995722159527</v>
      </c>
      <c r="F3" s="186" t="s">
        <v>109</v>
      </c>
      <c r="G3" s="187"/>
      <c r="H3" s="187"/>
      <c r="I3" s="187"/>
      <c r="J3" s="188"/>
      <c r="K3" s="106">
        <f>M3/Summary!$X$6</f>
        <v>29.933856602801484</v>
      </c>
      <c r="L3" s="106">
        <f>O3/Summary!$X$6</f>
        <v>518.45151810439495</v>
      </c>
      <c r="M3" s="17">
        <f>[1]Specimen!$J$18</f>
        <v>27.405539999999998</v>
      </c>
      <c r="N3" s="18">
        <f>[1]Specimen!$J$19</f>
        <v>5.8500000000000003E-2</v>
      </c>
      <c r="O3" s="118">
        <f>[1]Specimen!$J$25</f>
        <v>474.6613176512966</v>
      </c>
      <c r="P3" s="19">
        <f>[1]Specimen!$J$24</f>
        <v>9.6708910389999968E-3</v>
      </c>
      <c r="Q3" s="180">
        <v>25</v>
      </c>
      <c r="R3" s="51">
        <v>22111</v>
      </c>
      <c r="S3" s="9">
        <v>255</v>
      </c>
      <c r="T3" s="9">
        <v>290</v>
      </c>
      <c r="U3" s="9">
        <v>80</v>
      </c>
      <c r="V3" s="9">
        <v>10</v>
      </c>
      <c r="W3" s="52" t="s">
        <v>6</v>
      </c>
    </row>
    <row r="4" spans="1:23" x14ac:dyDescent="0.25">
      <c r="A4" s="32" t="s">
        <v>14</v>
      </c>
      <c r="B4" s="14">
        <v>3.52</v>
      </c>
      <c r="C4" s="14">
        <v>9.34</v>
      </c>
      <c r="D4" s="14">
        <v>3.09</v>
      </c>
      <c r="E4" s="14">
        <f t="shared" si="0"/>
        <v>101.72536907613825</v>
      </c>
      <c r="F4" s="189"/>
      <c r="G4" s="190"/>
      <c r="H4" s="190"/>
      <c r="I4" s="190"/>
      <c r="J4" s="191"/>
      <c r="K4" s="106">
        <f>M4/Summary!$X$6</f>
        <v>30.412220898406058</v>
      </c>
      <c r="L4" s="102">
        <f>O4/Summary!$X$6</f>
        <v>564.49477861739501</v>
      </c>
      <c r="M4" s="17">
        <f>[2]Specimen!$J$18</f>
        <v>27.843499999999999</v>
      </c>
      <c r="N4" s="18">
        <f>[2]Specimen!$J$19</f>
        <v>5.6469999999999999E-2</v>
      </c>
      <c r="O4" s="18">
        <f>[2]Specimen!$J$25</f>
        <v>516.8156058361792</v>
      </c>
      <c r="P4" s="19">
        <f>[2]Specimen!$J$24</f>
        <v>8.6106094469999995E-3</v>
      </c>
      <c r="Q4" s="181"/>
      <c r="R4" s="51">
        <v>22111</v>
      </c>
      <c r="S4" s="9">
        <v>255</v>
      </c>
      <c r="T4" s="9">
        <v>290</v>
      </c>
      <c r="U4" s="9">
        <v>80</v>
      </c>
      <c r="V4" s="9">
        <v>10</v>
      </c>
      <c r="W4" s="52" t="s">
        <v>6</v>
      </c>
    </row>
    <row r="5" spans="1:23" x14ac:dyDescent="0.25">
      <c r="A5" s="32" t="s">
        <v>15</v>
      </c>
      <c r="B5" s="14">
        <v>3.53</v>
      </c>
      <c r="C5" s="14">
        <v>9.5</v>
      </c>
      <c r="D5" s="14">
        <v>3.06</v>
      </c>
      <c r="E5" s="14">
        <f t="shared" si="0"/>
        <v>102.0747065704462</v>
      </c>
      <c r="F5" s="189"/>
      <c r="G5" s="190"/>
      <c r="H5" s="190"/>
      <c r="I5" s="190"/>
      <c r="J5" s="191"/>
      <c r="K5" s="106">
        <f>M5/Summary!$X$6</f>
        <v>30.054332403799716</v>
      </c>
      <c r="L5" s="102">
        <f>O5/Summary!$X$6</f>
        <v>487.70664078320783</v>
      </c>
      <c r="M5" s="17">
        <f>[3]Specimen!$J$18</f>
        <v>27.515840000000001</v>
      </c>
      <c r="N5" s="18">
        <f>[3]Specimen!$J$19</f>
        <v>6.2719999999999998E-2</v>
      </c>
      <c r="O5" s="18">
        <f>[3]Specimen!$J$25</f>
        <v>446.51325853545154</v>
      </c>
      <c r="P5" s="19">
        <f>[3]Specimen!$J$24</f>
        <v>1.0759283070000004E-2</v>
      </c>
      <c r="Q5" s="181"/>
      <c r="R5" s="51">
        <v>22111</v>
      </c>
      <c r="S5" s="9">
        <v>255</v>
      </c>
      <c r="T5" s="9">
        <v>290</v>
      </c>
      <c r="U5" s="9">
        <v>80</v>
      </c>
      <c r="V5" s="9">
        <v>10</v>
      </c>
      <c r="W5" s="52" t="s">
        <v>6</v>
      </c>
    </row>
    <row r="6" spans="1:23" x14ac:dyDescent="0.25">
      <c r="A6" s="32" t="s">
        <v>16</v>
      </c>
      <c r="B6" s="14">
        <v>3.52</v>
      </c>
      <c r="C6" s="14">
        <v>9.31</v>
      </c>
      <c r="D6" s="14">
        <v>3.12</v>
      </c>
      <c r="E6" s="14">
        <f t="shared" si="0"/>
        <v>101.93490269060959</v>
      </c>
      <c r="F6" s="189"/>
      <c r="G6" s="190"/>
      <c r="H6" s="190"/>
      <c r="I6" s="190"/>
      <c r="J6" s="191"/>
      <c r="K6" s="106">
        <f>M6/Summary!$X$6</f>
        <v>28.878267950410567</v>
      </c>
      <c r="L6" s="102">
        <f>O6/Summary!$X$6</f>
        <v>521.3852412645499</v>
      </c>
      <c r="M6" s="17">
        <f>[4]Specimen!$J$18</f>
        <v>26.439109999999999</v>
      </c>
      <c r="N6" s="18">
        <f>[4]Specimen!$J$19</f>
        <v>5.8560000000000001E-2</v>
      </c>
      <c r="O6" s="18">
        <f>[4]Specimen!$J$25</f>
        <v>477.34724845137362</v>
      </c>
      <c r="P6" s="19">
        <f>[4]Specimen!$J$24</f>
        <v>8.8088102540000001E-3</v>
      </c>
      <c r="Q6" s="181"/>
      <c r="R6" s="51">
        <v>22111</v>
      </c>
      <c r="S6" s="9">
        <v>255</v>
      </c>
      <c r="T6" s="9">
        <v>290</v>
      </c>
      <c r="U6" s="9">
        <v>80</v>
      </c>
      <c r="V6" s="9">
        <v>10</v>
      </c>
      <c r="W6" s="52" t="s">
        <v>6</v>
      </c>
    </row>
    <row r="7" spans="1:23" x14ac:dyDescent="0.25">
      <c r="A7" s="32" t="s">
        <v>17</v>
      </c>
      <c r="B7" s="14">
        <v>3.5</v>
      </c>
      <c r="C7" s="14">
        <v>9.4</v>
      </c>
      <c r="D7" s="14">
        <v>3.1</v>
      </c>
      <c r="E7" s="14">
        <f t="shared" si="0"/>
        <v>101.83172113440729</v>
      </c>
      <c r="F7" s="189"/>
      <c r="G7" s="190"/>
      <c r="H7" s="190"/>
      <c r="I7" s="190"/>
      <c r="J7" s="191"/>
      <c r="K7" s="106">
        <f>M7/Summary!$X$6</f>
        <v>30.04122533569474</v>
      </c>
      <c r="L7" s="102">
        <f>O7/Summary!$X$6</f>
        <v>550.01034553321369</v>
      </c>
      <c r="M7" s="17">
        <f>[5]Specimen!$J$18</f>
        <v>27.50384</v>
      </c>
      <c r="N7" s="18">
        <f>[5]Specimen!$J$19</f>
        <v>5.7500000000000002E-2</v>
      </c>
      <c r="O7" s="18">
        <f>[5]Specimen!$J$25</f>
        <v>503.55457784593011</v>
      </c>
      <c r="P7" s="19">
        <f>[5]Specimen!$J$24</f>
        <v>8.7172901189999999E-3</v>
      </c>
      <c r="Q7" s="181"/>
      <c r="R7" s="51">
        <v>22111</v>
      </c>
      <c r="S7" s="9">
        <v>255</v>
      </c>
      <c r="T7" s="9">
        <v>290</v>
      </c>
      <c r="U7" s="9">
        <v>80</v>
      </c>
      <c r="V7" s="9">
        <v>10</v>
      </c>
      <c r="W7" s="52" t="s">
        <v>6</v>
      </c>
    </row>
    <row r="8" spans="1:23" ht="15.75" thickBot="1" x14ac:dyDescent="0.3">
      <c r="A8" s="33" t="s">
        <v>18</v>
      </c>
      <c r="B8" s="6">
        <v>3.57</v>
      </c>
      <c r="C8" s="7">
        <v>9.3800000000000008</v>
      </c>
      <c r="D8" s="7">
        <v>3.25</v>
      </c>
      <c r="E8" s="7">
        <f t="shared" si="0"/>
        <v>104.06326031554333</v>
      </c>
      <c r="F8" s="192"/>
      <c r="G8" s="193"/>
      <c r="H8" s="193"/>
      <c r="I8" s="193"/>
      <c r="J8" s="194"/>
      <c r="K8" s="98">
        <f>M8/Summary!$X$6</f>
        <v>28.303249950088556</v>
      </c>
      <c r="L8" s="103">
        <f>O8/Summary!$X$6</f>
        <v>507.11751665040674</v>
      </c>
      <c r="M8" s="20">
        <f>[6]Specimen!$J$18</f>
        <v>25.912659999999999</v>
      </c>
      <c r="N8" s="1">
        <f>[6]Specimen!$J$19</f>
        <v>5.96E-2</v>
      </c>
      <c r="O8" s="1">
        <f>[6]Specimen!$J$25</f>
        <v>464.28462498757011</v>
      </c>
      <c r="P8" s="21">
        <f>[6]Specimen!$J$24</f>
        <v>8.7964517480000008E-3</v>
      </c>
      <c r="Q8" s="182"/>
      <c r="R8" s="53">
        <v>22111</v>
      </c>
      <c r="S8" s="54">
        <v>255</v>
      </c>
      <c r="T8" s="54">
        <v>290</v>
      </c>
      <c r="U8" s="54">
        <v>80</v>
      </c>
      <c r="V8" s="54">
        <v>10</v>
      </c>
      <c r="W8" s="55" t="s">
        <v>6</v>
      </c>
    </row>
    <row r="9" spans="1:23" x14ac:dyDescent="0.25">
      <c r="A9" s="31" t="s">
        <v>19</v>
      </c>
      <c r="B9" s="14">
        <v>3.66</v>
      </c>
      <c r="C9" s="14">
        <v>9.7799999999999994</v>
      </c>
      <c r="D9" s="14">
        <v>3.22</v>
      </c>
      <c r="E9" s="14">
        <f t="shared" si="0"/>
        <v>106.08538549785406</v>
      </c>
      <c r="F9" s="186" t="s">
        <v>109</v>
      </c>
      <c r="G9" s="187"/>
      <c r="H9" s="187"/>
      <c r="I9" s="187"/>
      <c r="J9" s="188"/>
      <c r="K9" s="106">
        <f>M9/Summary!$X$6</f>
        <v>26.197326395105463</v>
      </c>
      <c r="L9" s="102">
        <f>O9/Summary!$X$6</f>
        <v>398.68372664840234</v>
      </c>
      <c r="M9" s="17">
        <f>[8]Specimen!$J$18</f>
        <v>23.98461</v>
      </c>
      <c r="N9" s="18">
        <f>[8]Specimen!$J$19</f>
        <v>5.5370000000000003E-2</v>
      </c>
      <c r="O9" s="118">
        <f>[8]Specimen!$J$25</f>
        <v>365.00952626963834</v>
      </c>
      <c r="P9" s="19">
        <f>[8]Specimen!$J$24</f>
        <v>1.1103189413999997E-2</v>
      </c>
      <c r="Q9" s="180">
        <v>26</v>
      </c>
      <c r="R9" s="56">
        <v>22121</v>
      </c>
      <c r="S9" s="57">
        <v>255</v>
      </c>
      <c r="T9" s="57">
        <v>290</v>
      </c>
      <c r="U9" s="57">
        <v>80</v>
      </c>
      <c r="V9" s="57">
        <v>35</v>
      </c>
      <c r="W9" s="58" t="s">
        <v>6</v>
      </c>
    </row>
    <row r="10" spans="1:23" x14ac:dyDescent="0.25">
      <c r="A10" s="32" t="s">
        <v>20</v>
      </c>
      <c r="B10" s="14">
        <v>3.55</v>
      </c>
      <c r="C10" s="14">
        <v>9.5500000000000007</v>
      </c>
      <c r="D10" s="14">
        <v>3.14</v>
      </c>
      <c r="E10" s="14">
        <f t="shared" si="0"/>
        <v>103.29650065114906</v>
      </c>
      <c r="F10" s="189"/>
      <c r="G10" s="190"/>
      <c r="H10" s="190"/>
      <c r="I10" s="190"/>
      <c r="J10" s="191"/>
      <c r="K10" s="106">
        <f>M10/Summary!$X$6</f>
        <v>28.219615933022062</v>
      </c>
      <c r="L10" s="102">
        <f>O10/Summary!$X$6</f>
        <v>546.45952665808875</v>
      </c>
      <c r="M10" s="17">
        <f>[9]Specimen!$J$18</f>
        <v>25.836089999999999</v>
      </c>
      <c r="N10" s="18">
        <f>[9]Specimen!$J$19</f>
        <v>5.4350000000000002E-2</v>
      </c>
      <c r="O10" s="18">
        <f>[9]Specimen!$J$25</f>
        <v>500.30367335987449</v>
      </c>
      <c r="P10" s="19">
        <f>[9]Specimen!$J$24</f>
        <v>7.7742635649999999E-3</v>
      </c>
      <c r="Q10" s="181"/>
      <c r="R10" s="51">
        <v>22121</v>
      </c>
      <c r="S10" s="9">
        <v>255</v>
      </c>
      <c r="T10" s="9">
        <v>290</v>
      </c>
      <c r="U10" s="9">
        <v>80</v>
      </c>
      <c r="V10" s="9">
        <v>35</v>
      </c>
      <c r="W10" s="52" t="s">
        <v>6</v>
      </c>
    </row>
    <row r="11" spans="1:23" x14ac:dyDescent="0.25">
      <c r="A11" s="32" t="s">
        <v>21</v>
      </c>
      <c r="B11" s="14">
        <v>3.5</v>
      </c>
      <c r="C11" s="14">
        <v>9.7200000000000006</v>
      </c>
      <c r="D11" s="14">
        <v>3.07</v>
      </c>
      <c r="E11" s="14">
        <f t="shared" si="0"/>
        <v>102.63652819849487</v>
      </c>
      <c r="F11" s="189"/>
      <c r="G11" s="190"/>
      <c r="H11" s="190"/>
      <c r="I11" s="190"/>
      <c r="J11" s="191"/>
      <c r="K11" s="106">
        <f>M11/Summary!$X$6</f>
        <v>27.158434931573023</v>
      </c>
      <c r="L11" s="102">
        <f>O11/Summary!$X$6</f>
        <v>520.26238585762496</v>
      </c>
      <c r="M11" s="17">
        <f>[10]Specimen!$J$18</f>
        <v>24.864540000000002</v>
      </c>
      <c r="N11" s="18">
        <f>[10]Specimen!$J$19</f>
        <v>5.5359999999999999E-2</v>
      </c>
      <c r="O11" s="18">
        <f>[10]Specimen!$J$25</f>
        <v>476.31923327855367</v>
      </c>
      <c r="P11" s="19">
        <f>[10]Specimen!$J$24</f>
        <v>7.8840419010000017E-3</v>
      </c>
      <c r="Q11" s="181"/>
      <c r="R11" s="51">
        <v>22121</v>
      </c>
      <c r="S11" s="9">
        <v>255</v>
      </c>
      <c r="T11" s="9">
        <v>290</v>
      </c>
      <c r="U11" s="9">
        <v>80</v>
      </c>
      <c r="V11" s="9">
        <v>35</v>
      </c>
      <c r="W11" s="52" t="s">
        <v>6</v>
      </c>
    </row>
    <row r="12" spans="1:23" x14ac:dyDescent="0.25">
      <c r="A12" s="32" t="s">
        <v>22</v>
      </c>
      <c r="B12" s="14">
        <v>3.49</v>
      </c>
      <c r="C12" s="14">
        <v>9.5</v>
      </c>
      <c r="D12" s="14">
        <v>3.14</v>
      </c>
      <c r="E12" s="14">
        <f t="shared" si="0"/>
        <v>102.49661432725961</v>
      </c>
      <c r="F12" s="189"/>
      <c r="G12" s="190"/>
      <c r="H12" s="190"/>
      <c r="I12" s="190"/>
      <c r="J12" s="191"/>
      <c r="K12" s="106">
        <f>M12/Summary!$X$6</f>
        <v>29.156804070198042</v>
      </c>
      <c r="L12" s="102">
        <f>O12/Summary!$X$6</f>
        <v>569.77152076252139</v>
      </c>
      <c r="M12" s="17">
        <f>[11]Specimen!$J$18</f>
        <v>26.694120000000002</v>
      </c>
      <c r="N12" s="18">
        <f>[11]Specimen!$J$19</f>
        <v>5.33E-2</v>
      </c>
      <c r="O12" s="18">
        <f>[11]Specimen!$J$25</f>
        <v>521.64665616981426</v>
      </c>
      <c r="P12" s="19">
        <f>[11]Specimen!$J$24</f>
        <v>7.7310032040000011E-3</v>
      </c>
      <c r="Q12" s="181"/>
      <c r="R12" s="51">
        <v>22121</v>
      </c>
      <c r="S12" s="9">
        <v>255</v>
      </c>
      <c r="T12" s="9">
        <v>290</v>
      </c>
      <c r="U12" s="9">
        <v>80</v>
      </c>
      <c r="V12" s="9">
        <v>35</v>
      </c>
      <c r="W12" s="52" t="s">
        <v>6</v>
      </c>
    </row>
    <row r="13" spans="1:23" x14ac:dyDescent="0.25">
      <c r="A13" s="32" t="s">
        <v>23</v>
      </c>
      <c r="B13" s="14">
        <v>3.48</v>
      </c>
      <c r="C13" s="14">
        <v>9.76</v>
      </c>
      <c r="D13" s="14">
        <v>3.13</v>
      </c>
      <c r="E13" s="14">
        <f t="shared" si="0"/>
        <v>103.19703474188317</v>
      </c>
      <c r="F13" s="189"/>
      <c r="G13" s="190"/>
      <c r="H13" s="190"/>
      <c r="I13" s="190"/>
      <c r="J13" s="191"/>
      <c r="K13" s="106">
        <f>M13/Summary!$X$6</f>
        <v>27.483195311544041</v>
      </c>
      <c r="L13" s="102">
        <f>O13/Summary!$X$6</f>
        <v>533.61970230645466</v>
      </c>
      <c r="M13" s="17">
        <f>[12]Specimen!$J$18</f>
        <v>25.16187</v>
      </c>
      <c r="N13" s="18">
        <f>[12]Specimen!$J$19</f>
        <v>5.3319999999999999E-2</v>
      </c>
      <c r="O13" s="18">
        <f>[12]Specimen!$J$25</f>
        <v>488.54834478558217</v>
      </c>
      <c r="P13" s="19">
        <f>[12]Specimen!$J$24</f>
        <v>7.2349932409999998E-3</v>
      </c>
      <c r="Q13" s="181"/>
      <c r="R13" s="51">
        <v>22121</v>
      </c>
      <c r="S13" s="9">
        <v>255</v>
      </c>
      <c r="T13" s="9">
        <v>290</v>
      </c>
      <c r="U13" s="9">
        <v>80</v>
      </c>
      <c r="V13" s="9">
        <v>35</v>
      </c>
      <c r="W13" s="52" t="s">
        <v>6</v>
      </c>
    </row>
    <row r="14" spans="1:23" ht="15.75" thickBot="1" x14ac:dyDescent="0.3">
      <c r="A14" s="33" t="s">
        <v>24</v>
      </c>
      <c r="B14" s="6">
        <v>3.7</v>
      </c>
      <c r="C14" s="7">
        <v>9.6300000000000008</v>
      </c>
      <c r="D14" s="7">
        <v>3.26</v>
      </c>
      <c r="E14" s="7">
        <f t="shared" si="0"/>
        <v>106.39668040459236</v>
      </c>
      <c r="F14" s="192"/>
      <c r="G14" s="193"/>
      <c r="H14" s="193"/>
      <c r="I14" s="193"/>
      <c r="J14" s="194"/>
      <c r="K14" s="98">
        <f>M14/Summary!$X$6</f>
        <v>24.518234512960881</v>
      </c>
      <c r="L14" s="103">
        <f>O14/Summary!$X$6</f>
        <v>480.44455907223505</v>
      </c>
      <c r="M14" s="20">
        <f>[13]Specimen!$J$18</f>
        <v>22.447340000000001</v>
      </c>
      <c r="N14" s="1">
        <f>[13]Specimen!$J$19</f>
        <v>5.4359999999999999E-2</v>
      </c>
      <c r="O14" s="1">
        <f>[13]Specimen!$J$25</f>
        <v>439.86455725201228</v>
      </c>
      <c r="P14" s="21">
        <f>[13]Specimen!$J$24</f>
        <v>7.0118636980000017E-3</v>
      </c>
      <c r="Q14" s="182"/>
      <c r="R14" s="53">
        <v>22121</v>
      </c>
      <c r="S14" s="54">
        <v>255</v>
      </c>
      <c r="T14" s="54">
        <v>290</v>
      </c>
      <c r="U14" s="54">
        <v>80</v>
      </c>
      <c r="V14" s="54">
        <v>35</v>
      </c>
      <c r="W14" s="55" t="s">
        <v>6</v>
      </c>
    </row>
    <row r="15" spans="1:23" x14ac:dyDescent="0.25">
      <c r="A15" s="31" t="s">
        <v>29</v>
      </c>
      <c r="B15" s="14">
        <v>3.42</v>
      </c>
      <c r="C15" s="14">
        <v>9.68</v>
      </c>
      <c r="D15" s="14">
        <v>3.15</v>
      </c>
      <c r="E15" s="14">
        <f t="shared" si="0"/>
        <v>102.50186022953005</v>
      </c>
      <c r="F15" s="186"/>
      <c r="G15" s="187"/>
      <c r="H15" s="187"/>
      <c r="I15" s="187"/>
      <c r="J15" s="188"/>
      <c r="K15" s="106">
        <f>M15/Summary!$X$6</f>
        <v>30.623015321204321</v>
      </c>
      <c r="L15" s="102">
        <f>O15/Summary!$X$6</f>
        <v>559.07355314977156</v>
      </c>
      <c r="M15" s="17">
        <f>[14]Specimen!$J$18</f>
        <v>28.036490000000001</v>
      </c>
      <c r="N15" s="18">
        <f>[14]Specimen!$J$19</f>
        <v>5.645E-2</v>
      </c>
      <c r="O15" s="118">
        <f>[14]Specimen!$J$25</f>
        <v>511.85227573897856</v>
      </c>
      <c r="P15" s="19">
        <f>[14]Specimen!$J$24</f>
        <v>8.570795719000001E-3</v>
      </c>
      <c r="Q15" s="180">
        <v>24</v>
      </c>
      <c r="R15" s="56">
        <v>12121</v>
      </c>
      <c r="S15" s="57">
        <v>210</v>
      </c>
      <c r="T15" s="57">
        <v>290</v>
      </c>
      <c r="U15" s="57">
        <v>80</v>
      </c>
      <c r="V15" s="57">
        <v>35</v>
      </c>
      <c r="W15" s="58" t="s">
        <v>6</v>
      </c>
    </row>
    <row r="16" spans="1:23" x14ac:dyDescent="0.25">
      <c r="A16" s="31" t="s">
        <v>30</v>
      </c>
      <c r="B16" s="14">
        <v>3.37</v>
      </c>
      <c r="C16" s="14">
        <v>9.4499999999999993</v>
      </c>
      <c r="D16" s="14">
        <v>2.98</v>
      </c>
      <c r="E16" s="14">
        <f t="shared" si="0"/>
        <v>99.394579156409975</v>
      </c>
      <c r="F16" s="189"/>
      <c r="G16" s="190"/>
      <c r="H16" s="190"/>
      <c r="I16" s="190"/>
      <c r="J16" s="191"/>
      <c r="K16" s="106">
        <f>M16/Summary!$X$6</f>
        <v>21.874189354371282</v>
      </c>
      <c r="L16" s="102">
        <f>O16/Summary!$X$6</f>
        <v>587.84009851757367</v>
      </c>
      <c r="M16" s="17">
        <f>[15]Specimen!$J$18</f>
        <v>20.026620000000001</v>
      </c>
      <c r="N16" s="18">
        <f>[15]Specimen!$J$19</f>
        <v>3.8620000000000002E-2</v>
      </c>
      <c r="O16" s="18">
        <f>[15]Specimen!$J$25</f>
        <v>538.18909963040232</v>
      </c>
      <c r="P16" s="19">
        <f>[15]Specimen!$J$24</f>
        <v>4.1096978840000006E-3</v>
      </c>
      <c r="Q16" s="181"/>
      <c r="R16" s="51">
        <v>12121</v>
      </c>
      <c r="S16" s="9">
        <v>210</v>
      </c>
      <c r="T16" s="9">
        <v>290</v>
      </c>
      <c r="U16" s="9">
        <v>80</v>
      </c>
      <c r="V16" s="9">
        <v>35</v>
      </c>
      <c r="W16" s="52" t="s">
        <v>6</v>
      </c>
    </row>
    <row r="17" spans="1:23" x14ac:dyDescent="0.25">
      <c r="A17" s="31" t="s">
        <v>31</v>
      </c>
      <c r="B17" s="14">
        <v>3.4</v>
      </c>
      <c r="C17" s="14">
        <v>9.57</v>
      </c>
      <c r="D17" s="14">
        <v>3</v>
      </c>
      <c r="E17" s="14">
        <f t="shared" si="0"/>
        <v>100.33644993961472</v>
      </c>
      <c r="F17" s="189"/>
      <c r="G17" s="190"/>
      <c r="H17" s="190"/>
      <c r="I17" s="190"/>
      <c r="J17" s="191"/>
      <c r="K17" s="106">
        <f>M17/Summary!$X$6</f>
        <v>26.719468298180651</v>
      </c>
      <c r="L17" s="102">
        <f>O17/Summary!$X$6</f>
        <v>568.53090915428197</v>
      </c>
      <c r="M17" s="17">
        <f>[16]Specimen!$J$18</f>
        <v>24.46265</v>
      </c>
      <c r="N17" s="18">
        <f>[16]Specimen!$J$19</f>
        <v>4.8039999999999999E-2</v>
      </c>
      <c r="O17" s="18">
        <f>[16]Specimen!$J$25</f>
        <v>520.51083088992402</v>
      </c>
      <c r="P17" s="19">
        <f>[16]Specimen!$J$24</f>
        <v>6.2305002720000014E-3</v>
      </c>
      <c r="Q17" s="181"/>
      <c r="R17" s="51">
        <v>12121</v>
      </c>
      <c r="S17" s="9">
        <v>210</v>
      </c>
      <c r="T17" s="9">
        <v>290</v>
      </c>
      <c r="U17" s="9">
        <v>80</v>
      </c>
      <c r="V17" s="9">
        <v>35</v>
      </c>
      <c r="W17" s="52" t="s">
        <v>6</v>
      </c>
    </row>
    <row r="18" spans="1:23" x14ac:dyDescent="0.25">
      <c r="A18" s="31" t="s">
        <v>32</v>
      </c>
      <c r="B18" s="14">
        <v>3.34</v>
      </c>
      <c r="C18" s="14">
        <v>9.42</v>
      </c>
      <c r="D18" s="14">
        <v>2.96</v>
      </c>
      <c r="E18" s="14">
        <f t="shared" si="0"/>
        <v>98.767503756206253</v>
      </c>
      <c r="F18" s="189"/>
      <c r="G18" s="190"/>
      <c r="H18" s="190"/>
      <c r="I18" s="190"/>
      <c r="J18" s="191"/>
      <c r="K18" s="106">
        <f>M18/Summary!$X$6</f>
        <v>28.196274429238454</v>
      </c>
      <c r="L18" s="102">
        <f>O18/Summary!$X$6</f>
        <v>602.73576913280635</v>
      </c>
      <c r="M18" s="17">
        <f>[17]Specimen!$J$18</f>
        <v>25.814720000000001</v>
      </c>
      <c r="N18" s="18">
        <f>[17]Specimen!$J$19</f>
        <v>4.8050000000000002E-2</v>
      </c>
      <c r="O18" s="18">
        <f>[17]Specimen!$J$25</f>
        <v>551.8266306137765</v>
      </c>
      <c r="P18" s="19">
        <f>[17]Specimen!$J$24</f>
        <v>6.5291303200000006E-3</v>
      </c>
      <c r="Q18" s="181"/>
      <c r="R18" s="51">
        <v>12121</v>
      </c>
      <c r="S18" s="9">
        <v>210</v>
      </c>
      <c r="T18" s="9">
        <v>290</v>
      </c>
      <c r="U18" s="9">
        <v>80</v>
      </c>
      <c r="V18" s="9">
        <v>35</v>
      </c>
      <c r="W18" s="52" t="s">
        <v>6</v>
      </c>
    </row>
    <row r="19" spans="1:23" x14ac:dyDescent="0.25">
      <c r="A19" s="31" t="s">
        <v>33</v>
      </c>
      <c r="B19" s="14">
        <v>3.47</v>
      </c>
      <c r="C19" s="14">
        <v>9.58</v>
      </c>
      <c r="D19" s="14">
        <v>2.96</v>
      </c>
      <c r="E19" s="14">
        <f t="shared" si="0"/>
        <v>100.68130665931925</v>
      </c>
      <c r="F19" s="189"/>
      <c r="G19" s="190"/>
      <c r="H19" s="190"/>
      <c r="I19" s="190"/>
      <c r="J19" s="191"/>
      <c r="K19" s="106">
        <f>M19/Summary!$X$6</f>
        <v>22.028241094831756</v>
      </c>
      <c r="L19" s="102">
        <f>O19/Summary!$X$6</f>
        <v>522.45538782085941</v>
      </c>
      <c r="M19" s="17">
        <f>[18]Specimen!$J$18</f>
        <v>20.167660000000001</v>
      </c>
      <c r="N19" s="18">
        <f>[18]Specimen!$J$19</f>
        <v>4.3839999999999997E-2</v>
      </c>
      <c r="O19" s="18">
        <f>[18]Specimen!$J$25</f>
        <v>478.32700674459863</v>
      </c>
      <c r="P19" s="19">
        <f>[18]Specimen!$J$24</f>
        <v>4.872496690999999E-3</v>
      </c>
      <c r="Q19" s="181"/>
      <c r="R19" s="51">
        <v>12121</v>
      </c>
      <c r="S19" s="9">
        <v>210</v>
      </c>
      <c r="T19" s="9">
        <v>290</v>
      </c>
      <c r="U19" s="9">
        <v>80</v>
      </c>
      <c r="V19" s="9">
        <v>35</v>
      </c>
      <c r="W19" s="52" t="s">
        <v>6</v>
      </c>
    </row>
    <row r="20" spans="1:23" ht="15.75" thickBot="1" x14ac:dyDescent="0.3">
      <c r="A20" s="33" t="s">
        <v>34</v>
      </c>
      <c r="B20" s="6">
        <v>3.44</v>
      </c>
      <c r="C20" s="7">
        <v>9.61</v>
      </c>
      <c r="D20" s="7">
        <v>3.16</v>
      </c>
      <c r="E20" s="7">
        <f t="shared" si="0"/>
        <v>102.57017451235313</v>
      </c>
      <c r="F20" s="192"/>
      <c r="G20" s="193"/>
      <c r="H20" s="193"/>
      <c r="I20" s="193"/>
      <c r="J20" s="194"/>
      <c r="K20" s="98">
        <f>M20/Summary!$X$6</f>
        <v>27.745314828530031</v>
      </c>
      <c r="L20" s="103">
        <f>O20/Summary!$X$6</f>
        <v>566.02813387962328</v>
      </c>
      <c r="M20" s="20">
        <f>[19]Specimen!$J$18</f>
        <v>25.40185</v>
      </c>
      <c r="N20" s="1">
        <f>[19]Specimen!$J$19</f>
        <v>5.0169999999999999E-2</v>
      </c>
      <c r="O20" s="1">
        <f>[19]Specimen!$J$25</f>
        <v>518.21944863300996</v>
      </c>
      <c r="P20" s="21">
        <f>[19]Specimen!$J$24</f>
        <v>6.7189256959999995E-3</v>
      </c>
      <c r="Q20" s="182"/>
      <c r="R20" s="53">
        <v>12121</v>
      </c>
      <c r="S20" s="54">
        <v>210</v>
      </c>
      <c r="T20" s="54">
        <v>290</v>
      </c>
      <c r="U20" s="54">
        <v>80</v>
      </c>
      <c r="V20" s="54">
        <v>35</v>
      </c>
      <c r="W20" s="55" t="s">
        <v>6</v>
      </c>
    </row>
    <row r="21" spans="1:23" x14ac:dyDescent="0.25">
      <c r="A21" s="31" t="s">
        <v>35</v>
      </c>
      <c r="B21" s="14">
        <v>3.19</v>
      </c>
      <c r="C21" s="14">
        <v>9.06</v>
      </c>
      <c r="D21" s="14">
        <v>3.09</v>
      </c>
      <c r="E21" s="14">
        <f t="shared" si="0"/>
        <v>97.30850566235722</v>
      </c>
      <c r="F21" s="186" t="s">
        <v>108</v>
      </c>
      <c r="G21" s="187"/>
      <c r="H21" s="187"/>
      <c r="I21" s="187"/>
      <c r="J21" s="188"/>
      <c r="K21" s="106">
        <f>M21/Summary!$X$6</f>
        <v>32.229974638544526</v>
      </c>
      <c r="L21" s="102">
        <f>O21/Summary!$X$6</f>
        <v>593.50369681301231</v>
      </c>
      <c r="M21" s="17">
        <f>[20]Specimen!$J$18</f>
        <v>29.507719999999999</v>
      </c>
      <c r="N21" s="18">
        <f>[20]Specimen!$J$19</f>
        <v>5.5399999999999998E-2</v>
      </c>
      <c r="O21" s="118">
        <f>[20]Specimen!$J$25</f>
        <v>543.37433091179525</v>
      </c>
      <c r="P21" s="19">
        <f>[20]Specimen!$J$24</f>
        <v>9.052389949999998E-3</v>
      </c>
      <c r="Q21" s="180">
        <v>20</v>
      </c>
      <c r="R21" s="56">
        <v>11211</v>
      </c>
      <c r="S21" s="57">
        <v>210</v>
      </c>
      <c r="T21" s="57">
        <v>140</v>
      </c>
      <c r="U21" s="57">
        <v>100</v>
      </c>
      <c r="V21" s="57">
        <v>10</v>
      </c>
      <c r="W21" s="58" t="s">
        <v>6</v>
      </c>
    </row>
    <row r="22" spans="1:23" x14ac:dyDescent="0.25">
      <c r="A22" s="31" t="s">
        <v>36</v>
      </c>
      <c r="B22" s="14">
        <v>3.06</v>
      </c>
      <c r="C22" s="14">
        <v>9.14</v>
      </c>
      <c r="D22" s="14">
        <v>2.8</v>
      </c>
      <c r="E22" s="14">
        <f t="shared" si="0"/>
        <v>93.194324828798386</v>
      </c>
      <c r="F22" s="189"/>
      <c r="G22" s="190"/>
      <c r="H22" s="190"/>
      <c r="I22" s="190"/>
      <c r="J22" s="191"/>
      <c r="K22" s="106">
        <f>M22/Summary!$X$6</f>
        <v>32.009022237964906</v>
      </c>
      <c r="L22" s="102">
        <f>O22/Summary!$X$6</f>
        <v>683.38455516570446</v>
      </c>
      <c r="M22" s="17">
        <f>[21]Specimen!$J$18</f>
        <v>29.305430000000001</v>
      </c>
      <c r="N22" s="18">
        <f>[21]Specimen!$J$19</f>
        <v>4.8050000000000002E-2</v>
      </c>
      <c r="O22" s="18">
        <f>[21]Specimen!$J$25</f>
        <v>625.66354247261052</v>
      </c>
      <c r="P22" s="19">
        <f>[21]Specimen!$J$24</f>
        <v>7.4059915189999999E-3</v>
      </c>
      <c r="Q22" s="181"/>
      <c r="R22" s="51">
        <v>11211</v>
      </c>
      <c r="S22" s="9">
        <v>210</v>
      </c>
      <c r="T22" s="9">
        <v>140</v>
      </c>
      <c r="U22" s="9">
        <v>100</v>
      </c>
      <c r="V22" s="9">
        <v>10</v>
      </c>
      <c r="W22" s="52" t="s">
        <v>6</v>
      </c>
    </row>
    <row r="23" spans="1:23" x14ac:dyDescent="0.25">
      <c r="A23" s="31" t="s">
        <v>37</v>
      </c>
      <c r="B23" s="14">
        <v>3.23</v>
      </c>
      <c r="C23" s="14">
        <v>9.0399999999999991</v>
      </c>
      <c r="D23" s="14">
        <v>2.92</v>
      </c>
      <c r="E23" s="14">
        <f t="shared" si="0"/>
        <v>95.87324714957289</v>
      </c>
      <c r="F23" s="189"/>
      <c r="G23" s="190"/>
      <c r="H23" s="190"/>
      <c r="I23" s="190"/>
      <c r="J23" s="191"/>
      <c r="K23" s="106">
        <f>M23/Summary!$X$6</f>
        <v>27.776520573176629</v>
      </c>
      <c r="L23" s="102">
        <f>O23/Summary!$X$6</f>
        <v>610.52518854568621</v>
      </c>
      <c r="M23" s="17">
        <f>[22]Specimen!$J$18</f>
        <v>25.430420000000002</v>
      </c>
      <c r="N23" s="18">
        <f>[22]Specimen!$J$19</f>
        <v>4.6989999999999997E-2</v>
      </c>
      <c r="O23" s="18">
        <f>[22]Specimen!$J$25</f>
        <v>558.95812884098711</v>
      </c>
      <c r="P23" s="19">
        <f>[22]Specimen!$J$24</f>
        <v>6.3248852350000009E-3</v>
      </c>
      <c r="Q23" s="181"/>
      <c r="R23" s="51">
        <v>11211</v>
      </c>
      <c r="S23" s="9">
        <v>210</v>
      </c>
      <c r="T23" s="9">
        <v>140</v>
      </c>
      <c r="U23" s="9">
        <v>100</v>
      </c>
      <c r="V23" s="9">
        <v>10</v>
      </c>
      <c r="W23" s="52" t="s">
        <v>6</v>
      </c>
    </row>
    <row r="24" spans="1:23" x14ac:dyDescent="0.25">
      <c r="A24" s="31" t="s">
        <v>38</v>
      </c>
      <c r="B24" s="14">
        <v>3.08</v>
      </c>
      <c r="C24" s="14">
        <v>9.1</v>
      </c>
      <c r="D24" s="14">
        <v>2.83</v>
      </c>
      <c r="E24" s="14">
        <f t="shared" si="0"/>
        <v>93.577214511825161</v>
      </c>
      <c r="F24" s="189"/>
      <c r="G24" s="190"/>
      <c r="H24" s="190"/>
      <c r="I24" s="190"/>
      <c r="J24" s="191"/>
      <c r="K24" s="106">
        <f>M24/Summary!$X$6</f>
        <v>27.175812719368867</v>
      </c>
      <c r="L24" s="102">
        <f>O24/Summary!$X$6</f>
        <v>692.46485819179998</v>
      </c>
      <c r="M24" s="17">
        <f>[23]Specimen!$J$18</f>
        <v>24.88045</v>
      </c>
      <c r="N24" s="18">
        <f>[23]Specimen!$J$19</f>
        <v>3.9690000000000003E-2</v>
      </c>
      <c r="O24" s="18">
        <f>[23]Specimen!$J$25</f>
        <v>633.97689183804084</v>
      </c>
      <c r="P24" s="19">
        <f>[23]Specimen!$J$24</f>
        <v>5.0046926080000009E-3</v>
      </c>
      <c r="Q24" s="181"/>
      <c r="R24" s="51">
        <v>11211</v>
      </c>
      <c r="S24" s="9">
        <v>210</v>
      </c>
      <c r="T24" s="9">
        <v>140</v>
      </c>
      <c r="U24" s="9">
        <v>100</v>
      </c>
      <c r="V24" s="9">
        <v>10</v>
      </c>
      <c r="W24" s="52" t="s">
        <v>6</v>
      </c>
    </row>
    <row r="25" spans="1:23" x14ac:dyDescent="0.25">
      <c r="A25" s="31" t="s">
        <v>39</v>
      </c>
      <c r="B25" s="14">
        <v>3.24</v>
      </c>
      <c r="C25" s="14">
        <v>9.02</v>
      </c>
      <c r="D25" s="14">
        <v>2.9</v>
      </c>
      <c r="E25" s="14">
        <f t="shared" si="0"/>
        <v>95.697815680813761</v>
      </c>
      <c r="F25" s="189"/>
      <c r="G25" s="190"/>
      <c r="H25" s="190"/>
      <c r="I25" s="190"/>
      <c r="J25" s="191"/>
      <c r="K25" s="106">
        <f>M25/Summary!$X$6</f>
        <v>20.453503319916283</v>
      </c>
      <c r="L25" s="102">
        <f>O25/Summary!$X$6</f>
        <v>642.52103595918777</v>
      </c>
      <c r="M25" s="17">
        <f>[24]Specimen!$J$18</f>
        <v>18.725930000000002</v>
      </c>
      <c r="N25" s="18">
        <f>[24]Specimen!$J$19</f>
        <v>3.2309999999999998E-2</v>
      </c>
      <c r="O25" s="18">
        <f>[24]Specimen!$J$25</f>
        <v>588.25149680756408</v>
      </c>
      <c r="P25" s="19">
        <f>[24]Specimen!$J$24</f>
        <v>3.0365418169999996E-3</v>
      </c>
      <c r="Q25" s="181"/>
      <c r="R25" s="51">
        <v>11211</v>
      </c>
      <c r="S25" s="9">
        <v>210</v>
      </c>
      <c r="T25" s="9">
        <v>140</v>
      </c>
      <c r="U25" s="9">
        <v>100</v>
      </c>
      <c r="V25" s="9">
        <v>10</v>
      </c>
      <c r="W25" s="52" t="s">
        <v>6</v>
      </c>
    </row>
    <row r="26" spans="1:23" ht="15.75" thickBot="1" x14ac:dyDescent="0.3">
      <c r="A26" s="33" t="s">
        <v>40</v>
      </c>
      <c r="B26" s="6">
        <v>3.05</v>
      </c>
      <c r="C26" s="7">
        <v>9.33</v>
      </c>
      <c r="D26" s="7">
        <v>3.07</v>
      </c>
      <c r="E26" s="7">
        <f t="shared" si="0"/>
        <v>96.584914872157</v>
      </c>
      <c r="F26" s="192"/>
      <c r="G26" s="193"/>
      <c r="H26" s="193"/>
      <c r="I26" s="193"/>
      <c r="J26" s="194"/>
      <c r="K26" s="98">
        <f>M26/Summary!$X$6</f>
        <v>28.386785664144263</v>
      </c>
      <c r="L26" s="103">
        <f>O26/Summary!$X$6</f>
        <v>627.12431792465975</v>
      </c>
      <c r="M26" s="20">
        <f>[25]Specimen!$J$18</f>
        <v>25.989139999999999</v>
      </c>
      <c r="N26" s="1">
        <f>[25]Specimen!$J$19</f>
        <v>4.5969999999999997E-2</v>
      </c>
      <c r="O26" s="1">
        <f>[25]Specimen!$J$25</f>
        <v>574.15523859523307</v>
      </c>
      <c r="P26" s="21">
        <f>[25]Specimen!$J$24</f>
        <v>6.184572268E-3</v>
      </c>
      <c r="Q26" s="182"/>
      <c r="R26" s="53">
        <v>11211</v>
      </c>
      <c r="S26" s="54">
        <v>210</v>
      </c>
      <c r="T26" s="54">
        <v>140</v>
      </c>
      <c r="U26" s="54">
        <v>100</v>
      </c>
      <c r="V26" s="54">
        <v>10</v>
      </c>
      <c r="W26" s="55" t="s">
        <v>6</v>
      </c>
    </row>
    <row r="27" spans="1:23" x14ac:dyDescent="0.25">
      <c r="A27" s="31" t="s">
        <v>41</v>
      </c>
      <c r="B27" s="14">
        <v>3.21</v>
      </c>
      <c r="C27" s="14">
        <v>9.4700000000000006</v>
      </c>
      <c r="D27" s="14">
        <v>3.11</v>
      </c>
      <c r="E27" s="14">
        <f t="shared" si="0"/>
        <v>99.160550457454235</v>
      </c>
      <c r="F27" s="186"/>
      <c r="G27" s="187"/>
      <c r="H27" s="187"/>
      <c r="I27" s="187"/>
      <c r="J27" s="188"/>
      <c r="K27" s="106">
        <f>M27/Summary!$X$6</f>
        <v>30.707140853324752</v>
      </c>
      <c r="L27" s="102">
        <f>O27/Summary!$X$6</f>
        <v>612.91950713718472</v>
      </c>
      <c r="M27" s="17">
        <f>[26]Specimen!$J$18</f>
        <v>28.113510000000002</v>
      </c>
      <c r="N27" s="18">
        <f>[26]Specimen!$J$19</f>
        <v>5.1220000000000002E-2</v>
      </c>
      <c r="O27" s="118">
        <f>[26]Specimen!$J$25</f>
        <v>561.15021503966</v>
      </c>
      <c r="P27" s="19">
        <f>[26]Specimen!$J$24</f>
        <v>7.5171685289999977E-3</v>
      </c>
      <c r="Q27" s="180">
        <v>24</v>
      </c>
      <c r="R27" s="56">
        <v>11221</v>
      </c>
      <c r="S27" s="57">
        <v>210</v>
      </c>
      <c r="T27" s="57">
        <v>140</v>
      </c>
      <c r="U27" s="57">
        <v>100</v>
      </c>
      <c r="V27" s="57">
        <v>35</v>
      </c>
      <c r="W27" s="58" t="s">
        <v>6</v>
      </c>
    </row>
    <row r="28" spans="1:23" x14ac:dyDescent="0.25">
      <c r="A28" s="32" t="s">
        <v>42</v>
      </c>
      <c r="B28" s="14">
        <v>3.1</v>
      </c>
      <c r="C28" s="14">
        <v>9.41</v>
      </c>
      <c r="D28" s="14">
        <v>2.82</v>
      </c>
      <c r="E28" s="14">
        <f t="shared" si="0"/>
        <v>94.765021250338222</v>
      </c>
      <c r="F28" s="189"/>
      <c r="G28" s="190"/>
      <c r="H28" s="190"/>
      <c r="I28" s="190"/>
      <c r="J28" s="191"/>
      <c r="K28" s="106">
        <f>M28/Summary!$X$6</f>
        <v>31.088818676541624</v>
      </c>
      <c r="L28" s="102">
        <f>O28/Summary!$X$6</f>
        <v>675.07885058459567</v>
      </c>
      <c r="M28" s="17">
        <f>[27]Specimen!$J$18</f>
        <v>28.462949999999999</v>
      </c>
      <c r="N28" s="18">
        <f>[27]Specimen!$J$19</f>
        <v>4.6989999999999997E-2</v>
      </c>
      <c r="O28" s="18">
        <f>[27]Specimen!$J$25</f>
        <v>618.05936630025394</v>
      </c>
      <c r="P28" s="19">
        <f>[27]Specimen!$J$24</f>
        <v>6.9406110729999995E-3</v>
      </c>
      <c r="Q28" s="181"/>
      <c r="R28" s="51">
        <v>11221</v>
      </c>
      <c r="S28" s="9">
        <v>210</v>
      </c>
      <c r="T28" s="9">
        <v>140</v>
      </c>
      <c r="U28" s="9">
        <v>100</v>
      </c>
      <c r="V28" s="9">
        <v>35</v>
      </c>
      <c r="W28" s="52" t="s">
        <v>6</v>
      </c>
    </row>
    <row r="29" spans="1:23" x14ac:dyDescent="0.25">
      <c r="A29" s="32" t="s">
        <v>43</v>
      </c>
      <c r="B29" s="14">
        <v>3.23</v>
      </c>
      <c r="C29" s="14">
        <v>9.4600000000000009</v>
      </c>
      <c r="D29" s="14">
        <v>2.95</v>
      </c>
      <c r="E29" s="14">
        <f t="shared" si="0"/>
        <v>97.656757679049505</v>
      </c>
      <c r="F29" s="189"/>
      <c r="G29" s="190"/>
      <c r="H29" s="190"/>
      <c r="I29" s="190"/>
      <c r="J29" s="191"/>
      <c r="K29" s="106">
        <f>M29/Summary!$X$6</f>
        <v>26.770181729190153</v>
      </c>
      <c r="L29" s="102">
        <f>O29/Summary!$X$6</f>
        <v>621.15124415049081</v>
      </c>
      <c r="M29" s="17">
        <f>[28]Specimen!$J$18</f>
        <v>24.509080000000001</v>
      </c>
      <c r="N29" s="18">
        <f>[28]Specimen!$J$19</f>
        <v>4.3860000000000003E-2</v>
      </c>
      <c r="O29" s="18">
        <f>[28]Specimen!$J$25</f>
        <v>568.68667119969007</v>
      </c>
      <c r="P29" s="19">
        <f>[28]Specimen!$J$24</f>
        <v>5.5264849600000013E-3</v>
      </c>
      <c r="Q29" s="181"/>
      <c r="R29" s="51">
        <v>11221</v>
      </c>
      <c r="S29" s="9">
        <v>210</v>
      </c>
      <c r="T29" s="9">
        <v>140</v>
      </c>
      <c r="U29" s="9">
        <v>100</v>
      </c>
      <c r="V29" s="9">
        <v>35</v>
      </c>
      <c r="W29" s="52" t="s">
        <v>6</v>
      </c>
    </row>
    <row r="30" spans="1:23" x14ac:dyDescent="0.25">
      <c r="A30" s="32" t="s">
        <v>44</v>
      </c>
      <c r="B30" s="14">
        <v>3.11</v>
      </c>
      <c r="C30" s="14">
        <v>9.43</v>
      </c>
      <c r="D30" s="14">
        <v>2.87</v>
      </c>
      <c r="E30" s="14">
        <f t="shared" si="0"/>
        <v>95.463251461235728</v>
      </c>
      <c r="F30" s="189"/>
      <c r="G30" s="190"/>
      <c r="H30" s="190"/>
      <c r="I30" s="190"/>
      <c r="J30" s="191"/>
      <c r="K30" s="106">
        <f>M30/Summary!$X$6</f>
        <v>25.754154577362748</v>
      </c>
      <c r="L30" s="102">
        <f>O30/Summary!$X$6</f>
        <v>674.57460758998275</v>
      </c>
      <c r="M30" s="17">
        <f>[29]Specimen!$J$18</f>
        <v>23.578869999999998</v>
      </c>
      <c r="N30" s="18">
        <f>[29]Specimen!$J$19</f>
        <v>3.8609999999999998E-2</v>
      </c>
      <c r="O30" s="18">
        <f>[29]Specimen!$J$25</f>
        <v>617.59771340527448</v>
      </c>
      <c r="P30" s="19">
        <f>[29]Specimen!$J$24</f>
        <v>4.5875164639999997E-3</v>
      </c>
      <c r="Q30" s="181"/>
      <c r="R30" s="51">
        <v>11221</v>
      </c>
      <c r="S30" s="9">
        <v>210</v>
      </c>
      <c r="T30" s="9">
        <v>140</v>
      </c>
      <c r="U30" s="9">
        <v>100</v>
      </c>
      <c r="V30" s="9">
        <v>35</v>
      </c>
      <c r="W30" s="52" t="s">
        <v>6</v>
      </c>
    </row>
    <row r="31" spans="1:23" x14ac:dyDescent="0.25">
      <c r="A31" s="32" t="s">
        <v>45</v>
      </c>
      <c r="B31" s="14">
        <v>3.28</v>
      </c>
      <c r="C31" s="14">
        <v>9.44</v>
      </c>
      <c r="D31" s="14">
        <v>2.93</v>
      </c>
      <c r="E31" s="14">
        <f t="shared" si="0"/>
        <v>97.897992876957034</v>
      </c>
      <c r="F31" s="189"/>
      <c r="G31" s="190"/>
      <c r="H31" s="190"/>
      <c r="I31" s="190"/>
      <c r="J31" s="191"/>
      <c r="K31" s="106">
        <f>M31/Summary!$X$6</f>
        <v>16.099368063113833</v>
      </c>
      <c r="L31" s="102">
        <f>O31/Summary!$X$6</f>
        <v>611.98038760113968</v>
      </c>
      <c r="M31" s="17">
        <f>[30]Specimen!$J$18</f>
        <v>14.739560000000001</v>
      </c>
      <c r="N31" s="18">
        <f>[30]Specimen!$J$19</f>
        <v>2.7089999999999999E-2</v>
      </c>
      <c r="O31" s="18">
        <f>[30]Specimen!$J$25</f>
        <v>560.29041677339001</v>
      </c>
      <c r="P31" s="19">
        <f>[30]Specimen!$J$24</f>
        <v>2.0166918649999997E-3</v>
      </c>
      <c r="Q31" s="181"/>
      <c r="R31" s="51">
        <v>11221</v>
      </c>
      <c r="S31" s="9">
        <v>210</v>
      </c>
      <c r="T31" s="9">
        <v>140</v>
      </c>
      <c r="U31" s="9">
        <v>100</v>
      </c>
      <c r="V31" s="9">
        <v>35</v>
      </c>
      <c r="W31" s="52" t="s">
        <v>6</v>
      </c>
    </row>
    <row r="32" spans="1:23" ht="15.75" thickBot="1" x14ac:dyDescent="0.3">
      <c r="A32" s="33" t="s">
        <v>46</v>
      </c>
      <c r="B32" s="6">
        <v>3.08</v>
      </c>
      <c r="C32" s="7">
        <v>9.44</v>
      </c>
      <c r="D32" s="7">
        <v>3.08</v>
      </c>
      <c r="E32" s="7">
        <f t="shared" si="0"/>
        <v>97.386986587648835</v>
      </c>
      <c r="F32" s="192"/>
      <c r="G32" s="193"/>
      <c r="H32" s="193"/>
      <c r="I32" s="193"/>
      <c r="J32" s="194"/>
      <c r="K32" s="98">
        <f>M32/Summary!$X$6</f>
        <v>27.31423428111416</v>
      </c>
      <c r="L32" s="103">
        <f>O32/Summary!$X$6</f>
        <v>646.95425870218071</v>
      </c>
      <c r="M32" s="20">
        <f>[31]Specimen!$J$18</f>
        <v>25.007180000000002</v>
      </c>
      <c r="N32" s="1">
        <f>[31]Specimen!$J$19</f>
        <v>4.2840000000000003E-2</v>
      </c>
      <c r="O32" s="1">
        <f>[31]Specimen!$J$25</f>
        <v>592.31027429234132</v>
      </c>
      <c r="P32" s="21">
        <f>[31]Specimen!$J$24</f>
        <v>5.4682703390000007E-3</v>
      </c>
      <c r="Q32" s="182"/>
      <c r="R32" s="53">
        <v>11221</v>
      </c>
      <c r="S32" s="54">
        <v>210</v>
      </c>
      <c r="T32" s="54">
        <v>140</v>
      </c>
      <c r="U32" s="54">
        <v>100</v>
      </c>
      <c r="V32" s="54">
        <v>35</v>
      </c>
      <c r="W32" s="55" t="s">
        <v>6</v>
      </c>
    </row>
    <row r="33" spans="1:23" x14ac:dyDescent="0.25">
      <c r="A33" s="31" t="s">
        <v>110</v>
      </c>
      <c r="B33" s="11">
        <v>3.42</v>
      </c>
      <c r="C33" s="12">
        <v>9.08</v>
      </c>
      <c r="D33" s="12">
        <v>3.52</v>
      </c>
      <c r="E33" s="12">
        <f t="shared" si="0"/>
        <v>104.28163105145177</v>
      </c>
      <c r="F33" s="186" t="s">
        <v>116</v>
      </c>
      <c r="G33" s="187"/>
      <c r="H33" s="187"/>
      <c r="I33" s="187"/>
      <c r="J33" s="188"/>
      <c r="K33" s="106">
        <f>M33/Summary!$X$6</f>
        <v>25.165199394622451</v>
      </c>
      <c r="L33" s="102">
        <f>O33/Summary!$X$6</f>
        <v>525.26987192186709</v>
      </c>
      <c r="M33" s="17">
        <f>[32]Specimen!$J$18</f>
        <v>23.039660000000001</v>
      </c>
      <c r="N33" s="18">
        <f>[32]Specimen!$J$19</f>
        <v>6.4879999999999993E-2</v>
      </c>
      <c r="O33" s="118">
        <f>[32]Specimen!$J$25</f>
        <v>480.90376982705129</v>
      </c>
      <c r="P33" s="19">
        <f>[32]Specimen!$J$24</f>
        <v>1.1898517692999995E-2</v>
      </c>
      <c r="Q33" s="180">
        <v>26</v>
      </c>
      <c r="R33" s="56">
        <v>21211</v>
      </c>
      <c r="S33" s="57">
        <v>255</v>
      </c>
      <c r="T33" s="57">
        <v>140</v>
      </c>
      <c r="U33" s="57">
        <v>100</v>
      </c>
      <c r="V33" s="57">
        <v>10</v>
      </c>
      <c r="W33" s="58" t="s">
        <v>6</v>
      </c>
    </row>
    <row r="34" spans="1:23" x14ac:dyDescent="0.25">
      <c r="A34" s="31" t="s">
        <v>111</v>
      </c>
      <c r="B34" s="13">
        <v>3.32</v>
      </c>
      <c r="C34" s="14">
        <v>9.07</v>
      </c>
      <c r="D34" s="14">
        <v>3.11</v>
      </c>
      <c r="E34" s="14">
        <f t="shared" si="0"/>
        <v>98.907293199671784</v>
      </c>
      <c r="F34" s="189"/>
      <c r="G34" s="190"/>
      <c r="H34" s="190"/>
      <c r="I34" s="190"/>
      <c r="J34" s="191"/>
      <c r="K34" s="106">
        <f>M34/Summary!$X$6</f>
        <v>29.667389908227346</v>
      </c>
      <c r="L34" s="102">
        <f>O34/Summary!$X$6</f>
        <v>589.22788410073872</v>
      </c>
      <c r="M34" s="17">
        <f>[33]Specimen!$J$18</f>
        <v>27.161580000000001</v>
      </c>
      <c r="N34" s="18">
        <f>[33]Specimen!$J$19</f>
        <v>5.8549999999999998E-2</v>
      </c>
      <c r="O34" s="18">
        <f>[33]Specimen!$J$25</f>
        <v>539.45966806451759</v>
      </c>
      <c r="P34" s="19">
        <f>[33]Specimen!$J$24</f>
        <v>1.5025912689000005E-2</v>
      </c>
      <c r="Q34" s="181"/>
      <c r="R34" s="51">
        <v>21211</v>
      </c>
      <c r="S34" s="9">
        <v>255</v>
      </c>
      <c r="T34" s="9">
        <v>140</v>
      </c>
      <c r="U34" s="9">
        <v>100</v>
      </c>
      <c r="V34" s="9">
        <v>10</v>
      </c>
      <c r="W34" s="52" t="s">
        <v>6</v>
      </c>
    </row>
    <row r="35" spans="1:23" x14ac:dyDescent="0.25">
      <c r="A35" s="31" t="s">
        <v>112</v>
      </c>
      <c r="B35" s="13">
        <v>3.31</v>
      </c>
      <c r="C35" s="14">
        <v>9.11</v>
      </c>
      <c r="D35" s="14">
        <v>3.02</v>
      </c>
      <c r="E35" s="14">
        <f t="shared" si="0"/>
        <v>97.999639365701611</v>
      </c>
      <c r="F35" s="189"/>
      <c r="G35" s="190"/>
      <c r="H35" s="190"/>
      <c r="I35" s="190"/>
      <c r="J35" s="191"/>
      <c r="K35" s="106">
        <f>M35/Summary!$X$6</f>
        <v>31.967407296731611</v>
      </c>
      <c r="L35" s="102">
        <f>O35/Summary!$X$6</f>
        <v>667.04578941687953</v>
      </c>
      <c r="M35" s="17">
        <f>[34]Specimen!$J$18</f>
        <v>29.267330000000001</v>
      </c>
      <c r="N35" s="18">
        <f>[34]Specimen!$J$19</f>
        <v>5.4339999999999999E-2</v>
      </c>
      <c r="O35" s="18">
        <f>[34]Specimen!$J$25</f>
        <v>610.70480513977566</v>
      </c>
      <c r="P35" s="19">
        <f>[34]Specimen!$J$24</f>
        <v>1.6985546000999999E-2</v>
      </c>
      <c r="Q35" s="181"/>
      <c r="R35" s="51">
        <v>21211</v>
      </c>
      <c r="S35" s="9">
        <v>255</v>
      </c>
      <c r="T35" s="9">
        <v>140</v>
      </c>
      <c r="U35" s="9">
        <v>100</v>
      </c>
      <c r="V35" s="9">
        <v>10</v>
      </c>
      <c r="W35" s="52" t="s">
        <v>6</v>
      </c>
    </row>
    <row r="36" spans="1:23" x14ac:dyDescent="0.25">
      <c r="A36" s="31" t="s">
        <v>113</v>
      </c>
      <c r="B36" s="13">
        <v>3.26</v>
      </c>
      <c r="C36" s="14">
        <v>9.0399999999999991</v>
      </c>
      <c r="D36" s="14">
        <v>2.94</v>
      </c>
      <c r="E36" s="14">
        <f t="shared" si="0"/>
        <v>96.395390755442918</v>
      </c>
      <c r="F36" s="189"/>
      <c r="G36" s="190"/>
      <c r="H36" s="190"/>
      <c r="I36" s="190"/>
      <c r="J36" s="191"/>
      <c r="K36" s="106">
        <f>M36/Summary!$X$6</f>
        <v>34.11241175978104</v>
      </c>
      <c r="L36" s="102">
        <f>O36/Summary!$X$6</f>
        <v>635.05125065685252</v>
      </c>
      <c r="M36" s="17">
        <f>[35]Specimen!$J$18</f>
        <v>31.231159999999999</v>
      </c>
      <c r="N36" s="18">
        <f>[35]Specimen!$J$19</f>
        <v>7.7439999999999995E-2</v>
      </c>
      <c r="O36" s="18">
        <f>[35]Specimen!$J$25</f>
        <v>581.41263529329456</v>
      </c>
      <c r="P36" s="19">
        <f>[35]Specimen!$J$24</f>
        <v>1.6280103628000003E-2</v>
      </c>
      <c r="Q36" s="181"/>
      <c r="R36" s="51">
        <v>21211</v>
      </c>
      <c r="S36" s="9">
        <v>255</v>
      </c>
      <c r="T36" s="9">
        <v>140</v>
      </c>
      <c r="U36" s="9">
        <v>100</v>
      </c>
      <c r="V36" s="9">
        <v>10</v>
      </c>
      <c r="W36" s="52" t="s">
        <v>6</v>
      </c>
    </row>
    <row r="37" spans="1:23" x14ac:dyDescent="0.25">
      <c r="A37" s="31" t="s">
        <v>114</v>
      </c>
      <c r="B37" s="13">
        <v>3.33</v>
      </c>
      <c r="C37" s="14">
        <v>9.07</v>
      </c>
      <c r="D37" s="14">
        <v>3.01</v>
      </c>
      <c r="E37" s="14">
        <f t="shared" si="0"/>
        <v>97.96324183698836</v>
      </c>
      <c r="F37" s="189"/>
      <c r="G37" s="190"/>
      <c r="H37" s="190"/>
      <c r="I37" s="190"/>
      <c r="J37" s="191"/>
      <c r="K37" s="106">
        <f>M37/Summary!$X$6</f>
        <v>32.133189863146036</v>
      </c>
      <c r="L37" s="102">
        <f>O37/Summary!$X$6</f>
        <v>539.30057482610312</v>
      </c>
      <c r="M37" s="17">
        <f>[36]Specimen!$J$18</f>
        <v>29.41911</v>
      </c>
      <c r="N37" s="18">
        <f>[36]Specimen!$J$19</f>
        <v>5.96E-2</v>
      </c>
      <c r="O37" s="18">
        <f>[36]Specimen!$J$25</f>
        <v>493.74939125072615</v>
      </c>
      <c r="P37" s="19">
        <f>[36]Specimen!$J$24</f>
        <v>1.4072987402000005E-2</v>
      </c>
      <c r="Q37" s="181"/>
      <c r="R37" s="51">
        <v>21211</v>
      </c>
      <c r="S37" s="9">
        <v>255</v>
      </c>
      <c r="T37" s="9">
        <v>140</v>
      </c>
      <c r="U37" s="9">
        <v>100</v>
      </c>
      <c r="V37" s="9">
        <v>10</v>
      </c>
      <c r="W37" s="52" t="s">
        <v>6</v>
      </c>
    </row>
    <row r="38" spans="1:23" ht="15.75" thickBot="1" x14ac:dyDescent="0.3">
      <c r="A38" s="33" t="s">
        <v>115</v>
      </c>
      <c r="B38" s="6">
        <v>3.3</v>
      </c>
      <c r="C38" s="7">
        <v>9.25</v>
      </c>
      <c r="D38" s="7">
        <v>3.53</v>
      </c>
      <c r="E38" s="7">
        <f t="shared" si="0"/>
        <v>103.73106635561101</v>
      </c>
      <c r="F38" s="192"/>
      <c r="G38" s="193"/>
      <c r="H38" s="193"/>
      <c r="I38" s="193"/>
      <c r="J38" s="194"/>
      <c r="K38" s="98">
        <f>M38/Summary!$X$6</f>
        <v>27.954907770085338</v>
      </c>
      <c r="L38" s="103">
        <f>O38/Summary!$X$6</f>
        <v>534.13766825015648</v>
      </c>
      <c r="M38" s="20">
        <f>[37]Specimen!$J$18</f>
        <v>25.59374</v>
      </c>
      <c r="N38" s="1">
        <f>[37]Specimen!$J$19</f>
        <v>5.5350000000000003E-2</v>
      </c>
      <c r="O38" s="1">
        <f>[37]Specimen!$J$25</f>
        <v>489.02256154211693</v>
      </c>
      <c r="P38" s="21">
        <f>[37]Specimen!$J$24</f>
        <v>1.1049280910999999E-2</v>
      </c>
      <c r="Q38" s="182"/>
      <c r="R38" s="53">
        <v>21211</v>
      </c>
      <c r="S38" s="54">
        <v>255</v>
      </c>
      <c r="T38" s="54">
        <v>140</v>
      </c>
      <c r="U38" s="54">
        <v>100</v>
      </c>
      <c r="V38" s="54">
        <v>10</v>
      </c>
      <c r="W38" s="55" t="s">
        <v>6</v>
      </c>
    </row>
    <row r="39" spans="1:23" x14ac:dyDescent="0.25">
      <c r="A39" s="31" t="s">
        <v>47</v>
      </c>
      <c r="B39" s="11">
        <v>3.43</v>
      </c>
      <c r="C39" s="12">
        <v>9.8699999999999992</v>
      </c>
      <c r="D39" s="12">
        <v>3.39</v>
      </c>
      <c r="E39" s="12">
        <f t="shared" si="0"/>
        <v>105.78631819741695</v>
      </c>
      <c r="F39" s="186"/>
      <c r="G39" s="187"/>
      <c r="H39" s="187"/>
      <c r="I39" s="187"/>
      <c r="J39" s="188"/>
      <c r="K39" s="106">
        <f>M39/Summary!$X$12</f>
        <v>8.9944588617250165</v>
      </c>
      <c r="L39" s="106">
        <f>O39/Summary!$X$12</f>
        <v>403.59702085947521</v>
      </c>
      <c r="M39" s="17">
        <f>[38]Specimen!$J$18</f>
        <v>6.7789900000000003</v>
      </c>
      <c r="N39" s="18">
        <f>[38]Specimen!$J$19</f>
        <v>2.2870000000000001E-2</v>
      </c>
      <c r="O39" s="118">
        <f>[38]Specimen!$J$25</f>
        <v>304.18507777925953</v>
      </c>
      <c r="P39" s="19">
        <f>[38]Specimen!$J$24</f>
        <v>7.8076148500000016E-4</v>
      </c>
      <c r="Q39" s="180">
        <v>23</v>
      </c>
      <c r="R39" s="56">
        <v>22222</v>
      </c>
      <c r="S39" s="57">
        <v>255</v>
      </c>
      <c r="T39" s="57">
        <v>290</v>
      </c>
      <c r="U39" s="57">
        <v>100</v>
      </c>
      <c r="V39" s="57">
        <v>35</v>
      </c>
      <c r="W39" s="58" t="s">
        <v>7</v>
      </c>
    </row>
    <row r="40" spans="1:23" x14ac:dyDescent="0.25">
      <c r="A40" s="32" t="s">
        <v>48</v>
      </c>
      <c r="B40" s="13">
        <v>3.45</v>
      </c>
      <c r="C40" s="14">
        <v>9.7200000000000006</v>
      </c>
      <c r="D40" s="14">
        <v>3.4</v>
      </c>
      <c r="E40" s="14">
        <f t="shared" si="0"/>
        <v>105.57481436201688</v>
      </c>
      <c r="F40" s="189"/>
      <c r="G40" s="190"/>
      <c r="H40" s="190"/>
      <c r="I40" s="190"/>
      <c r="J40" s="191"/>
      <c r="K40" s="106">
        <f>M40/Summary!$X$12</f>
        <v>7.3770858595736364</v>
      </c>
      <c r="L40" s="102">
        <f>O40/Summary!$X$12</f>
        <v>403.09325944033247</v>
      </c>
      <c r="M40" s="17">
        <f>[39]Specimen!$J$18</f>
        <v>5.56</v>
      </c>
      <c r="N40" s="18">
        <f>[39]Specimen!$J$19</f>
        <v>1.8669999999999999E-2</v>
      </c>
      <c r="O40" s="18">
        <f>[39]Specimen!$J$25</f>
        <v>303.80540028278591</v>
      </c>
      <c r="P40" s="19">
        <f>[39]Specimen!$J$24</f>
        <v>4.9942617700000002E-4</v>
      </c>
      <c r="Q40" s="181"/>
      <c r="R40" s="51">
        <v>22222</v>
      </c>
      <c r="S40" s="9">
        <v>255</v>
      </c>
      <c r="T40" s="9">
        <v>290</v>
      </c>
      <c r="U40" s="9">
        <v>100</v>
      </c>
      <c r="V40" s="9">
        <v>35</v>
      </c>
      <c r="W40" s="52" t="s">
        <v>7</v>
      </c>
    </row>
    <row r="41" spans="1:23" x14ac:dyDescent="0.25">
      <c r="A41" s="32" t="s">
        <v>49</v>
      </c>
      <c r="B41" s="13">
        <v>3.48</v>
      </c>
      <c r="C41" s="14">
        <v>9.9</v>
      </c>
      <c r="D41" s="14">
        <v>3.42</v>
      </c>
      <c r="E41" s="14">
        <f t="shared" si="0"/>
        <v>106.726548733889</v>
      </c>
      <c r="F41" s="189"/>
      <c r="G41" s="190"/>
      <c r="H41" s="190"/>
      <c r="I41" s="190"/>
      <c r="J41" s="191"/>
      <c r="K41" s="106">
        <f>M41/Summary!$X$12</f>
        <v>7.7605616428711137</v>
      </c>
      <c r="L41" s="102">
        <f>O41/Summary!$X$12</f>
        <v>381.58095137069699</v>
      </c>
      <c r="M41" s="17">
        <f>[40]Specimen!$J$18</f>
        <v>5.8490200000000003</v>
      </c>
      <c r="N41" s="18">
        <f>[40]Specimen!$J$19</f>
        <v>2.078E-2</v>
      </c>
      <c r="O41" s="18">
        <f>[40]Specimen!$J$25</f>
        <v>287.59189333112818</v>
      </c>
      <c r="P41" s="19">
        <f>[40]Specimen!$J$24</f>
        <v>5.9947800000000008E-4</v>
      </c>
      <c r="Q41" s="181"/>
      <c r="R41" s="51">
        <v>22222</v>
      </c>
      <c r="S41" s="9">
        <v>255</v>
      </c>
      <c r="T41" s="9">
        <v>290</v>
      </c>
      <c r="U41" s="9">
        <v>100</v>
      </c>
      <c r="V41" s="9">
        <v>35</v>
      </c>
      <c r="W41" s="52" t="s">
        <v>7</v>
      </c>
    </row>
    <row r="42" spans="1:23" x14ac:dyDescent="0.25">
      <c r="A42" s="32" t="s">
        <v>50</v>
      </c>
      <c r="B42" s="13">
        <v>3.43</v>
      </c>
      <c r="C42" s="14">
        <v>9.7200000000000006</v>
      </c>
      <c r="D42" s="14">
        <v>3.42</v>
      </c>
      <c r="E42" s="14">
        <f t="shared" si="0"/>
        <v>105.57612463455357</v>
      </c>
      <c r="F42" s="189"/>
      <c r="G42" s="190"/>
      <c r="H42" s="190"/>
      <c r="I42" s="190"/>
      <c r="J42" s="191"/>
      <c r="K42" s="106">
        <f>M42/Summary!$X$12</f>
        <v>7.8680866497164104</v>
      </c>
      <c r="L42" s="102">
        <f>O42/Summary!$X$12</f>
        <v>386.50954403407616</v>
      </c>
      <c r="M42" s="17">
        <f>[41]Specimen!$J$18</f>
        <v>5.9300600000000001</v>
      </c>
      <c r="N42" s="18">
        <f>[41]Specimen!$J$19</f>
        <v>2.0789999999999999E-2</v>
      </c>
      <c r="O42" s="18">
        <f>[41]Specimen!$J$25</f>
        <v>291.30650039006946</v>
      </c>
      <c r="P42" s="19">
        <f>[41]Specimen!$J$24</f>
        <v>6.0365575399999995E-4</v>
      </c>
      <c r="Q42" s="181"/>
      <c r="R42" s="51">
        <v>22222</v>
      </c>
      <c r="S42" s="9">
        <v>255</v>
      </c>
      <c r="T42" s="9">
        <v>290</v>
      </c>
      <c r="U42" s="9">
        <v>100</v>
      </c>
      <c r="V42" s="9">
        <v>35</v>
      </c>
      <c r="W42" s="52" t="s">
        <v>7</v>
      </c>
    </row>
    <row r="43" spans="1:23" x14ac:dyDescent="0.25">
      <c r="A43" s="32" t="s">
        <v>51</v>
      </c>
      <c r="B43" s="13">
        <v>3.5</v>
      </c>
      <c r="C43" s="14">
        <v>9.8699999999999992</v>
      </c>
      <c r="D43" s="14">
        <v>3.43</v>
      </c>
      <c r="E43" s="14">
        <f t="shared" si="0"/>
        <v>106.93477207582367</v>
      </c>
      <c r="F43" s="189"/>
      <c r="G43" s="190"/>
      <c r="H43" s="190"/>
      <c r="I43" s="190"/>
      <c r="J43" s="191"/>
      <c r="K43" s="106">
        <f>M43/Summary!$X$12</f>
        <v>7.9895697398787417</v>
      </c>
      <c r="L43" s="102">
        <f>O43/Summary!$X$12</f>
        <v>390.86983163558205</v>
      </c>
      <c r="M43" s="17">
        <f>[42]Specimen!$J$18</f>
        <v>6.0216200000000004</v>
      </c>
      <c r="N43" s="18">
        <f>[42]Specimen!$J$19</f>
        <v>2.0750000000000001E-2</v>
      </c>
      <c r="O43" s="18">
        <f>[42]Specimen!$J$25</f>
        <v>294.59278436803226</v>
      </c>
      <c r="P43" s="19">
        <f>[42]Specimen!$J$24</f>
        <v>6.1440192500000009E-4</v>
      </c>
      <c r="Q43" s="181"/>
      <c r="R43" s="51">
        <v>22222</v>
      </c>
      <c r="S43" s="9">
        <v>255</v>
      </c>
      <c r="T43" s="9">
        <v>290</v>
      </c>
      <c r="U43" s="9">
        <v>100</v>
      </c>
      <c r="V43" s="9">
        <v>35</v>
      </c>
      <c r="W43" s="52" t="s">
        <v>7</v>
      </c>
    </row>
    <row r="44" spans="1:23" ht="15.75" thickBot="1" x14ac:dyDescent="0.3">
      <c r="A44" s="33" t="s">
        <v>52</v>
      </c>
      <c r="B44" s="6">
        <v>3.45</v>
      </c>
      <c r="C44" s="7">
        <v>9.82</v>
      </c>
      <c r="D44" s="7">
        <v>3.2</v>
      </c>
      <c r="E44" s="7">
        <f t="shared" si="0"/>
        <v>103.82815095109564</v>
      </c>
      <c r="F44" s="192"/>
      <c r="G44" s="193"/>
      <c r="H44" s="193"/>
      <c r="I44" s="193"/>
      <c r="J44" s="194"/>
      <c r="K44" s="98">
        <f>M44/Summary!$X$12</f>
        <v>9.3577803403090165</v>
      </c>
      <c r="L44" s="103">
        <f>O44/Summary!$X$12</f>
        <v>457.6374325826875</v>
      </c>
      <c r="M44" s="20">
        <f>[43]Specimen!$J$18</f>
        <v>7.0528199999999996</v>
      </c>
      <c r="N44" s="1">
        <f>[43]Specimen!$J$19</f>
        <v>2.0789999999999999E-2</v>
      </c>
      <c r="O44" s="1">
        <f>[43]Specimen!$J$25</f>
        <v>344.91453313609685</v>
      </c>
      <c r="P44" s="21">
        <f>[43]Specimen!$J$24</f>
        <v>7.1183767400000001E-4</v>
      </c>
      <c r="Q44" s="182"/>
      <c r="R44" s="53">
        <v>22222</v>
      </c>
      <c r="S44" s="54">
        <v>255</v>
      </c>
      <c r="T44" s="54">
        <v>290</v>
      </c>
      <c r="U44" s="54">
        <v>100</v>
      </c>
      <c r="V44" s="54">
        <v>35</v>
      </c>
      <c r="W44" s="55" t="s">
        <v>7</v>
      </c>
    </row>
    <row r="45" spans="1:23" x14ac:dyDescent="0.25">
      <c r="A45" s="31" t="s">
        <v>53</v>
      </c>
      <c r="B45" s="11">
        <v>3.46</v>
      </c>
      <c r="C45" s="12">
        <v>9.76</v>
      </c>
      <c r="D45" s="12">
        <v>3.25</v>
      </c>
      <c r="E45" s="12">
        <f t="shared" si="0"/>
        <v>104.24656304376995</v>
      </c>
      <c r="F45" s="186"/>
      <c r="G45" s="187"/>
      <c r="H45" s="187"/>
      <c r="I45" s="187"/>
      <c r="J45" s="188"/>
      <c r="K45" s="106">
        <f>M45/Summary!$X$12</f>
        <v>10.13049027967925</v>
      </c>
      <c r="L45" s="102">
        <f>O45/Summary!$X$12</f>
        <v>475.55805849323542</v>
      </c>
      <c r="M45" s="17">
        <f>[44]Specimen!$J$18</f>
        <v>7.6352000000000002</v>
      </c>
      <c r="N45" s="18">
        <f>[44]Specimen!$J$19</f>
        <v>2.1839999999999998E-2</v>
      </c>
      <c r="O45" s="118">
        <f>[44]Specimen!$J$25</f>
        <v>358.42104261142578</v>
      </c>
      <c r="P45" s="19">
        <f>[44]Specimen!$J$24</f>
        <v>8.3446332699999991E-4</v>
      </c>
      <c r="Q45" s="180">
        <v>38</v>
      </c>
      <c r="R45" s="56">
        <v>21112</v>
      </c>
      <c r="S45" s="57">
        <v>255</v>
      </c>
      <c r="T45" s="57">
        <v>140</v>
      </c>
      <c r="U45" s="57">
        <v>80</v>
      </c>
      <c r="V45" s="57">
        <v>10</v>
      </c>
      <c r="W45" s="58" t="s">
        <v>7</v>
      </c>
    </row>
    <row r="46" spans="1:23" x14ac:dyDescent="0.25">
      <c r="A46" s="31" t="s">
        <v>54</v>
      </c>
      <c r="B46" s="13">
        <v>3.48</v>
      </c>
      <c r="C46" s="14">
        <v>9.75</v>
      </c>
      <c r="D46" s="14">
        <v>3.27</v>
      </c>
      <c r="E46" s="14">
        <f t="shared" si="0"/>
        <v>104.62956271819543</v>
      </c>
      <c r="F46" s="189"/>
      <c r="G46" s="190"/>
      <c r="H46" s="190"/>
      <c r="I46" s="190"/>
      <c r="J46" s="191"/>
      <c r="K46" s="106">
        <f>M46/Summary!$X$12</f>
        <v>10.13049027967925</v>
      </c>
      <c r="L46" s="102">
        <f>O46/Summary!$X$12</f>
        <v>475.55805849323542</v>
      </c>
      <c r="M46" s="17">
        <f>[44]Specimen!$J$18</f>
        <v>7.6352000000000002</v>
      </c>
      <c r="N46" s="18">
        <f>[44]Specimen!$J$19</f>
        <v>2.1839999999999998E-2</v>
      </c>
      <c r="O46" s="18">
        <f>[44]Specimen!$J$25</f>
        <v>358.42104261142578</v>
      </c>
      <c r="P46" s="19">
        <f>[44]Specimen!$J$24</f>
        <v>8.3446332699999991E-4</v>
      </c>
      <c r="Q46" s="181"/>
      <c r="R46" s="51">
        <v>21112</v>
      </c>
      <c r="S46" s="9">
        <v>255</v>
      </c>
      <c r="T46" s="9">
        <v>140</v>
      </c>
      <c r="U46" s="9">
        <v>80</v>
      </c>
      <c r="V46" s="9">
        <v>10</v>
      </c>
      <c r="W46" s="52" t="s">
        <v>7</v>
      </c>
    </row>
    <row r="47" spans="1:23" x14ac:dyDescent="0.25">
      <c r="A47" s="31" t="s">
        <v>55</v>
      </c>
      <c r="B47" s="13">
        <v>3.45</v>
      </c>
      <c r="C47" s="14">
        <v>9.75</v>
      </c>
      <c r="D47" s="14">
        <v>3.27</v>
      </c>
      <c r="E47" s="14">
        <f t="shared" si="0"/>
        <v>104.31706271819543</v>
      </c>
      <c r="F47" s="189"/>
      <c r="G47" s="190"/>
      <c r="H47" s="190"/>
      <c r="I47" s="190"/>
      <c r="J47" s="191"/>
      <c r="K47" s="106">
        <f>M47/Summary!$X$12</f>
        <v>10.371731601799336</v>
      </c>
      <c r="L47" s="102">
        <f>O47/Summary!$X$12</f>
        <v>465.25294761751178</v>
      </c>
      <c r="M47" s="17">
        <f>[45]Specimen!$J$18</f>
        <v>7.8170200000000003</v>
      </c>
      <c r="N47" s="18">
        <f>[45]Specimen!$J$19</f>
        <v>2.2890000000000001E-2</v>
      </c>
      <c r="O47" s="18">
        <f>[45]Specimen!$J$25</f>
        <v>350.6542336627856</v>
      </c>
      <c r="P47" s="19">
        <f>[45]Specimen!$J$24</f>
        <v>9.0245051499999996E-4</v>
      </c>
      <c r="Q47" s="181"/>
      <c r="R47" s="51">
        <v>21112</v>
      </c>
      <c r="S47" s="9">
        <v>255</v>
      </c>
      <c r="T47" s="9">
        <v>140</v>
      </c>
      <c r="U47" s="9">
        <v>80</v>
      </c>
      <c r="V47" s="9">
        <v>10</v>
      </c>
      <c r="W47" s="52" t="s">
        <v>7</v>
      </c>
    </row>
    <row r="48" spans="1:23" x14ac:dyDescent="0.25">
      <c r="A48" s="31" t="s">
        <v>56</v>
      </c>
      <c r="B48" s="13">
        <v>3.5</v>
      </c>
      <c r="C48" s="14">
        <v>9.76</v>
      </c>
      <c r="D48" s="14">
        <v>3.31</v>
      </c>
      <c r="E48" s="14">
        <f t="shared" si="0"/>
        <v>105.29216052804671</v>
      </c>
      <c r="F48" s="189"/>
      <c r="G48" s="190"/>
      <c r="H48" s="190"/>
      <c r="I48" s="190"/>
      <c r="J48" s="191"/>
      <c r="K48" s="106">
        <f>M48/Summary!$X$12</f>
        <v>9.4530721220418563</v>
      </c>
      <c r="L48" s="102">
        <f>O48/Summary!$X$12</f>
        <v>464.02278722540512</v>
      </c>
      <c r="M48" s="17">
        <f>[46]Specimen!$J$18</f>
        <v>7.1246400000000003</v>
      </c>
      <c r="N48" s="18">
        <f>[46]Specimen!$J$19</f>
        <v>2.078E-2</v>
      </c>
      <c r="O48" s="18">
        <f>[46]Specimen!$J$25</f>
        <v>349.7270800535814</v>
      </c>
      <c r="P48" s="19">
        <f>[46]Specimen!$J$24</f>
        <v>7.2409240799999996E-4</v>
      </c>
      <c r="Q48" s="181"/>
      <c r="R48" s="51">
        <v>21112</v>
      </c>
      <c r="S48" s="9">
        <v>255</v>
      </c>
      <c r="T48" s="9">
        <v>140</v>
      </c>
      <c r="U48" s="9">
        <v>80</v>
      </c>
      <c r="V48" s="9">
        <v>10</v>
      </c>
      <c r="W48" s="52" t="s">
        <v>7</v>
      </c>
    </row>
    <row r="49" spans="1:23" x14ac:dyDescent="0.25">
      <c r="A49" s="31" t="s">
        <v>57</v>
      </c>
      <c r="B49" s="13">
        <v>3.46</v>
      </c>
      <c r="C49" s="14">
        <v>9.77</v>
      </c>
      <c r="D49" s="14">
        <v>3.3</v>
      </c>
      <c r="E49" s="14">
        <f t="shared" si="0"/>
        <v>104.80564932322292</v>
      </c>
      <c r="F49" s="189"/>
      <c r="G49" s="190"/>
      <c r="H49" s="190"/>
      <c r="I49" s="190"/>
      <c r="J49" s="191"/>
      <c r="K49" s="106">
        <f>M49/Summary!$X$12</f>
        <v>11.870898744377079</v>
      </c>
      <c r="L49" s="102">
        <f>O49/Summary!$X$12</f>
        <v>433.58031662253813</v>
      </c>
      <c r="M49" s="17">
        <f>[47]Specimen!$J$18</f>
        <v>8.9469200000000004</v>
      </c>
      <c r="N49" s="18">
        <f>[47]Specimen!$J$19</f>
        <v>2.8070000000000001E-2</v>
      </c>
      <c r="O49" s="18">
        <f>[47]Specimen!$J$25</f>
        <v>326.78304228936281</v>
      </c>
      <c r="P49" s="19">
        <f>[47]Specimen!$J$24</f>
        <v>1.319534484E-3</v>
      </c>
      <c r="Q49" s="181"/>
      <c r="R49" s="51">
        <v>21112</v>
      </c>
      <c r="S49" s="9">
        <v>255</v>
      </c>
      <c r="T49" s="9">
        <v>140</v>
      </c>
      <c r="U49" s="9">
        <v>80</v>
      </c>
      <c r="V49" s="9">
        <v>10</v>
      </c>
      <c r="W49" s="52" t="s">
        <v>7</v>
      </c>
    </row>
    <row r="50" spans="1:23" ht="15.75" thickBot="1" x14ac:dyDescent="0.3">
      <c r="A50" s="33" t="s">
        <v>58</v>
      </c>
      <c r="B50" s="6">
        <v>3.48</v>
      </c>
      <c r="C50" s="7">
        <v>9.74</v>
      </c>
      <c r="D50" s="7">
        <v>3.22</v>
      </c>
      <c r="E50" s="7">
        <f t="shared" si="0"/>
        <v>104.0704764387425</v>
      </c>
      <c r="F50" s="192"/>
      <c r="G50" s="193"/>
      <c r="H50" s="193"/>
      <c r="I50" s="193"/>
      <c r="J50" s="194"/>
      <c r="K50" s="98">
        <f>M50/Summary!$X$12</f>
        <v>11.808909994132604</v>
      </c>
      <c r="L50" s="103">
        <f>O50/Summary!$X$12</f>
        <v>452.18363469097096</v>
      </c>
      <c r="M50" s="20">
        <f>[48]Specimen!$J$18</f>
        <v>8.9001999999999999</v>
      </c>
      <c r="N50" s="1">
        <f>[48]Specimen!$J$19</f>
        <v>2.7029999999999998E-2</v>
      </c>
      <c r="O50" s="1">
        <f>[48]Specimen!$J$25</f>
        <v>340.8040867003146</v>
      </c>
      <c r="P50" s="21">
        <f>[48]Specimen!$J$24</f>
        <v>1.2503020159999999E-3</v>
      </c>
      <c r="Q50" s="182"/>
      <c r="R50" s="53">
        <v>21112</v>
      </c>
      <c r="S50" s="54">
        <v>255</v>
      </c>
      <c r="T50" s="54">
        <v>140</v>
      </c>
      <c r="U50" s="54">
        <v>80</v>
      </c>
      <c r="V50" s="54">
        <v>10</v>
      </c>
      <c r="W50" s="55" t="s">
        <v>7</v>
      </c>
    </row>
    <row r="51" spans="1:23" x14ac:dyDescent="0.25">
      <c r="A51" s="31" t="s">
        <v>47</v>
      </c>
      <c r="B51" s="11">
        <v>3.46</v>
      </c>
      <c r="C51" s="12">
        <v>9.86</v>
      </c>
      <c r="D51" s="12">
        <v>3.39</v>
      </c>
      <c r="E51" s="12">
        <f t="shared" si="0"/>
        <v>106.06384093263908</v>
      </c>
      <c r="F51" s="186"/>
      <c r="G51" s="187"/>
      <c r="H51" s="187"/>
      <c r="I51" s="187"/>
      <c r="J51" s="188"/>
      <c r="K51" s="106">
        <f>M51/Summary!$X$12</f>
        <v>8.5225509250929026</v>
      </c>
      <c r="L51" s="102">
        <f>O51/Summary!$X$12</f>
        <v>398.41701928904934</v>
      </c>
      <c r="M51" s="17">
        <f>[49]Specimen!$J$18</f>
        <v>6.4233200000000004</v>
      </c>
      <c r="N51" s="18">
        <f>[49]Specimen!$J$19</f>
        <v>2.1839999999999998E-2</v>
      </c>
      <c r="O51" s="118">
        <f>[49]Specimen!$J$25</f>
        <v>300.28098756263398</v>
      </c>
      <c r="P51" s="19">
        <f>[49]Specimen!$J$24</f>
        <v>6.97621175E-4</v>
      </c>
      <c r="Q51" s="180">
        <v>10</v>
      </c>
      <c r="R51" s="56">
        <v>22222</v>
      </c>
      <c r="S51" s="57">
        <v>255</v>
      </c>
      <c r="T51" s="57">
        <v>290</v>
      </c>
      <c r="U51" s="57">
        <v>100</v>
      </c>
      <c r="V51" s="57">
        <v>35</v>
      </c>
      <c r="W51" s="58" t="s">
        <v>7</v>
      </c>
    </row>
    <row r="52" spans="1:23" x14ac:dyDescent="0.25">
      <c r="A52" s="32" t="s">
        <v>48</v>
      </c>
      <c r="B52" s="13">
        <v>3.45</v>
      </c>
      <c r="C52" s="14">
        <v>9.7100000000000009</v>
      </c>
      <c r="D52" s="14">
        <v>3.42</v>
      </c>
      <c r="E52" s="14">
        <f t="shared" si="0"/>
        <v>105.74948070310901</v>
      </c>
      <c r="F52" s="189"/>
      <c r="G52" s="190"/>
      <c r="H52" s="190"/>
      <c r="I52" s="190"/>
      <c r="J52" s="191"/>
      <c r="K52" s="106">
        <f>M52/Summary!$X$12</f>
        <v>9.495715924115002</v>
      </c>
      <c r="L52" s="102">
        <f>O52/Summary!$X$12</f>
        <v>375.63964888796562</v>
      </c>
      <c r="M52" s="17">
        <f>[50]Specimen!$J$18</f>
        <v>7.1567800000000004</v>
      </c>
      <c r="N52" s="18">
        <f>[50]Specimen!$J$19</f>
        <v>2.5999999999999999E-2</v>
      </c>
      <c r="O52" s="18">
        <f>[50]Specimen!$J$25</f>
        <v>283.11402192868042</v>
      </c>
      <c r="P52" s="19">
        <f>[50]Specimen!$J$24</f>
        <v>9.4768035500000011E-4</v>
      </c>
      <c r="Q52" s="181"/>
      <c r="R52" s="51">
        <v>22222</v>
      </c>
      <c r="S52" s="9">
        <v>255</v>
      </c>
      <c r="T52" s="9">
        <v>290</v>
      </c>
      <c r="U52" s="9">
        <v>100</v>
      </c>
      <c r="V52" s="9">
        <v>35</v>
      </c>
      <c r="W52" s="52" t="s">
        <v>7</v>
      </c>
    </row>
    <row r="53" spans="1:23" x14ac:dyDescent="0.25">
      <c r="A53" s="32" t="s">
        <v>49</v>
      </c>
      <c r="B53" s="13">
        <v>3.49</v>
      </c>
      <c r="C53" s="14">
        <v>9.8800000000000008</v>
      </c>
      <c r="D53" s="14">
        <v>3.44</v>
      </c>
      <c r="E53" s="14">
        <f t="shared" si="0"/>
        <v>106.9704044768699</v>
      </c>
      <c r="F53" s="189"/>
      <c r="G53" s="190"/>
      <c r="H53" s="190"/>
      <c r="I53" s="190"/>
      <c r="J53" s="191"/>
      <c r="K53" s="106">
        <f>M53/Summary!$X$12</f>
        <v>8.0296793272051641</v>
      </c>
      <c r="L53" s="102">
        <f>O53/Summary!$X$12</f>
        <v>374.40397148841214</v>
      </c>
      <c r="M53" s="17">
        <f>[51]Specimen!$J$18</f>
        <v>6.05185</v>
      </c>
      <c r="N53" s="18">
        <f>[51]Specimen!$J$19</f>
        <v>2.1870000000000001E-2</v>
      </c>
      <c r="O53" s="18">
        <f>[51]Specimen!$J$25</f>
        <v>282.18271023293795</v>
      </c>
      <c r="P53" s="19">
        <f>[51]Specimen!$J$24</f>
        <v>6.5674940599999999E-4</v>
      </c>
      <c r="Q53" s="181"/>
      <c r="R53" s="51">
        <v>22222</v>
      </c>
      <c r="S53" s="9">
        <v>255</v>
      </c>
      <c r="T53" s="9">
        <v>290</v>
      </c>
      <c r="U53" s="9">
        <v>100</v>
      </c>
      <c r="V53" s="9">
        <v>35</v>
      </c>
      <c r="W53" s="52" t="s">
        <v>7</v>
      </c>
    </row>
    <row r="54" spans="1:23" x14ac:dyDescent="0.25">
      <c r="A54" s="32" t="s">
        <v>50</v>
      </c>
      <c r="B54" s="13">
        <v>3.44</v>
      </c>
      <c r="C54" s="14">
        <v>9.7100000000000009</v>
      </c>
      <c r="D54" s="14">
        <v>3.44</v>
      </c>
      <c r="E54" s="14">
        <f t="shared" si="0"/>
        <v>105.85495764231237</v>
      </c>
      <c r="F54" s="189"/>
      <c r="G54" s="190"/>
      <c r="H54" s="190"/>
      <c r="I54" s="190"/>
      <c r="J54" s="191"/>
      <c r="K54" s="106">
        <f>M54/Summary!$X$12</f>
        <v>8.1621882417367502</v>
      </c>
      <c r="L54" s="102">
        <f>O54/Summary!$X$12</f>
        <v>380.77120923053701</v>
      </c>
      <c r="M54" s="17">
        <f>[52]Specimen!$J$18</f>
        <v>6.1517200000000001</v>
      </c>
      <c r="N54" s="18">
        <f>[52]Specimen!$J$19</f>
        <v>2.1819999999999999E-2</v>
      </c>
      <c r="O54" s="18">
        <f>[52]Specimen!$J$25</f>
        <v>286.98160271163556</v>
      </c>
      <c r="P54" s="19">
        <f>[52]Specimen!$J$24</f>
        <v>6.6723038900000007E-4</v>
      </c>
      <c r="Q54" s="181"/>
      <c r="R54" s="51">
        <v>22222</v>
      </c>
      <c r="S54" s="9">
        <v>255</v>
      </c>
      <c r="T54" s="9">
        <v>290</v>
      </c>
      <c r="U54" s="9">
        <v>100</v>
      </c>
      <c r="V54" s="9">
        <v>35</v>
      </c>
      <c r="W54" s="52" t="s">
        <v>7</v>
      </c>
    </row>
    <row r="55" spans="1:23" x14ac:dyDescent="0.25">
      <c r="A55" s="32" t="s">
        <v>51</v>
      </c>
      <c r="B55" s="13">
        <v>3.51</v>
      </c>
      <c r="C55" s="14">
        <v>9.85</v>
      </c>
      <c r="D55" s="14">
        <v>3.44</v>
      </c>
      <c r="E55" s="14">
        <f t="shared" si="0"/>
        <v>107.07380601586955</v>
      </c>
      <c r="F55" s="189"/>
      <c r="G55" s="190"/>
      <c r="H55" s="190"/>
      <c r="I55" s="190"/>
      <c r="J55" s="191"/>
      <c r="K55" s="106">
        <f>M55/Summary!$X$12</f>
        <v>11.352127737140624</v>
      </c>
      <c r="L55" s="102">
        <f>O55/Summary!$X$12</f>
        <v>384.61371325617904</v>
      </c>
      <c r="M55" s="17">
        <f>[53]Specimen!$J$18</f>
        <v>8.55593</v>
      </c>
      <c r="N55" s="18">
        <f>[53]Specimen!$J$19</f>
        <v>3.022E-2</v>
      </c>
      <c r="O55" s="18">
        <f>[53]Specimen!$J$25</f>
        <v>289.87764090195213</v>
      </c>
      <c r="P55" s="19">
        <f>[53]Specimen!$J$24</f>
        <v>1.3130712599999999E-3</v>
      </c>
      <c r="Q55" s="181"/>
      <c r="R55" s="51">
        <v>22222</v>
      </c>
      <c r="S55" s="9">
        <v>255</v>
      </c>
      <c r="T55" s="9">
        <v>290</v>
      </c>
      <c r="U55" s="9">
        <v>100</v>
      </c>
      <c r="V55" s="9">
        <v>35</v>
      </c>
      <c r="W55" s="52" t="s">
        <v>7</v>
      </c>
    </row>
    <row r="56" spans="1:23" ht="15.75" thickBot="1" x14ac:dyDescent="0.3">
      <c r="A56" s="33" t="s">
        <v>52</v>
      </c>
      <c r="B56" s="6">
        <v>3.45</v>
      </c>
      <c r="C56" s="7">
        <v>9.85</v>
      </c>
      <c r="D56" s="7">
        <v>3.21</v>
      </c>
      <c r="E56" s="7">
        <f t="shared" si="0"/>
        <v>104.03790454836432</v>
      </c>
      <c r="F56" s="192"/>
      <c r="G56" s="193"/>
      <c r="H56" s="193"/>
      <c r="I56" s="193"/>
      <c r="J56" s="194"/>
      <c r="K56" s="98">
        <f>M56/Summary!$X$12</f>
        <v>10.823206602777235</v>
      </c>
      <c r="L56" s="103">
        <f>O56/Summary!$X$12</f>
        <v>441.31976152877536</v>
      </c>
      <c r="M56" s="20">
        <f>[54]Specimen!$J$18</f>
        <v>8.1572899999999997</v>
      </c>
      <c r="N56" s="1">
        <f>[54]Specimen!$J$19</f>
        <v>2.4910000000000002E-2</v>
      </c>
      <c r="O56" s="1">
        <f>[54]Specimen!$J$25</f>
        <v>332.61614691872467</v>
      </c>
      <c r="P56" s="21">
        <f>[54]Specimen!$J$24</f>
        <v>1.0052964410000003E-3</v>
      </c>
      <c r="Q56" s="182"/>
      <c r="R56" s="53">
        <v>22222</v>
      </c>
      <c r="S56" s="54">
        <v>255</v>
      </c>
      <c r="T56" s="54">
        <v>290</v>
      </c>
      <c r="U56" s="54">
        <v>100</v>
      </c>
      <c r="V56" s="54">
        <v>35</v>
      </c>
      <c r="W56" s="55" t="s">
        <v>7</v>
      </c>
    </row>
    <row r="57" spans="1:23" x14ac:dyDescent="0.25">
      <c r="A57" s="32" t="s">
        <v>59</v>
      </c>
      <c r="B57" s="11">
        <v>3.37</v>
      </c>
      <c r="C57" s="12">
        <v>9.64</v>
      </c>
      <c r="D57" s="12">
        <v>3.24</v>
      </c>
      <c r="E57" s="12">
        <f t="shared" si="0"/>
        <v>102.78451406350024</v>
      </c>
      <c r="F57" s="186"/>
      <c r="G57" s="187"/>
      <c r="H57" s="187"/>
      <c r="I57" s="187"/>
      <c r="J57" s="188"/>
      <c r="K57" s="106">
        <f>M57/Summary!$X$12</f>
        <v>8.2488291961666338</v>
      </c>
      <c r="L57" s="102">
        <f>O57/Summary!$X$12</f>
        <v>506.1514831655781</v>
      </c>
      <c r="M57" s="17">
        <f>[55]Specimen!$J$18</f>
        <v>6.2170199999999998</v>
      </c>
      <c r="N57" s="18">
        <f>[55]Specimen!$J$19</f>
        <v>1.6570000000000001E-2</v>
      </c>
      <c r="O57" s="118">
        <f>[55]Specimen!$J$25</f>
        <v>381.47885221485859</v>
      </c>
      <c r="P57" s="19">
        <f>[55]Specimen!$J$24</f>
        <v>4.8474047800000009E-4</v>
      </c>
      <c r="Q57" s="180">
        <v>59</v>
      </c>
      <c r="R57" s="56">
        <v>11112</v>
      </c>
      <c r="S57" s="57">
        <v>210</v>
      </c>
      <c r="T57" s="57">
        <v>140</v>
      </c>
      <c r="U57" s="57">
        <v>80</v>
      </c>
      <c r="V57" s="57">
        <v>10</v>
      </c>
      <c r="W57" s="58" t="s">
        <v>7</v>
      </c>
    </row>
    <row r="58" spans="1:23" x14ac:dyDescent="0.25">
      <c r="A58" s="32" t="s">
        <v>60</v>
      </c>
      <c r="B58" s="13">
        <v>3.42</v>
      </c>
      <c r="C58" s="14">
        <v>9.66</v>
      </c>
      <c r="D58" s="14">
        <v>3.28</v>
      </c>
      <c r="E58" s="14">
        <f t="shared" si="0"/>
        <v>103.79458913812938</v>
      </c>
      <c r="F58" s="189"/>
      <c r="G58" s="190"/>
      <c r="H58" s="190"/>
      <c r="I58" s="190"/>
      <c r="J58" s="191"/>
      <c r="K58" s="106">
        <f>M58/Summary!$X$12</f>
        <v>8.9463353178173293</v>
      </c>
      <c r="L58" s="102">
        <f>O58/Summary!$X$12</f>
        <v>486.73237888248946</v>
      </c>
      <c r="M58" s="17">
        <f>[56]Specimen!$J$18</f>
        <v>6.7427200000000003</v>
      </c>
      <c r="N58" s="18">
        <f>[56]Specimen!$J$19</f>
        <v>1.8679999999999999E-2</v>
      </c>
      <c r="O58" s="18">
        <f>[56]Specimen!$J$25</f>
        <v>366.84296185527245</v>
      </c>
      <c r="P58" s="19">
        <f>[56]Specimen!$J$24</f>
        <v>6.0196643699999999E-4</v>
      </c>
      <c r="Q58" s="181"/>
      <c r="R58" s="51">
        <v>11112</v>
      </c>
      <c r="S58" s="9">
        <v>210</v>
      </c>
      <c r="T58" s="9">
        <v>140</v>
      </c>
      <c r="U58" s="9">
        <v>80</v>
      </c>
      <c r="V58" s="9">
        <v>10</v>
      </c>
      <c r="W58" s="52" t="s">
        <v>7</v>
      </c>
    </row>
    <row r="59" spans="1:23" x14ac:dyDescent="0.25">
      <c r="A59" s="32" t="s">
        <v>61</v>
      </c>
      <c r="B59" s="13">
        <v>3.37</v>
      </c>
      <c r="C59" s="14">
        <v>9.64</v>
      </c>
      <c r="D59" s="14">
        <v>3.29</v>
      </c>
      <c r="E59" s="14">
        <f t="shared" si="0"/>
        <v>103.30862307817527</v>
      </c>
      <c r="F59" s="189"/>
      <c r="G59" s="190"/>
      <c r="H59" s="190"/>
      <c r="I59" s="190"/>
      <c r="J59" s="191"/>
      <c r="K59" s="106">
        <f>M59/Summary!$X$12</f>
        <v>9.1923531703500885</v>
      </c>
      <c r="L59" s="102">
        <f>O59/Summary!$X$12</f>
        <v>474.33465362322454</v>
      </c>
      <c r="M59" s="17">
        <f>[57]Specimen!$J$18</f>
        <v>6.92814</v>
      </c>
      <c r="N59" s="18">
        <f>[57]Specimen!$J$19</f>
        <v>1.9740000000000001E-2</v>
      </c>
      <c r="O59" s="18">
        <f>[57]Specimen!$J$25</f>
        <v>357.49898053884829</v>
      </c>
      <c r="P59" s="19">
        <f>[57]Specimen!$J$24</f>
        <v>6.628979440000001E-4</v>
      </c>
      <c r="Q59" s="181"/>
      <c r="R59" s="51">
        <v>11112</v>
      </c>
      <c r="S59" s="9">
        <v>210</v>
      </c>
      <c r="T59" s="9">
        <v>140</v>
      </c>
      <c r="U59" s="9">
        <v>80</v>
      </c>
      <c r="V59" s="9">
        <v>10</v>
      </c>
      <c r="W59" s="52" t="s">
        <v>7</v>
      </c>
    </row>
    <row r="60" spans="1:23" x14ac:dyDescent="0.25">
      <c r="A60" s="32" t="s">
        <v>62</v>
      </c>
      <c r="B60" s="13">
        <v>3.44</v>
      </c>
      <c r="C60" s="14">
        <v>9.65</v>
      </c>
      <c r="D60" s="14">
        <v>3.3</v>
      </c>
      <c r="E60" s="14">
        <f t="shared" si="0"/>
        <v>104.17758881255487</v>
      </c>
      <c r="F60" s="189"/>
      <c r="G60" s="190"/>
      <c r="H60" s="190"/>
      <c r="I60" s="190"/>
      <c r="J60" s="191"/>
      <c r="K60" s="106">
        <f>M60/Summary!$X$12</f>
        <v>9.0747709133581083</v>
      </c>
      <c r="L60" s="102">
        <f>O60/Summary!$X$12</f>
        <v>468.93958953623314</v>
      </c>
      <c r="M60" s="17">
        <f>[58]Specimen!$J$18</f>
        <v>6.8395200000000003</v>
      </c>
      <c r="N60" s="18">
        <f>[58]Specimen!$J$19</f>
        <v>1.9720000000000001E-2</v>
      </c>
      <c r="O60" s="18">
        <f>[58]Specimen!$J$25</f>
        <v>353.43280089899173</v>
      </c>
      <c r="P60" s="19">
        <f>[58]Specimen!$J$24</f>
        <v>6.5013350900000014E-4</v>
      </c>
      <c r="Q60" s="181"/>
      <c r="R60" s="51">
        <v>11112</v>
      </c>
      <c r="S60" s="9">
        <v>210</v>
      </c>
      <c r="T60" s="9">
        <v>140</v>
      </c>
      <c r="U60" s="9">
        <v>80</v>
      </c>
      <c r="V60" s="9">
        <v>10</v>
      </c>
      <c r="W60" s="52" t="s">
        <v>7</v>
      </c>
    </row>
    <row r="61" spans="1:23" x14ac:dyDescent="0.25">
      <c r="A61" s="32" t="s">
        <v>63</v>
      </c>
      <c r="B61" s="13">
        <v>3.41</v>
      </c>
      <c r="C61" s="14">
        <v>9.66</v>
      </c>
      <c r="D61" s="14">
        <v>3.29</v>
      </c>
      <c r="E61" s="14">
        <f t="shared" si="0"/>
        <v>103.79524427439773</v>
      </c>
      <c r="F61" s="189"/>
      <c r="G61" s="190"/>
      <c r="H61" s="190"/>
      <c r="I61" s="190"/>
      <c r="J61" s="191"/>
      <c r="K61" s="106">
        <f>M61/Summary!$X$12</f>
        <v>9.3102538627029148</v>
      </c>
      <c r="L61" s="102">
        <f>O61/Summary!$X$12</f>
        <v>483.72461977572891</v>
      </c>
      <c r="M61" s="17">
        <f>[59]Specimen!$J$18</f>
        <v>7.0170000000000003</v>
      </c>
      <c r="N61" s="18">
        <f>[59]Specimen!$J$19</f>
        <v>1.9689999999999999E-2</v>
      </c>
      <c r="O61" s="18">
        <f>[59]Specimen!$J$25</f>
        <v>364.57605850726736</v>
      </c>
      <c r="P61" s="19">
        <f>[59]Specimen!$J$24</f>
        <v>6.7035666300000005E-4</v>
      </c>
      <c r="Q61" s="181"/>
      <c r="R61" s="51">
        <v>11112</v>
      </c>
      <c r="S61" s="9">
        <v>210</v>
      </c>
      <c r="T61" s="9">
        <v>140</v>
      </c>
      <c r="U61" s="9">
        <v>80</v>
      </c>
      <c r="V61" s="9">
        <v>10</v>
      </c>
      <c r="W61" s="52" t="s">
        <v>7</v>
      </c>
    </row>
    <row r="62" spans="1:23" ht="15.75" thickBot="1" x14ac:dyDescent="0.3">
      <c r="A62" s="33" t="s">
        <v>64</v>
      </c>
      <c r="B62" s="6">
        <v>3.42</v>
      </c>
      <c r="C62" s="7">
        <v>9.65</v>
      </c>
      <c r="D62" s="7">
        <v>3.18</v>
      </c>
      <c r="E62" s="7">
        <f t="shared" si="0"/>
        <v>102.71139384400139</v>
      </c>
      <c r="F62" s="192"/>
      <c r="G62" s="193"/>
      <c r="H62" s="193"/>
      <c r="I62" s="193"/>
      <c r="J62" s="194"/>
      <c r="K62" s="98">
        <f>M62/Summary!$X$12</f>
        <v>9.2657127166047335</v>
      </c>
      <c r="L62" s="103">
        <f>O62/Summary!$X$12</f>
        <v>504.35647271685571</v>
      </c>
      <c r="M62" s="20">
        <f>[60]Specimen!$J$18</f>
        <v>6.9834300000000002</v>
      </c>
      <c r="N62" s="1">
        <f>[60]Specimen!$J$19</f>
        <v>1.8700000000000001E-2</v>
      </c>
      <c r="O62" s="1">
        <f>[60]Specimen!$J$25</f>
        <v>380.12597951080232</v>
      </c>
      <c r="P62" s="21">
        <f>[60]Specimen!$J$24</f>
        <v>6.2562791600000015E-4</v>
      </c>
      <c r="Q62" s="182"/>
      <c r="R62" s="53">
        <v>11112</v>
      </c>
      <c r="S62" s="54">
        <v>210</v>
      </c>
      <c r="T62" s="54">
        <v>140</v>
      </c>
      <c r="U62" s="54">
        <v>80</v>
      </c>
      <c r="V62" s="54">
        <v>10</v>
      </c>
      <c r="W62" s="55" t="s">
        <v>7</v>
      </c>
    </row>
    <row r="63" spans="1:23" x14ac:dyDescent="0.25">
      <c r="A63" s="31" t="s">
        <v>65</v>
      </c>
      <c r="B63" s="11">
        <v>3.31</v>
      </c>
      <c r="C63" s="12">
        <v>9.75</v>
      </c>
      <c r="D63" s="12">
        <v>3.26</v>
      </c>
      <c r="E63" s="12">
        <f t="shared" si="0"/>
        <v>102.75390758192708</v>
      </c>
      <c r="F63" s="186" t="s">
        <v>120</v>
      </c>
      <c r="G63" s="187"/>
      <c r="H63" s="187"/>
      <c r="I63" s="187"/>
      <c r="J63" s="188"/>
      <c r="K63" s="106">
        <f>M63/Summary!$X$12</f>
        <v>8.256378767846666</v>
      </c>
      <c r="L63" s="102">
        <f>O63/Summary!$X$12</f>
        <v>353.38383271766003</v>
      </c>
      <c r="M63" s="17">
        <f>[61]Specimen!$J$18</f>
        <v>6.2227100000000002</v>
      </c>
      <c r="N63" s="18">
        <f>[61]Specimen!$J$19</f>
        <v>2.392E-2</v>
      </c>
      <c r="O63" s="118">
        <f>[61]Specimen!$J$25</f>
        <v>266.34014396895572</v>
      </c>
      <c r="P63" s="19">
        <f>[61]Specimen!$J$24</f>
        <v>7.3513789599999985E-4</v>
      </c>
      <c r="Q63" s="180">
        <v>26</v>
      </c>
      <c r="R63" s="56">
        <v>12222</v>
      </c>
      <c r="S63" s="57">
        <v>210</v>
      </c>
      <c r="T63" s="57">
        <v>290</v>
      </c>
      <c r="U63" s="57">
        <v>100</v>
      </c>
      <c r="V63" s="57">
        <v>35</v>
      </c>
      <c r="W63" s="58" t="s">
        <v>7</v>
      </c>
    </row>
    <row r="64" spans="1:23" x14ac:dyDescent="0.25">
      <c r="A64" s="31" t="s">
        <v>66</v>
      </c>
      <c r="B64" s="13">
        <v>3.29</v>
      </c>
      <c r="C64" s="14">
        <v>9.6</v>
      </c>
      <c r="D64" s="14">
        <v>3.34</v>
      </c>
      <c r="E64" s="14">
        <f t="shared" si="0"/>
        <v>102.85948970040543</v>
      </c>
      <c r="F64" s="189"/>
      <c r="G64" s="190"/>
      <c r="H64" s="190"/>
      <c r="I64" s="190"/>
      <c r="J64" s="191"/>
      <c r="K64" s="106">
        <f>M64/Summary!$X$12</f>
        <v>4.4205992880891847</v>
      </c>
      <c r="L64" s="102">
        <f>O64/Summary!$X$12</f>
        <v>337.67867046423322</v>
      </c>
      <c r="M64" s="17">
        <f>[62]Specimen!$J$18</f>
        <v>3.3317399999999999</v>
      </c>
      <c r="N64" s="18">
        <f>[62]Specimen!$J$19</f>
        <v>1.3440000000000001E-2</v>
      </c>
      <c r="O64" s="18">
        <f>[62]Specimen!$J$25</f>
        <v>254.50339653355311</v>
      </c>
      <c r="P64" s="19">
        <f>[62]Specimen!$J$24</f>
        <v>2.1240840300000002E-4</v>
      </c>
      <c r="Q64" s="181"/>
      <c r="R64" s="51">
        <v>12222</v>
      </c>
      <c r="S64" s="9">
        <v>210</v>
      </c>
      <c r="T64" s="9">
        <v>290</v>
      </c>
      <c r="U64" s="9">
        <v>100</v>
      </c>
      <c r="V64" s="9">
        <v>35</v>
      </c>
      <c r="W64" s="52" t="s">
        <v>7</v>
      </c>
    </row>
    <row r="65" spans="1:23" x14ac:dyDescent="0.25">
      <c r="A65" s="31" t="s">
        <v>67</v>
      </c>
      <c r="B65" s="13">
        <v>3.36</v>
      </c>
      <c r="C65" s="14">
        <v>9.83</v>
      </c>
      <c r="D65" s="14">
        <v>3.35</v>
      </c>
      <c r="E65" s="14">
        <f t="shared" si="0"/>
        <v>104.49795525989867</v>
      </c>
      <c r="F65" s="189"/>
      <c r="G65" s="190"/>
      <c r="H65" s="190"/>
      <c r="I65" s="190"/>
      <c r="J65" s="191"/>
      <c r="K65" s="107"/>
      <c r="L65" s="40"/>
      <c r="M65" s="39"/>
      <c r="N65" s="40"/>
      <c r="O65" s="40"/>
      <c r="P65" s="41"/>
      <c r="Q65" s="181"/>
      <c r="R65" s="51">
        <v>12222</v>
      </c>
      <c r="S65" s="9">
        <v>210</v>
      </c>
      <c r="T65" s="9">
        <v>290</v>
      </c>
      <c r="U65" s="9">
        <v>100</v>
      </c>
      <c r="V65" s="9">
        <v>35</v>
      </c>
      <c r="W65" s="52" t="s">
        <v>7</v>
      </c>
    </row>
    <row r="66" spans="1:23" x14ac:dyDescent="0.25">
      <c r="A66" s="31" t="s">
        <v>68</v>
      </c>
      <c r="B66" s="13">
        <v>3.32</v>
      </c>
      <c r="C66" s="14">
        <v>9.5399999999999991</v>
      </c>
      <c r="D66" s="14">
        <v>3.37</v>
      </c>
      <c r="E66" s="14">
        <f t="shared" si="0"/>
        <v>103.27659152054309</v>
      </c>
      <c r="F66" s="189"/>
      <c r="G66" s="190"/>
      <c r="H66" s="190"/>
      <c r="I66" s="190"/>
      <c r="J66" s="191"/>
      <c r="K66" s="106">
        <f>M66/Summary!$X$12</f>
        <v>3.7506378251515748</v>
      </c>
      <c r="L66" s="102">
        <f>O66/Summary!$X$12</f>
        <v>337.95941144993941</v>
      </c>
      <c r="M66" s="17">
        <f>[63]Specimen!$J$18</f>
        <v>2.8268</v>
      </c>
      <c r="N66" s="18">
        <f>[63]Specimen!$J$19</f>
        <v>1.1299999999999999E-2</v>
      </c>
      <c r="O66" s="18">
        <f>[63]Specimen!$J$25</f>
        <v>254.71498684309256</v>
      </c>
      <c r="P66" s="19">
        <f>[63]Specimen!$J$24</f>
        <v>1.4498387399999998E-4</v>
      </c>
      <c r="Q66" s="181"/>
      <c r="R66" s="51">
        <v>12222</v>
      </c>
      <c r="S66" s="9">
        <v>210</v>
      </c>
      <c r="T66" s="9">
        <v>290</v>
      </c>
      <c r="U66" s="9">
        <v>100</v>
      </c>
      <c r="V66" s="9">
        <v>35</v>
      </c>
      <c r="W66" s="52" t="s">
        <v>7</v>
      </c>
    </row>
    <row r="67" spans="1:23" x14ac:dyDescent="0.25">
      <c r="A67" s="31" t="s">
        <v>69</v>
      </c>
      <c r="B67" s="13">
        <v>3.39</v>
      </c>
      <c r="C67" s="14">
        <v>9.8000000000000007</v>
      </c>
      <c r="D67" s="14">
        <v>3.36</v>
      </c>
      <c r="E67" s="14">
        <f t="shared" ref="E67:E110" si="1">AVERAGE(B67/$B$2,C67/$C$2,D67/$D$2)*100</f>
        <v>104.81034526849999</v>
      </c>
      <c r="F67" s="189"/>
      <c r="G67" s="190"/>
      <c r="H67" s="190"/>
      <c r="I67" s="190"/>
      <c r="J67" s="191"/>
      <c r="K67" s="106">
        <f>M67/Summary!$X$12</f>
        <v>4.5594503735575982</v>
      </c>
      <c r="L67" s="102">
        <f>O67/Summary!$X$12</f>
        <v>328.0625266234407</v>
      </c>
      <c r="M67" s="17">
        <f>[64]Specimen!$J$18</f>
        <v>3.4363899999999998</v>
      </c>
      <c r="N67" s="18">
        <f>[64]Specimen!$J$19</f>
        <v>1.4489999999999999E-2</v>
      </c>
      <c r="O67" s="18">
        <f>[64]Specimen!$J$25</f>
        <v>247.25585180213034</v>
      </c>
      <c r="P67" s="19">
        <f>[64]Specimen!$J$24</f>
        <v>2.4355287600000001E-4</v>
      </c>
      <c r="Q67" s="181"/>
      <c r="R67" s="51">
        <v>12222</v>
      </c>
      <c r="S67" s="9">
        <v>210</v>
      </c>
      <c r="T67" s="9">
        <v>290</v>
      </c>
      <c r="U67" s="9">
        <v>100</v>
      </c>
      <c r="V67" s="9">
        <v>35</v>
      </c>
      <c r="W67" s="52" t="s">
        <v>7</v>
      </c>
    </row>
    <row r="68" spans="1:23" ht="15.75" thickBot="1" x14ac:dyDescent="0.3">
      <c r="A68" s="33" t="s">
        <v>70</v>
      </c>
      <c r="B68" s="6">
        <v>3.29</v>
      </c>
      <c r="C68" s="7">
        <v>9.7200000000000006</v>
      </c>
      <c r="D68" s="7">
        <v>3.14</v>
      </c>
      <c r="E68" s="7">
        <f t="shared" si="1"/>
        <v>101.18278081903995</v>
      </c>
      <c r="F68" s="192"/>
      <c r="G68" s="193"/>
      <c r="H68" s="193"/>
      <c r="I68" s="193"/>
      <c r="J68" s="194"/>
      <c r="K68" s="98">
        <f>M68/Summary!$X$12</f>
        <v>4.9796921728926273</v>
      </c>
      <c r="L68" s="103">
        <f>O68/Summary!$X$12</f>
        <v>376.07415116822079</v>
      </c>
      <c r="M68" s="20">
        <f>[65]Specimen!$J$18</f>
        <v>3.75312</v>
      </c>
      <c r="N68" s="1">
        <f>[65]Specimen!$J$19</f>
        <v>1.3440000000000001E-2</v>
      </c>
      <c r="O68" s="1">
        <f>[65]Specimen!$J$25</f>
        <v>283.44149984126074</v>
      </c>
      <c r="P68" s="21">
        <f>[65]Specimen!$J$24</f>
        <v>2.33684754E-4</v>
      </c>
      <c r="Q68" s="182"/>
      <c r="R68" s="53">
        <v>12222</v>
      </c>
      <c r="S68" s="54">
        <v>210</v>
      </c>
      <c r="T68" s="54">
        <v>290</v>
      </c>
      <c r="U68" s="54">
        <v>100</v>
      </c>
      <c r="V68" s="54">
        <v>35</v>
      </c>
      <c r="W68" s="55" t="s">
        <v>7</v>
      </c>
    </row>
    <row r="69" spans="1:23" x14ac:dyDescent="0.25">
      <c r="A69" s="31" t="s">
        <v>59</v>
      </c>
      <c r="B69" s="11">
        <v>3.34</v>
      </c>
      <c r="C69" s="12">
        <v>9.64</v>
      </c>
      <c r="D69" s="12">
        <v>3.22</v>
      </c>
      <c r="E69" s="12">
        <f t="shared" si="1"/>
        <v>102.26237045763023</v>
      </c>
      <c r="F69" s="186"/>
      <c r="G69" s="187"/>
      <c r="H69" s="187"/>
      <c r="I69" s="187"/>
      <c r="J69" s="188"/>
      <c r="K69" s="106">
        <f>M69/Summary!$X$12</f>
        <v>9.1027136162722471</v>
      </c>
      <c r="L69" s="102">
        <f>O69/Summary!$X$12</f>
        <v>473.93902075437103</v>
      </c>
      <c r="M69" s="17">
        <f>[66]Specimen!$J$18</f>
        <v>6.8605799999999997</v>
      </c>
      <c r="N69" s="18">
        <f>[66]Specimen!$J$19</f>
        <v>1.9740000000000001E-2</v>
      </c>
      <c r="O69" s="118">
        <f>[66]Specimen!$J$25</f>
        <v>357.20079792410064</v>
      </c>
      <c r="P69" s="19">
        <f>[66]Specimen!$J$24</f>
        <v>6.6571233300000002E-4</v>
      </c>
      <c r="Q69" s="180">
        <v>20</v>
      </c>
      <c r="R69" s="56">
        <v>11112</v>
      </c>
      <c r="S69" s="57">
        <v>210</v>
      </c>
      <c r="T69" s="57">
        <v>140</v>
      </c>
      <c r="U69" s="57">
        <v>80</v>
      </c>
      <c r="V69" s="57">
        <v>10</v>
      </c>
      <c r="W69" s="58" t="s">
        <v>7</v>
      </c>
    </row>
    <row r="70" spans="1:23" x14ac:dyDescent="0.25">
      <c r="A70" s="32" t="s">
        <v>60</v>
      </c>
      <c r="B70" s="13">
        <v>3.4</v>
      </c>
      <c r="C70" s="14">
        <v>9.6300000000000008</v>
      </c>
      <c r="D70" s="14">
        <v>3.27</v>
      </c>
      <c r="E70" s="14">
        <f t="shared" si="1"/>
        <v>103.37650220752737</v>
      </c>
      <c r="F70" s="189"/>
      <c r="G70" s="190"/>
      <c r="H70" s="190"/>
      <c r="I70" s="190"/>
      <c r="J70" s="191"/>
      <c r="K70" s="106">
        <f>M70/Summary!$X$12</f>
        <v>7.9377178486211628</v>
      </c>
      <c r="L70" s="102">
        <f>O70/Summary!$X$12</f>
        <v>458.14302101787905</v>
      </c>
      <c r="M70" s="17">
        <f>[67]Specimen!$J$18</f>
        <v>5.9825400000000002</v>
      </c>
      <c r="N70" s="18">
        <f>[67]Specimen!$J$19</f>
        <v>1.7610000000000001E-2</v>
      </c>
      <c r="O70" s="18">
        <f>[67]Specimen!$J$25</f>
        <v>345.29558762741971</v>
      </c>
      <c r="P70" s="19">
        <f>[67]Specimen!$J$24</f>
        <v>5.0035666800000002E-4</v>
      </c>
      <c r="Q70" s="181"/>
      <c r="R70" s="51">
        <v>11112</v>
      </c>
      <c r="S70" s="9">
        <v>210</v>
      </c>
      <c r="T70" s="9">
        <v>140</v>
      </c>
      <c r="U70" s="9">
        <v>80</v>
      </c>
      <c r="V70" s="9">
        <v>10</v>
      </c>
      <c r="W70" s="52" t="s">
        <v>7</v>
      </c>
    </row>
    <row r="71" spans="1:23" x14ac:dyDescent="0.25">
      <c r="A71" s="32" t="s">
        <v>61</v>
      </c>
      <c r="B71" s="13">
        <v>3.4</v>
      </c>
      <c r="C71" s="14">
        <v>9.6199999999999992</v>
      </c>
      <c r="D71" s="14">
        <v>3.28</v>
      </c>
      <c r="E71" s="14">
        <f t="shared" si="1"/>
        <v>103.44634674568447</v>
      </c>
      <c r="F71" s="189"/>
      <c r="G71" s="190"/>
      <c r="H71" s="190"/>
      <c r="I71" s="190"/>
      <c r="J71" s="191"/>
      <c r="K71" s="106">
        <f>M71/Summary!$X$12</f>
        <v>8.4747590846860952</v>
      </c>
      <c r="L71" s="102">
        <f>O71/Summary!$X$12</f>
        <v>462.54254353606564</v>
      </c>
      <c r="M71" s="17">
        <f>[68]Specimen!$J$18</f>
        <v>6.3872999999999998</v>
      </c>
      <c r="N71" s="18">
        <f>[68]Specimen!$J$19</f>
        <v>1.864E-2</v>
      </c>
      <c r="O71" s="18">
        <f>[68]Specimen!$J$25</f>
        <v>348.6114423791131</v>
      </c>
      <c r="P71" s="19">
        <f>[68]Specimen!$J$24</f>
        <v>5.7086355799999995E-4</v>
      </c>
      <c r="Q71" s="181"/>
      <c r="R71" s="51">
        <v>11112</v>
      </c>
      <c r="S71" s="9">
        <v>210</v>
      </c>
      <c r="T71" s="9">
        <v>140</v>
      </c>
      <c r="U71" s="9">
        <v>80</v>
      </c>
      <c r="V71" s="9">
        <v>10</v>
      </c>
      <c r="W71" s="52" t="s">
        <v>7</v>
      </c>
    </row>
    <row r="72" spans="1:23" x14ac:dyDescent="0.25">
      <c r="A72" s="32" t="s">
        <v>62</v>
      </c>
      <c r="B72" s="13">
        <v>3.48</v>
      </c>
      <c r="C72" s="14">
        <v>9.64</v>
      </c>
      <c r="D72" s="14">
        <v>3.3</v>
      </c>
      <c r="E72" s="14">
        <f t="shared" si="1"/>
        <v>104.55927821444362</v>
      </c>
      <c r="F72" s="189"/>
      <c r="G72" s="190"/>
      <c r="H72" s="190"/>
      <c r="I72" s="190"/>
      <c r="J72" s="191"/>
      <c r="K72" s="106">
        <f>M72/Summary!$X$12</f>
        <v>8.239461889301781</v>
      </c>
      <c r="L72" s="102">
        <f>O72/Summary!$X$12</f>
        <v>447.80957068188059</v>
      </c>
      <c r="M72" s="17">
        <f>[69]Specimen!$J$18</f>
        <v>6.2099599999999997</v>
      </c>
      <c r="N72" s="18">
        <f>[69]Specimen!$J$19</f>
        <v>1.8669999999999999E-2</v>
      </c>
      <c r="O72" s="18">
        <f>[69]Specimen!$J$25</f>
        <v>337.50741964865199</v>
      </c>
      <c r="P72" s="19">
        <f>[69]Specimen!$J$24</f>
        <v>5.5455778999999989E-4</v>
      </c>
      <c r="Q72" s="181"/>
      <c r="R72" s="51">
        <v>11112</v>
      </c>
      <c r="S72" s="9">
        <v>210</v>
      </c>
      <c r="T72" s="9">
        <v>140</v>
      </c>
      <c r="U72" s="9">
        <v>80</v>
      </c>
      <c r="V72" s="9">
        <v>10</v>
      </c>
      <c r="W72" s="52" t="s">
        <v>7</v>
      </c>
    </row>
    <row r="73" spans="1:23" x14ac:dyDescent="0.25">
      <c r="A73" s="32" t="s">
        <v>63</v>
      </c>
      <c r="B73" s="13">
        <v>3.47</v>
      </c>
      <c r="C73" s="14">
        <v>9.56</v>
      </c>
      <c r="D73" s="14">
        <v>3.29</v>
      </c>
      <c r="E73" s="14">
        <f t="shared" si="1"/>
        <v>104.07047162661878</v>
      </c>
      <c r="F73" s="189"/>
      <c r="G73" s="190"/>
      <c r="H73" s="190"/>
      <c r="I73" s="190"/>
      <c r="J73" s="191"/>
      <c r="K73" s="106">
        <f>M73/Summary!$X$12</f>
        <v>8.4988274907099548</v>
      </c>
      <c r="L73" s="102">
        <f>O73/Summary!$X$12</f>
        <v>462.28705556622117</v>
      </c>
      <c r="M73" s="17">
        <f>[70]Specimen!$J$18</f>
        <v>6.4054399999999996</v>
      </c>
      <c r="N73" s="18">
        <f>[70]Specimen!$J$19</f>
        <v>1.8689999999999998E-2</v>
      </c>
      <c r="O73" s="18">
        <f>[70]Specimen!$J$25</f>
        <v>348.41888489240694</v>
      </c>
      <c r="P73" s="19">
        <f>[70]Specimen!$J$24</f>
        <v>5.7378234999999991E-4</v>
      </c>
      <c r="Q73" s="181"/>
      <c r="R73" s="51">
        <v>11112</v>
      </c>
      <c r="S73" s="9">
        <v>210</v>
      </c>
      <c r="T73" s="9">
        <v>140</v>
      </c>
      <c r="U73" s="9">
        <v>80</v>
      </c>
      <c r="V73" s="9">
        <v>10</v>
      </c>
      <c r="W73" s="52" t="s">
        <v>7</v>
      </c>
    </row>
    <row r="74" spans="1:23" ht="15.75" thickBot="1" x14ac:dyDescent="0.3">
      <c r="A74" s="33" t="s">
        <v>64</v>
      </c>
      <c r="B74" s="6">
        <v>3.4</v>
      </c>
      <c r="C74" s="7">
        <v>9.4600000000000009</v>
      </c>
      <c r="D74" s="7">
        <v>3.15</v>
      </c>
      <c r="E74" s="7">
        <f t="shared" si="1"/>
        <v>101.52402707108304</v>
      </c>
      <c r="F74" s="192"/>
      <c r="G74" s="193"/>
      <c r="H74" s="193"/>
      <c r="I74" s="193"/>
      <c r="J74" s="194"/>
      <c r="K74" s="98">
        <f>M74/Summary!$X$12</f>
        <v>9.919221685898691</v>
      </c>
      <c r="L74" s="103">
        <f>O74/Summary!$X$12</f>
        <v>487.53783621022791</v>
      </c>
      <c r="M74" s="20">
        <f>[71]Specimen!$J$18</f>
        <v>7.4759700000000002</v>
      </c>
      <c r="N74" s="1">
        <f>[71]Specimen!$J$19</f>
        <v>2.078E-2</v>
      </c>
      <c r="O74" s="1">
        <f>[71]Specimen!$J$25</f>
        <v>367.45002307530882</v>
      </c>
      <c r="P74" s="21">
        <f>[71]Specimen!$J$24</f>
        <v>7.5786534600000006E-4</v>
      </c>
      <c r="Q74" s="182"/>
      <c r="R74" s="53">
        <v>11112</v>
      </c>
      <c r="S74" s="54">
        <v>210</v>
      </c>
      <c r="T74" s="54">
        <v>140</v>
      </c>
      <c r="U74" s="54">
        <v>80</v>
      </c>
      <c r="V74" s="54">
        <v>10</v>
      </c>
      <c r="W74" s="55" t="s">
        <v>7</v>
      </c>
    </row>
    <row r="75" spans="1:23" x14ac:dyDescent="0.25">
      <c r="A75" s="32" t="s">
        <v>71</v>
      </c>
      <c r="B75" s="11">
        <v>3.47</v>
      </c>
      <c r="C75" s="12">
        <v>9.6199999999999992</v>
      </c>
      <c r="D75" s="12">
        <v>3.29</v>
      </c>
      <c r="E75" s="12">
        <f t="shared" si="1"/>
        <v>104.28033521528617</v>
      </c>
      <c r="F75" s="186"/>
      <c r="G75" s="187"/>
      <c r="H75" s="187"/>
      <c r="I75" s="187"/>
      <c r="J75" s="188"/>
      <c r="K75" s="107"/>
      <c r="L75" s="40"/>
      <c r="M75" s="99"/>
      <c r="N75" s="40"/>
      <c r="O75" s="117"/>
      <c r="P75" s="41"/>
      <c r="Q75" s="183">
        <v>25</v>
      </c>
      <c r="R75" s="56">
        <v>12113</v>
      </c>
      <c r="S75" s="57">
        <v>210</v>
      </c>
      <c r="T75" s="57">
        <v>290</v>
      </c>
      <c r="U75" s="57">
        <v>80</v>
      </c>
      <c r="V75" s="57">
        <v>10</v>
      </c>
      <c r="W75" s="58" t="s">
        <v>8</v>
      </c>
    </row>
    <row r="76" spans="1:23" x14ac:dyDescent="0.25">
      <c r="A76" s="32" t="s">
        <v>72</v>
      </c>
      <c r="B76" s="13">
        <v>3.5</v>
      </c>
      <c r="C76" s="14">
        <v>9.58</v>
      </c>
      <c r="D76" s="14">
        <v>3.24</v>
      </c>
      <c r="E76" s="14">
        <f t="shared" si="1"/>
        <v>103.92881714149954</v>
      </c>
      <c r="F76" s="189"/>
      <c r="G76" s="190"/>
      <c r="H76" s="190"/>
      <c r="I76" s="190"/>
      <c r="J76" s="191"/>
      <c r="K76" s="106">
        <f>M76/Summary!$X$18</f>
        <v>6.6180116088454062</v>
      </c>
      <c r="L76" s="106">
        <f>O76/Summary!$X$18</f>
        <v>462.82979171172269</v>
      </c>
      <c r="M76" s="17">
        <f>[72]Specimen!$J$18</f>
        <v>6.5142800000000003</v>
      </c>
      <c r="N76" s="18">
        <f>[72]Specimen!$J$19</f>
        <v>1.447E-2</v>
      </c>
      <c r="O76" s="18">
        <f>[72]Specimen!$J$25</f>
        <v>455.57533497253041</v>
      </c>
      <c r="P76" s="19">
        <f>[72]Specimen!$J$24</f>
        <v>4.4158309000000002E-4</v>
      </c>
      <c r="Q76" s="184"/>
      <c r="R76" s="51">
        <v>12113</v>
      </c>
      <c r="S76" s="9">
        <v>210</v>
      </c>
      <c r="T76" s="9">
        <v>290</v>
      </c>
      <c r="U76" s="9">
        <v>80</v>
      </c>
      <c r="V76" s="9">
        <v>10</v>
      </c>
      <c r="W76" s="52" t="s">
        <v>8</v>
      </c>
    </row>
    <row r="77" spans="1:23" x14ac:dyDescent="0.25">
      <c r="A77" s="32" t="s">
        <v>73</v>
      </c>
      <c r="B77" s="13">
        <v>3.49</v>
      </c>
      <c r="C77" s="14">
        <v>9.58</v>
      </c>
      <c r="D77" s="14">
        <v>3.23</v>
      </c>
      <c r="E77" s="14">
        <f t="shared" si="1"/>
        <v>103.71982867189786</v>
      </c>
      <c r="F77" s="189"/>
      <c r="G77" s="190"/>
      <c r="H77" s="190"/>
      <c r="I77" s="190"/>
      <c r="J77" s="191"/>
      <c r="K77" s="106">
        <f>M77/Summary!$X$18</f>
        <v>7.5086414615883807</v>
      </c>
      <c r="L77" s="102">
        <f>O77/Summary!$X$18</f>
        <v>459.36058568952575</v>
      </c>
      <c r="M77" s="17">
        <f>[73]Specimen!$J$18</f>
        <v>7.3909500000000001</v>
      </c>
      <c r="N77" s="18">
        <f>[73]Specimen!$J$19</f>
        <v>1.6580000000000001E-2</v>
      </c>
      <c r="O77" s="18">
        <f>[73]Specimen!$J$25</f>
        <v>452.16050575463186</v>
      </c>
      <c r="P77" s="19">
        <f>[73]Specimen!$J$24</f>
        <v>5.8881499700000014E-4</v>
      </c>
      <c r="Q77" s="184"/>
      <c r="R77" s="51">
        <v>12113</v>
      </c>
      <c r="S77" s="9">
        <v>210</v>
      </c>
      <c r="T77" s="9">
        <v>290</v>
      </c>
      <c r="U77" s="9">
        <v>80</v>
      </c>
      <c r="V77" s="9">
        <v>10</v>
      </c>
      <c r="W77" s="52" t="s">
        <v>8</v>
      </c>
    </row>
    <row r="78" spans="1:23" x14ac:dyDescent="0.25">
      <c r="A78" s="32" t="s">
        <v>74</v>
      </c>
      <c r="B78" s="13">
        <v>3.47</v>
      </c>
      <c r="C78" s="14">
        <v>9.58</v>
      </c>
      <c r="D78" s="14">
        <v>3.22</v>
      </c>
      <c r="E78" s="14">
        <f t="shared" si="1"/>
        <v>103.40667353562954</v>
      </c>
      <c r="F78" s="189"/>
      <c r="G78" s="190"/>
      <c r="H78" s="190"/>
      <c r="I78" s="190"/>
      <c r="J78" s="191"/>
      <c r="K78" s="106">
        <f>M78/Summary!$X$18</f>
        <v>7.8235168611790558</v>
      </c>
      <c r="L78" s="102">
        <f>O78/Summary!$X$18</f>
        <v>450.52670184938427</v>
      </c>
      <c r="M78" s="17">
        <f>[74]Specimen!$J$18</f>
        <v>7.7008900000000002</v>
      </c>
      <c r="N78" s="18">
        <f>[74]Specimen!$J$19</f>
        <v>1.7610000000000001E-2</v>
      </c>
      <c r="O78" s="18">
        <f>[74]Specimen!$J$25</f>
        <v>443.46508540431967</v>
      </c>
      <c r="P78" s="19">
        <f>[74]Specimen!$J$24</f>
        <v>6.5443025099999998E-4</v>
      </c>
      <c r="Q78" s="184"/>
      <c r="R78" s="51">
        <v>12113</v>
      </c>
      <c r="S78" s="9">
        <v>210</v>
      </c>
      <c r="T78" s="9">
        <v>290</v>
      </c>
      <c r="U78" s="9">
        <v>80</v>
      </c>
      <c r="V78" s="9">
        <v>10</v>
      </c>
      <c r="W78" s="52" t="s">
        <v>8</v>
      </c>
    </row>
    <row r="79" spans="1:23" x14ac:dyDescent="0.25">
      <c r="A79" s="32" t="s">
        <v>75</v>
      </c>
      <c r="B79" s="13">
        <v>3.47</v>
      </c>
      <c r="C79" s="14">
        <v>9.56</v>
      </c>
      <c r="D79" s="14">
        <v>3.23</v>
      </c>
      <c r="E79" s="14">
        <f t="shared" si="1"/>
        <v>103.44154080900874</v>
      </c>
      <c r="F79" s="189"/>
      <c r="G79" s="190"/>
      <c r="H79" s="190"/>
      <c r="I79" s="190"/>
      <c r="J79" s="191"/>
      <c r="K79" s="106">
        <f>M79/Summary!$X$18</f>
        <v>9.8932582678580356</v>
      </c>
      <c r="L79" s="102">
        <f>O79/Summary!$X$18</f>
        <v>437.77607030185089</v>
      </c>
      <c r="M79" s="17">
        <f>[75]Specimen!$J$18</f>
        <v>9.7381899999999995</v>
      </c>
      <c r="N79" s="18">
        <f>[75]Specimen!$J$19</f>
        <v>2.2870000000000001E-2</v>
      </c>
      <c r="O79" s="18">
        <f>[75]Specimen!$J$25</f>
        <v>430.91430897980433</v>
      </c>
      <c r="P79" s="19">
        <f>[75]Specimen!$J$24</f>
        <v>1.1026317820000001E-3</v>
      </c>
      <c r="Q79" s="184"/>
      <c r="R79" s="51">
        <v>12113</v>
      </c>
      <c r="S79" s="9">
        <v>210</v>
      </c>
      <c r="T79" s="9">
        <v>290</v>
      </c>
      <c r="U79" s="9">
        <v>80</v>
      </c>
      <c r="V79" s="9">
        <v>10</v>
      </c>
      <c r="W79" s="52" t="s">
        <v>8</v>
      </c>
    </row>
    <row r="80" spans="1:23" ht="15.75" thickBot="1" x14ac:dyDescent="0.3">
      <c r="A80" s="33" t="s">
        <v>76</v>
      </c>
      <c r="B80" s="6">
        <v>3.45</v>
      </c>
      <c r="C80" s="7">
        <v>9.56</v>
      </c>
      <c r="D80" s="7">
        <v>3.21</v>
      </c>
      <c r="E80" s="7">
        <f t="shared" si="1"/>
        <v>103.02356386980537</v>
      </c>
      <c r="F80" s="192"/>
      <c r="G80" s="193"/>
      <c r="H80" s="193"/>
      <c r="I80" s="193"/>
      <c r="J80" s="194"/>
      <c r="K80" s="98">
        <f>M80/Summary!$X$18</f>
        <v>9.2065039884191116</v>
      </c>
      <c r="L80" s="103">
        <f>O80/Summary!$X$18</f>
        <v>471.30740610270107</v>
      </c>
      <c r="M80" s="20">
        <f>[76]Specimen!$J$18</f>
        <v>9.0622000000000007</v>
      </c>
      <c r="N80" s="1">
        <f>[76]Specimen!$J$19</f>
        <v>1.9730000000000001E-2</v>
      </c>
      <c r="O80" s="1">
        <f>[76]Specimen!$J$25</f>
        <v>463.92007008920052</v>
      </c>
      <c r="P80" s="21">
        <f>[76]Specimen!$J$24</f>
        <v>8.6549767900000001E-4</v>
      </c>
      <c r="Q80" s="185"/>
      <c r="R80" s="53">
        <v>12113</v>
      </c>
      <c r="S80" s="54">
        <v>210</v>
      </c>
      <c r="T80" s="54">
        <v>290</v>
      </c>
      <c r="U80" s="54">
        <v>80</v>
      </c>
      <c r="V80" s="54">
        <v>10</v>
      </c>
      <c r="W80" s="55" t="s">
        <v>8</v>
      </c>
    </row>
    <row r="81" spans="1:23" x14ac:dyDescent="0.25">
      <c r="A81" s="31" t="s">
        <v>77</v>
      </c>
      <c r="B81" s="11">
        <v>3.43</v>
      </c>
      <c r="C81" s="12">
        <v>9.58</v>
      </c>
      <c r="D81" s="12">
        <v>3.31</v>
      </c>
      <c r="E81" s="12">
        <f t="shared" si="1"/>
        <v>103.93340309537795</v>
      </c>
      <c r="F81" s="186" t="s">
        <v>121</v>
      </c>
      <c r="G81" s="187"/>
      <c r="H81" s="187"/>
      <c r="I81" s="187"/>
      <c r="J81" s="188"/>
      <c r="K81" s="106">
        <f>M81/Summary!$X$18</f>
        <v>6.7153777387310951</v>
      </c>
      <c r="L81" s="102">
        <f>O81/Summary!$X$18</f>
        <v>475.58754978173266</v>
      </c>
      <c r="M81" s="17">
        <f>[77]Specimen!$J$18</f>
        <v>6.6101200000000002</v>
      </c>
      <c r="N81" s="18">
        <f>[77]Specimen!$J$19</f>
        <v>1.451E-2</v>
      </c>
      <c r="O81" s="118">
        <f>[77]Specimen!$J$25</f>
        <v>468.13312621744541</v>
      </c>
      <c r="P81" s="19">
        <f>[77]Specimen!$J$24</f>
        <v>4.5453679699999997E-4</v>
      </c>
      <c r="Q81" s="180">
        <v>14</v>
      </c>
      <c r="R81" s="56">
        <v>12213</v>
      </c>
      <c r="S81" s="57">
        <v>210</v>
      </c>
      <c r="T81" s="57">
        <v>290</v>
      </c>
      <c r="U81" s="57">
        <v>100</v>
      </c>
      <c r="V81" s="57">
        <v>10</v>
      </c>
      <c r="W81" s="58" t="s">
        <v>8</v>
      </c>
    </row>
    <row r="82" spans="1:23" x14ac:dyDescent="0.25">
      <c r="A82" s="32" t="s">
        <v>78</v>
      </c>
      <c r="B82" s="13">
        <v>3.39</v>
      </c>
      <c r="C82" s="14">
        <v>9.58</v>
      </c>
      <c r="D82" s="14">
        <v>3.27</v>
      </c>
      <c r="E82" s="14">
        <f t="shared" si="1"/>
        <v>103.09744921697124</v>
      </c>
      <c r="F82" s="189"/>
      <c r="G82" s="190"/>
      <c r="H82" s="190"/>
      <c r="I82" s="190"/>
      <c r="J82" s="191"/>
      <c r="K82" s="106">
        <f>M82/Summary!$X$18</f>
        <v>10.768466398442571</v>
      </c>
      <c r="L82" s="102">
        <f>O82/Summary!$X$18</f>
        <v>499.94664749648939</v>
      </c>
      <c r="M82" s="17">
        <f>[78]Specimen!$J$18</f>
        <v>10.599679999999999</v>
      </c>
      <c r="N82" s="18">
        <f>[78]Specimen!$J$19</f>
        <v>2.181E-2</v>
      </c>
      <c r="O82" s="18">
        <f>[78]Specimen!$J$25</f>
        <v>492.11041614078079</v>
      </c>
      <c r="P82" s="19">
        <f>[78]Specimen!$J$24</f>
        <v>1.1195470869999999E-3</v>
      </c>
      <c r="Q82" s="181"/>
      <c r="R82" s="51">
        <v>12213</v>
      </c>
      <c r="S82" s="9">
        <v>210</v>
      </c>
      <c r="T82" s="9">
        <v>290</v>
      </c>
      <c r="U82" s="9">
        <v>100</v>
      </c>
      <c r="V82" s="9">
        <v>10</v>
      </c>
      <c r="W82" s="52" t="s">
        <v>8</v>
      </c>
    </row>
    <row r="83" spans="1:23" x14ac:dyDescent="0.25">
      <c r="A83" s="32" t="s">
        <v>79</v>
      </c>
      <c r="B83" s="13">
        <v>3.4</v>
      </c>
      <c r="C83" s="14">
        <v>9.5500000000000007</v>
      </c>
      <c r="D83" s="14">
        <v>3.25</v>
      </c>
      <c r="E83" s="14">
        <f t="shared" si="1"/>
        <v>102.88704048343418</v>
      </c>
      <c r="F83" s="189"/>
      <c r="G83" s="190"/>
      <c r="H83" s="190"/>
      <c r="I83" s="190"/>
      <c r="J83" s="191"/>
      <c r="K83" s="106">
        <f>M83/Summary!$X$18</f>
        <v>9.6302254559976053</v>
      </c>
      <c r="L83" s="102">
        <f>O83/Summary!$X$18</f>
        <v>495.04308155900736</v>
      </c>
      <c r="M83" s="17">
        <f>[79]Specimen!$J$18</f>
        <v>9.4792799999999993</v>
      </c>
      <c r="N83" s="18">
        <f>[79]Specimen!$J$19</f>
        <v>1.9740000000000001E-2</v>
      </c>
      <c r="O83" s="18">
        <f>[79]Specimen!$J$25</f>
        <v>487.28370935886363</v>
      </c>
      <c r="P83" s="19">
        <f>[79]Specimen!$J$24</f>
        <v>8.9961769499999984E-4</v>
      </c>
      <c r="Q83" s="181"/>
      <c r="R83" s="51">
        <v>12213</v>
      </c>
      <c r="S83" s="9">
        <v>210</v>
      </c>
      <c r="T83" s="9">
        <v>290</v>
      </c>
      <c r="U83" s="9">
        <v>100</v>
      </c>
      <c r="V83" s="9">
        <v>10</v>
      </c>
      <c r="W83" s="52" t="s">
        <v>8</v>
      </c>
    </row>
    <row r="84" spans="1:23" x14ac:dyDescent="0.25">
      <c r="A84" s="32" t="s">
        <v>80</v>
      </c>
      <c r="B84" s="13">
        <v>3.37</v>
      </c>
      <c r="C84" s="14">
        <v>9.5399999999999991</v>
      </c>
      <c r="D84" s="14">
        <v>3.25</v>
      </c>
      <c r="E84" s="14">
        <f t="shared" si="1"/>
        <v>102.5395632186563</v>
      </c>
      <c r="F84" s="189"/>
      <c r="G84" s="190"/>
      <c r="H84" s="190"/>
      <c r="I84" s="190"/>
      <c r="J84" s="191"/>
      <c r="K84" s="106">
        <f>M84/Summary!$X$18</f>
        <v>12.504720682873261</v>
      </c>
      <c r="L84" s="102">
        <f>O84/Summary!$X$18</f>
        <v>486.45093814454981</v>
      </c>
      <c r="M84" s="17">
        <f>[80]Specimen!$J$18</f>
        <v>12.308719999999999</v>
      </c>
      <c r="N84" s="18">
        <f>[80]Specimen!$J$19</f>
        <v>2.6020000000000001E-2</v>
      </c>
      <c r="O84" s="18">
        <f>[80]Specimen!$J$25</f>
        <v>478.82624036211502</v>
      </c>
      <c r="P84" s="19">
        <f>[80]Specimen!$J$24</f>
        <v>1.5802015090000002E-3</v>
      </c>
      <c r="Q84" s="181"/>
      <c r="R84" s="51">
        <v>12213</v>
      </c>
      <c r="S84" s="9">
        <v>210</v>
      </c>
      <c r="T84" s="9">
        <v>290</v>
      </c>
      <c r="U84" s="9">
        <v>100</v>
      </c>
      <c r="V84" s="9">
        <v>10</v>
      </c>
      <c r="W84" s="52" t="s">
        <v>8</v>
      </c>
    </row>
    <row r="85" spans="1:23" x14ac:dyDescent="0.25">
      <c r="A85" s="32" t="s">
        <v>81</v>
      </c>
      <c r="B85" s="13">
        <v>3.39</v>
      </c>
      <c r="C85" s="14">
        <v>9.56</v>
      </c>
      <c r="D85" s="14">
        <v>3.24</v>
      </c>
      <c r="E85" s="14">
        <f t="shared" si="1"/>
        <v>102.71302927861041</v>
      </c>
      <c r="F85" s="189"/>
      <c r="G85" s="190"/>
      <c r="H85" s="190"/>
      <c r="I85" s="190"/>
      <c r="J85" s="191"/>
      <c r="K85" s="106">
        <f>M85/Summary!$X$18</f>
        <v>12.430507454699748</v>
      </c>
      <c r="L85" s="102">
        <f>O85/Summary!$X$18</f>
        <v>484.00705521397896</v>
      </c>
      <c r="M85" s="17">
        <f>[81]Specimen!$J$18</f>
        <v>12.235670000000001</v>
      </c>
      <c r="N85" s="18">
        <f>[81]Specimen!$J$19</f>
        <v>2.5999999999999999E-2</v>
      </c>
      <c r="O85" s="18">
        <f>[81]Specimen!$J$25</f>
        <v>476.42066318306007</v>
      </c>
      <c r="P85" s="19">
        <f>[81]Specimen!$J$24</f>
        <v>1.569525102E-3</v>
      </c>
      <c r="Q85" s="181"/>
      <c r="R85" s="51">
        <v>12213</v>
      </c>
      <c r="S85" s="9">
        <v>210</v>
      </c>
      <c r="T85" s="9">
        <v>290</v>
      </c>
      <c r="U85" s="9">
        <v>100</v>
      </c>
      <c r="V85" s="9">
        <v>10</v>
      </c>
      <c r="W85" s="52" t="s">
        <v>8</v>
      </c>
    </row>
    <row r="86" spans="1:23" ht="15.75" thickBot="1" x14ac:dyDescent="0.3">
      <c r="A86" s="33" t="s">
        <v>82</v>
      </c>
      <c r="B86" s="6">
        <v>3.29</v>
      </c>
      <c r="C86" s="7">
        <v>9.57</v>
      </c>
      <c r="D86" s="7">
        <v>3.23</v>
      </c>
      <c r="E86" s="7">
        <f t="shared" si="1"/>
        <v>101.60151807378664</v>
      </c>
      <c r="F86" s="192"/>
      <c r="G86" s="193"/>
      <c r="H86" s="193"/>
      <c r="I86" s="193"/>
      <c r="J86" s="194"/>
      <c r="K86" s="98">
        <f>M86/Summary!$X$18</f>
        <v>11.511858425597765</v>
      </c>
      <c r="L86" s="103">
        <f>O86/Summary!$X$18</f>
        <v>509.58027273870152</v>
      </c>
      <c r="M86" s="20">
        <f>[82]Specimen!$J$18</f>
        <v>11.33142</v>
      </c>
      <c r="N86" s="1">
        <f>[82]Specimen!$J$19</f>
        <v>2.2859999999999998E-2</v>
      </c>
      <c r="O86" s="1">
        <f>[82]Specimen!$J$25</f>
        <v>501.59304263828648</v>
      </c>
      <c r="P86" s="21">
        <f>[82]Specimen!$J$24</f>
        <v>1.2608791669999997E-3</v>
      </c>
      <c r="Q86" s="182"/>
      <c r="R86" s="53">
        <v>12213</v>
      </c>
      <c r="S86" s="54">
        <v>210</v>
      </c>
      <c r="T86" s="54">
        <v>290</v>
      </c>
      <c r="U86" s="54">
        <v>100</v>
      </c>
      <c r="V86" s="54">
        <v>10</v>
      </c>
      <c r="W86" s="55" t="s">
        <v>8</v>
      </c>
    </row>
    <row r="87" spans="1:23" x14ac:dyDescent="0.25">
      <c r="A87" s="31" t="s">
        <v>83</v>
      </c>
      <c r="B87" s="11">
        <v>3.4</v>
      </c>
      <c r="C87" s="12">
        <v>9.6</v>
      </c>
      <c r="D87" s="12">
        <v>3.37</v>
      </c>
      <c r="E87" s="12">
        <f t="shared" si="1"/>
        <v>104.3197884425438</v>
      </c>
      <c r="F87" s="186" t="s">
        <v>121</v>
      </c>
      <c r="G87" s="187"/>
      <c r="H87" s="187"/>
      <c r="I87" s="187"/>
      <c r="J87" s="188"/>
      <c r="K87" s="106">
        <f>M87/Summary!$X$18</f>
        <v>23.550757761693209</v>
      </c>
      <c r="L87" s="102">
        <f>O87/Summary!$X$18</f>
        <v>443.92618568756109</v>
      </c>
      <c r="M87" s="17">
        <f>[83]Specimen!$J$18</f>
        <v>23.181619999999999</v>
      </c>
      <c r="N87" s="18">
        <f>[83]Specimen!$J$19</f>
        <v>5.4330000000000003E-2</v>
      </c>
      <c r="O87" s="118">
        <f>[83]Specimen!$J$25</f>
        <v>436.96802662533952</v>
      </c>
      <c r="P87" s="19">
        <f>[83]Specimen!$J$24</f>
        <v>6.8754524330000011E-3</v>
      </c>
      <c r="Q87" s="180">
        <v>14</v>
      </c>
      <c r="R87" s="56">
        <v>22213</v>
      </c>
      <c r="S87" s="57">
        <v>255</v>
      </c>
      <c r="T87" s="57">
        <v>290</v>
      </c>
      <c r="U87" s="57">
        <v>100</v>
      </c>
      <c r="V87" s="57">
        <v>10</v>
      </c>
      <c r="W87" s="58" t="s">
        <v>8</v>
      </c>
    </row>
    <row r="88" spans="1:23" x14ac:dyDescent="0.25">
      <c r="A88" s="32" t="s">
        <v>84</v>
      </c>
      <c r="B88" s="13">
        <v>3.37</v>
      </c>
      <c r="C88" s="14">
        <v>9.6199999999999992</v>
      </c>
      <c r="D88" s="14">
        <v>3.29</v>
      </c>
      <c r="E88" s="14">
        <f t="shared" si="1"/>
        <v>103.23866854861947</v>
      </c>
      <c r="F88" s="189"/>
      <c r="G88" s="190"/>
      <c r="H88" s="190"/>
      <c r="I88" s="190"/>
      <c r="J88" s="191"/>
      <c r="K88" s="106">
        <f>M88/Summary!$X$18</f>
        <v>19.499883815704091</v>
      </c>
      <c r="L88" s="102">
        <f>O88/Summary!$X$18</f>
        <v>486.91787404424787</v>
      </c>
      <c r="M88" s="17">
        <f>[84]Specimen!$J$18</f>
        <v>19.194240000000001</v>
      </c>
      <c r="N88" s="18">
        <f>[84]Specimen!$J$19</f>
        <v>4.0689999999999997E-2</v>
      </c>
      <c r="O88" s="18">
        <f>[84]Specimen!$J$25</f>
        <v>479.28585744538208</v>
      </c>
      <c r="P88" s="19">
        <f>[84]Specimen!$J$24</f>
        <v>4.031392126999999E-3</v>
      </c>
      <c r="Q88" s="181"/>
      <c r="R88" s="51">
        <v>22213</v>
      </c>
      <c r="S88" s="9">
        <v>255</v>
      </c>
      <c r="T88" s="9">
        <v>290</v>
      </c>
      <c r="U88" s="9">
        <v>100</v>
      </c>
      <c r="V88" s="9">
        <v>10</v>
      </c>
      <c r="W88" s="52" t="s">
        <v>8</v>
      </c>
    </row>
    <row r="89" spans="1:23" x14ac:dyDescent="0.25">
      <c r="A89" s="32" t="s">
        <v>85</v>
      </c>
      <c r="B89" s="13">
        <v>3.39</v>
      </c>
      <c r="C89" s="14">
        <v>9.61</v>
      </c>
      <c r="D89" s="14">
        <v>3.28</v>
      </c>
      <c r="E89" s="14">
        <f t="shared" si="1"/>
        <v>103.30720281423993</v>
      </c>
      <c r="F89" s="189"/>
      <c r="G89" s="190"/>
      <c r="H89" s="190"/>
      <c r="I89" s="190"/>
      <c r="J89" s="191"/>
      <c r="K89" s="106">
        <f>M89/Summary!$X$18</f>
        <v>21.748295728048721</v>
      </c>
      <c r="L89" s="102">
        <f>O89/Summary!$X$18</f>
        <v>515.94487432953838</v>
      </c>
      <c r="M89" s="17">
        <f>[85]Specimen!$J$18</f>
        <v>21.407409999999999</v>
      </c>
      <c r="N89" s="18">
        <f>[85]Specimen!$J$19</f>
        <v>7.954E-2</v>
      </c>
      <c r="O89" s="18">
        <f>[85]Specimen!$J$25</f>
        <v>507.85788460316633</v>
      </c>
      <c r="P89" s="19">
        <f>[85]Specimen!$J$24</f>
        <v>1.0095429167999999E-2</v>
      </c>
      <c r="Q89" s="181"/>
      <c r="R89" s="51">
        <v>22213</v>
      </c>
      <c r="S89" s="9">
        <v>255</v>
      </c>
      <c r="T89" s="9">
        <v>290</v>
      </c>
      <c r="U89" s="9">
        <v>100</v>
      </c>
      <c r="V89" s="9">
        <v>10</v>
      </c>
      <c r="W89" s="52" t="s">
        <v>8</v>
      </c>
    </row>
    <row r="90" spans="1:23" x14ac:dyDescent="0.25">
      <c r="A90" s="32" t="s">
        <v>86</v>
      </c>
      <c r="B90" s="13">
        <v>3.35</v>
      </c>
      <c r="C90" s="14">
        <v>9.6</v>
      </c>
      <c r="D90" s="14">
        <v>3.3</v>
      </c>
      <c r="E90" s="14">
        <f t="shared" si="1"/>
        <v>103.06520248866539</v>
      </c>
      <c r="F90" s="189"/>
      <c r="G90" s="190"/>
      <c r="H90" s="190"/>
      <c r="I90" s="190"/>
      <c r="J90" s="191"/>
      <c r="K90" s="106">
        <f>M90/Summary!$X$18</f>
        <v>22.415564590425799</v>
      </c>
      <c r="L90" s="102">
        <f>O90/Summary!$X$18</f>
        <v>463.06642224895575</v>
      </c>
      <c r="M90" s="17">
        <f>[86]Specimen!$J$18</f>
        <v>22.064219999999999</v>
      </c>
      <c r="N90" s="18">
        <f>[86]Specimen!$J$19</f>
        <v>5.645E-2</v>
      </c>
      <c r="O90" s="18">
        <f>[86]Specimen!$J$25</f>
        <v>455.80825653072566</v>
      </c>
      <c r="P90" s="19">
        <f>[86]Specimen!$J$24</f>
        <v>7.1571626499999999E-3</v>
      </c>
      <c r="Q90" s="181"/>
      <c r="R90" s="51">
        <v>22213</v>
      </c>
      <c r="S90" s="9">
        <v>255</v>
      </c>
      <c r="T90" s="9">
        <v>290</v>
      </c>
      <c r="U90" s="9">
        <v>100</v>
      </c>
      <c r="V90" s="9">
        <v>10</v>
      </c>
      <c r="W90" s="52" t="s">
        <v>8</v>
      </c>
    </row>
    <row r="91" spans="1:23" x14ac:dyDescent="0.25">
      <c r="A91" s="32" t="s">
        <v>87</v>
      </c>
      <c r="B91" s="13">
        <v>3.4</v>
      </c>
      <c r="C91" s="14">
        <v>9.59</v>
      </c>
      <c r="D91" s="14">
        <v>3.28</v>
      </c>
      <c r="E91" s="14">
        <f t="shared" si="1"/>
        <v>103.34141495135081</v>
      </c>
      <c r="F91" s="189"/>
      <c r="G91" s="190"/>
      <c r="H91" s="190"/>
      <c r="I91" s="190"/>
      <c r="J91" s="191"/>
      <c r="K91" s="106">
        <f>M91/Summary!$X$18</f>
        <v>21.912682346128893</v>
      </c>
      <c r="L91" s="102">
        <f>O91/Summary!$X$18</f>
        <v>404.36925404965194</v>
      </c>
      <c r="M91" s="17">
        <f>[87]Specimen!$J$18</f>
        <v>21.569220000000001</v>
      </c>
      <c r="N91" s="18">
        <f>[87]Specimen!$J$19</f>
        <v>5.5390000000000002E-2</v>
      </c>
      <c r="O91" s="18">
        <f>[87]Specimen!$J$25</f>
        <v>398.03111568281622</v>
      </c>
      <c r="P91" s="19">
        <f>[87]Specimen!$J$24</f>
        <v>6.7825289059999993E-3</v>
      </c>
      <c r="Q91" s="181"/>
      <c r="R91" s="51">
        <v>22213</v>
      </c>
      <c r="S91" s="9">
        <v>255</v>
      </c>
      <c r="T91" s="9">
        <v>290</v>
      </c>
      <c r="U91" s="9">
        <v>100</v>
      </c>
      <c r="V91" s="9">
        <v>10</v>
      </c>
      <c r="W91" s="52" t="s">
        <v>8</v>
      </c>
    </row>
    <row r="92" spans="1:23" ht="15.75" thickBot="1" x14ac:dyDescent="0.3">
      <c r="A92" s="33" t="s">
        <v>88</v>
      </c>
      <c r="B92" s="6">
        <v>3.35</v>
      </c>
      <c r="C92" s="7">
        <v>9.6</v>
      </c>
      <c r="D92" s="7">
        <v>3.3</v>
      </c>
      <c r="E92" s="7">
        <f t="shared" si="1"/>
        <v>103.06520248866539</v>
      </c>
      <c r="F92" s="192"/>
      <c r="G92" s="193"/>
      <c r="H92" s="193"/>
      <c r="I92" s="193"/>
      <c r="J92" s="194"/>
      <c r="K92" s="98">
        <f>M92/Summary!$X$18</f>
        <v>24.966000467229076</v>
      </c>
      <c r="L92" s="103">
        <f>O92/Summary!$X$18</f>
        <v>378.74115588675767</v>
      </c>
      <c r="M92" s="20">
        <f>[88]Specimen!$J$18</f>
        <v>24.574680000000001</v>
      </c>
      <c r="N92" s="1">
        <f>[88]Specimen!$J$19</f>
        <v>6.6930000000000003E-2</v>
      </c>
      <c r="O92" s="1">
        <f>[88]Specimen!$J$25</f>
        <v>372.80471579596184</v>
      </c>
      <c r="P92" s="21">
        <f>[88]Specimen!$J$24</f>
        <v>9.7327279549999993E-3</v>
      </c>
      <c r="Q92" s="182"/>
      <c r="R92" s="53">
        <v>22213</v>
      </c>
      <c r="S92" s="54">
        <v>255</v>
      </c>
      <c r="T92" s="54">
        <v>290</v>
      </c>
      <c r="U92" s="54">
        <v>100</v>
      </c>
      <c r="V92" s="54">
        <v>10</v>
      </c>
      <c r="W92" s="55" t="s">
        <v>8</v>
      </c>
    </row>
    <row r="93" spans="1:23" x14ac:dyDescent="0.25">
      <c r="A93" s="31" t="s">
        <v>89</v>
      </c>
      <c r="B93" s="11">
        <v>3.32</v>
      </c>
      <c r="C93" s="12">
        <v>9.5299999999999994</v>
      </c>
      <c r="D93" s="12">
        <v>3.39</v>
      </c>
      <c r="E93" s="12">
        <f t="shared" si="1"/>
        <v>103.45125786163523</v>
      </c>
      <c r="F93" s="186" t="s">
        <v>121</v>
      </c>
      <c r="G93" s="187"/>
      <c r="H93" s="187"/>
      <c r="I93" s="187"/>
      <c r="J93" s="188"/>
      <c r="K93" s="106">
        <f>M93/Summary!$X$18</f>
        <v>24.19538168422104</v>
      </c>
      <c r="L93" s="102">
        <f>O93/Summary!$X$18</f>
        <v>546.42516363278696</v>
      </c>
      <c r="M93" s="17">
        <f>[89]Specimen!$J$18</f>
        <v>23.816140000000001</v>
      </c>
      <c r="N93" s="18">
        <f>[89]Specimen!$J$19</f>
        <v>4.4900000000000002E-2</v>
      </c>
      <c r="O93" s="118">
        <f>[89]Specimen!$J$25</f>
        <v>537.86042173032718</v>
      </c>
      <c r="P93" s="19">
        <f>[89]Specimen!$J$24</f>
        <v>5.5974929780000012E-3</v>
      </c>
      <c r="Q93" s="180">
        <v>14</v>
      </c>
      <c r="R93" s="56">
        <v>21123</v>
      </c>
      <c r="S93" s="57">
        <v>255</v>
      </c>
      <c r="T93" s="57">
        <v>140</v>
      </c>
      <c r="U93" s="57">
        <v>80</v>
      </c>
      <c r="V93" s="57">
        <v>35</v>
      </c>
      <c r="W93" s="58" t="s">
        <v>8</v>
      </c>
    </row>
    <row r="94" spans="1:23" x14ac:dyDescent="0.25">
      <c r="A94" s="32" t="s">
        <v>90</v>
      </c>
      <c r="B94" s="13">
        <v>3.29</v>
      </c>
      <c r="C94" s="14">
        <v>9.5299999999999994</v>
      </c>
      <c r="D94" s="14">
        <v>3.33</v>
      </c>
      <c r="E94" s="14">
        <f t="shared" si="1"/>
        <v>102.50982704402516</v>
      </c>
      <c r="F94" s="189"/>
      <c r="G94" s="190"/>
      <c r="H94" s="190"/>
      <c r="I94" s="190"/>
      <c r="J94" s="191"/>
      <c r="K94" s="106">
        <f>M94/Summary!$X$18</f>
        <v>24.351366613088409</v>
      </c>
      <c r="L94" s="102">
        <f>O94/Summary!$X$18</f>
        <v>547.91546060541577</v>
      </c>
      <c r="M94" s="17">
        <f>[90]Specimen!$J$18</f>
        <v>23.96968</v>
      </c>
      <c r="N94" s="18">
        <f>[90]Specimen!$J$19</f>
        <v>4.4920000000000002E-2</v>
      </c>
      <c r="O94" s="18">
        <f>[90]Specimen!$J$25</f>
        <v>539.32735958668889</v>
      </c>
      <c r="P94" s="19">
        <f>[90]Specimen!$J$24</f>
        <v>5.5962163460000006E-3</v>
      </c>
      <c r="Q94" s="181"/>
      <c r="R94" s="51">
        <v>21123</v>
      </c>
      <c r="S94" s="9">
        <v>255</v>
      </c>
      <c r="T94" s="9">
        <v>140</v>
      </c>
      <c r="U94" s="9">
        <v>80</v>
      </c>
      <c r="V94" s="9">
        <v>35</v>
      </c>
      <c r="W94" s="52" t="s">
        <v>8</v>
      </c>
    </row>
    <row r="95" spans="1:23" x14ac:dyDescent="0.25">
      <c r="A95" s="32" t="s">
        <v>91</v>
      </c>
      <c r="B95" s="13">
        <v>3.29</v>
      </c>
      <c r="C95" s="14">
        <v>9.52</v>
      </c>
      <c r="D95" s="14">
        <v>3.34</v>
      </c>
      <c r="E95" s="14">
        <f t="shared" si="1"/>
        <v>102.57967158218226</v>
      </c>
      <c r="F95" s="189"/>
      <c r="G95" s="190"/>
      <c r="H95" s="190"/>
      <c r="I95" s="190"/>
      <c r="J95" s="191"/>
      <c r="K95" s="106">
        <f>M95/Summary!$X$18</f>
        <v>24.123901290870069</v>
      </c>
      <c r="L95" s="102">
        <f>O95/Summary!$X$18</f>
        <v>568.74352883352572</v>
      </c>
      <c r="M95" s="17">
        <f>[91]Specimen!$J$18</f>
        <v>23.74578</v>
      </c>
      <c r="N95" s="18">
        <f>[91]Specimen!$J$19</f>
        <v>4.283E-2</v>
      </c>
      <c r="O95" s="18">
        <f>[91]Specimen!$J$25</f>
        <v>559.82896585701747</v>
      </c>
      <c r="P95" s="19">
        <f>[91]Specimen!$J$24</f>
        <v>5.1993317790000005E-3</v>
      </c>
      <c r="Q95" s="181"/>
      <c r="R95" s="51">
        <v>21123</v>
      </c>
      <c r="S95" s="9">
        <v>255</v>
      </c>
      <c r="T95" s="9">
        <v>140</v>
      </c>
      <c r="U95" s="9">
        <v>80</v>
      </c>
      <c r="V95" s="9">
        <v>35</v>
      </c>
      <c r="W95" s="52" t="s">
        <v>8</v>
      </c>
    </row>
    <row r="96" spans="1:23" x14ac:dyDescent="0.25">
      <c r="A96" s="32" t="s">
        <v>92</v>
      </c>
      <c r="B96" s="13">
        <v>3.31</v>
      </c>
      <c r="C96" s="14">
        <v>9.51</v>
      </c>
      <c r="D96" s="14">
        <v>3.31</v>
      </c>
      <c r="E96" s="14">
        <f t="shared" si="1"/>
        <v>102.43856224193269</v>
      </c>
      <c r="F96" s="189"/>
      <c r="G96" s="190"/>
      <c r="H96" s="190"/>
      <c r="I96" s="190"/>
      <c r="J96" s="191"/>
      <c r="K96" s="106">
        <f>M96/Summary!$X$18</f>
        <v>23.343468684670299</v>
      </c>
      <c r="L96" s="102">
        <f>O96/Summary!$X$18</f>
        <v>538.55429033631674</v>
      </c>
      <c r="M96" s="17">
        <f>[92]Specimen!$J$18</f>
        <v>22.97758</v>
      </c>
      <c r="N96" s="18">
        <f>[92]Specimen!$J$19</f>
        <v>4.3839999999999997E-2</v>
      </c>
      <c r="O96" s="18">
        <f>[92]Specimen!$J$25</f>
        <v>530.11291756620631</v>
      </c>
      <c r="P96" s="19">
        <f>[92]Specimen!$J$24</f>
        <v>5.2613260139999993E-3</v>
      </c>
      <c r="Q96" s="181"/>
      <c r="R96" s="51">
        <v>21123</v>
      </c>
      <c r="S96" s="9">
        <v>255</v>
      </c>
      <c r="T96" s="9">
        <v>140</v>
      </c>
      <c r="U96" s="9">
        <v>80</v>
      </c>
      <c r="V96" s="9">
        <v>35</v>
      </c>
      <c r="W96" s="52" t="s">
        <v>8</v>
      </c>
    </row>
    <row r="97" spans="1:23" x14ac:dyDescent="0.25">
      <c r="A97" s="32" t="s">
        <v>93</v>
      </c>
      <c r="B97" s="13">
        <v>3.3</v>
      </c>
      <c r="C97" s="14">
        <v>9.49</v>
      </c>
      <c r="D97" s="14">
        <v>3.32</v>
      </c>
      <c r="E97" s="14">
        <f t="shared" si="1"/>
        <v>102.36926284864525</v>
      </c>
      <c r="F97" s="189"/>
      <c r="G97" s="190"/>
      <c r="H97" s="190"/>
      <c r="I97" s="190"/>
      <c r="J97" s="191"/>
      <c r="K97" s="106">
        <f>M97/Summary!$X$18</f>
        <v>22.158881301851949</v>
      </c>
      <c r="L97" s="102">
        <f>O97/Summary!$X$18</f>
        <v>549.62669098080801</v>
      </c>
      <c r="M97" s="17">
        <f>[93]Specimen!$J$18</f>
        <v>21.81156</v>
      </c>
      <c r="N97" s="18">
        <f>[93]Specimen!$J$19</f>
        <v>4.0710000000000003E-2</v>
      </c>
      <c r="O97" s="18">
        <f>[93]Specimen!$J$25</f>
        <v>541.0117679057845</v>
      </c>
      <c r="P97" s="19">
        <f>[93]Specimen!$J$24</f>
        <v>4.5543774940000016E-3</v>
      </c>
      <c r="Q97" s="181"/>
      <c r="R97" s="51">
        <v>21123</v>
      </c>
      <c r="S97" s="9">
        <v>255</v>
      </c>
      <c r="T97" s="9">
        <v>140</v>
      </c>
      <c r="U97" s="9">
        <v>80</v>
      </c>
      <c r="V97" s="9">
        <v>35</v>
      </c>
      <c r="W97" s="52" t="s">
        <v>8</v>
      </c>
    </row>
    <row r="98" spans="1:23" ht="15.75" thickBot="1" x14ac:dyDescent="0.3">
      <c r="A98" s="33" t="s">
        <v>94</v>
      </c>
      <c r="B98" s="6">
        <v>3.3</v>
      </c>
      <c r="C98" s="7">
        <v>9.5</v>
      </c>
      <c r="D98" s="7">
        <v>3.32</v>
      </c>
      <c r="E98" s="7">
        <f t="shared" si="1"/>
        <v>102.40424011342313</v>
      </c>
      <c r="F98" s="192"/>
      <c r="G98" s="193"/>
      <c r="H98" s="193"/>
      <c r="I98" s="193"/>
      <c r="J98" s="194"/>
      <c r="K98" s="98">
        <f>M98/Summary!$X$18</f>
        <v>23.622410862077576</v>
      </c>
      <c r="L98" s="103">
        <f>O98/Summary!$X$18</f>
        <v>531.20769014835332</v>
      </c>
      <c r="M98" s="20">
        <f>[94]Specimen!$J$18</f>
        <v>23.25215</v>
      </c>
      <c r="N98" s="1">
        <f>[94]Specimen!$J$19</f>
        <v>4.4909999999999999E-2</v>
      </c>
      <c r="O98" s="1">
        <f>[94]Specimen!$J$25</f>
        <v>522.88146898299726</v>
      </c>
      <c r="P98" s="21">
        <f>[94]Specimen!$J$24</f>
        <v>5.4352419330000006E-3</v>
      </c>
      <c r="Q98" s="182"/>
      <c r="R98" s="53">
        <v>21123</v>
      </c>
      <c r="S98" s="54">
        <v>255</v>
      </c>
      <c r="T98" s="54">
        <v>140</v>
      </c>
      <c r="U98" s="54">
        <v>80</v>
      </c>
      <c r="V98" s="54">
        <v>35</v>
      </c>
      <c r="W98" s="55" t="s">
        <v>8</v>
      </c>
    </row>
    <row r="99" spans="1:23" x14ac:dyDescent="0.25">
      <c r="A99" s="31" t="s">
        <v>95</v>
      </c>
      <c r="B99" s="11">
        <v>3.35</v>
      </c>
      <c r="C99" s="12">
        <v>9.5399999999999991</v>
      </c>
      <c r="D99" s="12">
        <v>3.37</v>
      </c>
      <c r="E99" s="12">
        <f t="shared" si="1"/>
        <v>103.58909152054308</v>
      </c>
      <c r="F99" s="186" t="s">
        <v>121</v>
      </c>
      <c r="G99" s="187"/>
      <c r="H99" s="187"/>
      <c r="I99" s="187"/>
      <c r="J99" s="188"/>
      <c r="K99" s="106">
        <f>M99/Summary!$X$18</f>
        <v>23.104706290620481</v>
      </c>
      <c r="L99" s="102">
        <f>O99/Summary!$X$18</f>
        <v>559.39144608744436</v>
      </c>
      <c r="M99" s="17">
        <f>[95]Specimen!$J$18</f>
        <v>22.742560000000001</v>
      </c>
      <c r="N99" s="18">
        <f>[95]Specimen!$J$19</f>
        <v>4.1770000000000002E-2</v>
      </c>
      <c r="O99" s="118">
        <f>[95]Specimen!$J$25</f>
        <v>550.62346892048799</v>
      </c>
      <c r="P99" s="19">
        <f>[95]Specimen!$J$24</f>
        <v>4.8673757700000006E-3</v>
      </c>
      <c r="Q99" s="180">
        <v>20</v>
      </c>
      <c r="R99" s="56">
        <v>21223</v>
      </c>
      <c r="S99" s="57">
        <v>255</v>
      </c>
      <c r="T99" s="57">
        <v>140</v>
      </c>
      <c r="U99" s="57">
        <v>100</v>
      </c>
      <c r="V99" s="57">
        <v>35</v>
      </c>
      <c r="W99" s="58" t="s">
        <v>8</v>
      </c>
    </row>
    <row r="100" spans="1:23" x14ac:dyDescent="0.25">
      <c r="A100" s="32" t="s">
        <v>96</v>
      </c>
      <c r="B100" s="13">
        <v>3.37</v>
      </c>
      <c r="C100" s="14">
        <v>9.5299999999999994</v>
      </c>
      <c r="D100" s="14">
        <v>3.35</v>
      </c>
      <c r="E100" s="14">
        <f t="shared" si="1"/>
        <v>103.5528039832285</v>
      </c>
      <c r="F100" s="189"/>
      <c r="G100" s="190"/>
      <c r="H100" s="190"/>
      <c r="I100" s="190"/>
      <c r="J100" s="191"/>
      <c r="K100" s="106">
        <f>M100/Summary!$X$18</f>
        <v>20.600383191733645</v>
      </c>
      <c r="L100" s="102">
        <f>O100/Summary!$X$18</f>
        <v>553.21682376979084</v>
      </c>
      <c r="M100" s="17">
        <f>[96]Specimen!$J$18</f>
        <v>20.27749</v>
      </c>
      <c r="N100" s="18">
        <f>[96]Specimen!$J$19</f>
        <v>3.7569999999999999E-2</v>
      </c>
      <c r="O100" s="18">
        <f>[96]Specimen!$J$25</f>
        <v>544.54562846797455</v>
      </c>
      <c r="P100" s="19">
        <f>[96]Specimen!$J$24</f>
        <v>3.8479863950000009E-3</v>
      </c>
      <c r="Q100" s="181"/>
      <c r="R100" s="51">
        <v>21223</v>
      </c>
      <c r="S100" s="9">
        <v>255</v>
      </c>
      <c r="T100" s="9">
        <v>140</v>
      </c>
      <c r="U100" s="9">
        <v>100</v>
      </c>
      <c r="V100" s="9">
        <v>35</v>
      </c>
      <c r="W100" s="52" t="s">
        <v>8</v>
      </c>
    </row>
    <row r="101" spans="1:23" x14ac:dyDescent="0.25">
      <c r="A101" s="32" t="s">
        <v>97</v>
      </c>
      <c r="B101" s="13">
        <v>3.26</v>
      </c>
      <c r="C101" s="14">
        <v>9.51</v>
      </c>
      <c r="D101" s="14">
        <v>3.32</v>
      </c>
      <c r="E101" s="14">
        <f t="shared" si="1"/>
        <v>102.02255071153434</v>
      </c>
      <c r="F101" s="189"/>
      <c r="G101" s="190"/>
      <c r="H101" s="190"/>
      <c r="I101" s="190"/>
      <c r="J101" s="191"/>
      <c r="K101" s="106">
        <f>M101/Summary!$X$18</f>
        <v>25.758928935256833</v>
      </c>
      <c r="L101" s="102">
        <f>O101/Summary!$X$18</f>
        <v>566.40244902572272</v>
      </c>
      <c r="M101" s="17">
        <f>[97]Specimen!$J$18</f>
        <v>25.355180000000001</v>
      </c>
      <c r="N101" s="18">
        <f>[97]Specimen!$J$19</f>
        <v>4.5969999999999997E-2</v>
      </c>
      <c r="O101" s="18">
        <f>[97]Specimen!$J$25</f>
        <v>557.52458045068306</v>
      </c>
      <c r="P101" s="19">
        <f>[97]Specimen!$J$24</f>
        <v>6.0190589769999999E-3</v>
      </c>
      <c r="Q101" s="181"/>
      <c r="R101" s="51">
        <v>21223</v>
      </c>
      <c r="S101" s="9">
        <v>255</v>
      </c>
      <c r="T101" s="9">
        <v>140</v>
      </c>
      <c r="U101" s="9">
        <v>100</v>
      </c>
      <c r="V101" s="9">
        <v>35</v>
      </c>
      <c r="W101" s="52" t="s">
        <v>8</v>
      </c>
    </row>
    <row r="102" spans="1:23" x14ac:dyDescent="0.25">
      <c r="A102" s="32" t="s">
        <v>98</v>
      </c>
      <c r="B102" s="13">
        <v>3.31</v>
      </c>
      <c r="C102" s="14">
        <v>9.49</v>
      </c>
      <c r="D102" s="14">
        <v>3.31</v>
      </c>
      <c r="E102" s="14">
        <f t="shared" si="1"/>
        <v>102.3686077123769</v>
      </c>
      <c r="F102" s="189"/>
      <c r="G102" s="190"/>
      <c r="H102" s="190"/>
      <c r="I102" s="190"/>
      <c r="J102" s="191"/>
      <c r="K102" s="106">
        <f>M102/Summary!$X$18</f>
        <v>23.341660340438281</v>
      </c>
      <c r="L102" s="102">
        <f>O102/Summary!$X$18</f>
        <v>550.92236276011477</v>
      </c>
      <c r="M102" s="17">
        <f>[98]Specimen!$J$18</f>
        <v>22.9758</v>
      </c>
      <c r="N102" s="18">
        <f>[98]Specimen!$J$19</f>
        <v>4.2819999999999997E-2</v>
      </c>
      <c r="O102" s="18">
        <f>[98]Specimen!$J$25</f>
        <v>542.28713115042149</v>
      </c>
      <c r="P102" s="19">
        <f>[98]Specimen!$J$24</f>
        <v>5.0561869489999991E-3</v>
      </c>
      <c r="Q102" s="181"/>
      <c r="R102" s="51">
        <v>21223</v>
      </c>
      <c r="S102" s="9">
        <v>255</v>
      </c>
      <c r="T102" s="9">
        <v>140</v>
      </c>
      <c r="U102" s="9">
        <v>100</v>
      </c>
      <c r="V102" s="9">
        <v>35</v>
      </c>
      <c r="W102" s="52" t="s">
        <v>8</v>
      </c>
    </row>
    <row r="103" spans="1:23" x14ac:dyDescent="0.25">
      <c r="A103" s="32" t="s">
        <v>99</v>
      </c>
      <c r="B103" s="13">
        <v>3.3</v>
      </c>
      <c r="C103" s="14">
        <v>9.49</v>
      </c>
      <c r="D103" s="14">
        <v>3.31</v>
      </c>
      <c r="E103" s="14">
        <f t="shared" si="1"/>
        <v>102.26444104571021</v>
      </c>
      <c r="F103" s="189"/>
      <c r="G103" s="190"/>
      <c r="H103" s="190"/>
      <c r="I103" s="190"/>
      <c r="J103" s="191"/>
      <c r="K103" s="106">
        <f>M103/Summary!$X$18</f>
        <v>22.53356413118355</v>
      </c>
      <c r="L103" s="102">
        <f>O103/Summary!$X$18</f>
        <v>531.92097461283981</v>
      </c>
      <c r="M103" s="17">
        <f>[99]Specimen!$J$18</f>
        <v>22.18037</v>
      </c>
      <c r="N103" s="18">
        <f>[99]Specimen!$J$19</f>
        <v>4.2810000000000001E-2</v>
      </c>
      <c r="O103" s="18">
        <f>[99]Specimen!$J$25</f>
        <v>523.583573330337</v>
      </c>
      <c r="P103" s="19">
        <f>[99]Specimen!$J$24</f>
        <v>4.8890226459999998E-3</v>
      </c>
      <c r="Q103" s="181"/>
      <c r="R103" s="51">
        <v>21223</v>
      </c>
      <c r="S103" s="9">
        <v>255</v>
      </c>
      <c r="T103" s="9">
        <v>140</v>
      </c>
      <c r="U103" s="9">
        <v>100</v>
      </c>
      <c r="V103" s="9">
        <v>35</v>
      </c>
      <c r="W103" s="52" t="s">
        <v>8</v>
      </c>
    </row>
    <row r="104" spans="1:23" ht="15.75" thickBot="1" x14ac:dyDescent="0.3">
      <c r="A104" s="33" t="s">
        <v>100</v>
      </c>
      <c r="B104" s="6">
        <v>3.31</v>
      </c>
      <c r="C104" s="7">
        <v>9.5299999999999994</v>
      </c>
      <c r="D104" s="7">
        <v>3.32</v>
      </c>
      <c r="E104" s="7">
        <f t="shared" si="1"/>
        <v>102.61333857442348</v>
      </c>
      <c r="F104" s="192"/>
      <c r="G104" s="193"/>
      <c r="H104" s="193"/>
      <c r="I104" s="193"/>
      <c r="J104" s="194"/>
      <c r="K104" s="98">
        <f>M104/Summary!$X$18</f>
        <v>24.46046666200769</v>
      </c>
      <c r="L104" s="103">
        <f>O104/Summary!$X$18</f>
        <v>526.16394579860093</v>
      </c>
      <c r="M104" s="20">
        <f>[100]Specimen!$J$18</f>
        <v>24.077069999999999</v>
      </c>
      <c r="N104" s="1">
        <f>[100]Specimen!$J$19</f>
        <v>4.6989999999999997E-2</v>
      </c>
      <c r="O104" s="1">
        <f>[100]Specimen!$J$25</f>
        <v>517.91678096419867</v>
      </c>
      <c r="P104" s="21">
        <f>[100]Specimen!$J$24</f>
        <v>5.8192184159999985E-3</v>
      </c>
      <c r="Q104" s="182"/>
      <c r="R104" s="53">
        <v>21223</v>
      </c>
      <c r="S104" s="54">
        <v>255</v>
      </c>
      <c r="T104" s="54">
        <v>140</v>
      </c>
      <c r="U104" s="54">
        <v>100</v>
      </c>
      <c r="V104" s="54">
        <v>35</v>
      </c>
      <c r="W104" s="55" t="s">
        <v>8</v>
      </c>
    </row>
    <row r="105" spans="1:23" x14ac:dyDescent="0.25">
      <c r="A105" s="31" t="s">
        <v>101</v>
      </c>
      <c r="B105" s="11">
        <v>3.2</v>
      </c>
      <c r="C105" s="12">
        <v>9.3800000000000008</v>
      </c>
      <c r="D105" s="12">
        <v>3.19</v>
      </c>
      <c r="E105" s="12">
        <f t="shared" si="1"/>
        <v>99.580162831266605</v>
      </c>
      <c r="F105" s="186" t="s">
        <v>122</v>
      </c>
      <c r="G105" s="187"/>
      <c r="H105" s="187"/>
      <c r="I105" s="187"/>
      <c r="J105" s="188"/>
      <c r="K105" s="107"/>
      <c r="L105" s="40"/>
      <c r="M105" s="39"/>
      <c r="N105" s="40"/>
      <c r="O105" s="117"/>
      <c r="P105" s="41"/>
      <c r="Q105" s="183">
        <v>25</v>
      </c>
      <c r="R105" s="56">
        <v>11123</v>
      </c>
      <c r="S105" s="57">
        <v>210</v>
      </c>
      <c r="T105" s="57">
        <v>140</v>
      </c>
      <c r="U105" s="57">
        <v>80</v>
      </c>
      <c r="V105" s="57">
        <v>35</v>
      </c>
      <c r="W105" s="58" t="s">
        <v>8</v>
      </c>
    </row>
    <row r="106" spans="1:23" x14ac:dyDescent="0.25">
      <c r="A106" s="32" t="s">
        <v>102</v>
      </c>
      <c r="B106" s="13">
        <v>3.2</v>
      </c>
      <c r="C106" s="14">
        <v>9.4</v>
      </c>
      <c r="D106" s="14">
        <v>3.14</v>
      </c>
      <c r="E106" s="14">
        <f t="shared" si="1"/>
        <v>99.12600834614733</v>
      </c>
      <c r="F106" s="189"/>
      <c r="G106" s="190"/>
      <c r="H106" s="190"/>
      <c r="I106" s="190"/>
      <c r="J106" s="191"/>
      <c r="K106" s="106">
        <f>M106/Summary!$X$18</f>
        <v>11.981784104228025</v>
      </c>
      <c r="L106" s="102">
        <f>O106/Summary!$X$18</f>
        <v>529.90822151879115</v>
      </c>
      <c r="M106" s="17">
        <f>[101]Specimen!$J$18</f>
        <v>11.793979999999999</v>
      </c>
      <c r="N106" s="18">
        <f>[101]Specimen!$J$19</f>
        <v>2.2870000000000001E-2</v>
      </c>
      <c r="O106" s="18">
        <f>[101]Specimen!$J$25</f>
        <v>521.60236840044911</v>
      </c>
      <c r="P106" s="19">
        <f>[101]Specimen!$J$24</f>
        <v>1.3195801560000001E-3</v>
      </c>
      <c r="Q106" s="184"/>
      <c r="R106" s="51">
        <v>11123</v>
      </c>
      <c r="S106" s="9">
        <v>210</v>
      </c>
      <c r="T106" s="9">
        <v>140</v>
      </c>
      <c r="U106" s="9">
        <v>80</v>
      </c>
      <c r="V106" s="9">
        <v>35</v>
      </c>
      <c r="W106" s="52" t="s">
        <v>8</v>
      </c>
    </row>
    <row r="107" spans="1:23" x14ac:dyDescent="0.25">
      <c r="A107" s="32" t="s">
        <v>103</v>
      </c>
      <c r="B107" s="13">
        <v>3.21</v>
      </c>
      <c r="C107" s="14">
        <v>9.4</v>
      </c>
      <c r="D107" s="14">
        <v>3.17</v>
      </c>
      <c r="E107" s="14">
        <f t="shared" si="1"/>
        <v>99.544640421619022</v>
      </c>
      <c r="F107" s="189"/>
      <c r="G107" s="190"/>
      <c r="H107" s="190"/>
      <c r="I107" s="190"/>
      <c r="J107" s="191"/>
      <c r="K107" s="106">
        <f>M107/Summary!$X$18</f>
        <v>10.594763759796336</v>
      </c>
      <c r="L107" s="102">
        <f>O107/Summary!$X$18</f>
        <v>516.71536549457937</v>
      </c>
      <c r="M107" s="17">
        <f>[102]Specimen!$J$18</f>
        <v>10.428699999999999</v>
      </c>
      <c r="N107" s="18">
        <f>[102]Specimen!$J$19</f>
        <v>2.0789999999999999E-2</v>
      </c>
      <c r="O107" s="18">
        <f>[102]Specimen!$J$25</f>
        <v>508.61629898550058</v>
      </c>
      <c r="P107" s="19">
        <f>[102]Specimen!$J$24</f>
        <v>1.0588169279999999E-3</v>
      </c>
      <c r="Q107" s="184"/>
      <c r="R107" s="51">
        <v>11123</v>
      </c>
      <c r="S107" s="9">
        <v>210</v>
      </c>
      <c r="T107" s="9">
        <v>140</v>
      </c>
      <c r="U107" s="9">
        <v>80</v>
      </c>
      <c r="V107" s="9">
        <v>35</v>
      </c>
      <c r="W107" s="52" t="s">
        <v>8</v>
      </c>
    </row>
    <row r="108" spans="1:23" x14ac:dyDescent="0.25">
      <c r="A108" s="32" t="s">
        <v>104</v>
      </c>
      <c r="B108" s="13">
        <v>3.22</v>
      </c>
      <c r="C108" s="14">
        <v>9.4</v>
      </c>
      <c r="D108" s="14">
        <v>3.21</v>
      </c>
      <c r="E108" s="14">
        <f t="shared" si="1"/>
        <v>100.06809430002575</v>
      </c>
      <c r="F108" s="189"/>
      <c r="G108" s="190"/>
      <c r="H108" s="190"/>
      <c r="I108" s="190"/>
      <c r="J108" s="191"/>
      <c r="K108" s="106">
        <f>M108/Summary!$X$18</f>
        <v>9.6838255917735747</v>
      </c>
      <c r="L108" s="102">
        <f>O108/Summary!$X$18</f>
        <v>494.3733992553183</v>
      </c>
      <c r="M108" s="17">
        <f>[103]Specimen!$J$18</f>
        <v>9.5320400000000003</v>
      </c>
      <c r="N108" s="18">
        <f>[103]Specimen!$J$19</f>
        <v>1.9740000000000001E-2</v>
      </c>
      <c r="O108" s="18">
        <f>[103]Specimen!$J$25</f>
        <v>486.62452374615714</v>
      </c>
      <c r="P108" s="19">
        <f>[103]Specimen!$J$24</f>
        <v>9.1240570299999993E-4</v>
      </c>
      <c r="Q108" s="184"/>
      <c r="R108" s="51">
        <v>11123</v>
      </c>
      <c r="S108" s="9">
        <v>210</v>
      </c>
      <c r="T108" s="9">
        <v>140</v>
      </c>
      <c r="U108" s="9">
        <v>80</v>
      </c>
      <c r="V108" s="9">
        <v>35</v>
      </c>
      <c r="W108" s="52" t="s">
        <v>8</v>
      </c>
    </row>
    <row r="109" spans="1:23" x14ac:dyDescent="0.25">
      <c r="A109" s="32" t="s">
        <v>105</v>
      </c>
      <c r="B109" s="13">
        <v>3.2</v>
      </c>
      <c r="C109" s="14">
        <v>9.42</v>
      </c>
      <c r="D109" s="14">
        <v>3.22</v>
      </c>
      <c r="E109" s="14">
        <f t="shared" si="1"/>
        <v>100.03453729918321</v>
      </c>
      <c r="F109" s="189"/>
      <c r="G109" s="190"/>
      <c r="H109" s="190"/>
      <c r="I109" s="190"/>
      <c r="J109" s="191"/>
      <c r="K109" s="106">
        <f>M109/Summary!$X$18</f>
        <v>6.9344312124993772</v>
      </c>
      <c r="L109" s="102">
        <f>O109/Summary!$X$18</f>
        <v>486.49434896640105</v>
      </c>
      <c r="M109" s="17">
        <f>[104]Specimen!$J$18</f>
        <v>6.8257399999999997</v>
      </c>
      <c r="N109" s="18">
        <f>[104]Specimen!$J$19</f>
        <v>1.4460000000000001E-2</v>
      </c>
      <c r="O109" s="18">
        <f>[104]Specimen!$J$25</f>
        <v>478.86897075687455</v>
      </c>
      <c r="P109" s="19">
        <f>[104]Specimen!$J$24</f>
        <v>4.7205013500000001E-4</v>
      </c>
      <c r="Q109" s="184"/>
      <c r="R109" s="51">
        <v>11123</v>
      </c>
      <c r="S109" s="9">
        <v>210</v>
      </c>
      <c r="T109" s="9">
        <v>140</v>
      </c>
      <c r="U109" s="9">
        <v>80</v>
      </c>
      <c r="V109" s="9">
        <v>35</v>
      </c>
      <c r="W109" s="52" t="s">
        <v>8</v>
      </c>
    </row>
    <row r="110" spans="1:23" ht="15.75" thickBot="1" x14ac:dyDescent="0.3">
      <c r="A110" s="33" t="s">
        <v>106</v>
      </c>
      <c r="B110" s="6">
        <v>3.19</v>
      </c>
      <c r="C110" s="7">
        <v>9.41</v>
      </c>
      <c r="D110" s="7">
        <v>3.18</v>
      </c>
      <c r="E110" s="7">
        <f t="shared" si="1"/>
        <v>99.476106155998593</v>
      </c>
      <c r="F110" s="192"/>
      <c r="G110" s="193"/>
      <c r="H110" s="193"/>
      <c r="I110" s="193"/>
      <c r="J110" s="194"/>
      <c r="K110" s="108"/>
      <c r="L110" s="43"/>
      <c r="M110" s="42"/>
      <c r="N110" s="43"/>
      <c r="O110" s="43"/>
      <c r="P110" s="44"/>
      <c r="Q110" s="185"/>
      <c r="R110" s="53">
        <v>11123</v>
      </c>
      <c r="S110" s="54">
        <v>210</v>
      </c>
      <c r="T110" s="54">
        <v>140</v>
      </c>
      <c r="U110" s="54">
        <v>80</v>
      </c>
      <c r="V110" s="54">
        <v>35</v>
      </c>
      <c r="W110" s="55" t="s">
        <v>8</v>
      </c>
    </row>
    <row r="111" spans="1:23" x14ac:dyDescent="0.25">
      <c r="A111" s="2"/>
    </row>
    <row r="112" spans="1:23" x14ac:dyDescent="0.25">
      <c r="A112" s="2"/>
    </row>
    <row r="113" spans="1:1" x14ac:dyDescent="0.25">
      <c r="A113" s="2"/>
    </row>
    <row r="114" spans="1:1" x14ac:dyDescent="0.25">
      <c r="A114" s="2"/>
    </row>
  </sheetData>
  <mergeCells count="37">
    <mergeCell ref="F2:J2"/>
    <mergeCell ref="F3:J8"/>
    <mergeCell ref="F9:J14"/>
    <mergeCell ref="F15:J20"/>
    <mergeCell ref="F21:J26"/>
    <mergeCell ref="F27:J32"/>
    <mergeCell ref="F33:J38"/>
    <mergeCell ref="F39:J44"/>
    <mergeCell ref="F45:J50"/>
    <mergeCell ref="F51:J56"/>
    <mergeCell ref="F93:J98"/>
    <mergeCell ref="F99:J104"/>
    <mergeCell ref="F105:J110"/>
    <mergeCell ref="F57:J62"/>
    <mergeCell ref="F63:J68"/>
    <mergeCell ref="F69:J74"/>
    <mergeCell ref="F75:J80"/>
    <mergeCell ref="F81:J86"/>
    <mergeCell ref="F87:J92"/>
    <mergeCell ref="Q3:Q8"/>
    <mergeCell ref="Q9:Q14"/>
    <mergeCell ref="Q15:Q20"/>
    <mergeCell ref="Q21:Q26"/>
    <mergeCell ref="Q27:Q32"/>
    <mergeCell ref="Q33:Q38"/>
    <mergeCell ref="Q39:Q44"/>
    <mergeCell ref="Q45:Q50"/>
    <mergeCell ref="Q51:Q56"/>
    <mergeCell ref="Q57:Q62"/>
    <mergeCell ref="Q93:Q98"/>
    <mergeCell ref="Q99:Q104"/>
    <mergeCell ref="Q105:Q110"/>
    <mergeCell ref="Q63:Q68"/>
    <mergeCell ref="Q69:Q74"/>
    <mergeCell ref="Q75:Q80"/>
    <mergeCell ref="Q81:Q86"/>
    <mergeCell ref="Q87:Q9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All_Data</vt:lpstr>
    </vt:vector>
  </TitlesOfParts>
  <Company>Worcester Polytechnic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Braconnier</dc:creator>
  <cp:lastModifiedBy>Daniel Braconnier</cp:lastModifiedBy>
  <dcterms:created xsi:type="dcterms:W3CDTF">2018-02-23T06:08:20Z</dcterms:created>
  <dcterms:modified xsi:type="dcterms:W3CDTF">2018-12-20T16:15:22Z</dcterms:modified>
</cp:coreProperties>
</file>