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na\Documents\"/>
    </mc:Choice>
  </mc:AlternateContent>
  <xr:revisionPtr revIDLastSave="0" documentId="13_ncr:1_{F2BDE307-C208-47CA-97C0-3542753EC23D}" xr6:coauthVersionLast="47" xr6:coauthVersionMax="47" xr10:uidLastSave="{00000000-0000-0000-0000-000000000000}"/>
  <bookViews>
    <workbookView xWindow="-120" yWindow="-120" windowWidth="29040" windowHeight="15720" activeTab="2" xr2:uid="{DFF53891-B55C-41A1-97B6-35A4DD9BC51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6" i="3" l="1"/>
  <c r="J125" i="3"/>
  <c r="J122" i="3"/>
  <c r="F130" i="3"/>
  <c r="F121" i="3"/>
  <c r="F122" i="3"/>
  <c r="F123" i="3"/>
  <c r="F124" i="3"/>
  <c r="F125" i="3"/>
  <c r="F126" i="3"/>
  <c r="F127" i="3"/>
  <c r="F128" i="3"/>
  <c r="F129" i="3"/>
  <c r="F120" i="3"/>
  <c r="E121" i="3"/>
  <c r="E122" i="3"/>
  <c r="E123" i="3"/>
  <c r="E124" i="3"/>
  <c r="E125" i="3"/>
  <c r="E126" i="3"/>
  <c r="E127" i="3"/>
  <c r="E128" i="3"/>
  <c r="E129" i="3"/>
  <c r="E120" i="3"/>
  <c r="J109" i="3"/>
  <c r="J108" i="3"/>
  <c r="J106" i="3"/>
  <c r="J105" i="3"/>
  <c r="F115" i="3"/>
  <c r="F105" i="3"/>
  <c r="F106" i="3"/>
  <c r="F107" i="3"/>
  <c r="F108" i="3"/>
  <c r="F109" i="3"/>
  <c r="F110" i="3"/>
  <c r="F111" i="3"/>
  <c r="F112" i="3"/>
  <c r="F113" i="3"/>
  <c r="F114" i="3"/>
  <c r="F104" i="3"/>
  <c r="E105" i="3"/>
  <c r="E106" i="3"/>
  <c r="E107" i="3"/>
  <c r="E108" i="3"/>
  <c r="E109" i="3"/>
  <c r="E110" i="3"/>
  <c r="E111" i="3"/>
  <c r="E112" i="3"/>
  <c r="E113" i="3"/>
  <c r="E114" i="3"/>
  <c r="E104" i="3"/>
  <c r="J89" i="3" l="1"/>
  <c r="J88" i="3"/>
  <c r="J87" i="3"/>
  <c r="J86" i="3"/>
  <c r="J85" i="3"/>
  <c r="F99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84" i="3"/>
  <c r="B100" i="3"/>
  <c r="A100" i="3"/>
  <c r="B99" i="3"/>
  <c r="A99" i="3"/>
  <c r="J73" i="3"/>
  <c r="E79" i="3"/>
  <c r="E74" i="3"/>
  <c r="E75" i="3"/>
  <c r="E76" i="3"/>
  <c r="E77" i="3"/>
  <c r="E78" i="3"/>
  <c r="E73" i="3"/>
  <c r="D78" i="3"/>
  <c r="C73" i="3"/>
  <c r="B80" i="3"/>
  <c r="B79" i="3"/>
  <c r="A79" i="3"/>
  <c r="C78" i="3"/>
  <c r="J79" i="3"/>
  <c r="C76" i="3"/>
  <c r="J75" i="3"/>
  <c r="J74" i="3"/>
  <c r="C74" i="3" s="1"/>
  <c r="S66" i="3"/>
  <c r="S65" i="3"/>
  <c r="S64" i="3"/>
  <c r="R64" i="3"/>
  <c r="S63" i="3"/>
  <c r="R63" i="3"/>
  <c r="R62" i="3"/>
  <c r="H68" i="3"/>
  <c r="H64" i="3"/>
  <c r="H65" i="3"/>
  <c r="H66" i="3"/>
  <c r="H67" i="3"/>
  <c r="H63" i="3"/>
  <c r="B68" i="3"/>
  <c r="D67" i="3"/>
  <c r="D66" i="3"/>
  <c r="D65" i="3"/>
  <c r="M64" i="3"/>
  <c r="C64" i="3"/>
  <c r="M63" i="3"/>
  <c r="D63" i="3"/>
  <c r="S54" i="3"/>
  <c r="S53" i="3"/>
  <c r="S51" i="3"/>
  <c r="S52" i="3"/>
  <c r="R52" i="3"/>
  <c r="H57" i="3"/>
  <c r="H52" i="3"/>
  <c r="H53" i="3"/>
  <c r="H54" i="3"/>
  <c r="H55" i="3"/>
  <c r="H56" i="3"/>
  <c r="H51" i="3"/>
  <c r="D56" i="3"/>
  <c r="D55" i="3"/>
  <c r="D54" i="3"/>
  <c r="D53" i="3"/>
  <c r="L52" i="3"/>
  <c r="C52" i="3"/>
  <c r="L51" i="3"/>
  <c r="C51" i="3"/>
  <c r="R50" i="3"/>
  <c r="R51" i="3"/>
  <c r="S39" i="3"/>
  <c r="S38" i="3"/>
  <c r="S37" i="3"/>
  <c r="R37" i="3"/>
  <c r="S36" i="3"/>
  <c r="R35" i="3"/>
  <c r="I37" i="3"/>
  <c r="R36" i="3"/>
  <c r="I43" i="3"/>
  <c r="I36" i="3"/>
  <c r="I38" i="3"/>
  <c r="I39" i="3"/>
  <c r="I40" i="3"/>
  <c r="I41" i="3"/>
  <c r="I42" i="3"/>
  <c r="I35" i="3"/>
  <c r="G36" i="3"/>
  <c r="G35" i="3"/>
  <c r="D45" i="3"/>
  <c r="D44" i="3"/>
  <c r="F43" i="3"/>
  <c r="D46" i="3" s="1"/>
  <c r="C43" i="3"/>
  <c r="S21" i="3"/>
  <c r="S20" i="3"/>
  <c r="S19" i="3"/>
  <c r="R19" i="3"/>
  <c r="S18" i="3"/>
  <c r="R18" i="3"/>
  <c r="R17" i="3"/>
  <c r="I27" i="3"/>
  <c r="I18" i="3"/>
  <c r="I19" i="3"/>
  <c r="I20" i="3"/>
  <c r="I21" i="3"/>
  <c r="I22" i="3"/>
  <c r="I23" i="3"/>
  <c r="I24" i="3"/>
  <c r="I25" i="3"/>
  <c r="I26" i="3"/>
  <c r="I17" i="3"/>
  <c r="H27" i="3"/>
  <c r="D29" i="3"/>
  <c r="D28" i="3"/>
  <c r="C27" i="3"/>
  <c r="F24" i="3"/>
  <c r="F23" i="3"/>
  <c r="F22" i="3"/>
  <c r="F21" i="3"/>
  <c r="F20" i="3"/>
  <c r="F19" i="3"/>
  <c r="F18" i="3"/>
  <c r="F17" i="3"/>
  <c r="F27" i="3" s="1"/>
  <c r="D30" i="3" s="1"/>
  <c r="S8" i="3"/>
  <c r="S10" i="3"/>
  <c r="S9" i="3"/>
  <c r="R8" i="3"/>
  <c r="S7" i="3"/>
  <c r="R7" i="3"/>
  <c r="H5" i="3"/>
  <c r="G4" i="3"/>
  <c r="H4" i="3" s="1"/>
  <c r="C11" i="3"/>
  <c r="C10" i="3"/>
  <c r="B9" i="3"/>
  <c r="E8" i="3"/>
  <c r="E7" i="3"/>
  <c r="E6" i="3"/>
  <c r="E5" i="3"/>
  <c r="E4" i="3"/>
  <c r="A102" i="1"/>
  <c r="B103" i="1"/>
  <c r="D76" i="1"/>
  <c r="E81" i="1"/>
  <c r="D81" i="1"/>
  <c r="E80" i="1"/>
  <c r="D80" i="1"/>
  <c r="E79" i="1"/>
  <c r="D79" i="1"/>
  <c r="C36" i="1"/>
  <c r="B57" i="1"/>
  <c r="C37" i="1"/>
  <c r="D35" i="1"/>
  <c r="D33" i="1"/>
  <c r="D34" i="1" s="1"/>
  <c r="C33" i="1"/>
  <c r="D32" i="1"/>
  <c r="C32" i="1"/>
  <c r="D31" i="1"/>
  <c r="C31" i="1"/>
  <c r="G118" i="2"/>
  <c r="G117" i="2"/>
  <c r="G116" i="2"/>
  <c r="F117" i="2"/>
  <c r="F118" i="2"/>
  <c r="F116" i="2"/>
  <c r="F113" i="2"/>
  <c r="A133" i="2"/>
  <c r="A86" i="2"/>
  <c r="A88" i="2"/>
  <c r="E70" i="2"/>
  <c r="F68" i="2"/>
  <c r="F66" i="2"/>
  <c r="F67" i="2" s="1"/>
  <c r="F65" i="2"/>
  <c r="F64" i="2"/>
  <c r="E66" i="2"/>
  <c r="E65" i="2"/>
  <c r="E64" i="2"/>
  <c r="B87" i="2"/>
  <c r="E69" i="2"/>
  <c r="I49" i="2"/>
  <c r="V45" i="2"/>
  <c r="C46" i="2" s="1"/>
  <c r="B243" i="1"/>
  <c r="D235" i="1"/>
  <c r="B53" i="2"/>
  <c r="I48" i="2" s="1"/>
  <c r="A53" i="2"/>
  <c r="H50" i="2" s="1"/>
  <c r="V50" i="2"/>
  <c r="F47" i="2"/>
  <c r="G47" i="2" s="1"/>
  <c r="F48" i="2"/>
  <c r="G48" i="2" s="1"/>
  <c r="F49" i="2"/>
  <c r="G49" i="2" s="1"/>
  <c r="F50" i="2"/>
  <c r="G50" i="2" s="1"/>
  <c r="F51" i="2"/>
  <c r="G51" i="2" s="1"/>
  <c r="F46" i="2"/>
  <c r="G46" i="2" s="1"/>
  <c r="C50" i="2"/>
  <c r="C48" i="2"/>
  <c r="V46" i="2"/>
  <c r="A52" i="2"/>
  <c r="B52" i="2"/>
  <c r="J37" i="2"/>
  <c r="J36" i="2"/>
  <c r="C37" i="2"/>
  <c r="D38" i="2"/>
  <c r="D39" i="2"/>
  <c r="D40" i="2"/>
  <c r="D36" i="2"/>
  <c r="B41" i="2"/>
  <c r="M35" i="2" s="1"/>
  <c r="J27" i="2"/>
  <c r="J26" i="2"/>
  <c r="D28" i="2"/>
  <c r="D29" i="2"/>
  <c r="D30" i="2"/>
  <c r="D31" i="2"/>
  <c r="D26" i="2"/>
  <c r="C26" i="2"/>
  <c r="C27" i="2"/>
  <c r="J19" i="2"/>
  <c r="M17" i="2"/>
  <c r="E23" i="2"/>
  <c r="F18" i="2" s="1"/>
  <c r="E22" i="2"/>
  <c r="C22" i="2"/>
  <c r="F20" i="2"/>
  <c r="F19" i="2"/>
  <c r="Z5" i="2"/>
  <c r="Z4" i="2"/>
  <c r="D12" i="2"/>
  <c r="D145" i="1"/>
  <c r="AC3" i="2"/>
  <c r="E12" i="2"/>
  <c r="E13" i="2" s="1"/>
  <c r="Z3" i="2" s="1"/>
  <c r="B12" i="2"/>
  <c r="J78" i="3" l="1"/>
  <c r="J80" i="3" s="1"/>
  <c r="C75" i="3"/>
  <c r="C79" i="3" s="1"/>
  <c r="C80" i="3" s="1"/>
  <c r="J76" i="3" s="1"/>
  <c r="J77" i="3" s="1"/>
  <c r="C77" i="3"/>
  <c r="A80" i="3"/>
  <c r="D64" i="3"/>
  <c r="D68" i="3" s="1"/>
  <c r="M62" i="3" s="1"/>
  <c r="D51" i="3"/>
  <c r="D52" i="3"/>
  <c r="G40" i="3"/>
  <c r="G39" i="3"/>
  <c r="G42" i="3"/>
  <c r="G38" i="3"/>
  <c r="G41" i="3"/>
  <c r="G37" i="3"/>
  <c r="G24" i="3"/>
  <c r="G22" i="3"/>
  <c r="G20" i="3"/>
  <c r="G18" i="3"/>
  <c r="G26" i="3"/>
  <c r="G23" i="3"/>
  <c r="G21" i="3"/>
  <c r="G19" i="3"/>
  <c r="G17" i="3"/>
  <c r="G25" i="3"/>
  <c r="E9" i="3"/>
  <c r="C12" i="3" s="1"/>
  <c r="F6" i="3" s="1"/>
  <c r="G6" i="3" s="1"/>
  <c r="F8" i="3"/>
  <c r="G8" i="3" s="1"/>
  <c r="H8" i="3" s="1"/>
  <c r="F4" i="3"/>
  <c r="F7" i="3"/>
  <c r="G7" i="3" s="1"/>
  <c r="H7" i="3" s="1"/>
  <c r="F5" i="3"/>
  <c r="C49" i="2"/>
  <c r="I47" i="2"/>
  <c r="G52" i="2"/>
  <c r="V49" i="2" s="1"/>
  <c r="V51" i="2" s="1"/>
  <c r="I51" i="2"/>
  <c r="H46" i="2"/>
  <c r="D27" i="2"/>
  <c r="D32" i="2" s="1"/>
  <c r="J25" i="2" s="1"/>
  <c r="D37" i="2"/>
  <c r="D41" i="2" s="1"/>
  <c r="J35" i="2" s="1"/>
  <c r="E37" i="2" s="1"/>
  <c r="I46" i="2"/>
  <c r="I50" i="2"/>
  <c r="K50" i="2" s="1"/>
  <c r="J50" i="2"/>
  <c r="F21" i="2"/>
  <c r="F22" i="2" s="1"/>
  <c r="J20" i="2" s="1"/>
  <c r="J21" i="2" s="1"/>
  <c r="H47" i="2"/>
  <c r="C47" i="2"/>
  <c r="C51" i="2"/>
  <c r="H51" i="2"/>
  <c r="H49" i="2"/>
  <c r="H48" i="2"/>
  <c r="F11" i="2"/>
  <c r="F7" i="2"/>
  <c r="F3" i="2"/>
  <c r="F10" i="2"/>
  <c r="F9" i="2"/>
  <c r="F8" i="2"/>
  <c r="F4" i="2"/>
  <c r="F6" i="2"/>
  <c r="F5" i="2"/>
  <c r="E67" i="3" l="1"/>
  <c r="E63" i="3"/>
  <c r="E65" i="3"/>
  <c r="E66" i="3"/>
  <c r="E64" i="3"/>
  <c r="D57" i="3"/>
  <c r="L50" i="3" s="1"/>
  <c r="G43" i="3"/>
  <c r="G27" i="3"/>
  <c r="H6" i="3"/>
  <c r="H9" i="3" s="1"/>
  <c r="R6" i="3" s="1"/>
  <c r="G9" i="3"/>
  <c r="F9" i="3"/>
  <c r="C52" i="2"/>
  <c r="C53" i="2" s="1"/>
  <c r="V47" i="2" s="1"/>
  <c r="V48" i="2" s="1"/>
  <c r="E29" i="2"/>
  <c r="E28" i="2"/>
  <c r="E30" i="2"/>
  <c r="E26" i="2"/>
  <c r="E31" i="2"/>
  <c r="E27" i="2"/>
  <c r="K51" i="2"/>
  <c r="J51" i="2"/>
  <c r="J49" i="2"/>
  <c r="K49" i="2"/>
  <c r="H52" i="2"/>
  <c r="J46" i="2"/>
  <c r="K46" i="2"/>
  <c r="E39" i="2"/>
  <c r="E38" i="2"/>
  <c r="E40" i="2"/>
  <c r="E36" i="2"/>
  <c r="J48" i="2"/>
  <c r="K48" i="2"/>
  <c r="K47" i="2"/>
  <c r="J47" i="2"/>
  <c r="I52" i="2"/>
  <c r="F12" i="2"/>
  <c r="Z6" i="2" s="1"/>
  <c r="Z7" i="2" s="1"/>
  <c r="F330" i="1"/>
  <c r="F323" i="1"/>
  <c r="F324" i="1"/>
  <c r="F325" i="1"/>
  <c r="F326" i="1"/>
  <c r="F327" i="1"/>
  <c r="F328" i="1"/>
  <c r="F329" i="1"/>
  <c r="E323" i="1"/>
  <c r="E324" i="1"/>
  <c r="E325" i="1"/>
  <c r="E326" i="1"/>
  <c r="E327" i="1"/>
  <c r="E328" i="1"/>
  <c r="E329" i="1"/>
  <c r="D323" i="1"/>
  <c r="D324" i="1"/>
  <c r="D325" i="1"/>
  <c r="D326" i="1"/>
  <c r="D327" i="1"/>
  <c r="D328" i="1"/>
  <c r="D329" i="1"/>
  <c r="F322" i="1"/>
  <c r="E322" i="1"/>
  <c r="D322" i="1"/>
  <c r="P325" i="1"/>
  <c r="P324" i="1"/>
  <c r="P323" i="1"/>
  <c r="P322" i="1"/>
  <c r="P321" i="1"/>
  <c r="P320" i="1"/>
  <c r="P319" i="1"/>
  <c r="P318" i="1"/>
  <c r="K320" i="1"/>
  <c r="K318" i="1"/>
  <c r="F319" i="1"/>
  <c r="F318" i="1"/>
  <c r="F317" i="1"/>
  <c r="E319" i="1"/>
  <c r="D319" i="1"/>
  <c r="C319" i="1"/>
  <c r="F313" i="1"/>
  <c r="F308" i="1"/>
  <c r="F309" i="1"/>
  <c r="F310" i="1"/>
  <c r="F311" i="1"/>
  <c r="F312" i="1"/>
  <c r="F307" i="1"/>
  <c r="E308" i="1"/>
  <c r="E309" i="1"/>
  <c r="E310" i="1"/>
  <c r="E311" i="1"/>
  <c r="E312" i="1"/>
  <c r="E307" i="1"/>
  <c r="D308" i="1"/>
  <c r="D309" i="1"/>
  <c r="D310" i="1"/>
  <c r="D311" i="1"/>
  <c r="D312" i="1"/>
  <c r="D307" i="1"/>
  <c r="N305" i="1"/>
  <c r="N309" i="1"/>
  <c r="N308" i="1"/>
  <c r="N307" i="1"/>
  <c r="N306" i="1"/>
  <c r="N304" i="1"/>
  <c r="K306" i="1"/>
  <c r="D304" i="1"/>
  <c r="B304" i="1"/>
  <c r="D301" i="1"/>
  <c r="D303" i="1"/>
  <c r="D302" i="1"/>
  <c r="C304" i="1"/>
  <c r="K291" i="1"/>
  <c r="G296" i="1"/>
  <c r="G291" i="1"/>
  <c r="G292" i="1"/>
  <c r="G293" i="1"/>
  <c r="G294" i="1"/>
  <c r="G295" i="1"/>
  <c r="G290" i="1"/>
  <c r="F291" i="1"/>
  <c r="F292" i="1"/>
  <c r="F293" i="1"/>
  <c r="F294" i="1"/>
  <c r="F295" i="1"/>
  <c r="F290" i="1"/>
  <c r="E291" i="1"/>
  <c r="E292" i="1"/>
  <c r="E293" i="1"/>
  <c r="E294" i="1"/>
  <c r="E295" i="1"/>
  <c r="E290" i="1"/>
  <c r="K277" i="1"/>
  <c r="F277" i="1"/>
  <c r="F279" i="1"/>
  <c r="F280" i="1"/>
  <c r="F281" i="1"/>
  <c r="F282" i="1"/>
  <c r="F283" i="1"/>
  <c r="F284" i="1"/>
  <c r="F285" i="1"/>
  <c r="F276" i="1"/>
  <c r="E277" i="1"/>
  <c r="E279" i="1"/>
  <c r="E280" i="1"/>
  <c r="E281" i="1"/>
  <c r="E282" i="1"/>
  <c r="E283" i="1"/>
  <c r="E284" i="1"/>
  <c r="E285" i="1"/>
  <c r="E276" i="1"/>
  <c r="D277" i="1"/>
  <c r="D278" i="1"/>
  <c r="E278" i="1" s="1"/>
  <c r="F278" i="1" s="1"/>
  <c r="F286" i="1" s="1"/>
  <c r="D279" i="1"/>
  <c r="D280" i="1"/>
  <c r="D281" i="1"/>
  <c r="D282" i="1"/>
  <c r="D283" i="1"/>
  <c r="D284" i="1"/>
  <c r="D285" i="1"/>
  <c r="D276" i="1"/>
  <c r="F253" i="1"/>
  <c r="C268" i="1"/>
  <c r="I265" i="1"/>
  <c r="I264" i="1"/>
  <c r="I263" i="1"/>
  <c r="I262" i="1"/>
  <c r="I261" i="1"/>
  <c r="I260" i="1"/>
  <c r="H265" i="1"/>
  <c r="H264" i="1"/>
  <c r="H263" i="1"/>
  <c r="H262" i="1"/>
  <c r="H261" i="1"/>
  <c r="H260" i="1"/>
  <c r="O261" i="1"/>
  <c r="O260" i="1"/>
  <c r="G265" i="1"/>
  <c r="G264" i="1"/>
  <c r="G260" i="1"/>
  <c r="E264" i="1"/>
  <c r="E263" i="1"/>
  <c r="E262" i="1"/>
  <c r="E261" i="1"/>
  <c r="E260" i="1"/>
  <c r="D261" i="1"/>
  <c r="D260" i="1"/>
  <c r="C266" i="1"/>
  <c r="B266" i="1"/>
  <c r="C265" i="1"/>
  <c r="U266" i="1"/>
  <c r="U265" i="1"/>
  <c r="U264" i="1"/>
  <c r="U262" i="1"/>
  <c r="U260" i="1"/>
  <c r="U258" i="1"/>
  <c r="U256" i="1"/>
  <c r="U228" i="1"/>
  <c r="U255" i="1"/>
  <c r="U254" i="1"/>
  <c r="C257" i="1"/>
  <c r="B257" i="1"/>
  <c r="F256" i="1"/>
  <c r="E256" i="1"/>
  <c r="D256" i="1"/>
  <c r="C256" i="1"/>
  <c r="F255" i="1"/>
  <c r="F254" i="1"/>
  <c r="F252" i="1"/>
  <c r="E252" i="1"/>
  <c r="E251" i="1"/>
  <c r="D253" i="1"/>
  <c r="D236" i="1"/>
  <c r="C245" i="1"/>
  <c r="I242" i="1"/>
  <c r="I241" i="1"/>
  <c r="I240" i="1"/>
  <c r="I239" i="1"/>
  <c r="I238" i="1"/>
  <c r="I237" i="1"/>
  <c r="I236" i="1"/>
  <c r="I235" i="1"/>
  <c r="H235" i="1"/>
  <c r="H241" i="1"/>
  <c r="H240" i="1"/>
  <c r="H239" i="1"/>
  <c r="H238" i="1"/>
  <c r="H237" i="1"/>
  <c r="H236" i="1"/>
  <c r="O236" i="1"/>
  <c r="O235" i="1"/>
  <c r="G242" i="1"/>
  <c r="G241" i="1"/>
  <c r="G240" i="1"/>
  <c r="G239" i="1"/>
  <c r="G238" i="1"/>
  <c r="G237" i="1"/>
  <c r="G236" i="1"/>
  <c r="G235" i="1"/>
  <c r="F242" i="1"/>
  <c r="F241" i="1"/>
  <c r="F240" i="1"/>
  <c r="F239" i="1"/>
  <c r="F238" i="1"/>
  <c r="F237" i="1"/>
  <c r="F236" i="1"/>
  <c r="F235" i="1"/>
  <c r="E241" i="1"/>
  <c r="E240" i="1"/>
  <c r="E239" i="1"/>
  <c r="E238" i="1"/>
  <c r="E237" i="1"/>
  <c r="E236" i="1"/>
  <c r="E235" i="1"/>
  <c r="D241" i="1"/>
  <c r="D240" i="1"/>
  <c r="D239" i="1"/>
  <c r="D238" i="1"/>
  <c r="D237" i="1"/>
  <c r="C243" i="1"/>
  <c r="C242" i="1"/>
  <c r="B242" i="1"/>
  <c r="U238" i="1"/>
  <c r="U237" i="1"/>
  <c r="U236" i="1"/>
  <c r="U235" i="1"/>
  <c r="U234" i="1"/>
  <c r="U232" i="1"/>
  <c r="U231" i="1"/>
  <c r="U230" i="1"/>
  <c r="U227" i="1"/>
  <c r="U226" i="1"/>
  <c r="C231" i="1"/>
  <c r="B231" i="1"/>
  <c r="F230" i="1"/>
  <c r="E230" i="1"/>
  <c r="D230" i="1"/>
  <c r="C230" i="1"/>
  <c r="B230" i="1"/>
  <c r="F229" i="1"/>
  <c r="F228" i="1"/>
  <c r="F227" i="1"/>
  <c r="F226" i="1"/>
  <c r="F225" i="1"/>
  <c r="F223" i="1"/>
  <c r="E229" i="1"/>
  <c r="E228" i="1"/>
  <c r="E227" i="1"/>
  <c r="E226" i="1"/>
  <c r="E225" i="1"/>
  <c r="E224" i="1"/>
  <c r="E223" i="1"/>
  <c r="D229" i="1"/>
  <c r="D228" i="1"/>
  <c r="D227" i="1"/>
  <c r="D226" i="1"/>
  <c r="D225" i="1"/>
  <c r="D224" i="1"/>
  <c r="D223" i="1"/>
  <c r="G198" i="1"/>
  <c r="G217" i="1"/>
  <c r="J207" i="1" s="1"/>
  <c r="J210" i="1" s="1"/>
  <c r="J211" i="1" s="1"/>
  <c r="G216" i="1"/>
  <c r="G215" i="1"/>
  <c r="G214" i="1"/>
  <c r="G213" i="1"/>
  <c r="G212" i="1"/>
  <c r="G211" i="1"/>
  <c r="G207" i="1"/>
  <c r="I196" i="1"/>
  <c r="I194" i="1"/>
  <c r="I198" i="1" s="1"/>
  <c r="I199" i="1" s="1"/>
  <c r="G203" i="1"/>
  <c r="G197" i="1"/>
  <c r="F198" i="1"/>
  <c r="F194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C183" i="1"/>
  <c r="B183" i="1"/>
  <c r="F182" i="1"/>
  <c r="E182" i="1"/>
  <c r="D182" i="1"/>
  <c r="C182" i="1"/>
  <c r="B182" i="1"/>
  <c r="F181" i="1"/>
  <c r="F180" i="1"/>
  <c r="F179" i="1"/>
  <c r="F178" i="1"/>
  <c r="F177" i="1"/>
  <c r="F176" i="1"/>
  <c r="F175" i="1"/>
  <c r="F174" i="1"/>
  <c r="E181" i="1"/>
  <c r="E180" i="1"/>
  <c r="E179" i="1"/>
  <c r="E178" i="1"/>
  <c r="E177" i="1"/>
  <c r="E176" i="1"/>
  <c r="E175" i="1"/>
  <c r="E174" i="1"/>
  <c r="E173" i="1"/>
  <c r="E172" i="1"/>
  <c r="D179" i="1"/>
  <c r="D177" i="1"/>
  <c r="D181" i="1"/>
  <c r="D180" i="1"/>
  <c r="D178" i="1"/>
  <c r="D176" i="1"/>
  <c r="D175" i="1"/>
  <c r="D174" i="1"/>
  <c r="D172" i="1"/>
  <c r="B164" i="1"/>
  <c r="H157" i="1" s="1"/>
  <c r="H165" i="1" s="1"/>
  <c r="H166" i="1" s="1"/>
  <c r="H167" i="1" s="1"/>
  <c r="H164" i="1"/>
  <c r="H163" i="1"/>
  <c r="H162" i="1"/>
  <c r="H161" i="1"/>
  <c r="H160" i="1"/>
  <c r="H159" i="1"/>
  <c r="H158" i="1"/>
  <c r="H156" i="1"/>
  <c r="H155" i="1"/>
  <c r="H154" i="1"/>
  <c r="H153" i="1"/>
  <c r="A164" i="1"/>
  <c r="E163" i="1"/>
  <c r="D163" i="1"/>
  <c r="B163" i="1"/>
  <c r="A163" i="1"/>
  <c r="E162" i="1"/>
  <c r="E161" i="1"/>
  <c r="E160" i="1"/>
  <c r="E159" i="1"/>
  <c r="E158" i="1"/>
  <c r="E157" i="1"/>
  <c r="E156" i="1"/>
  <c r="E155" i="1"/>
  <c r="E154" i="1"/>
  <c r="E153" i="1"/>
  <c r="D162" i="1"/>
  <c r="D161" i="1"/>
  <c r="D160" i="1"/>
  <c r="D159" i="1"/>
  <c r="D158" i="1"/>
  <c r="D157" i="1"/>
  <c r="D156" i="1"/>
  <c r="D155" i="1"/>
  <c r="D154" i="1"/>
  <c r="D153" i="1"/>
  <c r="C163" i="1"/>
  <c r="C162" i="1"/>
  <c r="C161" i="1"/>
  <c r="C160" i="1"/>
  <c r="C159" i="1"/>
  <c r="C156" i="1"/>
  <c r="C158" i="1"/>
  <c r="C157" i="1"/>
  <c r="C155" i="1"/>
  <c r="C154" i="1"/>
  <c r="C153" i="1"/>
  <c r="J141" i="1"/>
  <c r="J140" i="1"/>
  <c r="J139" i="1"/>
  <c r="G144" i="1"/>
  <c r="G143" i="1"/>
  <c r="G142" i="1"/>
  <c r="G141" i="1"/>
  <c r="G140" i="1"/>
  <c r="G139" i="1"/>
  <c r="G138" i="1"/>
  <c r="G137" i="1"/>
  <c r="G136" i="1"/>
  <c r="D147" i="1"/>
  <c r="F144" i="1"/>
  <c r="K127" i="1"/>
  <c r="K126" i="1"/>
  <c r="K125" i="1"/>
  <c r="G130" i="1"/>
  <c r="G129" i="1"/>
  <c r="G128" i="1"/>
  <c r="G127" i="1"/>
  <c r="G126" i="1"/>
  <c r="G125" i="1"/>
  <c r="G124" i="1"/>
  <c r="G123" i="1"/>
  <c r="G122" i="1"/>
  <c r="G121" i="1"/>
  <c r="G120" i="1"/>
  <c r="D133" i="1"/>
  <c r="F130" i="1"/>
  <c r="F126" i="1"/>
  <c r="F127" i="1"/>
  <c r="F125" i="1"/>
  <c r="F122" i="1"/>
  <c r="F124" i="1"/>
  <c r="F123" i="1"/>
  <c r="F121" i="1"/>
  <c r="F120" i="1"/>
  <c r="F113" i="1"/>
  <c r="F112" i="1"/>
  <c r="F111" i="1"/>
  <c r="F110" i="1"/>
  <c r="F109" i="1"/>
  <c r="C117" i="1"/>
  <c r="E113" i="1"/>
  <c r="E114" i="1"/>
  <c r="E112" i="1"/>
  <c r="E111" i="1"/>
  <c r="E110" i="1"/>
  <c r="E109" i="1"/>
  <c r="I12" i="1"/>
  <c r="I26" i="1"/>
  <c r="I14" i="1"/>
  <c r="I25" i="1"/>
  <c r="I24" i="1"/>
  <c r="F18" i="1"/>
  <c r="D146" i="1"/>
  <c r="C144" i="1"/>
  <c r="D132" i="1"/>
  <c r="D131" i="1"/>
  <c r="C130" i="1"/>
  <c r="C116" i="1"/>
  <c r="C115" i="1"/>
  <c r="B114" i="1"/>
  <c r="A56" i="1"/>
  <c r="E23" i="1"/>
  <c r="F21" i="1" s="1"/>
  <c r="E22" i="1"/>
  <c r="C22" i="1"/>
  <c r="E13" i="1"/>
  <c r="E14" i="1" s="1"/>
  <c r="B13" i="1"/>
  <c r="E68" i="3" l="1"/>
  <c r="E69" i="3" s="1"/>
  <c r="M65" i="3" s="1"/>
  <c r="M66" i="3" s="1"/>
  <c r="E55" i="3"/>
  <c r="E56" i="3"/>
  <c r="E53" i="3"/>
  <c r="E54" i="3"/>
  <c r="E52" i="3"/>
  <c r="E51" i="3"/>
  <c r="E41" i="2"/>
  <c r="E42" i="2" s="1"/>
  <c r="J38" i="2" s="1"/>
  <c r="J39" i="2" s="1"/>
  <c r="K52" i="2"/>
  <c r="J52" i="2"/>
  <c r="T46" i="2" s="1"/>
  <c r="T47" i="2" s="1"/>
  <c r="E32" i="2"/>
  <c r="E33" i="2" s="1"/>
  <c r="J28" i="2" s="1"/>
  <c r="J29" i="2" s="1"/>
  <c r="F5" i="1"/>
  <c r="F9" i="1"/>
  <c r="F10" i="1"/>
  <c r="F8" i="1"/>
  <c r="F11" i="1"/>
  <c r="F7" i="1"/>
  <c r="F12" i="1"/>
  <c r="F6" i="1"/>
  <c r="F19" i="1"/>
  <c r="F22" i="1" s="1"/>
  <c r="F20" i="1"/>
  <c r="F4" i="1"/>
  <c r="E57" i="3" l="1"/>
  <c r="E58" i="3" s="1"/>
  <c r="L53" i="3" s="1"/>
  <c r="L54" i="3" s="1"/>
  <c r="L48" i="2"/>
  <c r="M48" i="2" s="1"/>
  <c r="L51" i="2"/>
  <c r="M51" i="2" s="1"/>
  <c r="L47" i="2"/>
  <c r="M47" i="2" s="1"/>
  <c r="L49" i="2"/>
  <c r="M49" i="2" s="1"/>
  <c r="L50" i="2"/>
  <c r="M50" i="2" s="1"/>
  <c r="L46" i="2"/>
  <c r="M46" i="2" s="1"/>
  <c r="F114" i="1"/>
  <c r="F13" i="1"/>
  <c r="I13" i="1" s="1"/>
  <c r="I113" i="1" l="1"/>
  <c r="I114" i="1" s="1"/>
  <c r="I115" i="1" s="1"/>
</calcChain>
</file>

<file path=xl/sharedStrings.xml><?xml version="1.0" encoding="utf-8"?>
<sst xmlns="http://schemas.openxmlformats.org/spreadsheetml/2006/main" count="712" uniqueCount="272">
  <si>
    <t>FIND MEAN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</si>
  <si>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</si>
  <si>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</si>
  <si>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</si>
  <si>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</si>
  <si>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</si>
  <si>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</si>
  <si>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</si>
  <si>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</si>
  <si>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</si>
  <si>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No.of Students</t>
  </si>
  <si>
    <t>Total</t>
  </si>
  <si>
    <t xml:space="preserve">     xm</t>
  </si>
  <si>
    <t xml:space="preserve">    fxm</t>
  </si>
  <si>
    <t>mean</t>
  </si>
  <si>
    <t>Weights</t>
  </si>
  <si>
    <t>No.of pets</t>
  </si>
  <si>
    <t>f</t>
  </si>
  <si>
    <t>1-2</t>
  </si>
  <si>
    <t>3-4</t>
  </si>
  <si>
    <t>5-6</t>
  </si>
  <si>
    <t>7-8</t>
  </si>
  <si>
    <t>total</t>
  </si>
  <si>
    <t xml:space="preserve">   xm</t>
  </si>
  <si>
    <t xml:space="preserve">      fxm</t>
  </si>
  <si>
    <t>Mean</t>
  </si>
  <si>
    <t>Height of student</t>
  </si>
  <si>
    <t>Median and Mode</t>
  </si>
  <si>
    <t>Range</t>
  </si>
  <si>
    <t>1-10</t>
  </si>
  <si>
    <t>11-20</t>
  </si>
  <si>
    <t>21-30</t>
  </si>
  <si>
    <t>31-40</t>
  </si>
  <si>
    <t>41-50</t>
  </si>
  <si>
    <r>
      <t xml:space="preserve">        </t>
    </r>
    <r>
      <rPr>
        <b/>
        <sz val="11"/>
        <color theme="1"/>
        <rFont val="Calibri"/>
        <family val="2"/>
        <scheme val="minor"/>
      </rPr>
      <t>F</t>
    </r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</si>
  <si>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cf</t>
    </r>
  </si>
  <si>
    <t>Median</t>
  </si>
  <si>
    <t>Mode</t>
  </si>
  <si>
    <t>70-72</t>
  </si>
  <si>
    <t>67-69</t>
  </si>
  <si>
    <t>64-66</t>
  </si>
  <si>
    <t>61-63</t>
  </si>
  <si>
    <t>58-60</t>
  </si>
  <si>
    <t>55-57</t>
  </si>
  <si>
    <t>52-54</t>
  </si>
  <si>
    <t>49-51</t>
  </si>
  <si>
    <t>46-48</t>
  </si>
  <si>
    <t>43-45</t>
  </si>
  <si>
    <t xml:space="preserve">         F</t>
  </si>
  <si>
    <t>Class    Interval</t>
  </si>
  <si>
    <t xml:space="preserve">        CF</t>
  </si>
  <si>
    <t>TOTAL</t>
  </si>
  <si>
    <t>MEDIAN</t>
  </si>
  <si>
    <t>MODE</t>
  </si>
  <si>
    <t>Class    Limits</t>
  </si>
  <si>
    <t xml:space="preserve">        F</t>
  </si>
  <si>
    <t>13-19</t>
  </si>
  <si>
    <t>20-26</t>
  </si>
  <si>
    <t>27-33</t>
  </si>
  <si>
    <t>34-40</t>
  </si>
  <si>
    <t>41-47</t>
  </si>
  <si>
    <t>48-54</t>
  </si>
  <si>
    <t>55-61</t>
  </si>
  <si>
    <t>62-68</t>
  </si>
  <si>
    <t>Q1</t>
  </si>
  <si>
    <t>Q2</t>
  </si>
  <si>
    <t>Q3</t>
  </si>
  <si>
    <t>inter quartile</t>
  </si>
  <si>
    <t>x-mean</t>
  </si>
  <si>
    <t>sd</t>
  </si>
  <si>
    <t>(x-mean)^2</t>
  </si>
  <si>
    <t>variance</t>
  </si>
  <si>
    <t>x-mean^2</t>
  </si>
  <si>
    <t>x</t>
  </si>
  <si>
    <t xml:space="preserve">      y</t>
  </si>
  <si>
    <t xml:space="preserve">      x</t>
  </si>
  <si>
    <t xml:space="preserve">    x-mean</t>
  </si>
  <si>
    <t xml:space="preserve">    fx</t>
  </si>
  <si>
    <t xml:space="preserve">   x-mean</t>
  </si>
  <si>
    <t xml:space="preserve">   X</t>
  </si>
  <si>
    <t xml:space="preserve">    FX</t>
  </si>
  <si>
    <t xml:space="preserve">    X-MEAN</t>
  </si>
  <si>
    <t>MEAN</t>
  </si>
  <si>
    <t>Karl's correlation</t>
  </si>
  <si>
    <t>math   x</t>
  </si>
  <si>
    <t>science y</t>
  </si>
  <si>
    <t xml:space="preserve">   xy</t>
  </si>
  <si>
    <t xml:space="preserve">    x^2</t>
  </si>
  <si>
    <t xml:space="preserve">    y^2</t>
  </si>
  <si>
    <t>n</t>
  </si>
  <si>
    <t>xy</t>
  </si>
  <si>
    <t>y</t>
  </si>
  <si>
    <t>x^2</t>
  </si>
  <si>
    <t>y^2</t>
  </si>
  <si>
    <t>(x)^2</t>
  </si>
  <si>
    <t>(y)^2</t>
  </si>
  <si>
    <t>nx^2</t>
  </si>
  <si>
    <t>ny^2</t>
  </si>
  <si>
    <t>nxy</t>
  </si>
  <si>
    <t>nxy-x*y</t>
  </si>
  <si>
    <t>nx^2-(x)^2</t>
  </si>
  <si>
    <t>ny^2-(y)^2</t>
  </si>
  <si>
    <t>r</t>
  </si>
  <si>
    <t>A</t>
  </si>
  <si>
    <t>B</t>
  </si>
  <si>
    <t>IQ</t>
  </si>
  <si>
    <t>ROCK</t>
  </si>
  <si>
    <t>AB</t>
  </si>
  <si>
    <t>A^2</t>
  </si>
  <si>
    <t>B^2</t>
  </si>
  <si>
    <t>N</t>
  </si>
  <si>
    <t>X</t>
  </si>
  <si>
    <t>Y</t>
  </si>
  <si>
    <t>XY</t>
  </si>
  <si>
    <t>X^2</t>
  </si>
  <si>
    <t>Y^2</t>
  </si>
  <si>
    <t>(X)^2</t>
  </si>
  <si>
    <t>(Y)^2</t>
  </si>
  <si>
    <t>N(XY)</t>
  </si>
  <si>
    <t>N(XY)-X*Y</t>
  </si>
  <si>
    <t>X*Y</t>
  </si>
  <si>
    <t>NX^2</t>
  </si>
  <si>
    <t>NY^2</t>
  </si>
  <si>
    <t>NX^2-(x)^2</t>
  </si>
  <si>
    <t>NY^2-(Y)^2</t>
  </si>
  <si>
    <t>sqrt((NX^2-(x)^2)(NY^2-(Y)^2))</t>
  </si>
  <si>
    <t>SPEARMAN'S  RANK CORRELATION COEFFICIENT</t>
  </si>
  <si>
    <t>RX</t>
  </si>
  <si>
    <t>RY</t>
  </si>
  <si>
    <t xml:space="preserve">     D</t>
  </si>
  <si>
    <t xml:space="preserve">        D^2</t>
  </si>
  <si>
    <t xml:space="preserve">                 6d^2</t>
  </si>
  <si>
    <t>6d^2</t>
  </si>
  <si>
    <t xml:space="preserve">                  N</t>
  </si>
  <si>
    <t xml:space="preserve">                    N^2-1</t>
  </si>
  <si>
    <t>N(N^2-1)</t>
  </si>
  <si>
    <t>rs</t>
  </si>
  <si>
    <t xml:space="preserve">                  N(N^2-1)</t>
  </si>
  <si>
    <t xml:space="preserve">                  6d^2/N(N^2-1)</t>
  </si>
  <si>
    <t xml:space="preserve">                     rs</t>
  </si>
  <si>
    <t>Rx</t>
  </si>
  <si>
    <t>Ry</t>
  </si>
  <si>
    <t>d</t>
  </si>
  <si>
    <t>d^2</t>
  </si>
  <si>
    <t xml:space="preserve"> 6d^2/N(N^2-1)</t>
  </si>
  <si>
    <t>REGRESSION</t>
  </si>
  <si>
    <t>SUM</t>
  </si>
  <si>
    <t>Xi-X</t>
  </si>
  <si>
    <t>Yi-Y</t>
  </si>
  <si>
    <t>(Xi-X)^2</t>
  </si>
  <si>
    <t>Unit Price ,X</t>
  </si>
  <si>
    <t>Total qty, Y</t>
  </si>
  <si>
    <t>x*y</t>
  </si>
  <si>
    <t>upper</t>
  </si>
  <si>
    <t>x2</t>
  </si>
  <si>
    <t>nx2</t>
  </si>
  <si>
    <t>(x)2</t>
  </si>
  <si>
    <t>nx2-x2</t>
  </si>
  <si>
    <t>y2</t>
  </si>
  <si>
    <t>ny2</t>
  </si>
  <si>
    <t>(y)2</t>
  </si>
  <si>
    <t>ny2-y2</t>
  </si>
  <si>
    <t>sqrt</t>
  </si>
  <si>
    <t>correlation</t>
  </si>
  <si>
    <t>(Xi-X)(Yi-Y)</t>
  </si>
  <si>
    <t>Yi^</t>
  </si>
  <si>
    <t>(Yi-Yi^)2</t>
  </si>
  <si>
    <t>SLOPE</t>
  </si>
  <si>
    <t>B1</t>
  </si>
  <si>
    <t>INTERCEPT</t>
  </si>
  <si>
    <t>B0</t>
  </si>
  <si>
    <t>Yi^=b0+(b1*Xi)</t>
  </si>
  <si>
    <t>Qty of potato per weak, Yi</t>
  </si>
  <si>
    <t>Potato per KG, Xi</t>
  </si>
  <si>
    <t xml:space="preserve">         XY</t>
  </si>
  <si>
    <t xml:space="preserve">        X^2</t>
  </si>
  <si>
    <t xml:space="preserve">      Y^2</t>
  </si>
  <si>
    <t>(Xi-X)</t>
  </si>
  <si>
    <t>(Yi-Y)</t>
  </si>
  <si>
    <t>(Yi-Yi^)^2</t>
  </si>
  <si>
    <t>HYPOTHESIS</t>
  </si>
  <si>
    <t>New Technique</t>
  </si>
  <si>
    <t>No Training</t>
  </si>
  <si>
    <t>O-E</t>
  </si>
  <si>
    <t>(O-E)^2</t>
  </si>
  <si>
    <t>(O-E)^2/E</t>
  </si>
  <si>
    <t>DF (n-1)</t>
  </si>
  <si>
    <t>Level of significance</t>
  </si>
  <si>
    <t>Critical value</t>
  </si>
  <si>
    <t>Dice</t>
  </si>
  <si>
    <t>Observed</t>
  </si>
  <si>
    <t>Expected</t>
  </si>
  <si>
    <t>O - E</t>
  </si>
  <si>
    <t>(O - E)^2</t>
  </si>
  <si>
    <t>(O - E)^2/E</t>
  </si>
  <si>
    <t>Null hypothesis rejected</t>
  </si>
  <si>
    <t>Agree</t>
  </si>
  <si>
    <t>Nuetral</t>
  </si>
  <si>
    <t>Disagree</t>
  </si>
  <si>
    <t>Men</t>
  </si>
  <si>
    <t>Women</t>
  </si>
  <si>
    <t>DF (r-1)(c-1)</t>
  </si>
  <si>
    <t>expected</t>
  </si>
  <si>
    <t>(ct*rt)/gt</t>
  </si>
  <si>
    <t>Female</t>
  </si>
  <si>
    <t>Male</t>
  </si>
  <si>
    <t>pop</t>
  </si>
  <si>
    <t>Rock</t>
  </si>
  <si>
    <t>Classical</t>
  </si>
  <si>
    <t>Rap</t>
  </si>
  <si>
    <t>median</t>
  </si>
  <si>
    <t>n/2</t>
  </si>
  <si>
    <t>h</t>
  </si>
  <si>
    <t>l</t>
  </si>
  <si>
    <t>cf</t>
  </si>
  <si>
    <t>mode</t>
  </si>
  <si>
    <t>SD</t>
  </si>
  <si>
    <t>V</t>
  </si>
  <si>
    <t>f0</t>
  </si>
  <si>
    <t>f1</t>
  </si>
  <si>
    <t>f2</t>
  </si>
  <si>
    <t>SCORE</t>
  </si>
  <si>
    <t>5-9</t>
  </si>
  <si>
    <t>10-14</t>
  </si>
  <si>
    <t>15-19</t>
  </si>
  <si>
    <t>20-24</t>
  </si>
  <si>
    <t>25-29</t>
  </si>
  <si>
    <t>30-34</t>
  </si>
  <si>
    <t>xm</t>
  </si>
  <si>
    <t>fxm</t>
  </si>
  <si>
    <t>CF</t>
  </si>
  <si>
    <t>Anticipated Earings</t>
  </si>
  <si>
    <t xml:space="preserve">      TOTAL</t>
  </si>
  <si>
    <t>XM</t>
  </si>
  <si>
    <t>FXm</t>
  </si>
  <si>
    <t>X-MEAN</t>
  </si>
  <si>
    <t>v</t>
  </si>
  <si>
    <t>0-9</t>
  </si>
  <si>
    <t>20-29</t>
  </si>
  <si>
    <t>30-39</t>
  </si>
  <si>
    <t>40-49</t>
  </si>
  <si>
    <t>10-19</t>
  </si>
  <si>
    <t>No.of hour</t>
  </si>
  <si>
    <t>No.of students</t>
  </si>
  <si>
    <t>D</t>
  </si>
  <si>
    <t>D2</t>
  </si>
  <si>
    <t>6*d2</t>
  </si>
  <si>
    <t>n(n2-1)</t>
  </si>
  <si>
    <t xml:space="preserve">                X</t>
  </si>
  <si>
    <t>q3-q1/2</t>
  </si>
  <si>
    <t>coef of QD</t>
  </si>
  <si>
    <t>(q3-q1/q3+q1)*100</t>
  </si>
  <si>
    <t>HEIGHT</t>
  </si>
  <si>
    <t>|x-mean|</t>
  </si>
  <si>
    <t>|x-mean|*f</t>
  </si>
  <si>
    <t>Mean Deviation</t>
  </si>
  <si>
    <t>L</t>
  </si>
  <si>
    <t>i</t>
  </si>
  <si>
    <t>F</t>
  </si>
  <si>
    <t>Q.D</t>
  </si>
  <si>
    <t>COEFF Q.D</t>
  </si>
  <si>
    <t>r regression</t>
  </si>
  <si>
    <t>Life exp</t>
  </si>
  <si>
    <t>Cigerattes</t>
  </si>
  <si>
    <t>6*Ed2</t>
  </si>
  <si>
    <t>n2</t>
  </si>
  <si>
    <t>n2-1</t>
  </si>
  <si>
    <t>Rs</t>
  </si>
  <si>
    <t>Age</t>
  </si>
  <si>
    <t>BMI</t>
  </si>
  <si>
    <t>Months Owned</t>
  </si>
  <si>
    <t>Hours Exerosed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</si>
</sst>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Bahnschrift SemiBold"/>
      <family val="2"/>
    </font>
    <font>
      <b/>
      <i/>
      <sz val="12"/>
      <color theme="1"/>
      <name val="Calibri"/>
      <family val="2"/>
      <scheme val="minor"/>
    </font>
    <font>
      <b/>
      <i/>
      <sz val="16"/>
      <color theme="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1" fillId="0" borderId="0" xfId="0" applyFont="1"/>
    <xf numFmtId="0" fontId="0" fillId="6" borderId="0" xfId="0" applyFill="1"/>
    <xf numFmtId="49" fontId="0" fillId="6" borderId="0" xfId="0" applyNumberFormat="1" applyFill="1"/>
    <xf numFmtId="49" fontId="2" fillId="6" borderId="0" xfId="0" applyNumberFormat="1" applyFont="1" applyFill="1"/>
    <xf numFmtId="0" fontId="2" fillId="6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49" fontId="0" fillId="8" borderId="0" xfId="0" applyNumberFormat="1" applyFill="1"/>
    <xf numFmtId="49" fontId="0" fillId="9" borderId="0" xfId="0" applyNumberFormat="1" applyFill="1"/>
    <xf numFmtId="0" fontId="0" fillId="9" borderId="0" xfId="0" applyFill="1"/>
    <xf numFmtId="49" fontId="0" fillId="10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" fillId="16" borderId="0" xfId="0" applyFont="1" applyFill="1"/>
    <xf numFmtId="0" fontId="2" fillId="17" borderId="0" xfId="0" applyFont="1" applyFill="1"/>
    <xf numFmtId="0" fontId="0" fillId="18" borderId="0" xfId="0" applyFill="1"/>
    <xf numFmtId="0" fontId="4" fillId="10" borderId="0" xfId="0" applyFont="1" applyFill="1"/>
    <xf numFmtId="0" fontId="2" fillId="12" borderId="0" xfId="0" applyFont="1" applyFill="1"/>
    <xf numFmtId="0" fontId="0" fillId="19" borderId="0" xfId="0" applyFill="1"/>
    <xf numFmtId="0" fontId="0" fillId="0" borderId="0" xfId="0" applyAlignment="1">
      <alignment vertical="center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0" fillId="2" borderId="0" xfId="0" applyFill="1" applyAlignment="1">
      <alignment horizontal="center" vertical="center"/>
    </xf>
    <xf numFmtId="0" fontId="0" fillId="17" borderId="0" xfId="0" applyFill="1"/>
    <xf numFmtId="0" fontId="0" fillId="21" borderId="0" xfId="0" applyFill="1" applyAlignment="1">
      <alignment horizontal="center" vertical="center"/>
    </xf>
    <xf numFmtId="0" fontId="0" fillId="22" borderId="0" xfId="0" applyFill="1"/>
    <xf numFmtId="0" fontId="0" fillId="23" borderId="0" xfId="0" applyFill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16" borderId="0" xfId="0" applyNumberFormat="1" applyFill="1"/>
    <xf numFmtId="0" fontId="6" fillId="0" borderId="0" xfId="0" applyFont="1"/>
    <xf numFmtId="0" fontId="0" fillId="4" borderId="1" xfId="0" applyFill="1" applyBorder="1"/>
    <xf numFmtId="0" fontId="0" fillId="14" borderId="1" xfId="0" applyFill="1" applyBorder="1"/>
    <xf numFmtId="0" fontId="0" fillId="24" borderId="0" xfId="0" applyFill="1"/>
    <xf numFmtId="0" fontId="0" fillId="19" borderId="1" xfId="0" applyFill="1" applyBorder="1"/>
    <xf numFmtId="0" fontId="0" fillId="9" borderId="1" xfId="0" applyFill="1" applyBorder="1"/>
    <xf numFmtId="49" fontId="2" fillId="14" borderId="0" xfId="0" applyNumberFormat="1" applyFont="1" applyFill="1"/>
    <xf numFmtId="49" fontId="0" fillId="4" borderId="0" xfId="0" applyNumberFormat="1" applyFill="1"/>
    <xf numFmtId="0" fontId="0" fillId="10" borderId="1" xfId="0" applyFill="1" applyBorder="1"/>
    <xf numFmtId="0" fontId="0" fillId="19" borderId="1" xfId="0" applyFill="1" applyBorder="1" applyAlignment="1">
      <alignment horizontal="center" vertical="center"/>
    </xf>
    <xf numFmtId="0" fontId="0" fillId="0" borderId="1" xfId="0" applyBorder="1"/>
    <xf numFmtId="0" fontId="0" fillId="13" borderId="1" xfId="0" applyFill="1" applyBorder="1"/>
    <xf numFmtId="0" fontId="0" fillId="0" borderId="0" xfId="0" applyFill="1"/>
    <xf numFmtId="0" fontId="2" fillId="0" borderId="0" xfId="0" applyFont="1" applyFill="1"/>
    <xf numFmtId="49" fontId="0" fillId="13" borderId="1" xfId="0" applyNumberFormat="1" applyFill="1" applyBorder="1"/>
    <xf numFmtId="0" fontId="0" fillId="13" borderId="1" xfId="0" applyFill="1" applyBorder="1" applyAlignment="1">
      <alignment horizontal="left"/>
    </xf>
    <xf numFmtId="0" fontId="0" fillId="13" borderId="1" xfId="0" applyNumberFormat="1" applyFill="1" applyBorder="1"/>
    <xf numFmtId="0" fontId="0" fillId="10" borderId="2" xfId="0" applyFill="1" applyBorder="1"/>
    <xf numFmtId="0" fontId="0" fillId="0" borderId="2" xfId="0" applyBorder="1"/>
    <xf numFmtId="0" fontId="0" fillId="13" borderId="2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/>
    <xf numFmtId="0" fontId="0" fillId="16" borderId="0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25" borderId="0" xfId="0" applyFill="1"/>
    <xf numFmtId="0" fontId="0" fillId="25" borderId="1" xfId="0" applyFill="1" applyBorder="1"/>
    <xf numFmtId="0" fontId="0" fillId="2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36196-014B-4CA7-AC6D-87881DE87075}">
  <dimension ref="A1:U330"/>
  <sheetViews>
    <sheetView topLeftCell="A299" zoomScaleNormal="100" workbookViewId="0">
      <selection activeCell="H199" sqref="H199"/>
    </sheetView>
  </sheetViews>
  <sheetFormatPr defaultRowHeight="15" x14ac:dyDescent="0.25"/>
  <cols>
    <col min="1" max="1" width="17.140625" customWidth="1"/>
    <col min="2" max="2" width="16.5703125" customWidth="1"/>
    <col min="3" max="3" width="24.28515625" customWidth="1"/>
    <col min="4" max="4" width="14" customWidth="1"/>
    <col min="6" max="6" width="12" customWidth="1"/>
    <col min="7" max="7" width="12.7109375" bestFit="1" customWidth="1"/>
    <col min="8" max="8" width="27.7109375" customWidth="1"/>
    <col min="9" max="10" width="18.42578125" customWidth="1"/>
    <col min="13" max="13" width="11.5703125" customWidth="1"/>
  </cols>
  <sheetData>
    <row r="1" spans="1:9" x14ac:dyDescent="0.25">
      <c r="C1" s="1" t="s">
        <v>0</v>
      </c>
    </row>
    <row r="3" spans="1:9" x14ac:dyDescent="0.25">
      <c r="A3" s="8" t="s">
        <v>15</v>
      </c>
      <c r="B3" s="8" t="s">
        <v>10</v>
      </c>
      <c r="C3" s="8"/>
      <c r="D3" s="8" t="s">
        <v>12</v>
      </c>
      <c r="E3" s="8" t="s">
        <v>13</v>
      </c>
      <c r="F3" s="8" t="s">
        <v>68</v>
      </c>
    </row>
    <row r="4" spans="1:9" x14ac:dyDescent="0.25">
      <c r="A4" s="6" t="s">
        <v>1</v>
      </c>
      <c r="B4" s="6">
        <v>9</v>
      </c>
      <c r="C4" s="6"/>
      <c r="D4" s="6">
        <v>33</v>
      </c>
      <c r="E4" s="7">
        <v>297</v>
      </c>
      <c r="F4" s="6">
        <f>D4-E14</f>
        <v>-10.921052631578945</v>
      </c>
    </row>
    <row r="5" spans="1:9" x14ac:dyDescent="0.25">
      <c r="A5" s="6" t="s">
        <v>2</v>
      </c>
      <c r="B5" s="6">
        <v>5</v>
      </c>
      <c r="C5" s="6"/>
      <c r="D5" s="6">
        <v>38</v>
      </c>
      <c r="E5" s="6">
        <v>190</v>
      </c>
      <c r="F5" s="6">
        <f>D5-E14</f>
        <v>-5.9210526315789451</v>
      </c>
      <c r="G5" s="57"/>
      <c r="H5" s="57"/>
      <c r="I5" s="57"/>
    </row>
    <row r="6" spans="1:9" x14ac:dyDescent="0.25">
      <c r="A6" s="6" t="s">
        <v>3</v>
      </c>
      <c r="B6" s="6">
        <v>14</v>
      </c>
      <c r="C6" s="6"/>
      <c r="D6" s="6">
        <v>43</v>
      </c>
      <c r="E6" s="6">
        <v>602</v>
      </c>
      <c r="F6" s="6">
        <f>D6-E14</f>
        <v>-0.92105263157894512</v>
      </c>
      <c r="G6" s="57"/>
      <c r="H6" s="57"/>
      <c r="I6" s="57"/>
    </row>
    <row r="7" spans="1:9" x14ac:dyDescent="0.25">
      <c r="A7" s="6" t="s">
        <v>4</v>
      </c>
      <c r="B7" s="6">
        <v>3</v>
      </c>
      <c r="C7" s="6"/>
      <c r="D7" s="6">
        <v>48</v>
      </c>
      <c r="E7" s="6">
        <v>144</v>
      </c>
      <c r="F7" s="6">
        <f>D7-E14</f>
        <v>4.0789473684210549</v>
      </c>
      <c r="G7" s="57"/>
      <c r="H7" s="57"/>
      <c r="I7" s="57"/>
    </row>
    <row r="8" spans="1:9" x14ac:dyDescent="0.25">
      <c r="A8" s="6" t="s">
        <v>5</v>
      </c>
      <c r="B8" s="6">
        <v>1</v>
      </c>
      <c r="C8" s="6"/>
      <c r="D8" s="6">
        <v>53</v>
      </c>
      <c r="E8" s="6">
        <v>53</v>
      </c>
      <c r="F8" s="6">
        <f>D8-E14</f>
        <v>9.0789473684210549</v>
      </c>
      <c r="G8" s="57"/>
      <c r="H8" s="57"/>
      <c r="I8" s="57"/>
    </row>
    <row r="9" spans="1:9" x14ac:dyDescent="0.25">
      <c r="A9" s="6" t="s">
        <v>6</v>
      </c>
      <c r="B9" s="6">
        <v>2</v>
      </c>
      <c r="C9" s="6"/>
      <c r="D9" s="6">
        <v>58</v>
      </c>
      <c r="E9" s="6">
        <v>116</v>
      </c>
      <c r="F9" s="6">
        <f>D9-E14</f>
        <v>14.078947368421055</v>
      </c>
      <c r="G9" s="57"/>
      <c r="H9" s="57"/>
      <c r="I9" s="57"/>
    </row>
    <row r="10" spans="1:9" x14ac:dyDescent="0.25">
      <c r="A10" s="6" t="s">
        <v>7</v>
      </c>
      <c r="B10" s="6">
        <v>2</v>
      </c>
      <c r="C10" s="6"/>
      <c r="D10" s="6">
        <v>63</v>
      </c>
      <c r="E10" s="6">
        <v>126</v>
      </c>
      <c r="F10" s="6">
        <f>D10-E14</f>
        <v>19.078947368421055</v>
      </c>
      <c r="G10" s="57"/>
      <c r="H10" s="57"/>
      <c r="I10" s="57"/>
    </row>
    <row r="11" spans="1:9" x14ac:dyDescent="0.25">
      <c r="A11" s="6" t="s">
        <v>8</v>
      </c>
      <c r="B11" s="6">
        <v>1</v>
      </c>
      <c r="C11" s="6"/>
      <c r="D11" s="6">
        <v>68</v>
      </c>
      <c r="E11" s="6">
        <v>68</v>
      </c>
      <c r="F11" s="6">
        <f>D11-E14</f>
        <v>24.078947368421055</v>
      </c>
      <c r="G11" s="57"/>
      <c r="H11" s="57"/>
      <c r="I11" s="57"/>
    </row>
    <row r="12" spans="1:9" x14ac:dyDescent="0.25">
      <c r="A12" s="6" t="s">
        <v>9</v>
      </c>
      <c r="B12" s="6">
        <v>1</v>
      </c>
      <c r="C12" s="6"/>
      <c r="D12" s="6">
        <v>73</v>
      </c>
      <c r="E12" s="6">
        <v>73</v>
      </c>
      <c r="F12" s="6">
        <f>D12-E14</f>
        <v>29.078947368421055</v>
      </c>
      <c r="G12" s="25" t="s">
        <v>70</v>
      </c>
      <c r="H12" s="25"/>
      <c r="I12" s="25">
        <f>F13^2</f>
        <v>6676.6101108033272</v>
      </c>
    </row>
    <row r="13" spans="1:9" x14ac:dyDescent="0.25">
      <c r="A13" s="4" t="s">
        <v>11</v>
      </c>
      <c r="B13" s="5">
        <f>SUM(B4:B12)</f>
        <v>38</v>
      </c>
      <c r="C13" s="5"/>
      <c r="D13" s="5"/>
      <c r="E13" s="5">
        <f>SUM(E4:E12)</f>
        <v>1669</v>
      </c>
      <c r="F13" s="5">
        <f>SUM(F4:F12)</f>
        <v>81.710526315789494</v>
      </c>
      <c r="G13" s="25" t="s">
        <v>69</v>
      </c>
      <c r="H13" s="25"/>
      <c r="I13" s="25">
        <f>SQRT(I12/38)</f>
        <v>13.255197700289942</v>
      </c>
    </row>
    <row r="14" spans="1:9" x14ac:dyDescent="0.25">
      <c r="A14" s="2" t="s">
        <v>14</v>
      </c>
      <c r="B14" s="3"/>
      <c r="C14" s="3"/>
      <c r="D14" s="3"/>
      <c r="E14" s="3">
        <f>AVERAGE(E13/38)</f>
        <v>43.921052631578945</v>
      </c>
      <c r="F14" s="3"/>
      <c r="G14" s="25" t="s">
        <v>71</v>
      </c>
      <c r="H14" s="25"/>
      <c r="I14" s="25">
        <f>(I13)^2</f>
        <v>175.70026607377179</v>
      </c>
    </row>
    <row r="17" spans="1:9" x14ac:dyDescent="0.25">
      <c r="A17" s="14" t="s">
        <v>16</v>
      </c>
      <c r="B17" s="14"/>
      <c r="C17" s="14" t="s">
        <v>17</v>
      </c>
      <c r="D17" s="14" t="s">
        <v>23</v>
      </c>
      <c r="E17" s="14" t="s">
        <v>24</v>
      </c>
      <c r="F17" s="14" t="s">
        <v>68</v>
      </c>
    </row>
    <row r="18" spans="1:9" x14ac:dyDescent="0.25">
      <c r="A18" s="11" t="s">
        <v>18</v>
      </c>
      <c r="B18" s="10"/>
      <c r="C18" s="10">
        <v>7</v>
      </c>
      <c r="D18" s="10">
        <v>1.5</v>
      </c>
      <c r="E18" s="10">
        <v>10.5</v>
      </c>
      <c r="F18" s="10">
        <f>D18-E23</f>
        <v>-2</v>
      </c>
      <c r="H18" s="57"/>
      <c r="I18" s="57"/>
    </row>
    <row r="19" spans="1:9" x14ac:dyDescent="0.25">
      <c r="A19" s="11" t="s">
        <v>19</v>
      </c>
      <c r="B19" s="10"/>
      <c r="C19" s="10">
        <v>3</v>
      </c>
      <c r="D19" s="10">
        <v>3.5</v>
      </c>
      <c r="E19" s="10">
        <v>10.5</v>
      </c>
      <c r="F19" s="10">
        <f>D19-E23</f>
        <v>0</v>
      </c>
      <c r="H19" s="57"/>
      <c r="I19" s="57"/>
    </row>
    <row r="20" spans="1:9" x14ac:dyDescent="0.25">
      <c r="A20" s="11" t="s">
        <v>20</v>
      </c>
      <c r="B20" s="10"/>
      <c r="C20" s="10">
        <v>3</v>
      </c>
      <c r="D20" s="10">
        <v>5.5</v>
      </c>
      <c r="E20" s="10">
        <v>16.5</v>
      </c>
      <c r="F20" s="10">
        <f>D20-E23</f>
        <v>2</v>
      </c>
      <c r="H20" s="57"/>
      <c r="I20" s="57"/>
    </row>
    <row r="21" spans="1:9" x14ac:dyDescent="0.25">
      <c r="A21" s="11" t="s">
        <v>21</v>
      </c>
      <c r="B21" s="10"/>
      <c r="C21" s="10">
        <v>2</v>
      </c>
      <c r="D21" s="10">
        <v>7.5</v>
      </c>
      <c r="E21" s="10">
        <v>15</v>
      </c>
      <c r="F21" s="10">
        <f>D21-E23</f>
        <v>4</v>
      </c>
      <c r="H21" s="57"/>
      <c r="I21" s="57"/>
    </row>
    <row r="22" spans="1:9" x14ac:dyDescent="0.25">
      <c r="A22" s="12" t="s">
        <v>22</v>
      </c>
      <c r="B22" s="10"/>
      <c r="C22" s="10">
        <f>SUM(C18:C21)</f>
        <v>15</v>
      </c>
      <c r="D22" s="10"/>
      <c r="E22" s="10">
        <f>SUM(E18:E21)</f>
        <v>52.5</v>
      </c>
      <c r="F22" s="10">
        <f>SUM(F18:F21)</f>
        <v>4</v>
      </c>
      <c r="H22" s="57"/>
      <c r="I22" s="57"/>
    </row>
    <row r="23" spans="1:9" x14ac:dyDescent="0.25">
      <c r="A23" s="13" t="s">
        <v>25</v>
      </c>
      <c r="B23" s="10"/>
      <c r="C23" s="10"/>
      <c r="D23" s="10"/>
      <c r="E23" s="10">
        <f>AVERAGE(52.5/15)</f>
        <v>3.5</v>
      </c>
      <c r="F23" s="10"/>
      <c r="H23" s="24" t="s">
        <v>14</v>
      </c>
      <c r="I23" s="24">
        <v>3.5</v>
      </c>
    </row>
    <row r="24" spans="1:9" x14ac:dyDescent="0.25">
      <c r="C24" s="9"/>
      <c r="H24" s="24" t="s">
        <v>72</v>
      </c>
      <c r="I24" s="24">
        <f>(F22)^2</f>
        <v>16</v>
      </c>
    </row>
    <row r="25" spans="1:9" x14ac:dyDescent="0.25">
      <c r="A25" t="s">
        <v>73</v>
      </c>
      <c r="B25" t="s">
        <v>74</v>
      </c>
      <c r="H25" s="24" t="s">
        <v>69</v>
      </c>
      <c r="I25" s="24">
        <f>SQRT(I24/15)</f>
        <v>1.0327955589886444</v>
      </c>
    </row>
    <row r="26" spans="1:9" x14ac:dyDescent="0.25">
      <c r="A26" s="21">
        <v>24</v>
      </c>
      <c r="H26" s="24" t="s">
        <v>71</v>
      </c>
      <c r="I26" s="24">
        <f>(I25)^2</f>
        <v>1.0666666666666664</v>
      </c>
    </row>
    <row r="27" spans="1:9" x14ac:dyDescent="0.25">
      <c r="A27" s="21">
        <v>32</v>
      </c>
    </row>
    <row r="28" spans="1:9" x14ac:dyDescent="0.25">
      <c r="A28" s="21">
        <v>27</v>
      </c>
    </row>
    <row r="29" spans="1:9" x14ac:dyDescent="0.25">
      <c r="A29" s="21">
        <v>23</v>
      </c>
    </row>
    <row r="30" spans="1:9" x14ac:dyDescent="0.25">
      <c r="A30" s="21">
        <v>33</v>
      </c>
    </row>
    <row r="31" spans="1:9" x14ac:dyDescent="0.25">
      <c r="A31" s="21">
        <v>33</v>
      </c>
      <c r="B31" s="25" t="s">
        <v>64</v>
      </c>
      <c r="C31" s="25">
        <f>1/4*31</f>
        <v>7.75</v>
      </c>
      <c r="D31" s="25">
        <f>23+0.75*(24-23)</f>
        <v>23.75</v>
      </c>
    </row>
    <row r="32" spans="1:9" x14ac:dyDescent="0.25">
      <c r="A32" s="21">
        <v>29</v>
      </c>
      <c r="B32" s="25" t="s">
        <v>65</v>
      </c>
      <c r="C32" s="25">
        <f>2/4*31</f>
        <v>15.5</v>
      </c>
      <c r="D32" s="25">
        <f>27+0.5*(28-27)</f>
        <v>27.5</v>
      </c>
    </row>
    <row r="33" spans="1:4" x14ac:dyDescent="0.25">
      <c r="A33" s="21">
        <v>25</v>
      </c>
      <c r="B33" s="25" t="s">
        <v>66</v>
      </c>
      <c r="C33" s="25">
        <f>3/4*31</f>
        <v>23.25</v>
      </c>
      <c r="D33" s="25">
        <f>31+0.25*(32-31)</f>
        <v>31.25</v>
      </c>
    </row>
    <row r="34" spans="1:4" x14ac:dyDescent="0.25">
      <c r="A34" s="21">
        <v>23</v>
      </c>
      <c r="B34" s="25" t="s">
        <v>67</v>
      </c>
      <c r="C34" s="25" t="s">
        <v>249</v>
      </c>
      <c r="D34" s="25">
        <f>(D33-D31)/2</f>
        <v>3.75</v>
      </c>
    </row>
    <row r="35" spans="1:4" x14ac:dyDescent="0.25">
      <c r="A35" s="21">
        <v>28</v>
      </c>
      <c r="B35" s="25" t="s">
        <v>250</v>
      </c>
      <c r="C35" s="25" t="s">
        <v>251</v>
      </c>
      <c r="D35" s="25">
        <f>((31.25-23.75)/(31.25+23.75))*100</f>
        <v>13.636363636363635</v>
      </c>
    </row>
    <row r="36" spans="1:4" x14ac:dyDescent="0.25">
      <c r="A36" s="21">
        <v>21</v>
      </c>
      <c r="B36" s="25" t="s">
        <v>82</v>
      </c>
      <c r="C36" s="25">
        <f>B57</f>
        <v>27.8</v>
      </c>
      <c r="D36" s="25"/>
    </row>
    <row r="37" spans="1:4" x14ac:dyDescent="0.25">
      <c r="A37" s="21">
        <v>26</v>
      </c>
      <c r="B37" s="25" t="s">
        <v>52</v>
      </c>
      <c r="C37" s="25">
        <f>(27+28)/2</f>
        <v>27.5</v>
      </c>
      <c r="D37" s="25"/>
    </row>
    <row r="38" spans="1:4" x14ac:dyDescent="0.25">
      <c r="A38" s="21">
        <v>31</v>
      </c>
      <c r="B38" s="25" t="s">
        <v>53</v>
      </c>
      <c r="C38" s="25">
        <v>23</v>
      </c>
      <c r="D38" s="25"/>
    </row>
    <row r="39" spans="1:4" x14ac:dyDescent="0.25">
      <c r="A39" s="21">
        <v>20</v>
      </c>
    </row>
    <row r="40" spans="1:4" x14ac:dyDescent="0.25">
      <c r="A40" s="21">
        <v>27</v>
      </c>
    </row>
    <row r="41" spans="1:4" x14ac:dyDescent="0.25">
      <c r="A41" s="21">
        <v>33</v>
      </c>
    </row>
    <row r="42" spans="1:4" x14ac:dyDescent="0.25">
      <c r="A42" s="21">
        <v>27</v>
      </c>
    </row>
    <row r="43" spans="1:4" x14ac:dyDescent="0.25">
      <c r="A43" s="21">
        <v>23</v>
      </c>
    </row>
    <row r="44" spans="1:4" x14ac:dyDescent="0.25">
      <c r="A44" s="21">
        <v>28</v>
      </c>
    </row>
    <row r="45" spans="1:4" x14ac:dyDescent="0.25">
      <c r="A45" s="21">
        <v>29</v>
      </c>
    </row>
    <row r="46" spans="1:4" x14ac:dyDescent="0.25">
      <c r="A46" s="21">
        <v>31</v>
      </c>
    </row>
    <row r="47" spans="1:4" x14ac:dyDescent="0.25">
      <c r="A47" s="21">
        <v>35</v>
      </c>
    </row>
    <row r="48" spans="1:4" x14ac:dyDescent="0.25">
      <c r="A48" s="21">
        <v>34</v>
      </c>
    </row>
    <row r="49" spans="1:2" x14ac:dyDescent="0.25">
      <c r="A49" s="21">
        <v>22</v>
      </c>
    </row>
    <row r="50" spans="1:2" x14ac:dyDescent="0.25">
      <c r="A50" s="21">
        <v>26</v>
      </c>
    </row>
    <row r="51" spans="1:2" x14ac:dyDescent="0.25">
      <c r="A51" s="21">
        <v>28</v>
      </c>
    </row>
    <row r="52" spans="1:2" x14ac:dyDescent="0.25">
      <c r="A52" s="21">
        <v>23</v>
      </c>
    </row>
    <row r="53" spans="1:2" x14ac:dyDescent="0.25">
      <c r="A53" s="21">
        <v>35</v>
      </c>
    </row>
    <row r="54" spans="1:2" x14ac:dyDescent="0.25">
      <c r="A54" s="21">
        <v>31</v>
      </c>
    </row>
    <row r="55" spans="1:2" x14ac:dyDescent="0.25">
      <c r="A55" s="21">
        <v>27</v>
      </c>
    </row>
    <row r="56" spans="1:2" x14ac:dyDescent="0.25">
      <c r="A56" s="21">
        <f>SUM(A26:A55)</f>
        <v>834</v>
      </c>
    </row>
    <row r="57" spans="1:2" x14ac:dyDescent="0.25">
      <c r="A57" s="21" t="s">
        <v>14</v>
      </c>
      <c r="B57" s="21">
        <f>834/30</f>
        <v>27.8</v>
      </c>
    </row>
    <row r="60" spans="1:2" x14ac:dyDescent="0.25">
      <c r="A60" s="23" t="s">
        <v>26</v>
      </c>
      <c r="B60" s="23"/>
    </row>
    <row r="61" spans="1:2" x14ac:dyDescent="0.25">
      <c r="A61" s="23"/>
    </row>
    <row r="62" spans="1:2" x14ac:dyDescent="0.25">
      <c r="A62" s="23">
        <v>171</v>
      </c>
    </row>
    <row r="63" spans="1:2" x14ac:dyDescent="0.25">
      <c r="A63" s="23">
        <v>161</v>
      </c>
    </row>
    <row r="64" spans="1:2" x14ac:dyDescent="0.25">
      <c r="A64" s="23">
        <v>155</v>
      </c>
    </row>
    <row r="65" spans="1:5" x14ac:dyDescent="0.25">
      <c r="A65" s="23">
        <v>155</v>
      </c>
    </row>
    <row r="66" spans="1:5" x14ac:dyDescent="0.25">
      <c r="A66" s="23">
        <v>183</v>
      </c>
    </row>
    <row r="67" spans="1:5" x14ac:dyDescent="0.25">
      <c r="A67" s="23">
        <v>191</v>
      </c>
    </row>
    <row r="68" spans="1:5" x14ac:dyDescent="0.25">
      <c r="A68" s="23">
        <v>185</v>
      </c>
    </row>
    <row r="69" spans="1:5" x14ac:dyDescent="0.25">
      <c r="A69" s="23">
        <v>170</v>
      </c>
    </row>
    <row r="70" spans="1:5" x14ac:dyDescent="0.25">
      <c r="A70" s="23">
        <v>172</v>
      </c>
    </row>
    <row r="71" spans="1:5" x14ac:dyDescent="0.25">
      <c r="A71" s="23">
        <v>177</v>
      </c>
    </row>
    <row r="72" spans="1:5" x14ac:dyDescent="0.25">
      <c r="A72" s="23">
        <v>183</v>
      </c>
    </row>
    <row r="73" spans="1:5" x14ac:dyDescent="0.25">
      <c r="A73" s="23">
        <v>190</v>
      </c>
    </row>
    <row r="74" spans="1:5" x14ac:dyDescent="0.25">
      <c r="A74" s="23">
        <v>139</v>
      </c>
    </row>
    <row r="75" spans="1:5" x14ac:dyDescent="0.25">
      <c r="A75" s="23">
        <v>149</v>
      </c>
    </row>
    <row r="76" spans="1:5" x14ac:dyDescent="0.25">
      <c r="A76" s="23">
        <v>150</v>
      </c>
      <c r="C76" s="25" t="s">
        <v>82</v>
      </c>
      <c r="D76" s="25" t="e">
        <f>#REF!/40</f>
        <v>#REF!</v>
      </c>
      <c r="E76" s="25"/>
    </row>
    <row r="77" spans="1:5" x14ac:dyDescent="0.25">
      <c r="A77" s="23">
        <v>150</v>
      </c>
      <c r="C77" s="25" t="s">
        <v>52</v>
      </c>
      <c r="D77" s="25">
        <v>170</v>
      </c>
      <c r="E77" s="25"/>
    </row>
    <row r="78" spans="1:5" x14ac:dyDescent="0.25">
      <c r="A78" s="23">
        <v>152</v>
      </c>
      <c r="C78" s="25" t="s">
        <v>53</v>
      </c>
      <c r="D78" s="25">
        <v>170</v>
      </c>
      <c r="E78" s="25"/>
    </row>
    <row r="79" spans="1:5" x14ac:dyDescent="0.25">
      <c r="A79" s="23">
        <v>158</v>
      </c>
      <c r="C79" s="25" t="s">
        <v>64</v>
      </c>
      <c r="D79" s="25">
        <f>1/4*41</f>
        <v>10.25</v>
      </c>
      <c r="E79" s="25">
        <f>155+0.25*(155-155)</f>
        <v>155</v>
      </c>
    </row>
    <row r="80" spans="1:5" x14ac:dyDescent="0.25">
      <c r="A80" s="23">
        <v>159</v>
      </c>
      <c r="C80" s="25" t="s">
        <v>65</v>
      </c>
      <c r="D80" s="25">
        <f>2/4*41</f>
        <v>20.5</v>
      </c>
      <c r="E80" s="25">
        <f>170</f>
        <v>170</v>
      </c>
    </row>
    <row r="81" spans="1:5" x14ac:dyDescent="0.25">
      <c r="A81" s="23">
        <v>174</v>
      </c>
      <c r="C81" s="25" t="s">
        <v>66</v>
      </c>
      <c r="D81" s="25">
        <f>3/4*41</f>
        <v>30.75</v>
      </c>
      <c r="E81" s="25" t="e">
        <f>#REF!+0.75*(179-178)</f>
        <v>#REF!</v>
      </c>
    </row>
    <row r="82" spans="1:5" x14ac:dyDescent="0.25">
      <c r="A82" s="23">
        <v>178</v>
      </c>
    </row>
    <row r="83" spans="1:5" x14ac:dyDescent="0.25">
      <c r="A83" s="23">
        <v>179</v>
      </c>
    </row>
    <row r="84" spans="1:5" x14ac:dyDescent="0.25">
      <c r="A84" s="23">
        <v>190</v>
      </c>
    </row>
    <row r="85" spans="1:5" x14ac:dyDescent="0.25">
      <c r="A85" s="23">
        <v>170</v>
      </c>
    </row>
    <row r="86" spans="1:5" x14ac:dyDescent="0.25">
      <c r="A86" s="23">
        <v>143</v>
      </c>
    </row>
    <row r="87" spans="1:5" x14ac:dyDescent="0.25">
      <c r="A87" s="23">
        <v>165</v>
      </c>
    </row>
    <row r="88" spans="1:5" x14ac:dyDescent="0.25">
      <c r="A88" s="23">
        <v>167</v>
      </c>
    </row>
    <row r="89" spans="1:5" x14ac:dyDescent="0.25">
      <c r="A89" s="23">
        <v>187</v>
      </c>
    </row>
    <row r="90" spans="1:5" x14ac:dyDescent="0.25">
      <c r="A90" s="23">
        <v>169</v>
      </c>
    </row>
    <row r="91" spans="1:5" x14ac:dyDescent="0.25">
      <c r="A91" s="23">
        <v>182</v>
      </c>
    </row>
    <row r="92" spans="1:5" x14ac:dyDescent="0.25">
      <c r="A92" s="23">
        <v>163</v>
      </c>
    </row>
    <row r="93" spans="1:5" x14ac:dyDescent="0.25">
      <c r="A93" s="23">
        <v>149</v>
      </c>
    </row>
    <row r="94" spans="1:5" x14ac:dyDescent="0.25">
      <c r="A94" s="23">
        <v>174</v>
      </c>
    </row>
    <row r="95" spans="1:5" x14ac:dyDescent="0.25">
      <c r="A95" s="23">
        <v>177</v>
      </c>
    </row>
    <row r="96" spans="1:5" x14ac:dyDescent="0.25">
      <c r="A96" s="23">
        <v>181</v>
      </c>
    </row>
    <row r="97" spans="1:9" x14ac:dyDescent="0.25">
      <c r="A97" s="23">
        <v>170</v>
      </c>
    </row>
    <row r="98" spans="1:9" x14ac:dyDescent="0.25">
      <c r="A98" s="23">
        <v>182</v>
      </c>
    </row>
    <row r="99" spans="1:9" x14ac:dyDescent="0.25">
      <c r="A99" s="23">
        <v>170</v>
      </c>
    </row>
    <row r="100" spans="1:9" x14ac:dyDescent="0.25">
      <c r="A100" s="23">
        <v>145</v>
      </c>
    </row>
    <row r="101" spans="1:9" x14ac:dyDescent="0.25">
      <c r="A101" s="23">
        <v>143</v>
      </c>
    </row>
    <row r="102" spans="1:9" x14ac:dyDescent="0.25">
      <c r="A102" s="23">
        <f>SUM(A62:A101)</f>
        <v>6708</v>
      </c>
    </row>
    <row r="103" spans="1:9" x14ac:dyDescent="0.25">
      <c r="A103" s="23" t="s">
        <v>14</v>
      </c>
      <c r="B103" s="23">
        <f>AVERAGE(6708/40)</f>
        <v>167.7</v>
      </c>
    </row>
    <row r="106" spans="1:9" x14ac:dyDescent="0.25">
      <c r="B106" s="16" t="s">
        <v>27</v>
      </c>
      <c r="C106" s="16"/>
    </row>
    <row r="108" spans="1:9" x14ac:dyDescent="0.25">
      <c r="A108" s="15" t="s">
        <v>28</v>
      </c>
      <c r="B108" s="16" t="s">
        <v>34</v>
      </c>
      <c r="C108" s="16" t="s">
        <v>35</v>
      </c>
      <c r="D108" s="16" t="s">
        <v>75</v>
      </c>
      <c r="E108" s="16" t="s">
        <v>77</v>
      </c>
      <c r="F108" s="16" t="s">
        <v>78</v>
      </c>
      <c r="H108" s="57"/>
      <c r="I108" s="57"/>
    </row>
    <row r="109" spans="1:9" x14ac:dyDescent="0.25">
      <c r="A109" s="17" t="s">
        <v>29</v>
      </c>
      <c r="B109" s="16">
        <v>2</v>
      </c>
      <c r="C109" s="16">
        <v>2</v>
      </c>
      <c r="D109" s="16">
        <v>5.5</v>
      </c>
      <c r="E109" s="16">
        <f>B109*D109</f>
        <v>11</v>
      </c>
      <c r="F109" s="16">
        <f>D109-C117</f>
        <v>-17.391304347826086</v>
      </c>
      <c r="H109" s="57"/>
      <c r="I109" s="57"/>
    </row>
    <row r="110" spans="1:9" x14ac:dyDescent="0.25">
      <c r="A110" s="17" t="s">
        <v>30</v>
      </c>
      <c r="B110" s="16">
        <v>7</v>
      </c>
      <c r="C110" s="16">
        <v>9</v>
      </c>
      <c r="D110" s="16">
        <v>15.5</v>
      </c>
      <c r="E110" s="16">
        <f>D110*B110</f>
        <v>108.5</v>
      </c>
      <c r="F110" s="16">
        <f>D110-C117</f>
        <v>-7.391304347826086</v>
      </c>
      <c r="H110" s="57"/>
      <c r="I110" s="57"/>
    </row>
    <row r="111" spans="1:9" x14ac:dyDescent="0.25">
      <c r="A111" s="17" t="s">
        <v>31</v>
      </c>
      <c r="B111" s="16">
        <v>10</v>
      </c>
      <c r="C111" s="16">
        <v>19</v>
      </c>
      <c r="D111" s="16">
        <v>25.5</v>
      </c>
      <c r="E111" s="16">
        <f>D111*B111</f>
        <v>255</v>
      </c>
      <c r="F111" s="16">
        <f>D111-C117</f>
        <v>2.608695652173914</v>
      </c>
      <c r="H111" s="57"/>
      <c r="I111" s="57"/>
    </row>
    <row r="112" spans="1:9" x14ac:dyDescent="0.25">
      <c r="A112" s="17" t="s">
        <v>32</v>
      </c>
      <c r="B112" s="17">
        <v>3</v>
      </c>
      <c r="C112" s="16">
        <v>22</v>
      </c>
      <c r="D112" s="16">
        <v>35.5</v>
      </c>
      <c r="E112" s="17">
        <f>D112*B112</f>
        <v>106.5</v>
      </c>
      <c r="F112" s="16">
        <f>D112-C117</f>
        <v>12.608695652173914</v>
      </c>
      <c r="H112" s="57"/>
      <c r="I112" s="57"/>
    </row>
    <row r="113" spans="1:11" x14ac:dyDescent="0.25">
      <c r="A113" s="17" t="s">
        <v>33</v>
      </c>
      <c r="B113" s="16">
        <v>1</v>
      </c>
      <c r="C113" s="16">
        <v>23</v>
      </c>
      <c r="D113" s="16">
        <v>45.5</v>
      </c>
      <c r="E113" s="16">
        <f>B113*D113</f>
        <v>45.5</v>
      </c>
      <c r="F113" s="16">
        <f>D113-C117</f>
        <v>22.608695652173914</v>
      </c>
      <c r="H113" s="27" t="s">
        <v>70</v>
      </c>
      <c r="I113" s="27">
        <f>(F114)^2</f>
        <v>170.13232514177705</v>
      </c>
    </row>
    <row r="114" spans="1:11" x14ac:dyDescent="0.25">
      <c r="A114" s="26" t="s">
        <v>22</v>
      </c>
      <c r="B114" s="26">
        <f>SUM(B109:B113)</f>
        <v>23</v>
      </c>
      <c r="C114" s="26"/>
      <c r="D114" s="26"/>
      <c r="E114" s="26">
        <f>SUM(E109:E113)</f>
        <v>526.5</v>
      </c>
      <c r="F114" s="26">
        <f>SUM(F109:F113)</f>
        <v>13.04347826086957</v>
      </c>
      <c r="H114" s="27" t="s">
        <v>69</v>
      </c>
      <c r="I114" s="27">
        <f>SQRT(I113/B114)</f>
        <v>2.7197532268314109</v>
      </c>
    </row>
    <row r="115" spans="1:11" x14ac:dyDescent="0.25">
      <c r="A115" s="17" t="s">
        <v>36</v>
      </c>
      <c r="B115" s="16"/>
      <c r="C115" s="16">
        <f>MEDIAN(21+(11.5-19/10)*10)</f>
        <v>117</v>
      </c>
      <c r="D115" s="16"/>
      <c r="E115" s="16"/>
      <c r="H115" s="27" t="s">
        <v>71</v>
      </c>
      <c r="I115" s="27">
        <f>(I114)^2</f>
        <v>7.3970576148598717</v>
      </c>
    </row>
    <row r="116" spans="1:11" x14ac:dyDescent="0.25">
      <c r="A116" s="17" t="s">
        <v>37</v>
      </c>
      <c r="B116" s="16"/>
      <c r="C116" s="16">
        <f>21+(10-7/20-7-3)*10</f>
        <v>17.500000000000004</v>
      </c>
      <c r="D116" s="16"/>
      <c r="E116" s="16"/>
    </row>
    <row r="117" spans="1:11" x14ac:dyDescent="0.25">
      <c r="A117" s="17" t="s">
        <v>14</v>
      </c>
      <c r="B117" s="16"/>
      <c r="C117" s="16">
        <f>E114/B114</f>
        <v>22.891304347826086</v>
      </c>
      <c r="D117" s="16"/>
      <c r="E117" s="16"/>
    </row>
    <row r="119" spans="1:11" x14ac:dyDescent="0.25">
      <c r="A119" s="18" t="s">
        <v>49</v>
      </c>
      <c r="B119" s="19"/>
      <c r="C119" s="19" t="s">
        <v>48</v>
      </c>
      <c r="D119" s="19" t="s">
        <v>50</v>
      </c>
      <c r="E119" s="19" t="s">
        <v>75</v>
      </c>
      <c r="F119" s="19" t="s">
        <v>77</v>
      </c>
      <c r="G119" s="19" t="s">
        <v>76</v>
      </c>
      <c r="I119" s="58"/>
      <c r="J119" s="58"/>
      <c r="K119" s="58"/>
    </row>
    <row r="120" spans="1:11" x14ac:dyDescent="0.25">
      <c r="A120" s="20" t="s">
        <v>38</v>
      </c>
      <c r="B120" s="21"/>
      <c r="C120" s="21">
        <v>2</v>
      </c>
      <c r="D120" s="21">
        <v>2</v>
      </c>
      <c r="E120" s="21">
        <v>71</v>
      </c>
      <c r="F120" s="21">
        <f>C120*E120</f>
        <v>142</v>
      </c>
      <c r="G120" s="21">
        <f>E120-D133</f>
        <v>12.299999999999997</v>
      </c>
      <c r="I120" s="58"/>
      <c r="J120" s="58"/>
      <c r="K120" s="58"/>
    </row>
    <row r="121" spans="1:11" x14ac:dyDescent="0.25">
      <c r="A121" s="21" t="s">
        <v>39</v>
      </c>
      <c r="B121" s="21"/>
      <c r="C121" s="21">
        <v>2</v>
      </c>
      <c r="D121" s="21">
        <v>4</v>
      </c>
      <c r="E121" s="21">
        <v>68</v>
      </c>
      <c r="F121" s="21">
        <f t="shared" ref="F121:F127" si="0">E121*C121</f>
        <v>136</v>
      </c>
      <c r="G121" s="21">
        <f>E121-D133</f>
        <v>9.2999999999999972</v>
      </c>
      <c r="I121" s="58"/>
      <c r="J121" s="58"/>
      <c r="K121" s="58"/>
    </row>
    <row r="122" spans="1:11" x14ac:dyDescent="0.25">
      <c r="A122" s="21" t="s">
        <v>40</v>
      </c>
      <c r="B122" s="21"/>
      <c r="C122" s="21">
        <v>4</v>
      </c>
      <c r="D122" s="21">
        <v>8</v>
      </c>
      <c r="E122" s="21">
        <v>65</v>
      </c>
      <c r="F122" s="21">
        <f t="shared" si="0"/>
        <v>260</v>
      </c>
      <c r="G122" s="21">
        <f>E122-D133</f>
        <v>6.2999999999999972</v>
      </c>
      <c r="I122" s="58"/>
      <c r="J122" s="58"/>
      <c r="K122" s="58"/>
    </row>
    <row r="123" spans="1:11" x14ac:dyDescent="0.25">
      <c r="A123" s="21" t="s">
        <v>41</v>
      </c>
      <c r="B123" s="21"/>
      <c r="C123" s="21">
        <v>5</v>
      </c>
      <c r="D123" s="21">
        <v>13</v>
      </c>
      <c r="E123" s="21">
        <v>62</v>
      </c>
      <c r="F123" s="21">
        <f t="shared" si="0"/>
        <v>310</v>
      </c>
      <c r="G123" s="21">
        <f>E123-D133</f>
        <v>3.2999999999999972</v>
      </c>
      <c r="I123" s="58"/>
      <c r="J123" s="58"/>
      <c r="K123" s="58"/>
    </row>
    <row r="124" spans="1:11" x14ac:dyDescent="0.25">
      <c r="A124" s="21" t="s">
        <v>42</v>
      </c>
      <c r="B124" s="21"/>
      <c r="C124" s="21">
        <v>11</v>
      </c>
      <c r="D124" s="21">
        <v>24</v>
      </c>
      <c r="E124" s="21">
        <v>59</v>
      </c>
      <c r="F124" s="21">
        <f t="shared" si="0"/>
        <v>649</v>
      </c>
      <c r="G124" s="21">
        <f>E124-D133</f>
        <v>0.29999999999999716</v>
      </c>
      <c r="I124" s="58"/>
      <c r="J124" s="58"/>
      <c r="K124" s="58"/>
    </row>
    <row r="125" spans="1:11" x14ac:dyDescent="0.25">
      <c r="A125" s="21" t="s">
        <v>43</v>
      </c>
      <c r="B125" s="21"/>
      <c r="C125" s="21">
        <v>8</v>
      </c>
      <c r="D125" s="21">
        <v>32</v>
      </c>
      <c r="E125" s="21">
        <v>56</v>
      </c>
      <c r="F125" s="21">
        <f t="shared" si="0"/>
        <v>448</v>
      </c>
      <c r="G125" s="21">
        <f>E125-D133</f>
        <v>-2.7000000000000028</v>
      </c>
      <c r="I125" s="29" t="s">
        <v>70</v>
      </c>
      <c r="J125" s="29"/>
      <c r="K125" s="29">
        <f>(G130)^2</f>
        <v>144.00000000000068</v>
      </c>
    </row>
    <row r="126" spans="1:11" x14ac:dyDescent="0.25">
      <c r="A126" s="21" t="s">
        <v>44</v>
      </c>
      <c r="B126" s="21"/>
      <c r="C126" s="21">
        <v>4</v>
      </c>
      <c r="D126" s="21">
        <v>36</v>
      </c>
      <c r="E126" s="21">
        <v>53</v>
      </c>
      <c r="F126" s="21">
        <f t="shared" si="0"/>
        <v>212</v>
      </c>
      <c r="G126" s="21">
        <f>E126-D133</f>
        <v>-5.7000000000000028</v>
      </c>
      <c r="I126" s="29" t="s">
        <v>69</v>
      </c>
      <c r="J126" s="29"/>
      <c r="K126" s="29">
        <f>SQRT(K125/C130)</f>
        <v>1.897366596101032</v>
      </c>
    </row>
    <row r="127" spans="1:11" x14ac:dyDescent="0.25">
      <c r="A127" s="21" t="s">
        <v>45</v>
      </c>
      <c r="B127" s="21"/>
      <c r="C127" s="21">
        <v>2</v>
      </c>
      <c r="D127" s="21">
        <v>38</v>
      </c>
      <c r="E127" s="21">
        <v>50</v>
      </c>
      <c r="F127" s="21">
        <f t="shared" si="0"/>
        <v>100</v>
      </c>
      <c r="G127" s="21">
        <f>E127-D133</f>
        <v>-8.7000000000000028</v>
      </c>
      <c r="I127" s="29" t="s">
        <v>71</v>
      </c>
      <c r="J127" s="29"/>
      <c r="K127" s="29">
        <f>(K126)^2</f>
        <v>3.6000000000000165</v>
      </c>
    </row>
    <row r="128" spans="1:11" x14ac:dyDescent="0.25">
      <c r="A128" s="21" t="s">
        <v>46</v>
      </c>
      <c r="B128" s="21"/>
      <c r="C128" s="21">
        <v>1</v>
      </c>
      <c r="D128" s="21">
        <v>39</v>
      </c>
      <c r="E128" s="21">
        <v>47</v>
      </c>
      <c r="F128" s="21">
        <v>47</v>
      </c>
      <c r="G128" s="21">
        <f>E128-D133</f>
        <v>-11.700000000000003</v>
      </c>
    </row>
    <row r="129" spans="1:10" x14ac:dyDescent="0.25">
      <c r="A129" s="21" t="s">
        <v>47</v>
      </c>
      <c r="B129" s="21"/>
      <c r="C129" s="21">
        <v>1</v>
      </c>
      <c r="D129" s="21">
        <v>40</v>
      </c>
      <c r="E129" s="21">
        <v>44</v>
      </c>
      <c r="F129" s="21">
        <v>44</v>
      </c>
      <c r="G129" s="21">
        <f>E129-D133</f>
        <v>-14.700000000000003</v>
      </c>
    </row>
    <row r="130" spans="1:10" x14ac:dyDescent="0.25">
      <c r="A130" s="28" t="s">
        <v>51</v>
      </c>
      <c r="B130" s="27"/>
      <c r="C130" s="27">
        <f>SUM(C120:C129)</f>
        <v>40</v>
      </c>
      <c r="D130" s="27"/>
      <c r="E130" s="27"/>
      <c r="F130" s="27">
        <f>SUM(F120:F129)</f>
        <v>2348</v>
      </c>
      <c r="G130" s="27">
        <f>SUM(G120:G129)</f>
        <v>-12.000000000000028</v>
      </c>
    </row>
    <row r="131" spans="1:10" x14ac:dyDescent="0.25">
      <c r="A131" s="30" t="s">
        <v>52</v>
      </c>
      <c r="B131" s="30"/>
      <c r="C131" s="30"/>
      <c r="D131" s="30">
        <f>MEDIAN(58+(20-13/11)*3)</f>
        <v>114.45454545454545</v>
      </c>
    </row>
    <row r="132" spans="1:10" x14ac:dyDescent="0.25">
      <c r="A132" s="30" t="s">
        <v>53</v>
      </c>
      <c r="B132" s="30"/>
      <c r="C132" s="30"/>
      <c r="D132" s="30">
        <f>58+(6/9)*3</f>
        <v>60</v>
      </c>
    </row>
    <row r="133" spans="1:10" x14ac:dyDescent="0.25">
      <c r="A133" s="30" t="s">
        <v>14</v>
      </c>
      <c r="B133" s="30"/>
      <c r="C133" s="30"/>
      <c r="D133" s="30">
        <f>F130/C130</f>
        <v>58.7</v>
      </c>
    </row>
    <row r="135" spans="1:10" x14ac:dyDescent="0.25">
      <c r="A135" s="22" t="s">
        <v>54</v>
      </c>
      <c r="B135" s="22"/>
      <c r="C135" s="22" t="s">
        <v>55</v>
      </c>
      <c r="D135" s="22" t="s">
        <v>50</v>
      </c>
      <c r="E135" s="22" t="s">
        <v>79</v>
      </c>
      <c r="F135" s="22" t="s">
        <v>80</v>
      </c>
      <c r="G135" s="22" t="s">
        <v>81</v>
      </c>
      <c r="I135" s="57"/>
      <c r="J135" s="57"/>
    </row>
    <row r="136" spans="1:10" x14ac:dyDescent="0.25">
      <c r="A136" s="23" t="s">
        <v>56</v>
      </c>
      <c r="B136" s="23"/>
      <c r="C136" s="23">
        <v>2</v>
      </c>
      <c r="D136" s="23">
        <v>2</v>
      </c>
      <c r="E136" s="23">
        <v>16</v>
      </c>
      <c r="F136" s="23">
        <v>32</v>
      </c>
      <c r="G136" s="23">
        <f>E136-D147</f>
        <v>-17.799999999999997</v>
      </c>
      <c r="I136" s="57"/>
      <c r="J136" s="57"/>
    </row>
    <row r="137" spans="1:10" x14ac:dyDescent="0.25">
      <c r="A137" s="23" t="s">
        <v>57</v>
      </c>
      <c r="B137" s="23"/>
      <c r="C137" s="23">
        <v>7</v>
      </c>
      <c r="D137" s="23">
        <v>9</v>
      </c>
      <c r="E137" s="23">
        <v>23</v>
      </c>
      <c r="F137" s="23">
        <v>161</v>
      </c>
      <c r="G137" s="23">
        <f>E137-D147</f>
        <v>-10.799999999999997</v>
      </c>
      <c r="I137" s="57"/>
      <c r="J137" s="57"/>
    </row>
    <row r="138" spans="1:10" x14ac:dyDescent="0.25">
      <c r="A138" s="23" t="s">
        <v>58</v>
      </c>
      <c r="B138" s="23"/>
      <c r="C138" s="23">
        <v>12</v>
      </c>
      <c r="D138" s="23">
        <v>21</v>
      </c>
      <c r="E138" s="23">
        <v>30</v>
      </c>
      <c r="F138" s="23">
        <v>360</v>
      </c>
      <c r="G138" s="23">
        <f>E138-D147</f>
        <v>-3.7999999999999972</v>
      </c>
      <c r="I138" s="57"/>
      <c r="J138" s="57"/>
    </row>
    <row r="139" spans="1:10" x14ac:dyDescent="0.25">
      <c r="A139" s="23" t="s">
        <v>59</v>
      </c>
      <c r="B139" s="23"/>
      <c r="C139" s="23">
        <v>5</v>
      </c>
      <c r="D139" s="23">
        <v>26</v>
      </c>
      <c r="E139" s="23">
        <v>37</v>
      </c>
      <c r="F139" s="23">
        <v>185</v>
      </c>
      <c r="G139" s="23">
        <f>E139-D147</f>
        <v>3.2000000000000028</v>
      </c>
      <c r="I139" s="25" t="s">
        <v>70</v>
      </c>
      <c r="J139" s="25">
        <f>(G144)^2</f>
        <v>2872.9600000000023</v>
      </c>
    </row>
    <row r="140" spans="1:10" x14ac:dyDescent="0.25">
      <c r="A140" s="23" t="s">
        <v>60</v>
      </c>
      <c r="B140" s="23"/>
      <c r="C140" s="23">
        <v>6</v>
      </c>
      <c r="D140" s="23">
        <v>32</v>
      </c>
      <c r="E140" s="23">
        <v>44</v>
      </c>
      <c r="F140" s="23">
        <v>264</v>
      </c>
      <c r="G140" s="23">
        <f>E140-D147</f>
        <v>10.200000000000003</v>
      </c>
      <c r="I140" s="25" t="s">
        <v>69</v>
      </c>
      <c r="J140" s="25">
        <f>SQRT(J139/C144)</f>
        <v>9.0600536106897014</v>
      </c>
    </row>
    <row r="141" spans="1:10" x14ac:dyDescent="0.25">
      <c r="A141" s="23" t="s">
        <v>61</v>
      </c>
      <c r="B141" s="23"/>
      <c r="C141" s="23">
        <v>1</v>
      </c>
      <c r="D141" s="23">
        <v>33</v>
      </c>
      <c r="E141" s="23">
        <v>51</v>
      </c>
      <c r="F141" s="23">
        <v>51</v>
      </c>
      <c r="G141" s="23">
        <f>E141-D147</f>
        <v>17.200000000000003</v>
      </c>
      <c r="I141" s="25" t="s">
        <v>71</v>
      </c>
      <c r="J141" s="25">
        <f>(J140)^2</f>
        <v>82.084571428571493</v>
      </c>
    </row>
    <row r="142" spans="1:10" x14ac:dyDescent="0.25">
      <c r="A142" s="23" t="s">
        <v>62</v>
      </c>
      <c r="B142" s="23"/>
      <c r="C142" s="23">
        <v>0</v>
      </c>
      <c r="D142" s="23">
        <v>33</v>
      </c>
      <c r="E142" s="23">
        <v>58</v>
      </c>
      <c r="F142" s="23">
        <v>0</v>
      </c>
      <c r="G142" s="23">
        <f>E142-D147</f>
        <v>24.200000000000003</v>
      </c>
    </row>
    <row r="143" spans="1:10" x14ac:dyDescent="0.25">
      <c r="A143" s="23" t="s">
        <v>63</v>
      </c>
      <c r="B143" s="23"/>
      <c r="C143" s="23">
        <v>2</v>
      </c>
      <c r="D143" s="23">
        <v>35</v>
      </c>
      <c r="E143" s="23">
        <v>65</v>
      </c>
      <c r="F143" s="23">
        <v>130</v>
      </c>
      <c r="G143" s="23">
        <f>E143-D147</f>
        <v>31.200000000000003</v>
      </c>
    </row>
    <row r="144" spans="1:10" ht="15.75" x14ac:dyDescent="0.25">
      <c r="A144" s="31" t="s">
        <v>51</v>
      </c>
      <c r="B144" s="21"/>
      <c r="C144" s="21">
        <f>SUM(C136:C143)</f>
        <v>35</v>
      </c>
      <c r="D144" s="21"/>
      <c r="E144" s="21"/>
      <c r="F144" s="21">
        <f>SUM(F136:F143)</f>
        <v>1183</v>
      </c>
      <c r="G144" s="21">
        <f>SUM(G136:G143)</f>
        <v>53.600000000000023</v>
      </c>
    </row>
    <row r="145" spans="1:8" x14ac:dyDescent="0.25">
      <c r="A145" s="32" t="s">
        <v>52</v>
      </c>
      <c r="B145" s="23"/>
      <c r="C145" s="23"/>
      <c r="D145" s="23">
        <f>MEDIAN(27+(17.5-9/12)*7)</f>
        <v>144.25</v>
      </c>
    </row>
    <row r="146" spans="1:8" x14ac:dyDescent="0.25">
      <c r="A146" s="32" t="s">
        <v>53</v>
      </c>
      <c r="B146" s="23"/>
      <c r="C146" s="23"/>
      <c r="D146" s="23">
        <f>27+(12-7/24-7-5)*7</f>
        <v>24.958333333333336</v>
      </c>
    </row>
    <row r="147" spans="1:8" x14ac:dyDescent="0.25">
      <c r="A147" s="32" t="s">
        <v>82</v>
      </c>
      <c r="B147" s="23"/>
      <c r="C147" s="23"/>
      <c r="D147" s="23">
        <f>F144/C144</f>
        <v>33.799999999999997</v>
      </c>
    </row>
    <row r="150" spans="1:8" x14ac:dyDescent="0.25">
      <c r="A150" s="32" t="s">
        <v>83</v>
      </c>
      <c r="B150" s="5"/>
    </row>
    <row r="152" spans="1:8" x14ac:dyDescent="0.25">
      <c r="A152" s="5" t="s">
        <v>84</v>
      </c>
      <c r="B152" s="5" t="s">
        <v>85</v>
      </c>
      <c r="C152" s="5" t="s">
        <v>86</v>
      </c>
      <c r="D152" s="5" t="s">
        <v>87</v>
      </c>
      <c r="E152" s="5" t="s">
        <v>88</v>
      </c>
      <c r="G152" s="33" t="s">
        <v>89</v>
      </c>
      <c r="H152" s="33">
        <v>10</v>
      </c>
    </row>
    <row r="153" spans="1:8" x14ac:dyDescent="0.25">
      <c r="A153" s="3">
        <v>70</v>
      </c>
      <c r="B153" s="3">
        <v>90</v>
      </c>
      <c r="C153" s="3">
        <f>B153*A153</f>
        <v>6300</v>
      </c>
      <c r="D153" s="3">
        <f t="shared" ref="D153:D162" si="1">A153^2</f>
        <v>4900</v>
      </c>
      <c r="E153" s="3">
        <f t="shared" ref="E153:E162" si="2">B153^2</f>
        <v>8100</v>
      </c>
      <c r="G153" s="33" t="s">
        <v>90</v>
      </c>
      <c r="H153" s="33">
        <f>C163</f>
        <v>69917</v>
      </c>
    </row>
    <row r="154" spans="1:8" x14ac:dyDescent="0.25">
      <c r="A154" s="3">
        <v>78</v>
      </c>
      <c r="B154" s="3">
        <v>94</v>
      </c>
      <c r="C154" s="3">
        <f>B154*A154</f>
        <v>7332</v>
      </c>
      <c r="D154" s="3">
        <f t="shared" si="1"/>
        <v>6084</v>
      </c>
      <c r="E154" s="3">
        <f t="shared" si="2"/>
        <v>8836</v>
      </c>
      <c r="G154" s="33" t="s">
        <v>73</v>
      </c>
      <c r="H154" s="33">
        <f>A163</f>
        <v>828</v>
      </c>
    </row>
    <row r="155" spans="1:8" x14ac:dyDescent="0.25">
      <c r="A155" s="3">
        <v>90</v>
      </c>
      <c r="B155" s="3">
        <v>79</v>
      </c>
      <c r="C155" s="3">
        <f>B155*A155</f>
        <v>7110</v>
      </c>
      <c r="D155" s="3">
        <f t="shared" si="1"/>
        <v>8100</v>
      </c>
      <c r="E155" s="3">
        <f t="shared" si="2"/>
        <v>6241</v>
      </c>
      <c r="G155" s="33" t="s">
        <v>91</v>
      </c>
      <c r="H155" s="33">
        <f>B163</f>
        <v>847</v>
      </c>
    </row>
    <row r="156" spans="1:8" x14ac:dyDescent="0.25">
      <c r="A156" s="3">
        <v>87</v>
      </c>
      <c r="B156" s="3">
        <v>86</v>
      </c>
      <c r="C156" s="3">
        <f>A156*B156</f>
        <v>7482</v>
      </c>
      <c r="D156" s="3">
        <f t="shared" si="1"/>
        <v>7569</v>
      </c>
      <c r="E156" s="3">
        <f t="shared" si="2"/>
        <v>7396</v>
      </c>
      <c r="G156" s="33" t="s">
        <v>94</v>
      </c>
      <c r="H156" s="33">
        <f>A164</f>
        <v>685584</v>
      </c>
    </row>
    <row r="157" spans="1:8" x14ac:dyDescent="0.25">
      <c r="A157" s="3">
        <v>84</v>
      </c>
      <c r="B157" s="3">
        <v>84</v>
      </c>
      <c r="C157" s="3">
        <f t="shared" ref="C157:C162" si="3">B157*A157</f>
        <v>7056</v>
      </c>
      <c r="D157" s="3">
        <f t="shared" si="1"/>
        <v>7056</v>
      </c>
      <c r="E157" s="3">
        <f t="shared" si="2"/>
        <v>7056</v>
      </c>
      <c r="G157" s="33" t="s">
        <v>95</v>
      </c>
      <c r="H157" s="33">
        <f>B164</f>
        <v>717409</v>
      </c>
    </row>
    <row r="158" spans="1:8" x14ac:dyDescent="0.25">
      <c r="A158" s="3">
        <v>86</v>
      </c>
      <c r="B158" s="3">
        <v>83</v>
      </c>
      <c r="C158" s="3">
        <f t="shared" si="3"/>
        <v>7138</v>
      </c>
      <c r="D158" s="3">
        <f t="shared" si="1"/>
        <v>7396</v>
      </c>
      <c r="E158" s="3">
        <f t="shared" si="2"/>
        <v>6889</v>
      </c>
      <c r="G158" s="33" t="s">
        <v>92</v>
      </c>
      <c r="H158" s="33">
        <f>D163</f>
        <v>68976</v>
      </c>
    </row>
    <row r="159" spans="1:8" x14ac:dyDescent="0.25">
      <c r="A159" s="3">
        <v>91</v>
      </c>
      <c r="B159" s="3">
        <v>88</v>
      </c>
      <c r="C159" s="3">
        <f t="shared" si="3"/>
        <v>8008</v>
      </c>
      <c r="D159" s="3">
        <f t="shared" si="1"/>
        <v>8281</v>
      </c>
      <c r="E159" s="3">
        <f t="shared" si="2"/>
        <v>7744</v>
      </c>
      <c r="G159" s="33" t="s">
        <v>93</v>
      </c>
      <c r="H159" s="33">
        <f>E163</f>
        <v>72127</v>
      </c>
    </row>
    <row r="160" spans="1:8" x14ac:dyDescent="0.25">
      <c r="A160" s="3">
        <v>74</v>
      </c>
      <c r="B160" s="3">
        <v>92</v>
      </c>
      <c r="C160" s="3">
        <f t="shared" si="3"/>
        <v>6808</v>
      </c>
      <c r="D160" s="3">
        <f t="shared" si="1"/>
        <v>5476</v>
      </c>
      <c r="E160" s="3">
        <f t="shared" si="2"/>
        <v>8464</v>
      </c>
      <c r="G160" s="33" t="s">
        <v>96</v>
      </c>
      <c r="H160" s="33">
        <f>10*H158</f>
        <v>689760</v>
      </c>
    </row>
    <row r="161" spans="1:9" x14ac:dyDescent="0.25">
      <c r="A161" s="3">
        <v>83</v>
      </c>
      <c r="B161" s="3">
        <v>76</v>
      </c>
      <c r="C161" s="3">
        <f t="shared" si="3"/>
        <v>6308</v>
      </c>
      <c r="D161" s="3">
        <f t="shared" si="1"/>
        <v>6889</v>
      </c>
      <c r="E161" s="3">
        <f t="shared" si="2"/>
        <v>5776</v>
      </c>
      <c r="G161" s="33" t="s">
        <v>97</v>
      </c>
      <c r="H161" s="33">
        <f>10*H159</f>
        <v>721270</v>
      </c>
    </row>
    <row r="162" spans="1:9" x14ac:dyDescent="0.25">
      <c r="A162" s="3">
        <v>85</v>
      </c>
      <c r="B162" s="3">
        <v>75</v>
      </c>
      <c r="C162" s="3">
        <f t="shared" si="3"/>
        <v>6375</v>
      </c>
      <c r="D162" s="3">
        <f t="shared" si="1"/>
        <v>7225</v>
      </c>
      <c r="E162" s="3">
        <f t="shared" si="2"/>
        <v>5625</v>
      </c>
      <c r="G162" s="33" t="s">
        <v>98</v>
      </c>
      <c r="H162" s="33">
        <f>10*H153</f>
        <v>699170</v>
      </c>
    </row>
    <row r="163" spans="1:9" x14ac:dyDescent="0.25">
      <c r="A163" s="23">
        <f>SUM(A153:A162)</f>
        <v>828</v>
      </c>
      <c r="B163" s="23">
        <f>SUM(B153:B162)</f>
        <v>847</v>
      </c>
      <c r="C163" s="23">
        <f>SUM(C153:C162)</f>
        <v>69917</v>
      </c>
      <c r="D163" s="23">
        <f>SUM(D153:D162)</f>
        <v>68976</v>
      </c>
      <c r="E163" s="23">
        <f>SUM(E153:E162)</f>
        <v>72127</v>
      </c>
      <c r="F163" s="23" t="s">
        <v>51</v>
      </c>
      <c r="G163" s="33" t="s">
        <v>99</v>
      </c>
      <c r="H163" s="33">
        <f>H162-(H154)*(H155)</f>
        <v>-2146</v>
      </c>
    </row>
    <row r="164" spans="1:9" x14ac:dyDescent="0.25">
      <c r="A164" s="23">
        <f>A163^2</f>
        <v>685584</v>
      </c>
      <c r="B164" s="23">
        <f>B163^2</f>
        <v>717409</v>
      </c>
      <c r="G164" s="33" t="s">
        <v>100</v>
      </c>
      <c r="H164" s="33">
        <f>H160-H156</f>
        <v>4176</v>
      </c>
    </row>
    <row r="165" spans="1:9" x14ac:dyDescent="0.25">
      <c r="G165" s="33" t="s">
        <v>101</v>
      </c>
      <c r="H165" s="33">
        <f>H161-H157</f>
        <v>3861</v>
      </c>
    </row>
    <row r="166" spans="1:9" x14ac:dyDescent="0.25">
      <c r="G166" s="33"/>
      <c r="H166" s="33">
        <f>SQRT(H164*H165)</f>
        <v>4015.4123075968178</v>
      </c>
    </row>
    <row r="167" spans="1:9" x14ac:dyDescent="0.25">
      <c r="G167" s="33" t="s">
        <v>102</v>
      </c>
      <c r="H167" s="33">
        <f>H163/H166</f>
        <v>-0.53444075865881846</v>
      </c>
    </row>
    <row r="170" spans="1:9" x14ac:dyDescent="0.25">
      <c r="B170" s="35" t="s">
        <v>103</v>
      </c>
      <c r="C170" s="35" t="s">
        <v>104</v>
      </c>
      <c r="D170" s="33"/>
      <c r="E170" s="33"/>
      <c r="F170" s="33"/>
    </row>
    <row r="171" spans="1:9" x14ac:dyDescent="0.25">
      <c r="B171" s="33" t="s">
        <v>105</v>
      </c>
      <c r="C171" s="33" t="s">
        <v>106</v>
      </c>
      <c r="D171" s="35" t="s">
        <v>107</v>
      </c>
      <c r="E171" s="35" t="s">
        <v>108</v>
      </c>
      <c r="F171" s="35" t="s">
        <v>109</v>
      </c>
      <c r="H171" s="37" t="s">
        <v>110</v>
      </c>
      <c r="I171" s="3">
        <v>10</v>
      </c>
    </row>
    <row r="172" spans="1:9" x14ac:dyDescent="0.25">
      <c r="B172" s="21">
        <v>99</v>
      </c>
      <c r="C172" s="21">
        <v>2</v>
      </c>
      <c r="D172" s="21">
        <f>C172*B172</f>
        <v>198</v>
      </c>
      <c r="E172" s="21">
        <f t="shared" ref="E172:E181" si="4">B172^2</f>
        <v>9801</v>
      </c>
      <c r="F172" s="21">
        <v>4</v>
      </c>
      <c r="H172" s="3" t="s">
        <v>111</v>
      </c>
      <c r="I172" s="3">
        <v>1049</v>
      </c>
    </row>
    <row r="173" spans="1:9" x14ac:dyDescent="0.25">
      <c r="B173" s="21">
        <v>120</v>
      </c>
      <c r="C173" s="21">
        <v>0</v>
      </c>
      <c r="D173" s="21">
        <v>0</v>
      </c>
      <c r="E173" s="21">
        <f t="shared" si="4"/>
        <v>14400</v>
      </c>
      <c r="F173" s="21">
        <v>0</v>
      </c>
      <c r="H173" s="3" t="s">
        <v>112</v>
      </c>
      <c r="I173" s="3">
        <v>166</v>
      </c>
    </row>
    <row r="174" spans="1:9" x14ac:dyDescent="0.25">
      <c r="B174" s="21">
        <v>98</v>
      </c>
      <c r="C174" s="21">
        <v>25</v>
      </c>
      <c r="D174" s="21">
        <f>C174*B174</f>
        <v>2450</v>
      </c>
      <c r="E174" s="21">
        <f t="shared" si="4"/>
        <v>9604</v>
      </c>
      <c r="F174" s="21">
        <f t="shared" ref="F174:F181" si="5">C174^2</f>
        <v>625</v>
      </c>
      <c r="H174" s="3" t="s">
        <v>113</v>
      </c>
      <c r="I174" s="3">
        <f>D182</f>
        <v>17359</v>
      </c>
    </row>
    <row r="175" spans="1:9" x14ac:dyDescent="0.25">
      <c r="B175" s="21">
        <v>102</v>
      </c>
      <c r="C175" s="21">
        <v>45</v>
      </c>
      <c r="D175" s="21">
        <f>B175*C175</f>
        <v>4590</v>
      </c>
      <c r="E175" s="21">
        <f t="shared" si="4"/>
        <v>10404</v>
      </c>
      <c r="F175" s="21">
        <f t="shared" si="5"/>
        <v>2025</v>
      </c>
      <c r="H175" s="3" t="s">
        <v>114</v>
      </c>
      <c r="I175" s="3">
        <f>E182</f>
        <v>111477</v>
      </c>
    </row>
    <row r="176" spans="1:9" x14ac:dyDescent="0.25">
      <c r="B176" s="21">
        <v>123</v>
      </c>
      <c r="C176" s="21">
        <v>14</v>
      </c>
      <c r="D176" s="21">
        <f>B176*C176</f>
        <v>1722</v>
      </c>
      <c r="E176" s="21">
        <f t="shared" si="4"/>
        <v>15129</v>
      </c>
      <c r="F176" s="21">
        <f t="shared" si="5"/>
        <v>196</v>
      </c>
      <c r="H176" s="3" t="s">
        <v>115</v>
      </c>
      <c r="I176" s="3">
        <f>F182</f>
        <v>4336</v>
      </c>
    </row>
    <row r="177" spans="1:9" x14ac:dyDescent="0.25">
      <c r="B177" s="21">
        <v>105</v>
      </c>
      <c r="C177" s="21">
        <v>20</v>
      </c>
      <c r="D177" s="21">
        <f>C177*B177</f>
        <v>2100</v>
      </c>
      <c r="E177" s="21">
        <f t="shared" si="4"/>
        <v>11025</v>
      </c>
      <c r="F177" s="21">
        <f t="shared" si="5"/>
        <v>400</v>
      </c>
      <c r="H177" s="3" t="s">
        <v>116</v>
      </c>
      <c r="I177" s="3">
        <f>B183</f>
        <v>1100401</v>
      </c>
    </row>
    <row r="178" spans="1:9" x14ac:dyDescent="0.25">
      <c r="B178" s="21">
        <v>85</v>
      </c>
      <c r="C178" s="21">
        <v>15</v>
      </c>
      <c r="D178" s="21">
        <f>B178*C178</f>
        <v>1275</v>
      </c>
      <c r="E178" s="21">
        <f t="shared" si="4"/>
        <v>7225</v>
      </c>
      <c r="F178" s="21">
        <f t="shared" si="5"/>
        <v>225</v>
      </c>
      <c r="H178" s="3" t="s">
        <v>117</v>
      </c>
      <c r="I178" s="3">
        <f>C183</f>
        <v>27556</v>
      </c>
    </row>
    <row r="179" spans="1:9" x14ac:dyDescent="0.25">
      <c r="B179" s="21">
        <v>110</v>
      </c>
      <c r="C179" s="21">
        <v>19</v>
      </c>
      <c r="D179" s="21">
        <f>C179*B179</f>
        <v>2090</v>
      </c>
      <c r="E179" s="21">
        <f t="shared" si="4"/>
        <v>12100</v>
      </c>
      <c r="F179" s="21">
        <f t="shared" si="5"/>
        <v>361</v>
      </c>
      <c r="H179" s="3" t="s">
        <v>118</v>
      </c>
      <c r="I179" s="3">
        <f>I171*I174</f>
        <v>173590</v>
      </c>
    </row>
    <row r="180" spans="1:9" x14ac:dyDescent="0.25">
      <c r="B180" s="21">
        <v>117</v>
      </c>
      <c r="C180" s="21">
        <v>22</v>
      </c>
      <c r="D180" s="21">
        <f>B180*C180</f>
        <v>2574</v>
      </c>
      <c r="E180" s="21">
        <f t="shared" si="4"/>
        <v>13689</v>
      </c>
      <c r="F180" s="21">
        <f t="shared" si="5"/>
        <v>484</v>
      </c>
      <c r="H180" s="3" t="s">
        <v>119</v>
      </c>
      <c r="I180" s="3">
        <f>(I179)-(I172)*(I173)</f>
        <v>-544</v>
      </c>
    </row>
    <row r="181" spans="1:9" x14ac:dyDescent="0.25">
      <c r="B181" s="21">
        <v>90</v>
      </c>
      <c r="C181" s="21">
        <v>4</v>
      </c>
      <c r="D181" s="21">
        <f>C181*B181</f>
        <v>360</v>
      </c>
      <c r="E181" s="21">
        <f t="shared" si="4"/>
        <v>8100</v>
      </c>
      <c r="F181" s="21">
        <f t="shared" si="5"/>
        <v>16</v>
      </c>
      <c r="H181" s="3" t="s">
        <v>120</v>
      </c>
      <c r="I181" s="3">
        <f>I172*I173</f>
        <v>174134</v>
      </c>
    </row>
    <row r="182" spans="1:9" x14ac:dyDescent="0.25">
      <c r="A182" s="36" t="s">
        <v>51</v>
      </c>
      <c r="B182" s="36">
        <f>SUM(B172:B181)</f>
        <v>1049</v>
      </c>
      <c r="C182" s="36">
        <f>SUM(C172:C181)</f>
        <v>166</v>
      </c>
      <c r="D182" s="36">
        <f>SUM(D172:D181)</f>
        <v>17359</v>
      </c>
      <c r="E182" s="36">
        <f>SUM(E172:E181)</f>
        <v>111477</v>
      </c>
      <c r="F182" s="36">
        <f>SUM(F172:F181)</f>
        <v>4336</v>
      </c>
      <c r="H182" s="3" t="s">
        <v>121</v>
      </c>
      <c r="I182" s="3">
        <f>I171*I175</f>
        <v>1114770</v>
      </c>
    </row>
    <row r="183" spans="1:9" x14ac:dyDescent="0.25">
      <c r="B183" s="3">
        <f>B182^2</f>
        <v>1100401</v>
      </c>
      <c r="C183" s="3">
        <f>C182^2</f>
        <v>27556</v>
      </c>
      <c r="H183" s="3" t="s">
        <v>122</v>
      </c>
      <c r="I183" s="3">
        <f>10*I176</f>
        <v>43360</v>
      </c>
    </row>
    <row r="184" spans="1:9" x14ac:dyDescent="0.25">
      <c r="H184" s="3" t="s">
        <v>123</v>
      </c>
      <c r="I184" s="3">
        <f>I182-I177</f>
        <v>14369</v>
      </c>
    </row>
    <row r="185" spans="1:9" x14ac:dyDescent="0.25">
      <c r="H185" s="3" t="s">
        <v>124</v>
      </c>
      <c r="I185" s="3">
        <f>I183-I178</f>
        <v>15804</v>
      </c>
    </row>
    <row r="186" spans="1:9" x14ac:dyDescent="0.25">
      <c r="H186" s="3" t="s">
        <v>125</v>
      </c>
      <c r="I186" s="3">
        <f>SQRT(I184*I185)</f>
        <v>15069.42852267464</v>
      </c>
    </row>
    <row r="187" spans="1:9" x14ac:dyDescent="0.25">
      <c r="H187" s="3" t="s">
        <v>261</v>
      </c>
      <c r="I187" s="3">
        <f>I180/I186</f>
        <v>-3.6099577311870523E-2</v>
      </c>
    </row>
    <row r="191" spans="1:9" x14ac:dyDescent="0.25">
      <c r="A191" s="1" t="s">
        <v>126</v>
      </c>
    </row>
    <row r="193" spans="2:10" x14ac:dyDescent="0.25">
      <c r="B193" s="39" t="s">
        <v>111</v>
      </c>
      <c r="C193" s="39" t="s">
        <v>112</v>
      </c>
      <c r="D193" s="39" t="s">
        <v>127</v>
      </c>
      <c r="E193" s="39" t="s">
        <v>128</v>
      </c>
      <c r="F193" s="39" t="s">
        <v>129</v>
      </c>
      <c r="G193" s="39" t="s">
        <v>130</v>
      </c>
    </row>
    <row r="194" spans="2:10" x14ac:dyDescent="0.25">
      <c r="B194" s="40">
        <v>26</v>
      </c>
      <c r="C194" s="40">
        <v>540</v>
      </c>
      <c r="D194" s="40">
        <v>8</v>
      </c>
      <c r="E194" s="40">
        <v>8</v>
      </c>
      <c r="F194" s="40">
        <f>D194-E194</f>
        <v>0</v>
      </c>
      <c r="G194" s="40">
        <v>0</v>
      </c>
      <c r="H194" s="38" t="s">
        <v>131</v>
      </c>
      <c r="I194" s="38">
        <f>6*G203</f>
        <v>99</v>
      </c>
    </row>
    <row r="195" spans="2:10" x14ac:dyDescent="0.25">
      <c r="B195" s="40">
        <v>27</v>
      </c>
      <c r="C195" s="40">
        <v>555</v>
      </c>
      <c r="D195" s="40">
        <v>7</v>
      </c>
      <c r="E195" s="40">
        <v>7</v>
      </c>
      <c r="F195" s="40">
        <v>0</v>
      </c>
      <c r="G195" s="40">
        <v>0</v>
      </c>
      <c r="H195" s="38" t="s">
        <v>133</v>
      </c>
      <c r="I195" s="38">
        <v>9</v>
      </c>
    </row>
    <row r="196" spans="2:10" x14ac:dyDescent="0.25">
      <c r="B196" s="40">
        <v>33</v>
      </c>
      <c r="C196" s="40">
        <v>575</v>
      </c>
      <c r="D196" s="40">
        <v>3</v>
      </c>
      <c r="E196" s="40">
        <v>6</v>
      </c>
      <c r="F196" s="40">
        <v>-3</v>
      </c>
      <c r="G196" s="40">
        <v>9</v>
      </c>
      <c r="H196" s="38" t="s">
        <v>134</v>
      </c>
      <c r="I196" s="38">
        <f>I195^2-1</f>
        <v>80</v>
      </c>
    </row>
    <row r="197" spans="2:10" x14ac:dyDescent="0.25">
      <c r="B197" s="40">
        <v>29</v>
      </c>
      <c r="C197" s="40">
        <v>577</v>
      </c>
      <c r="D197" s="40">
        <v>5.5</v>
      </c>
      <c r="E197" s="40">
        <v>5</v>
      </c>
      <c r="F197" s="40">
        <v>0.5</v>
      </c>
      <c r="G197" s="40">
        <f>F197^2</f>
        <v>0.25</v>
      </c>
      <c r="H197" s="38" t="s">
        <v>137</v>
      </c>
      <c r="I197" s="38">
        <v>720</v>
      </c>
    </row>
    <row r="198" spans="2:10" x14ac:dyDescent="0.25">
      <c r="B198" s="40">
        <v>29</v>
      </c>
      <c r="C198" s="40">
        <v>606</v>
      </c>
      <c r="D198" s="40">
        <v>5.5</v>
      </c>
      <c r="E198" s="40">
        <v>4</v>
      </c>
      <c r="F198" s="40">
        <f>D198-E198</f>
        <v>1.5</v>
      </c>
      <c r="G198" s="40">
        <f>F198^2</f>
        <v>2.25</v>
      </c>
      <c r="H198" s="38" t="s">
        <v>138</v>
      </c>
      <c r="I198" s="38">
        <f>I194/I197</f>
        <v>0.13750000000000001</v>
      </c>
    </row>
    <row r="199" spans="2:10" x14ac:dyDescent="0.25">
      <c r="B199" s="40">
        <v>34</v>
      </c>
      <c r="C199" s="40">
        <v>661</v>
      </c>
      <c r="D199" s="40">
        <v>2</v>
      </c>
      <c r="E199" s="40">
        <v>3</v>
      </c>
      <c r="F199" s="40">
        <v>-1</v>
      </c>
      <c r="G199" s="40">
        <v>1</v>
      </c>
      <c r="H199" s="38" t="s">
        <v>139</v>
      </c>
      <c r="I199" s="38">
        <f>1-I198</f>
        <v>0.86250000000000004</v>
      </c>
    </row>
    <row r="200" spans="2:10" x14ac:dyDescent="0.25">
      <c r="B200" s="40">
        <v>30</v>
      </c>
      <c r="C200" s="40">
        <v>738</v>
      </c>
      <c r="D200" s="40">
        <v>4</v>
      </c>
      <c r="E200" s="40">
        <v>2</v>
      </c>
      <c r="F200" s="40">
        <v>2</v>
      </c>
      <c r="G200" s="40">
        <v>4</v>
      </c>
    </row>
    <row r="201" spans="2:10" x14ac:dyDescent="0.25">
      <c r="B201" s="40">
        <v>40</v>
      </c>
      <c r="C201" s="40">
        <v>804</v>
      </c>
      <c r="D201" s="40">
        <v>1</v>
      </c>
      <c r="E201" s="40">
        <v>1</v>
      </c>
      <c r="F201" s="40">
        <v>0</v>
      </c>
      <c r="G201" s="40">
        <v>0</v>
      </c>
    </row>
    <row r="202" spans="2:10" x14ac:dyDescent="0.25">
      <c r="B202" s="40">
        <v>22</v>
      </c>
      <c r="C202" s="40">
        <v>496</v>
      </c>
      <c r="D202" s="40">
        <v>9</v>
      </c>
      <c r="E202" s="40">
        <v>9</v>
      </c>
      <c r="F202" s="40">
        <v>0</v>
      </c>
      <c r="G202" s="40">
        <v>0</v>
      </c>
    </row>
    <row r="203" spans="2:10" x14ac:dyDescent="0.25">
      <c r="G203" s="40">
        <f>SUM(G194:G202)</f>
        <v>16.5</v>
      </c>
    </row>
    <row r="206" spans="2:10" x14ac:dyDescent="0.25">
      <c r="B206" s="41" t="s">
        <v>73</v>
      </c>
      <c r="C206" s="41" t="s">
        <v>91</v>
      </c>
      <c r="D206" s="41" t="s">
        <v>140</v>
      </c>
      <c r="E206" s="41" t="s">
        <v>141</v>
      </c>
      <c r="F206" s="41" t="s">
        <v>142</v>
      </c>
      <c r="G206" s="41" t="s">
        <v>143</v>
      </c>
    </row>
    <row r="207" spans="2:10" x14ac:dyDescent="0.25">
      <c r="B207" s="16">
        <v>6</v>
      </c>
      <c r="C207" s="16">
        <v>290</v>
      </c>
      <c r="D207" s="16">
        <v>2</v>
      </c>
      <c r="E207" s="16">
        <v>9</v>
      </c>
      <c r="F207" s="16">
        <v>-7</v>
      </c>
      <c r="G207" s="16">
        <f>F207^2</f>
        <v>49</v>
      </c>
      <c r="H207" s="34"/>
      <c r="I207" s="23" t="s">
        <v>132</v>
      </c>
      <c r="J207" s="23">
        <f>6*G217</f>
        <v>1881</v>
      </c>
    </row>
    <row r="208" spans="2:10" x14ac:dyDescent="0.25">
      <c r="B208" s="16">
        <v>6</v>
      </c>
      <c r="C208" s="16">
        <v>280</v>
      </c>
      <c r="D208" s="16">
        <v>2</v>
      </c>
      <c r="E208" s="16">
        <v>10</v>
      </c>
      <c r="F208" s="16">
        <v>-8</v>
      </c>
      <c r="G208" s="16">
        <v>64</v>
      </c>
      <c r="I208" s="23" t="s">
        <v>110</v>
      </c>
      <c r="J208" s="23">
        <v>10</v>
      </c>
    </row>
    <row r="209" spans="1:21" x14ac:dyDescent="0.25">
      <c r="B209" s="16">
        <v>6</v>
      </c>
      <c r="C209" s="16">
        <v>295</v>
      </c>
      <c r="D209" s="16">
        <v>2</v>
      </c>
      <c r="E209" s="16">
        <v>8</v>
      </c>
      <c r="F209" s="16">
        <v>-6</v>
      </c>
      <c r="G209" s="16">
        <v>36</v>
      </c>
      <c r="I209" s="23" t="s">
        <v>135</v>
      </c>
      <c r="J209" s="23">
        <v>990</v>
      </c>
    </row>
    <row r="210" spans="1:21" x14ac:dyDescent="0.25">
      <c r="B210" s="16">
        <v>2</v>
      </c>
      <c r="C210" s="16">
        <v>425</v>
      </c>
      <c r="D210" s="16">
        <v>8.5</v>
      </c>
      <c r="E210" s="16">
        <v>1.5</v>
      </c>
      <c r="F210" s="16">
        <v>7</v>
      </c>
      <c r="G210" s="16">
        <v>49</v>
      </c>
      <c r="I210" s="23" t="s">
        <v>144</v>
      </c>
      <c r="J210" s="23">
        <f>J207/J209</f>
        <v>1.9</v>
      </c>
    </row>
    <row r="211" spans="1:21" x14ac:dyDescent="0.25">
      <c r="B211" s="16">
        <v>2</v>
      </c>
      <c r="C211" s="16">
        <v>384</v>
      </c>
      <c r="D211" s="16">
        <v>8.5</v>
      </c>
      <c r="E211" s="16">
        <v>3</v>
      </c>
      <c r="F211" s="16">
        <v>5.5</v>
      </c>
      <c r="G211" s="16">
        <f t="shared" ref="G211:G216" si="6">F211^2</f>
        <v>30.25</v>
      </c>
      <c r="I211" s="23" t="s">
        <v>136</v>
      </c>
      <c r="J211" s="23">
        <f>1-J210</f>
        <v>-0.89999999999999991</v>
      </c>
    </row>
    <row r="212" spans="1:21" x14ac:dyDescent="0.25">
      <c r="B212" s="16">
        <v>5</v>
      </c>
      <c r="C212" s="16">
        <v>315</v>
      </c>
      <c r="D212" s="16">
        <v>4.5</v>
      </c>
      <c r="E212" s="16">
        <v>7</v>
      </c>
      <c r="F212" s="16">
        <v>-2.5</v>
      </c>
      <c r="G212" s="16">
        <f t="shared" si="6"/>
        <v>6.25</v>
      </c>
    </row>
    <row r="213" spans="1:21" x14ac:dyDescent="0.25">
      <c r="B213" s="16">
        <v>4</v>
      </c>
      <c r="C213" s="16">
        <v>355</v>
      </c>
      <c r="D213" s="16">
        <v>6.5</v>
      </c>
      <c r="E213" s="16">
        <v>4</v>
      </c>
      <c r="F213" s="16">
        <v>2.5</v>
      </c>
      <c r="G213" s="16">
        <f t="shared" si="6"/>
        <v>6.25</v>
      </c>
    </row>
    <row r="214" spans="1:21" x14ac:dyDescent="0.25">
      <c r="B214" s="16">
        <v>5</v>
      </c>
      <c r="C214" s="16">
        <v>328</v>
      </c>
      <c r="D214" s="16">
        <v>4.5</v>
      </c>
      <c r="E214" s="16">
        <v>5</v>
      </c>
      <c r="F214" s="16">
        <v>-0.5</v>
      </c>
      <c r="G214" s="16">
        <f t="shared" si="6"/>
        <v>0.25</v>
      </c>
    </row>
    <row r="215" spans="1:21" x14ac:dyDescent="0.25">
      <c r="B215" s="16">
        <v>1</v>
      </c>
      <c r="C215" s="16">
        <v>425</v>
      </c>
      <c r="D215" s="16">
        <v>10</v>
      </c>
      <c r="E215" s="16">
        <v>1.5</v>
      </c>
      <c r="F215" s="16">
        <v>8.5</v>
      </c>
      <c r="G215" s="16">
        <f t="shared" si="6"/>
        <v>72.25</v>
      </c>
    </row>
    <row r="216" spans="1:21" x14ac:dyDescent="0.25">
      <c r="B216" s="16">
        <v>4</v>
      </c>
      <c r="C216" s="16">
        <v>325</v>
      </c>
      <c r="D216" s="16">
        <v>6.5</v>
      </c>
      <c r="E216" s="16">
        <v>6</v>
      </c>
      <c r="F216" s="16">
        <v>0.5</v>
      </c>
      <c r="G216" s="16">
        <f t="shared" si="6"/>
        <v>0.25</v>
      </c>
    </row>
    <row r="217" spans="1:21" x14ac:dyDescent="0.25">
      <c r="G217">
        <f>SUM(G207:G216)</f>
        <v>313.5</v>
      </c>
    </row>
    <row r="220" spans="1:21" ht="21" x14ac:dyDescent="0.35">
      <c r="A220" s="42" t="s">
        <v>145</v>
      </c>
    </row>
    <row r="221" spans="1:21" x14ac:dyDescent="0.25">
      <c r="D221" t="s">
        <v>163</v>
      </c>
    </row>
    <row r="222" spans="1:21" x14ac:dyDescent="0.25">
      <c r="B222" s="33" t="s">
        <v>150</v>
      </c>
      <c r="C222" s="33" t="s">
        <v>151</v>
      </c>
      <c r="D222" s="35" t="s">
        <v>113</v>
      </c>
      <c r="E222" s="35" t="s">
        <v>92</v>
      </c>
      <c r="F222" s="35" t="s">
        <v>93</v>
      </c>
      <c r="G222" s="43"/>
      <c r="T222" s="41" t="s">
        <v>89</v>
      </c>
      <c r="U222" s="41">
        <v>7</v>
      </c>
    </row>
    <row r="223" spans="1:21" x14ac:dyDescent="0.25">
      <c r="B223" s="5">
        <v>130</v>
      </c>
      <c r="C223" s="5">
        <v>10</v>
      </c>
      <c r="D223" s="5">
        <f>C223*B223</f>
        <v>1300</v>
      </c>
      <c r="E223" s="5">
        <f>B223^2</f>
        <v>16900</v>
      </c>
      <c r="F223" s="5">
        <f>C223^2</f>
        <v>100</v>
      </c>
      <c r="T223" s="41" t="s">
        <v>73</v>
      </c>
      <c r="U223" s="41">
        <v>815</v>
      </c>
    </row>
    <row r="224" spans="1:21" x14ac:dyDescent="0.25">
      <c r="B224" s="5">
        <v>125</v>
      </c>
      <c r="C224" s="5">
        <v>20</v>
      </c>
      <c r="D224" s="5">
        <f>125*20</f>
        <v>2500</v>
      </c>
      <c r="E224" s="5">
        <f t="shared" ref="E224:E229" si="7">B224^2</f>
        <v>15625</v>
      </c>
      <c r="F224" s="5">
        <v>400</v>
      </c>
      <c r="T224" s="41" t="s">
        <v>91</v>
      </c>
      <c r="U224" s="41">
        <v>228</v>
      </c>
    </row>
    <row r="225" spans="1:21" x14ac:dyDescent="0.25">
      <c r="B225" s="5">
        <v>120</v>
      </c>
      <c r="C225" s="5">
        <v>30</v>
      </c>
      <c r="D225" s="5">
        <f>30*120</f>
        <v>3600</v>
      </c>
      <c r="E225" s="5">
        <f t="shared" si="7"/>
        <v>14400</v>
      </c>
      <c r="F225" s="5">
        <f>30^2</f>
        <v>900</v>
      </c>
      <c r="T225" s="41" t="s">
        <v>90</v>
      </c>
      <c r="U225" s="41">
        <v>25821</v>
      </c>
    </row>
    <row r="226" spans="1:21" x14ac:dyDescent="0.25">
      <c r="B226" s="5">
        <v>115</v>
      </c>
      <c r="C226" s="5">
        <v>35</v>
      </c>
      <c r="D226" s="5">
        <f>35*115</f>
        <v>4025</v>
      </c>
      <c r="E226" s="5">
        <f t="shared" si="7"/>
        <v>13225</v>
      </c>
      <c r="F226" s="5">
        <f>35^2</f>
        <v>1225</v>
      </c>
      <c r="T226" s="41" t="s">
        <v>98</v>
      </c>
      <c r="U226" s="41">
        <f>U222*U225</f>
        <v>180747</v>
      </c>
    </row>
    <row r="227" spans="1:21" x14ac:dyDescent="0.25">
      <c r="B227" s="5">
        <v>110</v>
      </c>
      <c r="C227" s="5">
        <v>40</v>
      </c>
      <c r="D227" s="5">
        <f>40*110</f>
        <v>4400</v>
      </c>
      <c r="E227" s="5">
        <f t="shared" si="7"/>
        <v>12100</v>
      </c>
      <c r="F227" s="5">
        <f>40^2</f>
        <v>1600</v>
      </c>
      <c r="T227" s="41" t="s">
        <v>152</v>
      </c>
      <c r="U227" s="41">
        <f>U223*U224</f>
        <v>185820</v>
      </c>
    </row>
    <row r="228" spans="1:21" x14ac:dyDescent="0.25">
      <c r="B228" s="5">
        <v>108</v>
      </c>
      <c r="C228" s="5">
        <v>45</v>
      </c>
      <c r="D228" s="5">
        <f>45*108</f>
        <v>4860</v>
      </c>
      <c r="E228" s="5">
        <f t="shared" si="7"/>
        <v>11664</v>
      </c>
      <c r="F228" s="5">
        <f>45^2</f>
        <v>2025</v>
      </c>
      <c r="T228" s="41" t="s">
        <v>153</v>
      </c>
      <c r="U228" s="41">
        <f>180747-185820</f>
        <v>-5073</v>
      </c>
    </row>
    <row r="229" spans="1:21" x14ac:dyDescent="0.25">
      <c r="B229" s="5">
        <v>107</v>
      </c>
      <c r="C229" s="5">
        <v>48</v>
      </c>
      <c r="D229" s="5">
        <f>48*107</f>
        <v>5136</v>
      </c>
      <c r="E229" s="5">
        <f t="shared" si="7"/>
        <v>11449</v>
      </c>
      <c r="F229" s="5">
        <f>48^2</f>
        <v>2304</v>
      </c>
      <c r="T229" s="41" t="s">
        <v>154</v>
      </c>
      <c r="U229" s="41">
        <v>95363</v>
      </c>
    </row>
    <row r="230" spans="1:21" x14ac:dyDescent="0.25">
      <c r="A230" s="19" t="s">
        <v>22</v>
      </c>
      <c r="B230" s="19">
        <f>SUM(B223:B229)</f>
        <v>815</v>
      </c>
      <c r="C230" s="19">
        <f>SUM(C223:C229)</f>
        <v>228</v>
      </c>
      <c r="D230" s="19">
        <f>SUM(D223:D229)</f>
        <v>25821</v>
      </c>
      <c r="E230" s="19">
        <f>SUM(E223:E229)</f>
        <v>95363</v>
      </c>
      <c r="F230" s="19">
        <f>SUM(F223:F229)</f>
        <v>8554</v>
      </c>
      <c r="T230" s="41" t="s">
        <v>155</v>
      </c>
      <c r="U230" s="41">
        <f>7*U229</f>
        <v>667541</v>
      </c>
    </row>
    <row r="231" spans="1:21" x14ac:dyDescent="0.25">
      <c r="A231" s="19"/>
      <c r="B231" s="19">
        <f>B230^2</f>
        <v>664225</v>
      </c>
      <c r="C231" s="19">
        <f>C230^2</f>
        <v>51984</v>
      </c>
      <c r="D231" s="19"/>
      <c r="E231" s="19"/>
      <c r="F231" s="19"/>
      <c r="T231" s="41" t="s">
        <v>156</v>
      </c>
      <c r="U231" s="41">
        <f>B231</f>
        <v>664225</v>
      </c>
    </row>
    <row r="232" spans="1:21" x14ac:dyDescent="0.25">
      <c r="T232" s="41" t="s">
        <v>157</v>
      </c>
      <c r="U232" s="41">
        <f>U230-U231</f>
        <v>3316</v>
      </c>
    </row>
    <row r="233" spans="1:21" x14ac:dyDescent="0.25">
      <c r="F233" s="43"/>
      <c r="G233" s="43"/>
      <c r="H233" s="43"/>
      <c r="T233" s="41" t="s">
        <v>158</v>
      </c>
      <c r="U233" s="41">
        <v>8554</v>
      </c>
    </row>
    <row r="234" spans="1:21" x14ac:dyDescent="0.25">
      <c r="B234" s="33" t="s">
        <v>150</v>
      </c>
      <c r="C234" s="33" t="s">
        <v>151</v>
      </c>
      <c r="D234" s="35" t="s">
        <v>147</v>
      </c>
      <c r="E234" s="35" t="s">
        <v>148</v>
      </c>
      <c r="F234" s="33" t="s">
        <v>149</v>
      </c>
      <c r="G234" s="33" t="s">
        <v>164</v>
      </c>
      <c r="H234" s="33" t="s">
        <v>171</v>
      </c>
      <c r="I234" s="33" t="s">
        <v>166</v>
      </c>
      <c r="T234" s="41" t="s">
        <v>159</v>
      </c>
      <c r="U234" s="41">
        <f>7*U233</f>
        <v>59878</v>
      </c>
    </row>
    <row r="235" spans="1:21" x14ac:dyDescent="0.25">
      <c r="B235" s="5">
        <v>130</v>
      </c>
      <c r="C235" s="5">
        <v>10</v>
      </c>
      <c r="D235" s="5">
        <f>B235-B243</f>
        <v>13.571428571428569</v>
      </c>
      <c r="E235" s="5">
        <f>C235-C243</f>
        <v>-22.571428571428569</v>
      </c>
      <c r="F235" s="5">
        <f t="shared" ref="F235:F241" si="8">D235^2</f>
        <v>184.18367346938771</v>
      </c>
      <c r="G235" s="5">
        <f>D235*E235</f>
        <v>-306.32653061224482</v>
      </c>
      <c r="H235" s="5">
        <f>O236+(O235*B235)</f>
        <v>11.00927475936092</v>
      </c>
      <c r="I235" s="5">
        <f>(C235-H235)^2</f>
        <v>1.0186355398830438</v>
      </c>
      <c r="M235" s="21" t="s">
        <v>167</v>
      </c>
      <c r="N235" s="21" t="s">
        <v>168</v>
      </c>
      <c r="O235" s="21">
        <f>G242/F242</f>
        <v>-1.5887902808891954</v>
      </c>
      <c r="T235" s="41" t="s">
        <v>160</v>
      </c>
      <c r="U235" s="41">
        <f>C231</f>
        <v>51984</v>
      </c>
    </row>
    <row r="236" spans="1:21" x14ac:dyDescent="0.25">
      <c r="B236" s="5">
        <v>125</v>
      </c>
      <c r="C236" s="5">
        <v>20</v>
      </c>
      <c r="D236" s="5">
        <f>B236-B243</f>
        <v>8.5714285714285694</v>
      </c>
      <c r="E236" s="5">
        <f>C236-C244</f>
        <v>20</v>
      </c>
      <c r="F236" s="5">
        <f t="shared" si="8"/>
        <v>73.469387755102005</v>
      </c>
      <c r="G236" s="5">
        <f>E236*D236</f>
        <v>171.42857142857139</v>
      </c>
      <c r="H236" s="5">
        <f>O236+(O235*B236)</f>
        <v>18.953226163806903</v>
      </c>
      <c r="I236" s="5">
        <f>(C236-H236)^2</f>
        <v>1.0957354641384125</v>
      </c>
      <c r="M236" s="21" t="s">
        <v>169</v>
      </c>
      <c r="N236" s="21" t="s">
        <v>170</v>
      </c>
      <c r="O236" s="21">
        <f>C243-O235*B243</f>
        <v>217.55201127495633</v>
      </c>
      <c r="T236" s="41" t="s">
        <v>161</v>
      </c>
      <c r="U236" s="41">
        <f>U234-U235</f>
        <v>7894</v>
      </c>
    </row>
    <row r="237" spans="1:21" x14ac:dyDescent="0.25">
      <c r="B237" s="5">
        <v>120</v>
      </c>
      <c r="C237" s="5">
        <v>30</v>
      </c>
      <c r="D237" s="5">
        <f>B237-B243</f>
        <v>3.5714285714285694</v>
      </c>
      <c r="E237" s="5">
        <f>C237-C243</f>
        <v>-2.5714285714285694</v>
      </c>
      <c r="F237" s="5">
        <f t="shared" si="8"/>
        <v>12.755102040816311</v>
      </c>
      <c r="G237" s="5">
        <f>E237*D237</f>
        <v>-9.1836734693877418</v>
      </c>
      <c r="H237" s="5">
        <f>O236+(O235*B237)</f>
        <v>26.897177568252886</v>
      </c>
      <c r="I237" s="5">
        <f>(C237-H237)^2</f>
        <v>9.6275070429530754</v>
      </c>
      <c r="T237" s="41" t="s">
        <v>162</v>
      </c>
      <c r="U237" s="41">
        <f>SQRT(U232*U236)</f>
        <v>5116.2978803036867</v>
      </c>
    </row>
    <row r="238" spans="1:21" x14ac:dyDescent="0.25">
      <c r="B238" s="5">
        <v>115</v>
      </c>
      <c r="C238" s="5">
        <v>35</v>
      </c>
      <c r="D238" s="5">
        <f>B238-B243</f>
        <v>-1.4285714285714306</v>
      </c>
      <c r="E238" s="5">
        <f>C238-C243</f>
        <v>2.4285714285714306</v>
      </c>
      <c r="F238" s="5">
        <f t="shared" si="8"/>
        <v>2.0408163265306181</v>
      </c>
      <c r="G238" s="5">
        <f>D238*E238</f>
        <v>-3.4693877551020487</v>
      </c>
      <c r="H238" s="5">
        <f>O236+(O235*B238)</f>
        <v>34.841128972698868</v>
      </c>
      <c r="I238" s="5">
        <f>(C238-H238)^2</f>
        <v>2.5240003315716891E-2</v>
      </c>
      <c r="T238" s="41" t="s">
        <v>102</v>
      </c>
      <c r="U238" s="41">
        <f>U228/U237</f>
        <v>-0.99153726360023497</v>
      </c>
    </row>
    <row r="239" spans="1:21" x14ac:dyDescent="0.25">
      <c r="B239" s="5">
        <v>110</v>
      </c>
      <c r="C239" s="5">
        <v>40</v>
      </c>
      <c r="D239" s="5">
        <f>B239-B243</f>
        <v>-6.4285714285714306</v>
      </c>
      <c r="E239" s="5">
        <f>C239-C243</f>
        <v>7.4285714285714306</v>
      </c>
      <c r="F239" s="5">
        <f t="shared" si="8"/>
        <v>41.326530612244923</v>
      </c>
      <c r="G239" s="5">
        <f>E239*D239</f>
        <v>-47.755102040816354</v>
      </c>
      <c r="H239" s="5">
        <f>O236+(O235*B239)</f>
        <v>42.785080377144823</v>
      </c>
      <c r="I239" s="5">
        <f>(40-H239)^2</f>
        <v>7.756672707157148</v>
      </c>
    </row>
    <row r="240" spans="1:21" x14ac:dyDescent="0.25">
      <c r="B240" s="5">
        <v>108</v>
      </c>
      <c r="C240" s="5">
        <v>45</v>
      </c>
      <c r="D240" s="5">
        <f>B240-B243</f>
        <v>-8.4285714285714306</v>
      </c>
      <c r="E240" s="5">
        <f>C240-C243</f>
        <v>12.428571428571431</v>
      </c>
      <c r="F240" s="5">
        <f t="shared" si="8"/>
        <v>71.040816326530646</v>
      </c>
      <c r="G240" s="5">
        <f>E240*D240</f>
        <v>-104.75510204081637</v>
      </c>
      <c r="H240" s="5">
        <f>O236+(O235*B240)</f>
        <v>45.962660938923221</v>
      </c>
      <c r="I240" s="5">
        <f>(45-H240)^2</f>
        <v>0.92671608332853828</v>
      </c>
    </row>
    <row r="241" spans="1:21" x14ac:dyDescent="0.25">
      <c r="B241" s="5">
        <v>107</v>
      </c>
      <c r="C241" s="5">
        <v>48</v>
      </c>
      <c r="D241" s="5">
        <f>B241-B243</f>
        <v>-9.4285714285714306</v>
      </c>
      <c r="E241" s="5">
        <f>C241-C244</f>
        <v>48</v>
      </c>
      <c r="F241" s="5">
        <f t="shared" si="8"/>
        <v>88.897959183673507</v>
      </c>
      <c r="G241" s="5">
        <f>D241*E241</f>
        <v>-452.57142857142867</v>
      </c>
      <c r="H241" s="5">
        <f>O236+(O235*B241)</f>
        <v>47.551451219812435</v>
      </c>
      <c r="I241" s="5">
        <f>(48-H241)^2</f>
        <v>0.20119600820775246</v>
      </c>
    </row>
    <row r="242" spans="1:21" x14ac:dyDescent="0.25">
      <c r="A242" s="21" t="s">
        <v>146</v>
      </c>
      <c r="B242" s="21">
        <f>SUM(B235:B241)</f>
        <v>815</v>
      </c>
      <c r="C242" s="21">
        <f>SUM(C235:C241)</f>
        <v>228</v>
      </c>
      <c r="D242" s="21"/>
      <c r="E242" s="21"/>
      <c r="F242" s="21">
        <f>SUM(F235:F241)</f>
        <v>473.71428571428572</v>
      </c>
      <c r="G242" s="21">
        <f>SUM(G235:G241)</f>
        <v>-752.63265306122457</v>
      </c>
      <c r="H242" s="21"/>
      <c r="I242" s="21">
        <f>SUM(I235:I241)</f>
        <v>20.651702848983689</v>
      </c>
    </row>
    <row r="243" spans="1:21" x14ac:dyDescent="0.25">
      <c r="A243" s="21" t="s">
        <v>82</v>
      </c>
      <c r="B243" s="21">
        <f>B242/7</f>
        <v>116.42857142857143</v>
      </c>
      <c r="C243" s="21">
        <f>C242/7</f>
        <v>32.571428571428569</v>
      </c>
      <c r="D243" s="21"/>
      <c r="E243" s="21"/>
      <c r="F243" s="21"/>
      <c r="G243" s="21"/>
      <c r="H243" s="21"/>
      <c r="I243" s="21"/>
    </row>
    <row r="245" spans="1:21" x14ac:dyDescent="0.25">
      <c r="B245" s="21">
        <v>110</v>
      </c>
      <c r="C245" s="21">
        <f>O236+(O235*110)</f>
        <v>42.785080377144823</v>
      </c>
    </row>
    <row r="250" spans="1:21" x14ac:dyDescent="0.25">
      <c r="B250" s="41" t="s">
        <v>173</v>
      </c>
      <c r="C250" s="41" t="s">
        <v>172</v>
      </c>
      <c r="D250" s="41" t="s">
        <v>174</v>
      </c>
      <c r="E250" s="41" t="s">
        <v>175</v>
      </c>
      <c r="F250" s="41" t="s">
        <v>176</v>
      </c>
      <c r="T250" s="41" t="s">
        <v>89</v>
      </c>
      <c r="U250" s="21">
        <v>5</v>
      </c>
    </row>
    <row r="251" spans="1:21" x14ac:dyDescent="0.25">
      <c r="B251" s="33">
        <v>5</v>
      </c>
      <c r="C251" s="33">
        <v>8</v>
      </c>
      <c r="D251" s="33">
        <v>40</v>
      </c>
      <c r="E251" s="33">
        <f>5^2</f>
        <v>25</v>
      </c>
      <c r="F251" s="33">
        <v>64</v>
      </c>
      <c r="T251" s="41" t="s">
        <v>73</v>
      </c>
      <c r="U251" s="21">
        <v>15</v>
      </c>
    </row>
    <row r="252" spans="1:21" x14ac:dyDescent="0.25">
      <c r="B252" s="33">
        <v>4</v>
      </c>
      <c r="C252" s="33">
        <v>20</v>
      </c>
      <c r="D252" s="33">
        <v>80</v>
      </c>
      <c r="E252" s="33">
        <f>4^2</f>
        <v>16</v>
      </c>
      <c r="F252" s="33">
        <f>C252^2</f>
        <v>400</v>
      </c>
      <c r="T252" s="41" t="s">
        <v>91</v>
      </c>
      <c r="U252" s="21">
        <v>216</v>
      </c>
    </row>
    <row r="253" spans="1:21" x14ac:dyDescent="0.25">
      <c r="B253" s="33">
        <v>3</v>
      </c>
      <c r="C253" s="33">
        <v>38</v>
      </c>
      <c r="D253" s="33">
        <f>3*38</f>
        <v>114</v>
      </c>
      <c r="E253" s="33">
        <v>9</v>
      </c>
      <c r="F253" s="33">
        <f>C253^2</f>
        <v>1444</v>
      </c>
      <c r="T253" s="41" t="s">
        <v>90</v>
      </c>
      <c r="U253" s="21">
        <v>444</v>
      </c>
    </row>
    <row r="254" spans="1:21" x14ac:dyDescent="0.25">
      <c r="B254" s="33">
        <v>2</v>
      </c>
      <c r="C254" s="33">
        <v>60</v>
      </c>
      <c r="D254" s="33">
        <v>120</v>
      </c>
      <c r="E254" s="33">
        <v>4</v>
      </c>
      <c r="F254" s="33">
        <f>C254^2</f>
        <v>3600</v>
      </c>
      <c r="T254" s="41" t="s">
        <v>98</v>
      </c>
      <c r="U254" s="21">
        <f>U250*U253</f>
        <v>2220</v>
      </c>
    </row>
    <row r="255" spans="1:21" x14ac:dyDescent="0.25">
      <c r="B255" s="33">
        <v>1</v>
      </c>
      <c r="C255" s="33">
        <v>90</v>
      </c>
      <c r="D255" s="33">
        <v>90</v>
      </c>
      <c r="E255" s="33">
        <v>1</v>
      </c>
      <c r="F255" s="33">
        <f>C255^2</f>
        <v>8100</v>
      </c>
      <c r="T255" s="41" t="s">
        <v>152</v>
      </c>
      <c r="U255" s="21">
        <f>U251*U252</f>
        <v>3240</v>
      </c>
    </row>
    <row r="256" spans="1:21" x14ac:dyDescent="0.25">
      <c r="A256" s="6" t="s">
        <v>51</v>
      </c>
      <c r="B256" s="6">
        <v>15</v>
      </c>
      <c r="C256" s="6">
        <f>SUM(C251:C255)</f>
        <v>216</v>
      </c>
      <c r="D256" s="6">
        <f>SUM(D251:D255)</f>
        <v>444</v>
      </c>
      <c r="E256" s="6">
        <f>SUM(E251:E255)</f>
        <v>55</v>
      </c>
      <c r="F256" s="6">
        <f>SUM(F251:F255)</f>
        <v>13608</v>
      </c>
      <c r="T256" s="41" t="s">
        <v>153</v>
      </c>
      <c r="U256" s="21">
        <f>U254-U255</f>
        <v>-1020</v>
      </c>
    </row>
    <row r="257" spans="1:21" x14ac:dyDescent="0.25">
      <c r="A257" s="33"/>
      <c r="B257" s="33">
        <f>B256^2</f>
        <v>225</v>
      </c>
      <c r="C257" s="33">
        <f>C256^2</f>
        <v>46656</v>
      </c>
      <c r="D257" s="33"/>
      <c r="E257" s="33"/>
      <c r="F257" s="33"/>
      <c r="T257" s="41" t="s">
        <v>154</v>
      </c>
      <c r="U257" s="21">
        <v>55</v>
      </c>
    </row>
    <row r="258" spans="1:21" x14ac:dyDescent="0.25">
      <c r="T258" s="41" t="s">
        <v>155</v>
      </c>
      <c r="U258" s="21">
        <f>55*5</f>
        <v>275</v>
      </c>
    </row>
    <row r="259" spans="1:21" x14ac:dyDescent="0.25">
      <c r="B259" s="6" t="s">
        <v>173</v>
      </c>
      <c r="C259" s="6" t="s">
        <v>172</v>
      </c>
      <c r="D259" s="6" t="s">
        <v>177</v>
      </c>
      <c r="E259" s="6" t="s">
        <v>178</v>
      </c>
      <c r="F259" s="6" t="s">
        <v>149</v>
      </c>
      <c r="G259" s="6" t="s">
        <v>164</v>
      </c>
      <c r="H259" s="6" t="s">
        <v>165</v>
      </c>
      <c r="I259" s="6" t="s">
        <v>179</v>
      </c>
      <c r="T259" s="41" t="s">
        <v>156</v>
      </c>
      <c r="U259" s="21">
        <v>225</v>
      </c>
    </row>
    <row r="260" spans="1:21" x14ac:dyDescent="0.25">
      <c r="B260" s="27">
        <v>5</v>
      </c>
      <c r="C260" s="27">
        <v>8</v>
      </c>
      <c r="D260" s="27">
        <f>B260-B266</f>
        <v>2</v>
      </c>
      <c r="E260" s="27">
        <f>8-C266</f>
        <v>-35.200000000000003</v>
      </c>
      <c r="F260" s="27">
        <v>4</v>
      </c>
      <c r="G260" s="27">
        <f>E260*D260</f>
        <v>-70.400000000000006</v>
      </c>
      <c r="H260" s="27">
        <f>O261+(O260*B260)</f>
        <v>2.4000000000000057</v>
      </c>
      <c r="I260" s="27">
        <f>(C260-H260)^2</f>
        <v>31.359999999999935</v>
      </c>
      <c r="M260" s="33" t="s">
        <v>167</v>
      </c>
      <c r="N260" s="33" t="s">
        <v>168</v>
      </c>
      <c r="O260" s="33">
        <f>G265/F265</f>
        <v>-20.399999999999999</v>
      </c>
      <c r="T260" s="41" t="s">
        <v>157</v>
      </c>
      <c r="U260" s="21">
        <f>U258-U259</f>
        <v>50</v>
      </c>
    </row>
    <row r="261" spans="1:21" x14ac:dyDescent="0.25">
      <c r="B261" s="27">
        <v>4</v>
      </c>
      <c r="C261" s="27">
        <v>20</v>
      </c>
      <c r="D261" s="44">
        <f>B261-B266</f>
        <v>1</v>
      </c>
      <c r="E261" s="27">
        <f>C261-C266</f>
        <v>-23.200000000000003</v>
      </c>
      <c r="F261" s="27">
        <v>1</v>
      </c>
      <c r="G261" s="27">
        <v>-23.2</v>
      </c>
      <c r="H261" s="27">
        <f>O261+(O260*4)</f>
        <v>22.800000000000011</v>
      </c>
      <c r="I261" s="27">
        <f>(C261-H261)^2</f>
        <v>7.8400000000000638</v>
      </c>
      <c r="M261" s="33" t="s">
        <v>169</v>
      </c>
      <c r="N261" s="33" t="s">
        <v>170</v>
      </c>
      <c r="O261" s="33">
        <f>C266-(O260*B266)</f>
        <v>104.4</v>
      </c>
      <c r="T261" s="41" t="s">
        <v>158</v>
      </c>
      <c r="U261" s="21">
        <v>13608</v>
      </c>
    </row>
    <row r="262" spans="1:21" x14ac:dyDescent="0.25">
      <c r="B262" s="27">
        <v>3</v>
      </c>
      <c r="C262" s="27">
        <v>38</v>
      </c>
      <c r="D262" s="44">
        <v>0</v>
      </c>
      <c r="E262" s="27">
        <f>C262-C266</f>
        <v>-5.2000000000000028</v>
      </c>
      <c r="F262" s="27">
        <v>0</v>
      </c>
      <c r="G262" s="27">
        <v>0</v>
      </c>
      <c r="H262" s="27">
        <f>O261+(O260*3)</f>
        <v>43.20000000000001</v>
      </c>
      <c r="I262" s="27">
        <f>(C262-H262)^2</f>
        <v>27.040000000000102</v>
      </c>
      <c r="T262" s="41" t="s">
        <v>159</v>
      </c>
      <c r="U262" s="21">
        <f>5*U261</f>
        <v>68040</v>
      </c>
    </row>
    <row r="263" spans="1:21" x14ac:dyDescent="0.25">
      <c r="B263" s="27">
        <v>2</v>
      </c>
      <c r="C263" s="27">
        <v>60</v>
      </c>
      <c r="D263" s="27">
        <v>-1</v>
      </c>
      <c r="E263" s="27">
        <f>C263-C266</f>
        <v>16.799999999999997</v>
      </c>
      <c r="F263" s="27">
        <v>1</v>
      </c>
      <c r="G263" s="27">
        <v>-16.8</v>
      </c>
      <c r="H263" s="27">
        <f>O261+(O260*2)</f>
        <v>63.600000000000009</v>
      </c>
      <c r="I263" s="27">
        <f>(C263-H263)^2</f>
        <v>12.960000000000061</v>
      </c>
      <c r="T263" s="41" t="s">
        <v>160</v>
      </c>
      <c r="U263" s="21">
        <v>46656</v>
      </c>
    </row>
    <row r="264" spans="1:21" x14ac:dyDescent="0.25">
      <c r="B264" s="27">
        <v>1</v>
      </c>
      <c r="C264" s="27">
        <v>90</v>
      </c>
      <c r="D264" s="27">
        <v>-2</v>
      </c>
      <c r="E264" s="27">
        <f>C264-C266</f>
        <v>46.8</v>
      </c>
      <c r="F264" s="27">
        <v>4</v>
      </c>
      <c r="G264" s="27">
        <f>D264*E264</f>
        <v>-93.6</v>
      </c>
      <c r="H264" s="27">
        <f>O261+(O260*1)</f>
        <v>84</v>
      </c>
      <c r="I264" s="27">
        <f>(C264-H264)^2</f>
        <v>36</v>
      </c>
      <c r="T264" s="41" t="s">
        <v>161</v>
      </c>
      <c r="U264" s="21">
        <f>U262-U263</f>
        <v>21384</v>
      </c>
    </row>
    <row r="265" spans="1:21" x14ac:dyDescent="0.25">
      <c r="A265" s="6" t="s">
        <v>146</v>
      </c>
      <c r="B265" s="6">
        <v>15</v>
      </c>
      <c r="C265" s="6">
        <f>SUM(C260:C264)</f>
        <v>216</v>
      </c>
      <c r="D265" s="6"/>
      <c r="E265" s="6"/>
      <c r="F265" s="6">
        <v>10</v>
      </c>
      <c r="G265" s="6">
        <f>SUM(G260:G264)</f>
        <v>-204</v>
      </c>
      <c r="H265" s="6">
        <f>SUM(H260:H264)</f>
        <v>216.00000000000006</v>
      </c>
      <c r="I265" s="6">
        <f>SUM(I260:I264)</f>
        <v>115.20000000000017</v>
      </c>
      <c r="T265" s="41" t="s">
        <v>162</v>
      </c>
      <c r="U265" s="21">
        <f>SQRT(U260*U264)</f>
        <v>1034.0212763768452</v>
      </c>
    </row>
    <row r="266" spans="1:21" x14ac:dyDescent="0.25">
      <c r="A266" s="27" t="s">
        <v>82</v>
      </c>
      <c r="B266" s="27">
        <f>15/5</f>
        <v>3</v>
      </c>
      <c r="C266" s="27">
        <f>216/5</f>
        <v>43.2</v>
      </c>
      <c r="T266" s="41" t="s">
        <v>102</v>
      </c>
      <c r="U266" s="21">
        <f>U256/U265</f>
        <v>-0.98644005041562099</v>
      </c>
    </row>
    <row r="268" spans="1:21" x14ac:dyDescent="0.25">
      <c r="B268" s="27">
        <v>6</v>
      </c>
      <c r="C268" s="27">
        <f>O261+(O260*6)</f>
        <v>-17.999999999999986</v>
      </c>
    </row>
    <row r="272" spans="1:21" ht="21" x14ac:dyDescent="0.35">
      <c r="A272" s="45" t="s">
        <v>180</v>
      </c>
    </row>
    <row r="273" spans="1:11" x14ac:dyDescent="0.25">
      <c r="A273">
        <v>1</v>
      </c>
    </row>
    <row r="274" spans="1:11" x14ac:dyDescent="0.25">
      <c r="B274" s="34" t="s">
        <v>103</v>
      </c>
      <c r="C274" t="s">
        <v>104</v>
      </c>
    </row>
    <row r="275" spans="1:11" x14ac:dyDescent="0.25">
      <c r="B275" s="46" t="s">
        <v>181</v>
      </c>
      <c r="C275" s="46" t="s">
        <v>182</v>
      </c>
      <c r="D275" s="46" t="s">
        <v>183</v>
      </c>
      <c r="E275" s="46" t="s">
        <v>184</v>
      </c>
      <c r="F275" s="46" t="s">
        <v>185</v>
      </c>
      <c r="J275" s="25" t="s">
        <v>186</v>
      </c>
      <c r="K275" s="25">
        <v>9</v>
      </c>
    </row>
    <row r="276" spans="1:11" x14ac:dyDescent="0.25">
      <c r="B276" s="46">
        <v>120</v>
      </c>
      <c r="C276" s="46">
        <v>115</v>
      </c>
      <c r="D276" s="46">
        <f>B276-C276</f>
        <v>5</v>
      </c>
      <c r="E276" s="46">
        <f>D276^2</f>
        <v>25</v>
      </c>
      <c r="F276" s="46">
        <f>E276/C276</f>
        <v>0.21739130434782608</v>
      </c>
      <c r="J276" s="25" t="s">
        <v>187</v>
      </c>
      <c r="K276" s="25">
        <v>0.05</v>
      </c>
    </row>
    <row r="277" spans="1:11" x14ac:dyDescent="0.25">
      <c r="B277" s="46">
        <v>124</v>
      </c>
      <c r="C277" s="46">
        <v>118</v>
      </c>
      <c r="D277" s="46">
        <f t="shared" ref="D277:D285" si="9">B277-C277</f>
        <v>6</v>
      </c>
      <c r="E277" s="46">
        <f t="shared" ref="E277:E285" si="10">D277^2</f>
        <v>36</v>
      </c>
      <c r="F277" s="46">
        <f t="shared" ref="F277:F285" si="11">E277/C277</f>
        <v>0.30508474576271188</v>
      </c>
      <c r="J277" s="25" t="s">
        <v>188</v>
      </c>
      <c r="K277" s="25">
        <f>CHIINV(0.05,9)</f>
        <v>16.918977604620451</v>
      </c>
    </row>
    <row r="278" spans="1:11" x14ac:dyDescent="0.25">
      <c r="B278" s="46">
        <v>94</v>
      </c>
      <c r="C278" s="46">
        <v>90</v>
      </c>
      <c r="D278" s="46">
        <f t="shared" si="9"/>
        <v>4</v>
      </c>
      <c r="E278" s="46">
        <f t="shared" si="10"/>
        <v>16</v>
      </c>
      <c r="F278" s="46">
        <f t="shared" si="11"/>
        <v>0.17777777777777778</v>
      </c>
    </row>
    <row r="279" spans="1:11" x14ac:dyDescent="0.25">
      <c r="B279" s="46">
        <v>122</v>
      </c>
      <c r="C279" s="46">
        <v>99</v>
      </c>
      <c r="D279" s="46">
        <f t="shared" si="9"/>
        <v>23</v>
      </c>
      <c r="E279" s="46">
        <f t="shared" si="10"/>
        <v>529</v>
      </c>
      <c r="F279" s="46">
        <f t="shared" si="11"/>
        <v>5.3434343434343434</v>
      </c>
    </row>
    <row r="280" spans="1:11" x14ac:dyDescent="0.25">
      <c r="B280" s="46">
        <v>82</v>
      </c>
      <c r="C280" s="46">
        <v>108</v>
      </c>
      <c r="D280" s="46">
        <f t="shared" si="9"/>
        <v>-26</v>
      </c>
      <c r="E280" s="46">
        <f t="shared" si="10"/>
        <v>676</v>
      </c>
      <c r="F280" s="46">
        <f t="shared" si="11"/>
        <v>6.2592592592592595</v>
      </c>
    </row>
    <row r="281" spans="1:11" x14ac:dyDescent="0.25">
      <c r="B281" s="46">
        <v>110</v>
      </c>
      <c r="C281" s="46">
        <v>76</v>
      </c>
      <c r="D281" s="46">
        <f t="shared" si="9"/>
        <v>34</v>
      </c>
      <c r="E281" s="46">
        <f t="shared" si="10"/>
        <v>1156</v>
      </c>
      <c r="F281" s="46">
        <f t="shared" si="11"/>
        <v>15.210526315789474</v>
      </c>
    </row>
    <row r="282" spans="1:11" x14ac:dyDescent="0.25">
      <c r="B282" s="46">
        <v>108</v>
      </c>
      <c r="C282" s="46">
        <v>99</v>
      </c>
      <c r="D282" s="46">
        <f t="shared" si="9"/>
        <v>9</v>
      </c>
      <c r="E282" s="46">
        <f t="shared" si="10"/>
        <v>81</v>
      </c>
      <c r="F282" s="46">
        <f t="shared" si="11"/>
        <v>0.81818181818181823</v>
      </c>
    </row>
    <row r="283" spans="1:11" x14ac:dyDescent="0.25">
      <c r="B283" s="46">
        <v>88</v>
      </c>
      <c r="C283" s="46">
        <v>94</v>
      </c>
      <c r="D283" s="46">
        <f t="shared" si="9"/>
        <v>-6</v>
      </c>
      <c r="E283" s="46">
        <f t="shared" si="10"/>
        <v>36</v>
      </c>
      <c r="F283" s="46">
        <f t="shared" si="11"/>
        <v>0.38297872340425532</v>
      </c>
    </row>
    <row r="284" spans="1:11" x14ac:dyDescent="0.25">
      <c r="B284" s="46">
        <v>98</v>
      </c>
      <c r="C284" s="46">
        <v>86</v>
      </c>
      <c r="D284" s="46">
        <f t="shared" si="9"/>
        <v>12</v>
      </c>
      <c r="E284" s="46">
        <f t="shared" si="10"/>
        <v>144</v>
      </c>
      <c r="F284" s="46">
        <f t="shared" si="11"/>
        <v>1.6744186046511629</v>
      </c>
    </row>
    <row r="285" spans="1:11" x14ac:dyDescent="0.25">
      <c r="B285" s="46">
        <v>106</v>
      </c>
      <c r="C285" s="46">
        <v>84</v>
      </c>
      <c r="D285" s="46">
        <f t="shared" si="9"/>
        <v>22</v>
      </c>
      <c r="E285" s="46">
        <f t="shared" si="10"/>
        <v>484</v>
      </c>
      <c r="F285" s="46">
        <f t="shared" si="11"/>
        <v>5.7619047619047619</v>
      </c>
    </row>
    <row r="286" spans="1:11" x14ac:dyDescent="0.25">
      <c r="A286" s="3" t="s">
        <v>11</v>
      </c>
      <c r="B286" s="3"/>
      <c r="C286" s="3"/>
      <c r="D286" s="3"/>
      <c r="E286" s="3"/>
      <c r="F286" s="3">
        <f>SUM(F276:F285)</f>
        <v>36.150957654513391</v>
      </c>
      <c r="H286" s="25" t="s">
        <v>195</v>
      </c>
    </row>
    <row r="288" spans="1:11" x14ac:dyDescent="0.25">
      <c r="A288">
        <v>2</v>
      </c>
    </row>
    <row r="289" spans="1:14" x14ac:dyDescent="0.25">
      <c r="B289" s="25" t="s">
        <v>189</v>
      </c>
      <c r="C289" s="47" t="s">
        <v>190</v>
      </c>
      <c r="D289" s="47" t="s">
        <v>191</v>
      </c>
      <c r="E289" s="47" t="s">
        <v>192</v>
      </c>
      <c r="F289" s="47" t="s">
        <v>193</v>
      </c>
      <c r="G289" s="47" t="s">
        <v>194</v>
      </c>
      <c r="J289" s="25" t="s">
        <v>186</v>
      </c>
      <c r="K289" s="25">
        <v>5</v>
      </c>
    </row>
    <row r="290" spans="1:14" x14ac:dyDescent="0.25">
      <c r="B290">
        <v>1</v>
      </c>
      <c r="C290">
        <v>10</v>
      </c>
      <c r="D290">
        <v>20</v>
      </c>
      <c r="E290">
        <f>C290-D291</f>
        <v>-10</v>
      </c>
      <c r="F290">
        <f>E290^2</f>
        <v>100</v>
      </c>
      <c r="G290">
        <f>F290/D290</f>
        <v>5</v>
      </c>
      <c r="J290" s="25" t="s">
        <v>187</v>
      </c>
      <c r="K290" s="25">
        <v>0.05</v>
      </c>
    </row>
    <row r="291" spans="1:14" x14ac:dyDescent="0.25">
      <c r="B291">
        <v>2</v>
      </c>
      <c r="C291">
        <v>25</v>
      </c>
      <c r="D291">
        <v>20</v>
      </c>
      <c r="E291">
        <f t="shared" ref="E291:E295" si="12">C291-D292</f>
        <v>5</v>
      </c>
      <c r="F291">
        <f t="shared" ref="F291:F295" si="13">E291^2</f>
        <v>25</v>
      </c>
      <c r="G291">
        <f t="shared" ref="G291:G295" si="14">F291/D291</f>
        <v>1.25</v>
      </c>
      <c r="J291" s="25" t="s">
        <v>188</v>
      </c>
      <c r="K291" s="25">
        <f>CHIINV(0.05,5)</f>
        <v>11.070497693516353</v>
      </c>
    </row>
    <row r="292" spans="1:14" x14ac:dyDescent="0.25">
      <c r="B292">
        <v>3</v>
      </c>
      <c r="C292">
        <v>30</v>
      </c>
      <c r="D292">
        <v>20</v>
      </c>
      <c r="E292">
        <f t="shared" si="12"/>
        <v>10</v>
      </c>
      <c r="F292">
        <f t="shared" si="13"/>
        <v>100</v>
      </c>
      <c r="G292">
        <f t="shared" si="14"/>
        <v>5</v>
      </c>
    </row>
    <row r="293" spans="1:14" x14ac:dyDescent="0.25">
      <c r="B293">
        <v>4</v>
      </c>
      <c r="C293">
        <v>20</v>
      </c>
      <c r="D293">
        <v>20</v>
      </c>
      <c r="E293">
        <f t="shared" si="12"/>
        <v>0</v>
      </c>
      <c r="F293">
        <f t="shared" si="13"/>
        <v>0</v>
      </c>
      <c r="G293">
        <f t="shared" si="14"/>
        <v>0</v>
      </c>
    </row>
    <row r="294" spans="1:14" x14ac:dyDescent="0.25">
      <c r="B294">
        <v>5</v>
      </c>
      <c r="C294">
        <v>30</v>
      </c>
      <c r="D294">
        <v>20</v>
      </c>
      <c r="E294">
        <f t="shared" si="12"/>
        <v>10</v>
      </c>
      <c r="F294">
        <f t="shared" si="13"/>
        <v>100</v>
      </c>
      <c r="G294">
        <f t="shared" si="14"/>
        <v>5</v>
      </c>
    </row>
    <row r="295" spans="1:14" x14ac:dyDescent="0.25">
      <c r="B295">
        <v>6</v>
      </c>
      <c r="C295">
        <v>5</v>
      </c>
      <c r="D295">
        <v>20</v>
      </c>
      <c r="E295">
        <f t="shared" si="12"/>
        <v>5</v>
      </c>
      <c r="F295">
        <f t="shared" si="13"/>
        <v>25</v>
      </c>
      <c r="G295">
        <f t="shared" si="14"/>
        <v>1.25</v>
      </c>
    </row>
    <row r="296" spans="1:14" x14ac:dyDescent="0.25">
      <c r="A296" s="25" t="s">
        <v>51</v>
      </c>
      <c r="B296" s="25"/>
      <c r="C296" s="25"/>
      <c r="D296" s="25"/>
      <c r="E296" s="25"/>
      <c r="F296" s="25"/>
      <c r="G296" s="25">
        <f>SUM(G290:G295)</f>
        <v>17.5</v>
      </c>
      <c r="H296" s="23" t="s">
        <v>195</v>
      </c>
    </row>
    <row r="298" spans="1:14" x14ac:dyDescent="0.25">
      <c r="A298">
        <v>3</v>
      </c>
    </row>
    <row r="300" spans="1:14" x14ac:dyDescent="0.25">
      <c r="A300" s="49"/>
      <c r="B300" s="49" t="s">
        <v>199</v>
      </c>
      <c r="C300" s="49" t="s">
        <v>200</v>
      </c>
      <c r="D300" s="49" t="s">
        <v>51</v>
      </c>
    </row>
    <row r="301" spans="1:14" x14ac:dyDescent="0.25">
      <c r="A301" s="49" t="s">
        <v>196</v>
      </c>
      <c r="B301" s="49">
        <v>58</v>
      </c>
      <c r="C301" s="49">
        <v>35</v>
      </c>
      <c r="D301" s="49">
        <f>SUM(B301:C301)</f>
        <v>93</v>
      </c>
    </row>
    <row r="302" spans="1:14" x14ac:dyDescent="0.25">
      <c r="A302" s="49" t="s">
        <v>197</v>
      </c>
      <c r="B302" s="49">
        <v>11</v>
      </c>
      <c r="C302" s="49">
        <v>25</v>
      </c>
      <c r="D302" s="49">
        <f>SUM(B302:C302)</f>
        <v>36</v>
      </c>
    </row>
    <row r="303" spans="1:14" x14ac:dyDescent="0.25">
      <c r="A303" s="49" t="s">
        <v>198</v>
      </c>
      <c r="B303" s="49">
        <v>10</v>
      </c>
      <c r="C303" s="49">
        <v>23</v>
      </c>
      <c r="D303" s="49">
        <f>SUM(B303:C303)</f>
        <v>33</v>
      </c>
      <c r="M303" s="23" t="s">
        <v>202</v>
      </c>
      <c r="N303" s="23" t="s">
        <v>203</v>
      </c>
    </row>
    <row r="304" spans="1:14" x14ac:dyDescent="0.25">
      <c r="A304" s="49" t="s">
        <v>51</v>
      </c>
      <c r="B304" s="49">
        <f>SUM(B301:B303)</f>
        <v>79</v>
      </c>
      <c r="C304" s="49">
        <f>SUM(C301:C303)</f>
        <v>83</v>
      </c>
      <c r="D304" s="49">
        <f>D301+D302+D303</f>
        <v>162</v>
      </c>
      <c r="J304" s="23" t="s">
        <v>201</v>
      </c>
      <c r="K304" s="23">
        <v>2</v>
      </c>
      <c r="M304" s="23">
        <v>58</v>
      </c>
      <c r="N304" s="23">
        <f>(B304*D301)/D304</f>
        <v>45.351851851851855</v>
      </c>
    </row>
    <row r="305" spans="1:16" x14ac:dyDescent="0.25">
      <c r="J305" s="23" t="s">
        <v>187</v>
      </c>
      <c r="K305" s="23">
        <v>0.05</v>
      </c>
      <c r="M305" s="23">
        <v>35</v>
      </c>
      <c r="N305" s="23">
        <f>(C304*D301)/D304</f>
        <v>47.648148148148145</v>
      </c>
    </row>
    <row r="306" spans="1:16" x14ac:dyDescent="0.25">
      <c r="B306" s="47" t="s">
        <v>190</v>
      </c>
      <c r="C306" s="47" t="s">
        <v>191</v>
      </c>
      <c r="D306" s="47" t="s">
        <v>192</v>
      </c>
      <c r="E306" s="47" t="s">
        <v>193</v>
      </c>
      <c r="F306" s="47" t="s">
        <v>194</v>
      </c>
      <c r="J306" s="23" t="s">
        <v>188</v>
      </c>
      <c r="K306" s="23">
        <f>CHIINV(K305,K304)</f>
        <v>5.9914645471079817</v>
      </c>
      <c r="M306" s="23">
        <v>11</v>
      </c>
      <c r="N306" s="23">
        <f>(B304*D302)/D304</f>
        <v>17.555555555555557</v>
      </c>
    </row>
    <row r="307" spans="1:16" x14ac:dyDescent="0.25">
      <c r="B307" s="23">
        <v>58</v>
      </c>
      <c r="C307" s="23">
        <v>45.351849999999999</v>
      </c>
      <c r="D307" s="23">
        <f>B307-C307</f>
        <v>12.648150000000001</v>
      </c>
      <c r="E307" s="23">
        <f>D307^2</f>
        <v>159.97569842250002</v>
      </c>
      <c r="F307" s="23">
        <f>E307/C307</f>
        <v>3.527434898962226</v>
      </c>
      <c r="M307" s="23">
        <v>25</v>
      </c>
      <c r="N307" s="23">
        <f>(C304*D302)/D304</f>
        <v>18.444444444444443</v>
      </c>
    </row>
    <row r="308" spans="1:16" x14ac:dyDescent="0.25">
      <c r="B308" s="23">
        <v>35</v>
      </c>
      <c r="C308" s="23">
        <v>47.648150000000001</v>
      </c>
      <c r="D308" s="23">
        <f t="shared" ref="D308:D312" si="15">B308-C308</f>
        <v>-12.648150000000001</v>
      </c>
      <c r="E308" s="23">
        <f t="shared" ref="E308:E312" si="16">D308^2</f>
        <v>159.97569842250002</v>
      </c>
      <c r="F308" s="23">
        <f t="shared" ref="F308:F312" si="17">E308/C308</f>
        <v>3.3574377687801102</v>
      </c>
      <c r="M308" s="23">
        <v>10</v>
      </c>
      <c r="N308" s="23">
        <f>(B304*D303)/D304</f>
        <v>16.092592592592592</v>
      </c>
    </row>
    <row r="309" spans="1:16" x14ac:dyDescent="0.25">
      <c r="B309" s="23">
        <v>11</v>
      </c>
      <c r="C309" s="23">
        <v>17.55556</v>
      </c>
      <c r="D309" s="23">
        <f t="shared" si="15"/>
        <v>-6.5555599999999998</v>
      </c>
      <c r="E309" s="23">
        <f t="shared" si="16"/>
        <v>42.975366913599998</v>
      </c>
      <c r="F309" s="23">
        <f t="shared" si="17"/>
        <v>2.4479633183789065</v>
      </c>
      <c r="H309" s="33" t="s">
        <v>195</v>
      </c>
      <c r="M309" s="23">
        <v>23</v>
      </c>
      <c r="N309" s="23">
        <f>(C304*D303)/D304</f>
        <v>16.907407407407408</v>
      </c>
    </row>
    <row r="310" spans="1:16" x14ac:dyDescent="0.25">
      <c r="B310" s="23">
        <v>25</v>
      </c>
      <c r="C310" s="23">
        <v>18.44444</v>
      </c>
      <c r="D310" s="23">
        <f t="shared" si="15"/>
        <v>6.5555599999999998</v>
      </c>
      <c r="E310" s="23">
        <f t="shared" si="16"/>
        <v>42.975366913599998</v>
      </c>
      <c r="F310" s="23">
        <f t="shared" si="17"/>
        <v>2.3299903338675501</v>
      </c>
    </row>
    <row r="311" spans="1:16" x14ac:dyDescent="0.25">
      <c r="B311" s="23">
        <v>10</v>
      </c>
      <c r="C311" s="23">
        <v>16.092590000000001</v>
      </c>
      <c r="D311" s="23">
        <f t="shared" si="15"/>
        <v>-6.0925900000000013</v>
      </c>
      <c r="E311" s="23">
        <f t="shared" si="16"/>
        <v>37.119652908100015</v>
      </c>
      <c r="F311" s="23">
        <f t="shared" si="17"/>
        <v>2.3066301265427138</v>
      </c>
    </row>
    <row r="312" spans="1:16" x14ac:dyDescent="0.25">
      <c r="B312" s="23">
        <v>23</v>
      </c>
      <c r="C312" s="23">
        <v>16.907409999999999</v>
      </c>
      <c r="D312" s="23">
        <f t="shared" si="15"/>
        <v>6.0925900000000013</v>
      </c>
      <c r="E312" s="23">
        <f t="shared" si="16"/>
        <v>37.119652908100015</v>
      </c>
      <c r="F312" s="23">
        <f t="shared" si="17"/>
        <v>2.1954665385236423</v>
      </c>
    </row>
    <row r="313" spans="1:16" x14ac:dyDescent="0.25">
      <c r="A313" s="48" t="s">
        <v>22</v>
      </c>
      <c r="B313" s="48"/>
      <c r="C313" s="48"/>
      <c r="D313" s="48"/>
      <c r="E313" s="48"/>
      <c r="F313" s="48">
        <f>SUM(F307:F312)</f>
        <v>16.164922985055149</v>
      </c>
    </row>
    <row r="315" spans="1:16" x14ac:dyDescent="0.25">
      <c r="A315">
        <v>4</v>
      </c>
    </row>
    <row r="316" spans="1:16" x14ac:dyDescent="0.25">
      <c r="A316" s="50"/>
      <c r="B316" s="50" t="s">
        <v>206</v>
      </c>
      <c r="C316" s="50" t="s">
        <v>207</v>
      </c>
      <c r="D316" s="50" t="s">
        <v>208</v>
      </c>
      <c r="E316" s="50" t="s">
        <v>209</v>
      </c>
      <c r="F316" s="50" t="s">
        <v>51</v>
      </c>
    </row>
    <row r="317" spans="1:16" x14ac:dyDescent="0.25">
      <c r="A317" s="50" t="s">
        <v>204</v>
      </c>
      <c r="B317" s="50">
        <v>58</v>
      </c>
      <c r="C317" s="50">
        <v>63</v>
      </c>
      <c r="D317" s="50">
        <v>17</v>
      </c>
      <c r="E317" s="50">
        <v>44</v>
      </c>
      <c r="F317" s="50">
        <f>SUM(B317:E317)</f>
        <v>182</v>
      </c>
      <c r="O317" s="23" t="s">
        <v>202</v>
      </c>
      <c r="P317" s="23" t="s">
        <v>203</v>
      </c>
    </row>
    <row r="318" spans="1:16" x14ac:dyDescent="0.25">
      <c r="A318" s="50" t="s">
        <v>205</v>
      </c>
      <c r="B318" s="50">
        <v>23</v>
      </c>
      <c r="C318" s="50">
        <v>96</v>
      </c>
      <c r="D318" s="50">
        <v>12</v>
      </c>
      <c r="E318" s="50">
        <v>87</v>
      </c>
      <c r="F318" s="50">
        <f>SUM(B318:E318)</f>
        <v>218</v>
      </c>
      <c r="J318" s="23" t="s">
        <v>201</v>
      </c>
      <c r="K318" s="23">
        <f>1*3</f>
        <v>3</v>
      </c>
      <c r="O318" s="50">
        <v>58</v>
      </c>
      <c r="P318" s="50">
        <f>(B319*F317)/F319</f>
        <v>36.854999999999997</v>
      </c>
    </row>
    <row r="319" spans="1:16" x14ac:dyDescent="0.25">
      <c r="A319" s="50" t="s">
        <v>51</v>
      </c>
      <c r="B319" s="50">
        <v>81</v>
      </c>
      <c r="C319" s="50">
        <f>SUM(C317:C318)</f>
        <v>159</v>
      </c>
      <c r="D319" s="50">
        <f>SUM(D317:D318)</f>
        <v>29</v>
      </c>
      <c r="E319" s="50">
        <f>SUM(E317:E318)</f>
        <v>131</v>
      </c>
      <c r="F319" s="50">
        <f>F317+F318</f>
        <v>400</v>
      </c>
      <c r="J319" s="23" t="s">
        <v>187</v>
      </c>
      <c r="K319" s="23">
        <v>0.05</v>
      </c>
      <c r="O319" s="50">
        <v>63</v>
      </c>
      <c r="P319" s="50">
        <f>(C319*F317)/400</f>
        <v>72.344999999999999</v>
      </c>
    </row>
    <row r="320" spans="1:16" x14ac:dyDescent="0.25">
      <c r="J320" s="23" t="s">
        <v>188</v>
      </c>
      <c r="K320" s="23">
        <f>CHIINV(K319,K318)</f>
        <v>7.8147279032511792</v>
      </c>
      <c r="O320" s="50">
        <v>17</v>
      </c>
      <c r="P320" s="50">
        <f>(D319*F317)/400</f>
        <v>13.195</v>
      </c>
    </row>
    <row r="321" spans="1:16" x14ac:dyDescent="0.25">
      <c r="B321" s="47" t="s">
        <v>190</v>
      </c>
      <c r="C321" s="47" t="s">
        <v>191</v>
      </c>
      <c r="D321" s="47" t="s">
        <v>192</v>
      </c>
      <c r="E321" s="47" t="s">
        <v>193</v>
      </c>
      <c r="F321" s="47" t="s">
        <v>194</v>
      </c>
      <c r="O321" s="50">
        <v>44</v>
      </c>
      <c r="P321" s="50">
        <f>(E319*F317)/400</f>
        <v>59.604999999999997</v>
      </c>
    </row>
    <row r="322" spans="1:16" x14ac:dyDescent="0.25">
      <c r="B322" s="33">
        <v>58</v>
      </c>
      <c r="C322" s="33">
        <v>36.854999999999997</v>
      </c>
      <c r="D322" s="33">
        <f>B322-C322</f>
        <v>21.145000000000003</v>
      </c>
      <c r="E322" s="33">
        <f>D322^2</f>
        <v>447.11102500000015</v>
      </c>
      <c r="F322" s="33">
        <f>E322/C322</f>
        <v>12.131624609957948</v>
      </c>
      <c r="O322" s="50">
        <v>23</v>
      </c>
      <c r="P322" s="50">
        <f>(B319*F318)/F319</f>
        <v>44.145000000000003</v>
      </c>
    </row>
    <row r="323" spans="1:16" x14ac:dyDescent="0.25">
      <c r="B323" s="33">
        <v>63</v>
      </c>
      <c r="C323" s="33">
        <v>72.344999999999999</v>
      </c>
      <c r="D323" s="33">
        <f t="shared" ref="D323:D329" si="18">B323-C323</f>
        <v>-9.3449999999999989</v>
      </c>
      <c r="E323" s="33">
        <f t="shared" ref="E323:E329" si="19">D323^2</f>
        <v>87.329024999999973</v>
      </c>
      <c r="F323" s="33">
        <f t="shared" ref="F323:F329" si="20">E323/C323</f>
        <v>1.207119013062409</v>
      </c>
      <c r="O323" s="50">
        <v>96</v>
      </c>
      <c r="P323" s="50">
        <f>(C319*F318)/F319</f>
        <v>86.655000000000001</v>
      </c>
    </row>
    <row r="324" spans="1:16" x14ac:dyDescent="0.25">
      <c r="B324" s="33">
        <v>17</v>
      </c>
      <c r="C324" s="33">
        <v>13.195</v>
      </c>
      <c r="D324" s="33">
        <f t="shared" si="18"/>
        <v>3.8049999999999997</v>
      </c>
      <c r="E324" s="33">
        <f t="shared" si="19"/>
        <v>14.478024999999997</v>
      </c>
      <c r="F324" s="33">
        <f t="shared" si="20"/>
        <v>1.0972356953391433</v>
      </c>
      <c r="O324" s="50">
        <v>12</v>
      </c>
      <c r="P324" s="50">
        <f>(D319*F318)/F319</f>
        <v>15.805</v>
      </c>
    </row>
    <row r="325" spans="1:16" x14ac:dyDescent="0.25">
      <c r="B325" s="33">
        <v>44</v>
      </c>
      <c r="C325" s="33">
        <v>59.604999999999997</v>
      </c>
      <c r="D325" s="33">
        <f t="shared" si="18"/>
        <v>-15.604999999999997</v>
      </c>
      <c r="E325" s="33">
        <f t="shared" si="19"/>
        <v>243.5160249999999</v>
      </c>
      <c r="F325" s="33">
        <f t="shared" si="20"/>
        <v>4.0854966026340058</v>
      </c>
      <c r="H325" s="33" t="s">
        <v>195</v>
      </c>
      <c r="O325" s="50">
        <v>87</v>
      </c>
      <c r="P325" s="50">
        <f>(E319*F318)/F319</f>
        <v>71.394999999999996</v>
      </c>
    </row>
    <row r="326" spans="1:16" x14ac:dyDescent="0.25">
      <c r="B326" s="33">
        <v>23</v>
      </c>
      <c r="C326" s="33">
        <v>44.145000000000003</v>
      </c>
      <c r="D326" s="33">
        <f t="shared" si="18"/>
        <v>-21.145000000000003</v>
      </c>
      <c r="E326" s="33">
        <f t="shared" si="19"/>
        <v>447.11102500000015</v>
      </c>
      <c r="F326" s="33">
        <f t="shared" si="20"/>
        <v>10.128237059689662</v>
      </c>
    </row>
    <row r="327" spans="1:16" x14ac:dyDescent="0.25">
      <c r="B327" s="33">
        <v>96</v>
      </c>
      <c r="C327" s="33">
        <v>86.655000000000001</v>
      </c>
      <c r="D327" s="33">
        <f t="shared" si="18"/>
        <v>9.3449999999999989</v>
      </c>
      <c r="E327" s="33">
        <f t="shared" si="19"/>
        <v>87.329024999999973</v>
      </c>
      <c r="F327" s="33">
        <f t="shared" si="20"/>
        <v>1.0077782586117359</v>
      </c>
    </row>
    <row r="328" spans="1:16" x14ac:dyDescent="0.25">
      <c r="B328" s="33">
        <v>12</v>
      </c>
      <c r="C328" s="33">
        <v>15.805</v>
      </c>
      <c r="D328" s="33">
        <f t="shared" si="18"/>
        <v>-3.8049999999999997</v>
      </c>
      <c r="E328" s="33">
        <f t="shared" si="19"/>
        <v>14.478024999999997</v>
      </c>
      <c r="F328" s="33">
        <f t="shared" si="20"/>
        <v>0.91604080987029401</v>
      </c>
    </row>
    <row r="329" spans="1:16" x14ac:dyDescent="0.25">
      <c r="B329" s="33">
        <v>87</v>
      </c>
      <c r="C329" s="33">
        <v>71.394999999999996</v>
      </c>
      <c r="D329" s="33">
        <f t="shared" si="18"/>
        <v>15.605000000000004</v>
      </c>
      <c r="E329" s="33">
        <f t="shared" si="19"/>
        <v>243.51602500000013</v>
      </c>
      <c r="F329" s="33">
        <f t="shared" si="20"/>
        <v>3.4108274388962831</v>
      </c>
    </row>
    <row r="330" spans="1:16" x14ac:dyDescent="0.25">
      <c r="A330" s="36" t="s">
        <v>51</v>
      </c>
      <c r="B330" s="36"/>
      <c r="C330" s="36"/>
      <c r="D330" s="36"/>
      <c r="E330" s="36"/>
      <c r="F330" s="36">
        <f>SUM(F322:F329)</f>
        <v>33.984359488061479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893B-0B95-4639-B2F4-0E765820C2F7}">
  <dimension ref="A2:AC133"/>
  <sheetViews>
    <sheetView topLeftCell="A37" zoomScale="110" zoomScaleNormal="110" workbookViewId="0">
      <selection activeCell="I14" sqref="I14"/>
    </sheetView>
  </sheetViews>
  <sheetFormatPr defaultRowHeight="15" x14ac:dyDescent="0.25"/>
  <cols>
    <col min="1" max="1" width="18.28515625" customWidth="1"/>
    <col min="2" max="2" width="13.85546875" customWidth="1"/>
    <col min="4" max="4" width="12" customWidth="1"/>
    <col min="5" max="5" width="17" customWidth="1"/>
    <col min="11" max="11" width="13.7109375" customWidth="1"/>
    <col min="12" max="12" width="14.42578125" customWidth="1"/>
    <col min="18" max="18" width="10.5703125" customWidth="1"/>
  </cols>
  <sheetData>
    <row r="2" spans="1:29" x14ac:dyDescent="0.25">
      <c r="A2" s="8" t="s">
        <v>15</v>
      </c>
      <c r="B2" s="8" t="s">
        <v>10</v>
      </c>
      <c r="C2" s="8"/>
      <c r="D2" s="8" t="s">
        <v>12</v>
      </c>
      <c r="E2" s="8" t="s">
        <v>13</v>
      </c>
      <c r="F2" s="8" t="s">
        <v>68</v>
      </c>
      <c r="G2" s="8" t="s">
        <v>214</v>
      </c>
      <c r="Y2" s="25"/>
      <c r="Z2" s="25"/>
      <c r="AA2" s="25"/>
      <c r="AB2" s="25"/>
      <c r="AC2" s="25"/>
    </row>
    <row r="3" spans="1:29" x14ac:dyDescent="0.25">
      <c r="A3" s="6" t="s">
        <v>1</v>
      </c>
      <c r="B3" s="6">
        <v>9</v>
      </c>
      <c r="C3" s="6"/>
      <c r="D3" s="6">
        <v>33</v>
      </c>
      <c r="E3" s="7">
        <v>297</v>
      </c>
      <c r="F3" s="6">
        <f>D3-E13</f>
        <v>-10.921052631578945</v>
      </c>
      <c r="G3" s="6">
        <v>9</v>
      </c>
      <c r="Y3" s="25" t="s">
        <v>25</v>
      </c>
      <c r="Z3" s="25">
        <f>E13</f>
        <v>43.921052631578945</v>
      </c>
      <c r="AA3" s="25"/>
      <c r="AB3" s="25" t="s">
        <v>211</v>
      </c>
      <c r="AC3" s="25">
        <f>B12/2</f>
        <v>19</v>
      </c>
    </row>
    <row r="4" spans="1:29" x14ac:dyDescent="0.25">
      <c r="A4" s="6" t="s">
        <v>2</v>
      </c>
      <c r="B4" s="6">
        <v>5</v>
      </c>
      <c r="C4" s="6"/>
      <c r="D4" s="6">
        <v>38</v>
      </c>
      <c r="E4" s="6">
        <v>190</v>
      </c>
      <c r="F4" s="6">
        <f>D4-E13</f>
        <v>-5.9210526315789451</v>
      </c>
      <c r="G4" s="6">
        <v>14</v>
      </c>
      <c r="Y4" s="25" t="s">
        <v>210</v>
      </c>
      <c r="Z4" s="25">
        <f>(41+(19-14/14)*5)</f>
        <v>131</v>
      </c>
      <c r="AA4" s="25"/>
      <c r="AB4" s="25" t="s">
        <v>212</v>
      </c>
      <c r="AC4" s="25">
        <v>5</v>
      </c>
    </row>
    <row r="5" spans="1:29" x14ac:dyDescent="0.25">
      <c r="A5" s="6" t="s">
        <v>3</v>
      </c>
      <c r="B5" s="6">
        <v>14</v>
      </c>
      <c r="C5" s="6"/>
      <c r="D5" s="6">
        <v>43</v>
      </c>
      <c r="E5" s="6">
        <v>602</v>
      </c>
      <c r="F5" s="6">
        <f>D5-E13</f>
        <v>-0.92105263157894512</v>
      </c>
      <c r="G5" s="6">
        <v>28</v>
      </c>
      <c r="Y5" s="25" t="s">
        <v>215</v>
      </c>
      <c r="Z5" s="25">
        <f>41+(14-5/28-5-3)*5</f>
        <v>70.107142857142861</v>
      </c>
      <c r="AA5" s="25"/>
      <c r="AB5" s="25" t="s">
        <v>213</v>
      </c>
      <c r="AC5" s="25">
        <v>41</v>
      </c>
    </row>
    <row r="6" spans="1:29" x14ac:dyDescent="0.25">
      <c r="A6" s="6" t="s">
        <v>4</v>
      </c>
      <c r="B6" s="6">
        <v>3</v>
      </c>
      <c r="C6" s="6"/>
      <c r="D6" s="6">
        <v>48</v>
      </c>
      <c r="E6" s="6">
        <v>144</v>
      </c>
      <c r="F6" s="6">
        <f>D6-E13</f>
        <v>4.0789473684210549</v>
      </c>
      <c r="G6" s="6">
        <v>31</v>
      </c>
      <c r="Y6" s="25" t="s">
        <v>216</v>
      </c>
      <c r="Z6" s="25">
        <f>SQRT((F12)^2/38)</f>
        <v>13.255197700289942</v>
      </c>
      <c r="AA6" s="25"/>
      <c r="AB6" s="25" t="s">
        <v>17</v>
      </c>
      <c r="AC6" s="25">
        <v>14</v>
      </c>
    </row>
    <row r="7" spans="1:29" x14ac:dyDescent="0.25">
      <c r="A7" s="6" t="s">
        <v>5</v>
      </c>
      <c r="B7" s="6">
        <v>1</v>
      </c>
      <c r="C7" s="6"/>
      <c r="D7" s="6">
        <v>53</v>
      </c>
      <c r="E7" s="6">
        <v>53</v>
      </c>
      <c r="F7" s="6">
        <f>D7-E13</f>
        <v>9.0789473684210549</v>
      </c>
      <c r="G7" s="6">
        <v>32</v>
      </c>
      <c r="Y7" s="25" t="s">
        <v>217</v>
      </c>
      <c r="Z7" s="25">
        <f>(Z6)^2</f>
        <v>175.70026607377179</v>
      </c>
      <c r="AA7" s="25"/>
      <c r="AB7" s="25" t="s">
        <v>214</v>
      </c>
      <c r="AC7" s="25">
        <v>31</v>
      </c>
    </row>
    <row r="8" spans="1:29" x14ac:dyDescent="0.25">
      <c r="A8" s="6" t="s">
        <v>6</v>
      </c>
      <c r="B8" s="6">
        <v>2</v>
      </c>
      <c r="C8" s="6"/>
      <c r="D8" s="6">
        <v>58</v>
      </c>
      <c r="E8" s="6">
        <v>116</v>
      </c>
      <c r="F8" s="6">
        <f>D8-E13</f>
        <v>14.078947368421055</v>
      </c>
      <c r="G8" s="6">
        <v>34</v>
      </c>
      <c r="Y8" s="25"/>
      <c r="Z8" s="25"/>
      <c r="AA8" s="25"/>
      <c r="AB8" s="25" t="s">
        <v>218</v>
      </c>
      <c r="AC8" s="25">
        <v>5</v>
      </c>
    </row>
    <row r="9" spans="1:29" x14ac:dyDescent="0.25">
      <c r="A9" s="6" t="s">
        <v>7</v>
      </c>
      <c r="B9" s="6">
        <v>2</v>
      </c>
      <c r="C9" s="6"/>
      <c r="D9" s="6">
        <v>63</v>
      </c>
      <c r="E9" s="6">
        <v>126</v>
      </c>
      <c r="F9" s="6">
        <f>D9-E13</f>
        <v>19.078947368421055</v>
      </c>
      <c r="G9" s="6">
        <v>36</v>
      </c>
      <c r="Y9" s="25"/>
      <c r="Z9" s="25"/>
      <c r="AA9" s="25"/>
      <c r="AB9" s="25" t="s">
        <v>220</v>
      </c>
      <c r="AC9" s="25">
        <v>3</v>
      </c>
    </row>
    <row r="10" spans="1:29" x14ac:dyDescent="0.25">
      <c r="A10" s="6" t="s">
        <v>8</v>
      </c>
      <c r="B10" s="6">
        <v>1</v>
      </c>
      <c r="C10" s="6"/>
      <c r="D10" s="6">
        <v>68</v>
      </c>
      <c r="E10" s="6">
        <v>68</v>
      </c>
      <c r="F10" s="6">
        <f>D10-E13</f>
        <v>24.078947368421055</v>
      </c>
      <c r="G10" s="6">
        <v>37</v>
      </c>
      <c r="Y10" s="25"/>
      <c r="Z10" s="25"/>
      <c r="AA10" s="25"/>
      <c r="AB10" s="25" t="s">
        <v>219</v>
      </c>
      <c r="AC10" s="25">
        <v>14</v>
      </c>
    </row>
    <row r="11" spans="1:29" x14ac:dyDescent="0.25">
      <c r="A11" s="6" t="s">
        <v>9</v>
      </c>
      <c r="B11" s="6">
        <v>1</v>
      </c>
      <c r="C11" s="6"/>
      <c r="D11" s="6">
        <v>73</v>
      </c>
      <c r="E11" s="6">
        <v>73</v>
      </c>
      <c r="F11" s="6">
        <f>D11-E13</f>
        <v>29.078947368421055</v>
      </c>
      <c r="G11" s="6">
        <v>38</v>
      </c>
    </row>
    <row r="12" spans="1:29" x14ac:dyDescent="0.25">
      <c r="A12" s="4" t="s">
        <v>11</v>
      </c>
      <c r="B12" s="5">
        <f>SUM(B3:B11)</f>
        <v>38</v>
      </c>
      <c r="C12" s="5"/>
      <c r="D12" s="5">
        <f>SUM(D3:D11)</f>
        <v>477</v>
      </c>
      <c r="E12" s="5">
        <f>SUM(E3:E11)</f>
        <v>1669</v>
      </c>
      <c r="F12" s="5">
        <f>SUM(F3:F11)</f>
        <v>81.710526315789494</v>
      </c>
    </row>
    <row r="13" spans="1:29" x14ac:dyDescent="0.25">
      <c r="A13" s="2" t="s">
        <v>14</v>
      </c>
      <c r="B13" s="3"/>
      <c r="C13" s="3"/>
      <c r="D13" s="3"/>
      <c r="E13" s="3">
        <f>AVERAGE(E12/38)</f>
        <v>43.921052631578945</v>
      </c>
      <c r="F13" s="3"/>
    </row>
    <row r="17" spans="1:13" x14ac:dyDescent="0.25">
      <c r="A17" s="14" t="s">
        <v>16</v>
      </c>
      <c r="B17" s="14"/>
      <c r="C17" s="14" t="s">
        <v>17</v>
      </c>
      <c r="D17" s="14" t="s">
        <v>23</v>
      </c>
      <c r="E17" s="14" t="s">
        <v>24</v>
      </c>
      <c r="F17" s="14" t="s">
        <v>68</v>
      </c>
      <c r="G17" s="14" t="s">
        <v>214</v>
      </c>
      <c r="I17" s="25" t="s">
        <v>82</v>
      </c>
      <c r="J17" s="25">
        <v>3.5</v>
      </c>
      <c r="L17" s="24" t="s">
        <v>211</v>
      </c>
      <c r="M17" s="24">
        <f>15/2</f>
        <v>7.5</v>
      </c>
    </row>
    <row r="18" spans="1:13" x14ac:dyDescent="0.25">
      <c r="A18" s="11" t="s">
        <v>18</v>
      </c>
      <c r="B18" s="10"/>
      <c r="C18" s="10">
        <v>7</v>
      </c>
      <c r="D18" s="10">
        <v>1.5</v>
      </c>
      <c r="E18" s="10">
        <v>10.5</v>
      </c>
      <c r="F18" s="10">
        <f>D18-E23</f>
        <v>-2</v>
      </c>
      <c r="G18" s="10">
        <v>7</v>
      </c>
      <c r="I18" s="25" t="s">
        <v>52</v>
      </c>
      <c r="J18" s="25">
        <v>13.333299999999999</v>
      </c>
      <c r="L18" s="24" t="s">
        <v>212</v>
      </c>
      <c r="M18" s="24">
        <v>2</v>
      </c>
    </row>
    <row r="19" spans="1:13" x14ac:dyDescent="0.25">
      <c r="A19" s="11" t="s">
        <v>19</v>
      </c>
      <c r="B19" s="10"/>
      <c r="C19" s="10">
        <v>3</v>
      </c>
      <c r="D19" s="10">
        <v>3.5</v>
      </c>
      <c r="E19" s="10">
        <v>10.5</v>
      </c>
      <c r="F19" s="10">
        <f>D19-E23</f>
        <v>0</v>
      </c>
      <c r="G19" s="10">
        <v>10</v>
      </c>
      <c r="I19" s="25" t="s">
        <v>53</v>
      </c>
      <c r="J19" s="25">
        <f>3+(3-7/6-7-3)*2</f>
        <v>-13.333333333333336</v>
      </c>
      <c r="L19" s="24" t="s">
        <v>213</v>
      </c>
      <c r="M19" s="24">
        <v>3</v>
      </c>
    </row>
    <row r="20" spans="1:13" x14ac:dyDescent="0.25">
      <c r="A20" s="11" t="s">
        <v>20</v>
      </c>
      <c r="B20" s="10"/>
      <c r="C20" s="10">
        <v>3</v>
      </c>
      <c r="D20" s="10">
        <v>5.5</v>
      </c>
      <c r="E20" s="10">
        <v>16.5</v>
      </c>
      <c r="F20" s="10">
        <f>D20-E23</f>
        <v>2</v>
      </c>
      <c r="G20" s="10">
        <v>13</v>
      </c>
      <c r="I20" s="25" t="s">
        <v>216</v>
      </c>
      <c r="J20" s="25">
        <f>SQRT((F22)^2/15)</f>
        <v>1.0327955589886444</v>
      </c>
      <c r="L20" s="24" t="s">
        <v>17</v>
      </c>
      <c r="M20" s="24">
        <v>3</v>
      </c>
    </row>
    <row r="21" spans="1:13" x14ac:dyDescent="0.25">
      <c r="A21" s="11" t="s">
        <v>21</v>
      </c>
      <c r="B21" s="10"/>
      <c r="C21" s="10">
        <v>2</v>
      </c>
      <c r="D21" s="10">
        <v>7.5</v>
      </c>
      <c r="E21" s="10">
        <v>15</v>
      </c>
      <c r="F21" s="10">
        <f>D21-E23</f>
        <v>4</v>
      </c>
      <c r="G21" s="10">
        <v>15</v>
      </c>
      <c r="I21" s="25" t="s">
        <v>217</v>
      </c>
      <c r="J21" s="25">
        <f>(J20)^2</f>
        <v>1.0666666666666664</v>
      </c>
      <c r="L21" s="24" t="s">
        <v>214</v>
      </c>
      <c r="M21" s="24">
        <v>7</v>
      </c>
    </row>
    <row r="22" spans="1:13" x14ac:dyDescent="0.25">
      <c r="A22" s="51" t="s">
        <v>22</v>
      </c>
      <c r="B22" s="25"/>
      <c r="C22" s="25">
        <f>SUM(C18:C21)</f>
        <v>15</v>
      </c>
      <c r="D22" s="25"/>
      <c r="E22" s="25">
        <f>SUM(E18:E21)</f>
        <v>52.5</v>
      </c>
      <c r="F22" s="25">
        <f>SUM(F18:F21)</f>
        <v>4</v>
      </c>
      <c r="G22" s="25"/>
    </row>
    <row r="23" spans="1:13" x14ac:dyDescent="0.25">
      <c r="A23" s="13" t="s">
        <v>25</v>
      </c>
      <c r="B23" s="10"/>
      <c r="C23" s="10"/>
      <c r="D23" s="10"/>
      <c r="E23" s="10">
        <f>AVERAGE(52.5/15)</f>
        <v>3.5</v>
      </c>
      <c r="F23" s="10"/>
    </row>
    <row r="25" spans="1:13" x14ac:dyDescent="0.25">
      <c r="A25" s="46" t="s">
        <v>221</v>
      </c>
      <c r="B25" s="46" t="s">
        <v>17</v>
      </c>
      <c r="C25" s="46" t="s">
        <v>228</v>
      </c>
      <c r="D25" s="46" t="s">
        <v>229</v>
      </c>
      <c r="E25" s="46" t="s">
        <v>68</v>
      </c>
      <c r="F25" s="46" t="s">
        <v>230</v>
      </c>
      <c r="I25" s="24" t="s">
        <v>82</v>
      </c>
      <c r="J25" s="24">
        <f>D32/6</f>
        <v>65.833333333333329</v>
      </c>
      <c r="L25" s="24" t="s">
        <v>211</v>
      </c>
      <c r="M25" s="24">
        <v>10</v>
      </c>
    </row>
    <row r="26" spans="1:13" x14ac:dyDescent="0.25">
      <c r="A26" s="59" t="s">
        <v>222</v>
      </c>
      <c r="B26" s="60">
        <v>1</v>
      </c>
      <c r="C26" s="56">
        <f>(5+9)/2</f>
        <v>7</v>
      </c>
      <c r="D26" s="56">
        <f>B26*C26</f>
        <v>7</v>
      </c>
      <c r="E26" s="56">
        <f>C26-J25</f>
        <v>-58.833333333333329</v>
      </c>
      <c r="F26" s="56">
        <v>1</v>
      </c>
      <c r="I26" s="24" t="s">
        <v>52</v>
      </c>
      <c r="J26" s="24">
        <f>15+(5/6)*5</f>
        <v>19.166666666666668</v>
      </c>
      <c r="L26" s="24" t="s">
        <v>212</v>
      </c>
      <c r="M26" s="24">
        <v>5</v>
      </c>
    </row>
    <row r="27" spans="1:13" x14ac:dyDescent="0.25">
      <c r="A27" s="59" t="s">
        <v>223</v>
      </c>
      <c r="B27" s="56">
        <v>4</v>
      </c>
      <c r="C27" s="56">
        <f>(10+14)/2</f>
        <v>12</v>
      </c>
      <c r="D27" s="56">
        <f t="shared" ref="D27:D31" si="0">B27*C27</f>
        <v>48</v>
      </c>
      <c r="E27" s="56">
        <f>C27-J25</f>
        <v>-53.833333333333329</v>
      </c>
      <c r="F27" s="56">
        <v>5</v>
      </c>
      <c r="I27" s="24" t="s">
        <v>53</v>
      </c>
      <c r="J27" s="24">
        <f>15+(2/4)*5</f>
        <v>17.5</v>
      </c>
      <c r="L27" s="24" t="s">
        <v>213</v>
      </c>
      <c r="M27" s="24">
        <v>15</v>
      </c>
    </row>
    <row r="28" spans="1:13" x14ac:dyDescent="0.25">
      <c r="A28" s="61" t="s">
        <v>224</v>
      </c>
      <c r="B28" s="56">
        <v>6</v>
      </c>
      <c r="C28" s="56">
        <v>17</v>
      </c>
      <c r="D28" s="56">
        <f t="shared" si="0"/>
        <v>102</v>
      </c>
      <c r="E28" s="56">
        <f>C28-J25</f>
        <v>-48.833333333333329</v>
      </c>
      <c r="F28" s="56">
        <v>11</v>
      </c>
      <c r="I28" s="24" t="s">
        <v>216</v>
      </c>
      <c r="J28" s="24">
        <f>SQRT(E33/20)</f>
        <v>62.16268977449414</v>
      </c>
      <c r="L28" s="24" t="s">
        <v>17</v>
      </c>
      <c r="M28" s="24">
        <v>6</v>
      </c>
    </row>
    <row r="29" spans="1:13" x14ac:dyDescent="0.25">
      <c r="A29" s="61" t="s">
        <v>225</v>
      </c>
      <c r="B29" s="56">
        <v>4</v>
      </c>
      <c r="C29" s="56">
        <v>22</v>
      </c>
      <c r="D29" s="56">
        <f t="shared" si="0"/>
        <v>88</v>
      </c>
      <c r="E29" s="56">
        <f>C29-J25</f>
        <v>-43.833333333333329</v>
      </c>
      <c r="F29" s="56">
        <v>15</v>
      </c>
      <c r="I29" s="24" t="s">
        <v>217</v>
      </c>
      <c r="J29" s="24">
        <f>J28^2</f>
        <v>3864.1999999999985</v>
      </c>
      <c r="L29" s="24" t="s">
        <v>214</v>
      </c>
      <c r="M29" s="24">
        <v>5</v>
      </c>
    </row>
    <row r="30" spans="1:13" x14ac:dyDescent="0.25">
      <c r="A30" s="61" t="s">
        <v>226</v>
      </c>
      <c r="B30" s="56">
        <v>2</v>
      </c>
      <c r="C30" s="56">
        <v>27</v>
      </c>
      <c r="D30" s="56">
        <f t="shared" si="0"/>
        <v>54</v>
      </c>
      <c r="E30" s="56">
        <f>C30-J25</f>
        <v>-38.833333333333329</v>
      </c>
      <c r="F30" s="56">
        <v>17</v>
      </c>
      <c r="L30" s="24" t="s">
        <v>219</v>
      </c>
      <c r="M30" s="24">
        <v>6</v>
      </c>
    </row>
    <row r="31" spans="1:13" x14ac:dyDescent="0.25">
      <c r="A31" s="61" t="s">
        <v>227</v>
      </c>
      <c r="B31" s="56">
        <v>3</v>
      </c>
      <c r="C31" s="56">
        <v>32</v>
      </c>
      <c r="D31" s="56">
        <f t="shared" si="0"/>
        <v>96</v>
      </c>
      <c r="E31" s="56">
        <f>C31-J25</f>
        <v>-33.833333333333329</v>
      </c>
      <c r="F31" s="56">
        <v>20</v>
      </c>
      <c r="L31" s="24" t="s">
        <v>218</v>
      </c>
      <c r="M31" s="24">
        <v>4</v>
      </c>
    </row>
    <row r="32" spans="1:13" x14ac:dyDescent="0.25">
      <c r="A32" s="55"/>
      <c r="B32" s="55"/>
      <c r="C32" s="55"/>
      <c r="D32" s="46">
        <f>SUM(D26:D31)</f>
        <v>395</v>
      </c>
      <c r="E32" s="46">
        <f>SUM(E26:E31)</f>
        <v>-277.99999999999994</v>
      </c>
      <c r="F32" s="55"/>
      <c r="L32" s="24" t="s">
        <v>220</v>
      </c>
      <c r="M32" s="24">
        <v>4</v>
      </c>
    </row>
    <row r="33" spans="1:22" x14ac:dyDescent="0.25">
      <c r="A33" s="55"/>
      <c r="B33" s="55"/>
      <c r="C33" s="55"/>
      <c r="D33" s="46"/>
      <c r="E33" s="46">
        <f>E32^2</f>
        <v>77283.999999999971</v>
      </c>
      <c r="F33" s="55"/>
    </row>
    <row r="35" spans="1:22" x14ac:dyDescent="0.25">
      <c r="A35" s="6" t="s">
        <v>231</v>
      </c>
      <c r="B35" s="6" t="s">
        <v>17</v>
      </c>
      <c r="C35" s="6" t="s">
        <v>233</v>
      </c>
      <c r="D35" s="6" t="s">
        <v>234</v>
      </c>
      <c r="E35" s="6" t="s">
        <v>235</v>
      </c>
      <c r="F35" s="6" t="s">
        <v>230</v>
      </c>
      <c r="I35" s="6" t="s">
        <v>14</v>
      </c>
      <c r="J35" s="6">
        <f>D41/5</f>
        <v>322.8</v>
      </c>
      <c r="L35" s="24" t="s">
        <v>211</v>
      </c>
      <c r="M35" s="6">
        <f>B41/2</f>
        <v>46</v>
      </c>
    </row>
    <row r="36" spans="1:22" x14ac:dyDescent="0.25">
      <c r="A36" s="6" t="s">
        <v>237</v>
      </c>
      <c r="B36" s="6">
        <v>30</v>
      </c>
      <c r="C36" s="6">
        <v>4.5</v>
      </c>
      <c r="D36" s="6">
        <f>B36*C36</f>
        <v>135</v>
      </c>
      <c r="E36" s="6">
        <f>C36-J35</f>
        <v>-318.3</v>
      </c>
      <c r="F36" s="6">
        <v>30</v>
      </c>
      <c r="I36" s="6" t="s">
        <v>210</v>
      </c>
      <c r="J36" s="6">
        <f>10+(16/27)*10</f>
        <v>15.925925925925926</v>
      </c>
      <c r="L36" s="24" t="s">
        <v>212</v>
      </c>
      <c r="M36" s="6">
        <v>10</v>
      </c>
    </row>
    <row r="37" spans="1:22" x14ac:dyDescent="0.25">
      <c r="A37" s="52" t="s">
        <v>241</v>
      </c>
      <c r="B37" s="6">
        <v>27</v>
      </c>
      <c r="C37" s="6">
        <f>29/2</f>
        <v>14.5</v>
      </c>
      <c r="D37" s="6">
        <f t="shared" ref="D37:D40" si="1">B37*C37</f>
        <v>391.5</v>
      </c>
      <c r="E37" s="6">
        <f>C37-J35</f>
        <v>-308.3</v>
      </c>
      <c r="F37" s="6">
        <v>57</v>
      </c>
      <c r="I37" s="6" t="s">
        <v>215</v>
      </c>
      <c r="J37" s="6">
        <f>10+(-3/10)*10</f>
        <v>7</v>
      </c>
      <c r="L37" s="24" t="s">
        <v>213</v>
      </c>
      <c r="M37" s="6">
        <v>10</v>
      </c>
    </row>
    <row r="38" spans="1:22" x14ac:dyDescent="0.25">
      <c r="A38" s="6" t="s">
        <v>238</v>
      </c>
      <c r="B38" s="6">
        <v>14</v>
      </c>
      <c r="C38" s="6">
        <v>24.5</v>
      </c>
      <c r="D38" s="6">
        <f t="shared" si="1"/>
        <v>343</v>
      </c>
      <c r="E38" s="6">
        <f>C38-J35</f>
        <v>-298.3</v>
      </c>
      <c r="F38" s="6">
        <v>71</v>
      </c>
      <c r="I38" s="6" t="s">
        <v>69</v>
      </c>
      <c r="J38" s="6">
        <f>SQRT(E42/B41)</f>
        <v>155.4996242830635</v>
      </c>
      <c r="L38" s="24" t="s">
        <v>17</v>
      </c>
      <c r="M38" s="6">
        <v>27</v>
      </c>
    </row>
    <row r="39" spans="1:22" x14ac:dyDescent="0.25">
      <c r="A39" s="6" t="s">
        <v>239</v>
      </c>
      <c r="B39" s="6">
        <v>19</v>
      </c>
      <c r="C39" s="6">
        <v>34.5</v>
      </c>
      <c r="D39" s="6">
        <f t="shared" si="1"/>
        <v>655.5</v>
      </c>
      <c r="E39" s="6">
        <f>C39-J35</f>
        <v>-288.3</v>
      </c>
      <c r="F39" s="6">
        <v>90</v>
      </c>
      <c r="I39" s="6" t="s">
        <v>236</v>
      </c>
      <c r="J39" s="6">
        <f>J38^2</f>
        <v>24180.133152173912</v>
      </c>
      <c r="L39" s="24" t="s">
        <v>214</v>
      </c>
      <c r="M39" s="6">
        <v>30</v>
      </c>
    </row>
    <row r="40" spans="1:22" x14ac:dyDescent="0.25">
      <c r="A40" s="6" t="s">
        <v>240</v>
      </c>
      <c r="B40" s="6">
        <v>2</v>
      </c>
      <c r="C40" s="6">
        <v>44.5</v>
      </c>
      <c r="D40" s="6">
        <f t="shared" si="1"/>
        <v>89</v>
      </c>
      <c r="E40" s="6">
        <f>C40-J35</f>
        <v>-278.3</v>
      </c>
      <c r="F40" s="6">
        <v>92</v>
      </c>
      <c r="L40" s="24" t="s">
        <v>219</v>
      </c>
      <c r="M40" s="6">
        <v>27</v>
      </c>
    </row>
    <row r="41" spans="1:22" x14ac:dyDescent="0.25">
      <c r="A41" s="24" t="s">
        <v>232</v>
      </c>
      <c r="B41" s="24">
        <f>SUM(B36:B40)</f>
        <v>92</v>
      </c>
      <c r="C41" s="24"/>
      <c r="D41" s="24">
        <f>SUM(D36:D40)</f>
        <v>1614</v>
      </c>
      <c r="E41" s="24">
        <f>SUM(E36:E40)</f>
        <v>-1491.5</v>
      </c>
      <c r="L41" s="24" t="s">
        <v>218</v>
      </c>
      <c r="M41" s="6">
        <v>30</v>
      </c>
    </row>
    <row r="42" spans="1:22" x14ac:dyDescent="0.25">
      <c r="E42" s="24">
        <f>E41^2</f>
        <v>2224572.25</v>
      </c>
      <c r="L42" s="24" t="s">
        <v>220</v>
      </c>
      <c r="M42" s="6">
        <v>14</v>
      </c>
    </row>
    <row r="44" spans="1:22" x14ac:dyDescent="0.25">
      <c r="A44" t="s">
        <v>111</v>
      </c>
      <c r="B44" t="s">
        <v>112</v>
      </c>
    </row>
    <row r="45" spans="1:22" x14ac:dyDescent="0.25">
      <c r="A45" s="53" t="s">
        <v>242</v>
      </c>
      <c r="B45" s="53" t="s">
        <v>243</v>
      </c>
      <c r="C45" s="53" t="s">
        <v>68</v>
      </c>
      <c r="D45" s="53" t="s">
        <v>140</v>
      </c>
      <c r="E45" s="53" t="s">
        <v>141</v>
      </c>
      <c r="F45" s="53" t="s">
        <v>244</v>
      </c>
      <c r="G45" s="53" t="s">
        <v>245</v>
      </c>
      <c r="H45" s="54" t="s">
        <v>147</v>
      </c>
      <c r="I45" s="54" t="s">
        <v>148</v>
      </c>
      <c r="J45" s="49" t="s">
        <v>149</v>
      </c>
      <c r="K45" s="49" t="s">
        <v>164</v>
      </c>
      <c r="L45" s="49" t="s">
        <v>171</v>
      </c>
      <c r="M45" s="49" t="s">
        <v>166</v>
      </c>
      <c r="U45" s="24" t="s">
        <v>25</v>
      </c>
      <c r="V45" s="21">
        <f>70/6</f>
        <v>11.666666666666666</v>
      </c>
    </row>
    <row r="46" spans="1:22" x14ac:dyDescent="0.25">
      <c r="A46" s="55">
        <v>3</v>
      </c>
      <c r="B46" s="55">
        <v>1</v>
      </c>
      <c r="C46" s="55">
        <f>A46-V45</f>
        <v>-8.6666666666666661</v>
      </c>
      <c r="D46" s="55">
        <v>6</v>
      </c>
      <c r="E46" s="55">
        <v>5.5</v>
      </c>
      <c r="F46" s="55">
        <f>D46-E46</f>
        <v>0.5</v>
      </c>
      <c r="G46" s="55">
        <f>F46^2</f>
        <v>0.25</v>
      </c>
      <c r="H46" s="55">
        <f>A46-A53</f>
        <v>-8.6666666666666661</v>
      </c>
      <c r="I46" s="55">
        <f>B46-B53</f>
        <v>-1.5</v>
      </c>
      <c r="J46" s="55">
        <f>H46^2</f>
        <v>75.1111111111111</v>
      </c>
      <c r="K46" s="55">
        <f>H46*I46</f>
        <v>13</v>
      </c>
      <c r="L46" s="55">
        <f>T47+(T46*A46)</f>
        <v>1.7513089005235605</v>
      </c>
      <c r="M46" s="55">
        <f>(B46-L46)^2</f>
        <v>0.56446506400592134</v>
      </c>
      <c r="R46" s="21" t="s">
        <v>167</v>
      </c>
      <c r="S46" s="21" t="s">
        <v>168</v>
      </c>
      <c r="T46" s="21">
        <f>K52/J52</f>
        <v>8.6387434554973816E-2</v>
      </c>
      <c r="U46" s="24" t="s">
        <v>36</v>
      </c>
      <c r="V46" s="21">
        <f>26/2</f>
        <v>13</v>
      </c>
    </row>
    <row r="47" spans="1:22" x14ac:dyDescent="0.25">
      <c r="A47" s="55">
        <v>9</v>
      </c>
      <c r="B47" s="55">
        <v>3</v>
      </c>
      <c r="C47" s="55">
        <f>A47-V45</f>
        <v>-2.6666666666666661</v>
      </c>
      <c r="D47" s="55">
        <v>5</v>
      </c>
      <c r="E47" s="55">
        <v>3</v>
      </c>
      <c r="F47" s="55">
        <f t="shared" ref="F47:F51" si="2">D47-E47</f>
        <v>2</v>
      </c>
      <c r="G47" s="55">
        <f t="shared" ref="G47:G51" si="3">F47^2</f>
        <v>4</v>
      </c>
      <c r="H47" s="55">
        <f>A47-A53</f>
        <v>-2.6666666666666661</v>
      </c>
      <c r="I47" s="55">
        <f>B47-B53</f>
        <v>0.5</v>
      </c>
      <c r="J47" s="55">
        <f t="shared" ref="J47:J51" si="4">H47^2</f>
        <v>7.1111111111111081</v>
      </c>
      <c r="K47" s="55">
        <f t="shared" ref="K47:K51" si="5">H47*I47</f>
        <v>-1.333333333333333</v>
      </c>
      <c r="L47" s="55">
        <f>T47+(T46*A47)</f>
        <v>2.2696335078534031</v>
      </c>
      <c r="M47" s="55">
        <f t="shared" ref="M47:M51" si="6">(B47-L47)^2</f>
        <v>0.53343521285052498</v>
      </c>
      <c r="R47" s="21" t="s">
        <v>169</v>
      </c>
      <c r="S47" s="21" t="s">
        <v>170</v>
      </c>
      <c r="T47" s="21">
        <f>B53-(T46*A53)</f>
        <v>1.4921465968586389</v>
      </c>
      <c r="U47" s="24" t="s">
        <v>216</v>
      </c>
      <c r="V47" s="21">
        <f>SQRT(C53/B52)</f>
        <v>0</v>
      </c>
    </row>
    <row r="48" spans="1:22" x14ac:dyDescent="0.25">
      <c r="A48" s="55">
        <v>12</v>
      </c>
      <c r="B48" s="55">
        <v>4</v>
      </c>
      <c r="C48" s="55">
        <f>A48-V45</f>
        <v>0.33333333333333393</v>
      </c>
      <c r="D48" s="55">
        <v>4</v>
      </c>
      <c r="E48" s="55">
        <v>1.5</v>
      </c>
      <c r="F48" s="55">
        <f t="shared" si="2"/>
        <v>2.5</v>
      </c>
      <c r="G48" s="55">
        <f t="shared" si="3"/>
        <v>6.25</v>
      </c>
      <c r="H48" s="55">
        <f>A48-A53</f>
        <v>0.33333333333333393</v>
      </c>
      <c r="I48" s="55">
        <f>B48-B53</f>
        <v>1.5</v>
      </c>
      <c r="J48" s="55">
        <f t="shared" si="4"/>
        <v>0.11111111111111151</v>
      </c>
      <c r="K48" s="55">
        <f t="shared" si="5"/>
        <v>0.50000000000000089</v>
      </c>
      <c r="L48" s="55">
        <f>T47+(T46*A48)</f>
        <v>2.5287958115183247</v>
      </c>
      <c r="M48" s="55">
        <f t="shared" si="6"/>
        <v>2.1644417642060247</v>
      </c>
      <c r="U48" s="24" t="s">
        <v>217</v>
      </c>
      <c r="V48" s="21">
        <f>V47^2</f>
        <v>0</v>
      </c>
    </row>
    <row r="49" spans="1:22" x14ac:dyDescent="0.25">
      <c r="A49" s="55">
        <v>14</v>
      </c>
      <c r="B49" s="55">
        <v>1</v>
      </c>
      <c r="C49" s="55">
        <f>A49-V45</f>
        <v>2.3333333333333339</v>
      </c>
      <c r="D49" s="55">
        <v>3</v>
      </c>
      <c r="E49" s="55">
        <v>5.5</v>
      </c>
      <c r="F49" s="55">
        <f t="shared" si="2"/>
        <v>-2.5</v>
      </c>
      <c r="G49" s="55">
        <f t="shared" si="3"/>
        <v>6.25</v>
      </c>
      <c r="H49" s="55">
        <f>A49-A53</f>
        <v>2.3333333333333339</v>
      </c>
      <c r="I49" s="55">
        <f>B49-B53</f>
        <v>-1.5</v>
      </c>
      <c r="J49" s="55">
        <f t="shared" si="4"/>
        <v>5.4444444444444473</v>
      </c>
      <c r="K49" s="55">
        <f t="shared" si="5"/>
        <v>-3.5000000000000009</v>
      </c>
      <c r="L49" s="55">
        <f>T47+(T46*14)</f>
        <v>2.7015706806282722</v>
      </c>
      <c r="M49" s="55">
        <f t="shared" si="6"/>
        <v>2.8953427811737615</v>
      </c>
      <c r="U49" s="24" t="s">
        <v>246</v>
      </c>
      <c r="V49" s="21">
        <f>6*(G52)</f>
        <v>156</v>
      </c>
    </row>
    <row r="50" spans="1:22" x14ac:dyDescent="0.25">
      <c r="A50" s="55">
        <v>15</v>
      </c>
      <c r="B50" s="55">
        <v>4</v>
      </c>
      <c r="C50" s="55">
        <f>A50-V45</f>
        <v>3.3333333333333339</v>
      </c>
      <c r="D50" s="55">
        <v>2</v>
      </c>
      <c r="E50" s="55">
        <v>1.5</v>
      </c>
      <c r="F50" s="55">
        <f t="shared" si="2"/>
        <v>0.5</v>
      </c>
      <c r="G50" s="55">
        <f t="shared" si="3"/>
        <v>0.25</v>
      </c>
      <c r="H50" s="55">
        <f>A50-A53</f>
        <v>3.3333333333333339</v>
      </c>
      <c r="I50" s="55">
        <f>B50-B53</f>
        <v>1.5</v>
      </c>
      <c r="J50" s="55">
        <f t="shared" si="4"/>
        <v>11.111111111111114</v>
      </c>
      <c r="K50" s="55">
        <f t="shared" si="5"/>
        <v>5.0000000000000009</v>
      </c>
      <c r="L50" s="55">
        <f>T47+(T46*15)</f>
        <v>2.7879581151832462</v>
      </c>
      <c r="M50" s="55">
        <f t="shared" si="6"/>
        <v>1.4690455305501491</v>
      </c>
      <c r="U50" s="24" t="s">
        <v>247</v>
      </c>
      <c r="V50" s="21">
        <f>6*(36-1)</f>
        <v>210</v>
      </c>
    </row>
    <row r="51" spans="1:22" x14ac:dyDescent="0.25">
      <c r="A51" s="55">
        <v>17</v>
      </c>
      <c r="B51" s="55">
        <v>2</v>
      </c>
      <c r="C51" s="55">
        <f>A51-V45</f>
        <v>5.3333333333333339</v>
      </c>
      <c r="D51" s="55">
        <v>1</v>
      </c>
      <c r="E51" s="55">
        <v>4</v>
      </c>
      <c r="F51" s="55">
        <f t="shared" si="2"/>
        <v>-3</v>
      </c>
      <c r="G51" s="55">
        <f t="shared" si="3"/>
        <v>9</v>
      </c>
      <c r="H51" s="55">
        <f>A51-A53</f>
        <v>5.3333333333333339</v>
      </c>
      <c r="I51" s="55">
        <f>B51-B53</f>
        <v>-0.5</v>
      </c>
      <c r="J51" s="55">
        <f t="shared" si="4"/>
        <v>28.44444444444445</v>
      </c>
      <c r="K51" s="55">
        <f t="shared" si="5"/>
        <v>-2.666666666666667</v>
      </c>
      <c r="L51" s="55">
        <f>T47+(T46*17)</f>
        <v>2.9607329842931938</v>
      </c>
      <c r="M51" s="55">
        <f t="shared" si="6"/>
        <v>0.92300786710890603</v>
      </c>
      <c r="U51" s="24" t="s">
        <v>136</v>
      </c>
      <c r="V51" s="21">
        <f>1-(V49/V50)</f>
        <v>0.25714285714285712</v>
      </c>
    </row>
    <row r="52" spans="1:22" x14ac:dyDescent="0.25">
      <c r="A52" s="56">
        <f>SUM(A46:A51)</f>
        <v>70</v>
      </c>
      <c r="B52" s="56">
        <f>SUM(B46:B51)</f>
        <v>15</v>
      </c>
      <c r="C52" s="56">
        <f>SUM(C46:C51)</f>
        <v>0</v>
      </c>
      <c r="D52" s="56"/>
      <c r="E52" s="56"/>
      <c r="F52" s="56"/>
      <c r="G52" s="56">
        <f>SUM(G46:G51)</f>
        <v>26</v>
      </c>
      <c r="H52" s="56">
        <f>SUM(H46:H51)</f>
        <v>0</v>
      </c>
      <c r="I52" s="56">
        <f>SUM(I46:I51)</f>
        <v>0</v>
      </c>
      <c r="J52" s="56">
        <f>SUM(J46:J51)</f>
        <v>127.33333333333334</v>
      </c>
      <c r="K52" s="56">
        <f>SUM(K46:K51)</f>
        <v>11</v>
      </c>
      <c r="L52" s="56"/>
      <c r="M52" s="56"/>
    </row>
    <row r="53" spans="1:22" x14ac:dyDescent="0.25">
      <c r="A53">
        <f>V45</f>
        <v>11.666666666666666</v>
      </c>
      <c r="B53">
        <f>15/6</f>
        <v>2.5</v>
      </c>
      <c r="C53">
        <f>C52^2</f>
        <v>0</v>
      </c>
    </row>
    <row r="55" spans="1:22" x14ac:dyDescent="0.25">
      <c r="A55" t="s">
        <v>248</v>
      </c>
    </row>
    <row r="56" spans="1:22" x14ac:dyDescent="0.25">
      <c r="A56" s="21">
        <v>20</v>
      </c>
    </row>
    <row r="57" spans="1:22" x14ac:dyDescent="0.25">
      <c r="A57" s="21">
        <v>21</v>
      </c>
    </row>
    <row r="58" spans="1:22" x14ac:dyDescent="0.25">
      <c r="A58" s="21">
        <v>22</v>
      </c>
    </row>
    <row r="59" spans="1:22" x14ac:dyDescent="0.25">
      <c r="A59" s="21">
        <v>23</v>
      </c>
    </row>
    <row r="60" spans="1:22" x14ac:dyDescent="0.25">
      <c r="A60" s="21">
        <v>23</v>
      </c>
    </row>
    <row r="61" spans="1:22" x14ac:dyDescent="0.25">
      <c r="A61" s="21">
        <v>23</v>
      </c>
    </row>
    <row r="62" spans="1:22" x14ac:dyDescent="0.25">
      <c r="A62" s="21">
        <v>23</v>
      </c>
    </row>
    <row r="63" spans="1:22" x14ac:dyDescent="0.25">
      <c r="A63" s="21">
        <v>24</v>
      </c>
    </row>
    <row r="64" spans="1:22" x14ac:dyDescent="0.25">
      <c r="A64" s="21">
        <v>25</v>
      </c>
      <c r="D64" s="25" t="s">
        <v>64</v>
      </c>
      <c r="E64" s="25">
        <f>1/4*31</f>
        <v>7.75</v>
      </c>
      <c r="F64" s="25">
        <f>23+0.75*(24-23)</f>
        <v>23.75</v>
      </c>
    </row>
    <row r="65" spans="1:6" x14ac:dyDescent="0.25">
      <c r="A65" s="21">
        <v>26</v>
      </c>
      <c r="D65" s="25" t="s">
        <v>65</v>
      </c>
      <c r="E65" s="25">
        <f>2/4*31</f>
        <v>15.5</v>
      </c>
      <c r="F65" s="25">
        <f>27+0.5*(28-27)</f>
        <v>27.5</v>
      </c>
    </row>
    <row r="66" spans="1:6" x14ac:dyDescent="0.25">
      <c r="A66" s="21">
        <v>26</v>
      </c>
      <c r="D66" s="25" t="s">
        <v>66</v>
      </c>
      <c r="E66" s="25">
        <f>3/4*31</f>
        <v>23.25</v>
      </c>
      <c r="F66" s="25">
        <f>31+0.25*(32-31)</f>
        <v>31.25</v>
      </c>
    </row>
    <row r="67" spans="1:6" x14ac:dyDescent="0.25">
      <c r="A67" s="21">
        <v>27</v>
      </c>
      <c r="D67" s="25" t="s">
        <v>67</v>
      </c>
      <c r="E67" s="25" t="s">
        <v>249</v>
      </c>
      <c r="F67" s="25">
        <f>(F66-F64)/2</f>
        <v>3.75</v>
      </c>
    </row>
    <row r="68" spans="1:6" x14ac:dyDescent="0.25">
      <c r="A68" s="21">
        <v>27</v>
      </c>
      <c r="D68" s="25" t="s">
        <v>250</v>
      </c>
      <c r="E68" s="25" t="s">
        <v>251</v>
      </c>
      <c r="F68" s="25">
        <f>((31.25-23.75)/(31.25+23.75))*100</f>
        <v>13.636363636363635</v>
      </c>
    </row>
    <row r="69" spans="1:6" x14ac:dyDescent="0.25">
      <c r="A69" s="21">
        <v>27</v>
      </c>
      <c r="D69" s="25" t="s">
        <v>82</v>
      </c>
      <c r="E69" s="25">
        <f>A86/30</f>
        <v>27.8</v>
      </c>
      <c r="F69" s="25"/>
    </row>
    <row r="70" spans="1:6" x14ac:dyDescent="0.25">
      <c r="A70" s="21">
        <v>27</v>
      </c>
      <c r="D70" s="25" t="s">
        <v>52</v>
      </c>
      <c r="E70" s="25">
        <f>(27+28)/2</f>
        <v>27.5</v>
      </c>
      <c r="F70" s="25"/>
    </row>
    <row r="71" spans="1:6" x14ac:dyDescent="0.25">
      <c r="A71" s="21">
        <v>28</v>
      </c>
      <c r="D71" s="25" t="s">
        <v>53</v>
      </c>
      <c r="E71" s="25">
        <v>23</v>
      </c>
      <c r="F71" s="25"/>
    </row>
    <row r="72" spans="1:6" x14ac:dyDescent="0.25">
      <c r="A72" s="21">
        <v>28</v>
      </c>
    </row>
    <row r="73" spans="1:6" x14ac:dyDescent="0.25">
      <c r="A73" s="21">
        <v>28</v>
      </c>
    </row>
    <row r="74" spans="1:6" x14ac:dyDescent="0.25">
      <c r="A74" s="21">
        <v>29</v>
      </c>
    </row>
    <row r="75" spans="1:6" x14ac:dyDescent="0.25">
      <c r="A75" s="21">
        <v>29</v>
      </c>
    </row>
    <row r="76" spans="1:6" x14ac:dyDescent="0.25">
      <c r="A76" s="21">
        <v>31</v>
      </c>
    </row>
    <row r="77" spans="1:6" x14ac:dyDescent="0.25">
      <c r="A77" s="21">
        <v>31</v>
      </c>
    </row>
    <row r="78" spans="1:6" x14ac:dyDescent="0.25">
      <c r="A78" s="21">
        <v>31</v>
      </c>
    </row>
    <row r="79" spans="1:6" x14ac:dyDescent="0.25">
      <c r="A79" s="21">
        <v>32</v>
      </c>
    </row>
    <row r="80" spans="1:6" x14ac:dyDescent="0.25">
      <c r="A80" s="21">
        <v>33</v>
      </c>
    </row>
    <row r="81" spans="1:2" x14ac:dyDescent="0.25">
      <c r="A81" s="21">
        <v>33</v>
      </c>
    </row>
    <row r="82" spans="1:2" x14ac:dyDescent="0.25">
      <c r="A82" s="21">
        <v>33</v>
      </c>
    </row>
    <row r="83" spans="1:2" x14ac:dyDescent="0.25">
      <c r="A83" s="21">
        <v>34</v>
      </c>
    </row>
    <row r="84" spans="1:2" x14ac:dyDescent="0.25">
      <c r="A84" s="21">
        <v>35</v>
      </c>
    </row>
    <row r="85" spans="1:2" x14ac:dyDescent="0.25">
      <c r="A85" s="21">
        <v>35</v>
      </c>
    </row>
    <row r="86" spans="1:2" x14ac:dyDescent="0.25">
      <c r="A86" s="21">
        <f>SUM(A56:A85)</f>
        <v>834</v>
      </c>
      <c r="B86" t="s">
        <v>51</v>
      </c>
    </row>
    <row r="87" spans="1:2" x14ac:dyDescent="0.25">
      <c r="A87" s="21" t="s">
        <v>14</v>
      </c>
      <c r="B87" s="21">
        <f>834/30</f>
        <v>27.8</v>
      </c>
    </row>
    <row r="88" spans="1:2" x14ac:dyDescent="0.25">
      <c r="A88">
        <f>COUNT(A56:A85)</f>
        <v>30</v>
      </c>
    </row>
    <row r="90" spans="1:2" x14ac:dyDescent="0.25">
      <c r="A90" s="43" t="s">
        <v>111</v>
      </c>
    </row>
    <row r="91" spans="1:2" x14ac:dyDescent="0.25">
      <c r="A91" s="23" t="s">
        <v>252</v>
      </c>
    </row>
    <row r="92" spans="1:2" x14ac:dyDescent="0.25">
      <c r="A92" s="23">
        <v>139</v>
      </c>
    </row>
    <row r="93" spans="1:2" x14ac:dyDescent="0.25">
      <c r="A93" s="23">
        <v>143</v>
      </c>
    </row>
    <row r="94" spans="1:2" x14ac:dyDescent="0.25">
      <c r="A94" s="23">
        <v>143</v>
      </c>
    </row>
    <row r="95" spans="1:2" x14ac:dyDescent="0.25">
      <c r="A95" s="23">
        <v>145</v>
      </c>
    </row>
    <row r="96" spans="1:2" x14ac:dyDescent="0.25">
      <c r="A96" s="23">
        <v>149</v>
      </c>
    </row>
    <row r="97" spans="1:2" x14ac:dyDescent="0.25">
      <c r="A97" s="23">
        <v>149</v>
      </c>
    </row>
    <row r="98" spans="1:2" x14ac:dyDescent="0.25">
      <c r="A98" s="23">
        <v>150</v>
      </c>
    </row>
    <row r="99" spans="1:2" x14ac:dyDescent="0.25">
      <c r="A99" s="23">
        <v>150</v>
      </c>
    </row>
    <row r="100" spans="1:2" x14ac:dyDescent="0.25">
      <c r="A100" s="23">
        <v>152</v>
      </c>
    </row>
    <row r="101" spans="1:2" x14ac:dyDescent="0.25">
      <c r="A101" s="23">
        <v>155</v>
      </c>
    </row>
    <row r="102" spans="1:2" x14ac:dyDescent="0.25">
      <c r="A102" s="23">
        <v>155</v>
      </c>
    </row>
    <row r="103" spans="1:2" x14ac:dyDescent="0.25">
      <c r="A103" s="23">
        <v>158</v>
      </c>
    </row>
    <row r="104" spans="1:2" x14ac:dyDescent="0.25">
      <c r="A104" s="23">
        <v>159</v>
      </c>
    </row>
    <row r="105" spans="1:2" x14ac:dyDescent="0.25">
      <c r="A105" s="23">
        <v>161</v>
      </c>
    </row>
    <row r="106" spans="1:2" x14ac:dyDescent="0.25">
      <c r="A106" s="23">
        <v>163</v>
      </c>
    </row>
    <row r="107" spans="1:2" x14ac:dyDescent="0.25">
      <c r="A107" s="23">
        <v>165</v>
      </c>
    </row>
    <row r="108" spans="1:2" x14ac:dyDescent="0.25">
      <c r="A108" s="23">
        <v>167</v>
      </c>
    </row>
    <row r="109" spans="1:2" x14ac:dyDescent="0.25">
      <c r="A109" s="23">
        <v>169</v>
      </c>
    </row>
    <row r="110" spans="1:2" x14ac:dyDescent="0.25">
      <c r="A110" s="23">
        <v>170</v>
      </c>
    </row>
    <row r="111" spans="1:2" x14ac:dyDescent="0.25">
      <c r="A111" s="23">
        <v>170</v>
      </c>
      <c r="B111">
        <v>20</v>
      </c>
    </row>
    <row r="112" spans="1:2" x14ac:dyDescent="0.25">
      <c r="A112" s="23">
        <v>170</v>
      </c>
    </row>
    <row r="113" spans="1:7" x14ac:dyDescent="0.25">
      <c r="A113" s="23">
        <v>170</v>
      </c>
      <c r="E113" s="25" t="s">
        <v>82</v>
      </c>
      <c r="F113" s="25">
        <f>A133/40</f>
        <v>172.05</v>
      </c>
      <c r="G113" s="25"/>
    </row>
    <row r="114" spans="1:7" x14ac:dyDescent="0.25">
      <c r="A114" s="23">
        <v>171</v>
      </c>
      <c r="E114" s="25" t="s">
        <v>52</v>
      </c>
      <c r="F114" s="25">
        <v>170</v>
      </c>
      <c r="G114" s="25"/>
    </row>
    <row r="115" spans="1:7" x14ac:dyDescent="0.25">
      <c r="A115" s="23">
        <v>172</v>
      </c>
      <c r="E115" s="25" t="s">
        <v>53</v>
      </c>
      <c r="F115" s="25">
        <v>170</v>
      </c>
      <c r="G115" s="25"/>
    </row>
    <row r="116" spans="1:7" x14ac:dyDescent="0.25">
      <c r="A116" s="23">
        <v>174</v>
      </c>
      <c r="E116" s="25" t="s">
        <v>64</v>
      </c>
      <c r="F116" s="25">
        <f>1/4*41</f>
        <v>10.25</v>
      </c>
      <c r="G116" s="25">
        <f>155+0.25*(155-155)</f>
        <v>155</v>
      </c>
    </row>
    <row r="117" spans="1:7" x14ac:dyDescent="0.25">
      <c r="A117" s="23">
        <v>174</v>
      </c>
      <c r="E117" s="25" t="s">
        <v>65</v>
      </c>
      <c r="F117" s="25">
        <f>2/4*41</f>
        <v>20.5</v>
      </c>
      <c r="G117" s="25">
        <f>170</f>
        <v>170</v>
      </c>
    </row>
    <row r="118" spans="1:7" x14ac:dyDescent="0.25">
      <c r="A118" s="23">
        <v>174</v>
      </c>
      <c r="E118" s="25" t="s">
        <v>66</v>
      </c>
      <c r="F118" s="25">
        <f>3/4*41</f>
        <v>30.75</v>
      </c>
      <c r="G118" s="25">
        <f>A121+0.75*(179-178)</f>
        <v>178.75</v>
      </c>
    </row>
    <row r="119" spans="1:7" x14ac:dyDescent="0.25">
      <c r="A119" s="23">
        <v>177</v>
      </c>
    </row>
    <row r="120" spans="1:7" x14ac:dyDescent="0.25">
      <c r="A120" s="23">
        <v>177</v>
      </c>
    </row>
    <row r="121" spans="1:7" x14ac:dyDescent="0.25">
      <c r="A121" s="23">
        <v>178</v>
      </c>
      <c r="B121">
        <v>30</v>
      </c>
    </row>
    <row r="122" spans="1:7" x14ac:dyDescent="0.25">
      <c r="A122" s="23">
        <v>179</v>
      </c>
    </row>
    <row r="123" spans="1:7" x14ac:dyDescent="0.25">
      <c r="A123" s="23">
        <v>181</v>
      </c>
    </row>
    <row r="124" spans="1:7" x14ac:dyDescent="0.25">
      <c r="A124" s="23">
        <v>182</v>
      </c>
    </row>
    <row r="125" spans="1:7" x14ac:dyDescent="0.25">
      <c r="A125" s="23">
        <v>182</v>
      </c>
    </row>
    <row r="126" spans="1:7" x14ac:dyDescent="0.25">
      <c r="A126" s="23">
        <v>183</v>
      </c>
    </row>
    <row r="127" spans="1:7" x14ac:dyDescent="0.25">
      <c r="A127" s="23">
        <v>183</v>
      </c>
    </row>
    <row r="128" spans="1:7" x14ac:dyDescent="0.25">
      <c r="A128" s="23">
        <v>185</v>
      </c>
    </row>
    <row r="129" spans="1:1" x14ac:dyDescent="0.25">
      <c r="A129" s="23">
        <v>187</v>
      </c>
    </row>
    <row r="130" spans="1:1" x14ac:dyDescent="0.25">
      <c r="A130" s="23">
        <v>190</v>
      </c>
    </row>
    <row r="131" spans="1:1" x14ac:dyDescent="0.25">
      <c r="A131" s="23">
        <v>190</v>
      </c>
    </row>
    <row r="132" spans="1:1" x14ac:dyDescent="0.25">
      <c r="A132" s="23">
        <v>191</v>
      </c>
    </row>
    <row r="133" spans="1:1" x14ac:dyDescent="0.25">
      <c r="A133">
        <f>SUM(A92:A132)</f>
        <v>6882</v>
      </c>
    </row>
  </sheetData>
  <sortState xmlns:xlrd2="http://schemas.microsoft.com/office/spreadsheetml/2017/richdata2" ref="A92:A132">
    <sortCondition ref="A92:A13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3BDA-E565-4DA1-8D7E-680479E72B1A}">
  <dimension ref="A3:Z130"/>
  <sheetViews>
    <sheetView tabSelected="1" topLeftCell="A67" workbookViewId="0">
      <selection activeCell="G117" sqref="G117"/>
    </sheetView>
  </sheetViews>
  <sheetFormatPr defaultRowHeight="15" x14ac:dyDescent="0.25"/>
  <cols>
    <col min="1" max="1" width="20.7109375" customWidth="1"/>
    <col min="2" max="2" width="14.5703125" customWidth="1"/>
    <col min="4" max="4" width="11.85546875" customWidth="1"/>
    <col min="5" max="5" width="13.140625" customWidth="1"/>
    <col min="7" max="7" width="12" customWidth="1"/>
    <col min="8" max="8" width="11.85546875" customWidth="1"/>
    <col min="9" max="9" width="16" customWidth="1"/>
    <col min="11" max="11" width="10.7109375" bestFit="1" customWidth="1"/>
    <col min="12" max="12" width="14" customWidth="1"/>
    <col min="17" max="17" width="16.28515625" customWidth="1"/>
  </cols>
  <sheetData>
    <row r="3" spans="1:26" x14ac:dyDescent="0.25">
      <c r="A3" s="15" t="s">
        <v>28</v>
      </c>
      <c r="B3" s="16" t="s">
        <v>34</v>
      </c>
      <c r="C3" s="16" t="s">
        <v>35</v>
      </c>
      <c r="D3" s="16" t="s">
        <v>75</v>
      </c>
      <c r="E3" s="16" t="s">
        <v>77</v>
      </c>
      <c r="F3" s="16" t="s">
        <v>78</v>
      </c>
      <c r="G3" s="16" t="s">
        <v>253</v>
      </c>
      <c r="H3" s="16" t="s">
        <v>254</v>
      </c>
    </row>
    <row r="4" spans="1:26" x14ac:dyDescent="0.25">
      <c r="A4" s="17" t="s">
        <v>29</v>
      </c>
      <c r="B4" s="16">
        <v>2</v>
      </c>
      <c r="C4" s="16">
        <v>2</v>
      </c>
      <c r="D4" s="16">
        <v>5.5</v>
      </c>
      <c r="E4" s="16">
        <f>B4*D4</f>
        <v>11</v>
      </c>
      <c r="F4" s="16">
        <f>D4-C12</f>
        <v>-17.391304347826086</v>
      </c>
      <c r="G4" s="16">
        <f>17.3913</f>
        <v>17.391300000000001</v>
      </c>
      <c r="H4" s="16">
        <f>G4*B4</f>
        <v>34.782600000000002</v>
      </c>
    </row>
    <row r="5" spans="1:26" x14ac:dyDescent="0.25">
      <c r="A5" s="17" t="s">
        <v>30</v>
      </c>
      <c r="B5" s="16">
        <v>7</v>
      </c>
      <c r="C5" s="16">
        <v>9</v>
      </c>
      <c r="D5" s="16">
        <v>15.5</v>
      </c>
      <c r="E5" s="16">
        <f>D5*B5</f>
        <v>108.5</v>
      </c>
      <c r="F5" s="16">
        <f>D5-C12</f>
        <v>-7.391304347826086</v>
      </c>
      <c r="G5" s="16">
        <v>7.3913000000000002</v>
      </c>
      <c r="H5" s="16">
        <f t="shared" ref="H5:H8" si="0">G5*B5</f>
        <v>51.739100000000001</v>
      </c>
      <c r="V5" s="16" t="s">
        <v>64</v>
      </c>
      <c r="W5" s="16"/>
      <c r="Y5" s="16" t="s">
        <v>66</v>
      </c>
      <c r="Z5" s="16"/>
    </row>
    <row r="6" spans="1:26" x14ac:dyDescent="0.25">
      <c r="A6" s="17" t="s">
        <v>31</v>
      </c>
      <c r="B6" s="16">
        <v>10</v>
      </c>
      <c r="C6" s="16">
        <v>19</v>
      </c>
      <c r="D6" s="16">
        <v>25.5</v>
      </c>
      <c r="E6" s="16">
        <f>D6*B6</f>
        <v>255</v>
      </c>
      <c r="F6" s="16">
        <f>D6-C12</f>
        <v>2.608695652173914</v>
      </c>
      <c r="G6" s="16">
        <f>F6</f>
        <v>2.608695652173914</v>
      </c>
      <c r="H6" s="16">
        <f>G6*B6</f>
        <v>26.08695652173914</v>
      </c>
      <c r="Q6" s="16" t="s">
        <v>255</v>
      </c>
      <c r="R6" s="16">
        <f>H9/23</f>
        <v>7.5236277882797733</v>
      </c>
      <c r="S6" s="16"/>
      <c r="V6" s="16" t="s">
        <v>110</v>
      </c>
      <c r="W6" s="16">
        <v>23</v>
      </c>
      <c r="Y6" s="16" t="s">
        <v>110</v>
      </c>
      <c r="Z6" s="16">
        <v>23</v>
      </c>
    </row>
    <row r="7" spans="1:26" x14ac:dyDescent="0.25">
      <c r="A7" s="17" t="s">
        <v>32</v>
      </c>
      <c r="B7" s="17">
        <v>3</v>
      </c>
      <c r="C7" s="16">
        <v>22</v>
      </c>
      <c r="D7" s="16">
        <v>35.5</v>
      </c>
      <c r="E7" s="17">
        <f>D7*B7</f>
        <v>106.5</v>
      </c>
      <c r="F7" s="16">
        <f>D7-C12</f>
        <v>12.608695652173914</v>
      </c>
      <c r="G7" s="16">
        <f>F7</f>
        <v>12.608695652173914</v>
      </c>
      <c r="H7" s="17">
        <f>G7*B7</f>
        <v>37.826086956521742</v>
      </c>
      <c r="Q7" s="16" t="s">
        <v>64</v>
      </c>
      <c r="R7" s="16">
        <f>23/4</f>
        <v>5.75</v>
      </c>
      <c r="S7" s="16">
        <f>11+10/7*(23/4-2)</f>
        <v>16.357142857142858</v>
      </c>
      <c r="V7" s="16" t="s">
        <v>256</v>
      </c>
      <c r="W7" s="16">
        <v>11</v>
      </c>
      <c r="Y7" s="16" t="s">
        <v>256</v>
      </c>
      <c r="Z7" s="16">
        <v>21</v>
      </c>
    </row>
    <row r="8" spans="1:26" x14ac:dyDescent="0.25">
      <c r="A8" s="17" t="s">
        <v>33</v>
      </c>
      <c r="B8" s="16">
        <v>1</v>
      </c>
      <c r="C8" s="16">
        <v>23</v>
      </c>
      <c r="D8" s="16">
        <v>45.5</v>
      </c>
      <c r="E8" s="16">
        <f>B8*D8</f>
        <v>45.5</v>
      </c>
      <c r="F8" s="16">
        <f>D8-C12</f>
        <v>22.608695652173914</v>
      </c>
      <c r="G8" s="16">
        <f>F8</f>
        <v>22.608695652173914</v>
      </c>
      <c r="H8" s="16">
        <f t="shared" si="0"/>
        <v>22.608695652173914</v>
      </c>
      <c r="Q8" s="16" t="s">
        <v>66</v>
      </c>
      <c r="R8" s="16">
        <f>(3*23)/4</f>
        <v>17.25</v>
      </c>
      <c r="S8" s="16">
        <f>(21+1*((3*23/4)-9))</f>
        <v>29.25</v>
      </c>
      <c r="V8" s="16" t="s">
        <v>17</v>
      </c>
      <c r="W8" s="16">
        <v>7</v>
      </c>
      <c r="Y8" s="16" t="s">
        <v>258</v>
      </c>
      <c r="Z8" s="16">
        <v>10</v>
      </c>
    </row>
    <row r="9" spans="1:26" x14ac:dyDescent="0.25">
      <c r="A9" s="26" t="s">
        <v>22</v>
      </c>
      <c r="B9" s="26">
        <f>SUM(B4:B8)</f>
        <v>23</v>
      </c>
      <c r="C9" s="26"/>
      <c r="D9" s="26"/>
      <c r="E9" s="26">
        <f>SUM(E4:E8)</f>
        <v>526.5</v>
      </c>
      <c r="F9" s="26">
        <f>SUM(F4:F8)</f>
        <v>13.04347826086957</v>
      </c>
      <c r="G9" s="26">
        <f>SUM(G4:G8)</f>
        <v>62.608686956521744</v>
      </c>
      <c r="H9" s="26">
        <f>SUM(H4:H8)</f>
        <v>173.04343913043479</v>
      </c>
      <c r="Q9" s="16" t="s">
        <v>259</v>
      </c>
      <c r="R9" s="16"/>
      <c r="S9" s="16">
        <f>(S8-S7)/2</f>
        <v>6.4464285714285712</v>
      </c>
      <c r="V9" s="16" t="s">
        <v>230</v>
      </c>
      <c r="W9" s="16">
        <v>2</v>
      </c>
      <c r="Y9" s="16" t="s">
        <v>230</v>
      </c>
      <c r="Z9" s="16">
        <v>9</v>
      </c>
    </row>
    <row r="10" spans="1:26" x14ac:dyDescent="0.25">
      <c r="A10" s="17" t="s">
        <v>36</v>
      </c>
      <c r="B10" s="16"/>
      <c r="C10" s="16">
        <f>MEDIAN(21+(11.5-19/10)*10)</f>
        <v>117</v>
      </c>
      <c r="D10" s="16"/>
      <c r="E10" s="16"/>
      <c r="Q10" s="16" t="s">
        <v>260</v>
      </c>
      <c r="R10" s="16"/>
      <c r="S10" s="16">
        <f>(29.5-16.35714)/(29.5+16.35714)</f>
        <v>0.28660444153298698</v>
      </c>
      <c r="V10" s="16" t="s">
        <v>257</v>
      </c>
      <c r="W10" s="16">
        <v>10</v>
      </c>
      <c r="Y10" s="16" t="s">
        <v>257</v>
      </c>
      <c r="Z10" s="16">
        <v>10</v>
      </c>
    </row>
    <row r="11" spans="1:26" x14ac:dyDescent="0.25">
      <c r="A11" s="17" t="s">
        <v>37</v>
      </c>
      <c r="B11" s="16"/>
      <c r="C11" s="16">
        <f>21+(10-7/20-7-3)*10</f>
        <v>17.500000000000004</v>
      </c>
      <c r="D11" s="16"/>
      <c r="E11" s="16"/>
    </row>
    <row r="12" spans="1:26" x14ac:dyDescent="0.25">
      <c r="A12" s="17" t="s">
        <v>14</v>
      </c>
      <c r="B12" s="16"/>
      <c r="C12" s="16">
        <f>E9/B9</f>
        <v>22.891304347826086</v>
      </c>
      <c r="D12" s="16"/>
      <c r="E12" s="16"/>
    </row>
    <row r="16" spans="1:26" x14ac:dyDescent="0.25">
      <c r="A16" s="18" t="s">
        <v>49</v>
      </c>
      <c r="B16" s="19"/>
      <c r="C16" s="19" t="s">
        <v>48</v>
      </c>
      <c r="D16" s="19" t="s">
        <v>50</v>
      </c>
      <c r="E16" s="19" t="s">
        <v>75</v>
      </c>
      <c r="F16" s="19" t="s">
        <v>77</v>
      </c>
      <c r="G16" s="19" t="s">
        <v>76</v>
      </c>
      <c r="H16" s="19" t="s">
        <v>253</v>
      </c>
      <c r="I16" s="19" t="s">
        <v>254</v>
      </c>
    </row>
    <row r="17" spans="1:26" x14ac:dyDescent="0.25">
      <c r="A17" s="20" t="s">
        <v>38</v>
      </c>
      <c r="B17" s="21"/>
      <c r="C17" s="21">
        <v>2</v>
      </c>
      <c r="D17" s="21">
        <v>2</v>
      </c>
      <c r="E17" s="21">
        <v>71</v>
      </c>
      <c r="F17" s="21">
        <f>C17*E17</f>
        <v>142</v>
      </c>
      <c r="G17" s="21">
        <f>E17-D30</f>
        <v>12.299999999999997</v>
      </c>
      <c r="H17" s="21">
        <v>12.3</v>
      </c>
      <c r="I17" s="21">
        <f>H17*C17</f>
        <v>24.6</v>
      </c>
      <c r="Q17" s="27" t="s">
        <v>255</v>
      </c>
      <c r="R17" s="27">
        <f>I27/40</f>
        <v>4.41</v>
      </c>
      <c r="S17" s="27"/>
      <c r="V17" s="27" t="s">
        <v>64</v>
      </c>
      <c r="W17" s="27"/>
      <c r="Y17" s="27" t="s">
        <v>66</v>
      </c>
      <c r="Z17" s="27"/>
    </row>
    <row r="18" spans="1:26" x14ac:dyDescent="0.25">
      <c r="A18" s="21" t="s">
        <v>39</v>
      </c>
      <c r="B18" s="21"/>
      <c r="C18" s="21">
        <v>2</v>
      </c>
      <c r="D18" s="21">
        <v>4</v>
      </c>
      <c r="E18" s="21">
        <v>68</v>
      </c>
      <c r="F18" s="21">
        <f t="shared" ref="F18:F24" si="1">E18*C18</f>
        <v>136</v>
      </c>
      <c r="G18" s="21">
        <f>E18-D30</f>
        <v>9.2999999999999972</v>
      </c>
      <c r="H18" s="21">
        <v>9.3000000000000007</v>
      </c>
      <c r="I18" s="21">
        <f t="shared" ref="I18:I26" si="2">H18*C18</f>
        <v>18.600000000000001</v>
      </c>
      <c r="Q18" s="27" t="s">
        <v>64</v>
      </c>
      <c r="R18" s="27">
        <f>C27/4</f>
        <v>10</v>
      </c>
      <c r="S18" s="27">
        <f>61+3/5*((40/4)-8)</f>
        <v>62.2</v>
      </c>
      <c r="V18" s="27" t="s">
        <v>110</v>
      </c>
      <c r="W18" s="27">
        <v>40</v>
      </c>
      <c r="Y18" s="27" t="s">
        <v>110</v>
      </c>
      <c r="Z18" s="27">
        <v>40</v>
      </c>
    </row>
    <row r="19" spans="1:26" x14ac:dyDescent="0.25">
      <c r="A19" s="21" t="s">
        <v>40</v>
      </c>
      <c r="B19" s="21"/>
      <c r="C19" s="21">
        <v>4</v>
      </c>
      <c r="D19" s="21">
        <v>8</v>
      </c>
      <c r="E19" s="21">
        <v>65</v>
      </c>
      <c r="F19" s="21">
        <f t="shared" si="1"/>
        <v>260</v>
      </c>
      <c r="G19" s="21">
        <f>E19-D30</f>
        <v>6.2999999999999972</v>
      </c>
      <c r="H19" s="21">
        <v>6.3</v>
      </c>
      <c r="I19" s="21">
        <f t="shared" si="2"/>
        <v>25.2</v>
      </c>
      <c r="Q19" s="27" t="s">
        <v>66</v>
      </c>
      <c r="R19" s="27">
        <f>(3*40)/4</f>
        <v>30</v>
      </c>
      <c r="S19" s="27">
        <f>55+3/8*((3*40/4)-24)</f>
        <v>57.25</v>
      </c>
      <c r="V19" s="27" t="s">
        <v>256</v>
      </c>
      <c r="W19" s="27">
        <v>61</v>
      </c>
      <c r="Y19" s="27" t="s">
        <v>256</v>
      </c>
      <c r="Z19" s="27">
        <v>55</v>
      </c>
    </row>
    <row r="20" spans="1:26" x14ac:dyDescent="0.25">
      <c r="A20" s="21" t="s">
        <v>41</v>
      </c>
      <c r="B20" s="21"/>
      <c r="C20" s="21">
        <v>5</v>
      </c>
      <c r="D20" s="21">
        <v>13</v>
      </c>
      <c r="E20" s="21">
        <v>62</v>
      </c>
      <c r="F20" s="21">
        <f t="shared" si="1"/>
        <v>310</v>
      </c>
      <c r="G20" s="21">
        <f>E20-D30</f>
        <v>3.2999999999999972</v>
      </c>
      <c r="H20" s="21">
        <v>3.3</v>
      </c>
      <c r="I20" s="21">
        <f t="shared" si="2"/>
        <v>16.5</v>
      </c>
      <c r="Q20" s="27" t="s">
        <v>259</v>
      </c>
      <c r="R20" s="27"/>
      <c r="S20" s="27">
        <f>(S19-S18)/2</f>
        <v>-2.4750000000000014</v>
      </c>
      <c r="V20" s="27" t="s">
        <v>17</v>
      </c>
      <c r="W20" s="27">
        <v>5</v>
      </c>
      <c r="Y20" s="27" t="s">
        <v>258</v>
      </c>
      <c r="Z20" s="27">
        <v>8</v>
      </c>
    </row>
    <row r="21" spans="1:26" x14ac:dyDescent="0.25">
      <c r="A21" s="21" t="s">
        <v>42</v>
      </c>
      <c r="B21" s="21"/>
      <c r="C21" s="21">
        <v>11</v>
      </c>
      <c r="D21" s="21">
        <v>24</v>
      </c>
      <c r="E21" s="21">
        <v>59</v>
      </c>
      <c r="F21" s="21">
        <f t="shared" si="1"/>
        <v>649</v>
      </c>
      <c r="G21" s="21">
        <f>E21-D30</f>
        <v>0.29999999999999716</v>
      </c>
      <c r="H21" s="21">
        <v>0.3</v>
      </c>
      <c r="I21" s="21">
        <f t="shared" si="2"/>
        <v>3.3</v>
      </c>
      <c r="Q21" s="27" t="s">
        <v>260</v>
      </c>
      <c r="R21" s="27"/>
      <c r="S21" s="27">
        <f>(S19-S18)/(57.25+62.2)</f>
        <v>-4.143993302637089E-2</v>
      </c>
      <c r="V21" s="27" t="s">
        <v>230</v>
      </c>
      <c r="W21" s="27">
        <v>8</v>
      </c>
      <c r="Y21" s="27" t="s">
        <v>230</v>
      </c>
      <c r="Z21" s="27">
        <v>24</v>
      </c>
    </row>
    <row r="22" spans="1:26" x14ac:dyDescent="0.25">
      <c r="A22" s="21" t="s">
        <v>43</v>
      </c>
      <c r="B22" s="21"/>
      <c r="C22" s="21">
        <v>8</v>
      </c>
      <c r="D22" s="21">
        <v>32</v>
      </c>
      <c r="E22" s="21">
        <v>56</v>
      </c>
      <c r="F22" s="21">
        <f t="shared" si="1"/>
        <v>448</v>
      </c>
      <c r="G22" s="21">
        <f>E22-D30</f>
        <v>-2.7000000000000028</v>
      </c>
      <c r="H22" s="21">
        <v>2.7</v>
      </c>
      <c r="I22" s="21">
        <f t="shared" si="2"/>
        <v>21.6</v>
      </c>
      <c r="V22" s="27" t="s">
        <v>257</v>
      </c>
      <c r="W22" s="27">
        <v>3</v>
      </c>
      <c r="Y22" s="27" t="s">
        <v>257</v>
      </c>
      <c r="Z22" s="27">
        <v>3</v>
      </c>
    </row>
    <row r="23" spans="1:26" x14ac:dyDescent="0.25">
      <c r="A23" s="21" t="s">
        <v>44</v>
      </c>
      <c r="B23" s="21"/>
      <c r="C23" s="21">
        <v>4</v>
      </c>
      <c r="D23" s="21">
        <v>36</v>
      </c>
      <c r="E23" s="21">
        <v>53</v>
      </c>
      <c r="F23" s="21">
        <f t="shared" si="1"/>
        <v>212</v>
      </c>
      <c r="G23" s="21">
        <f>E23-D30</f>
        <v>-5.7000000000000028</v>
      </c>
      <c r="H23" s="21">
        <v>5.7</v>
      </c>
      <c r="I23" s="21">
        <f t="shared" si="2"/>
        <v>22.8</v>
      </c>
    </row>
    <row r="24" spans="1:26" x14ac:dyDescent="0.25">
      <c r="A24" s="21" t="s">
        <v>45</v>
      </c>
      <c r="B24" s="21"/>
      <c r="C24" s="21">
        <v>2</v>
      </c>
      <c r="D24" s="21">
        <v>38</v>
      </c>
      <c r="E24" s="21">
        <v>50</v>
      </c>
      <c r="F24" s="21">
        <f t="shared" si="1"/>
        <v>100</v>
      </c>
      <c r="G24" s="21">
        <f>E24-D30</f>
        <v>-8.7000000000000028</v>
      </c>
      <c r="H24" s="21">
        <v>8.6999999999999993</v>
      </c>
      <c r="I24" s="21">
        <f t="shared" si="2"/>
        <v>17.399999999999999</v>
      </c>
    </row>
    <row r="25" spans="1:26" x14ac:dyDescent="0.25">
      <c r="A25" s="21" t="s">
        <v>46</v>
      </c>
      <c r="B25" s="21"/>
      <c r="C25" s="21">
        <v>1</v>
      </c>
      <c r="D25" s="21">
        <v>39</v>
      </c>
      <c r="E25" s="21">
        <v>47</v>
      </c>
      <c r="F25" s="21">
        <v>47</v>
      </c>
      <c r="G25" s="21">
        <f>E25-D30</f>
        <v>-11.700000000000003</v>
      </c>
      <c r="H25" s="21">
        <v>11.7</v>
      </c>
      <c r="I25" s="21">
        <f t="shared" si="2"/>
        <v>11.7</v>
      </c>
    </row>
    <row r="26" spans="1:26" x14ac:dyDescent="0.25">
      <c r="A26" s="21" t="s">
        <v>47</v>
      </c>
      <c r="B26" s="21"/>
      <c r="C26" s="21">
        <v>1</v>
      </c>
      <c r="D26" s="21">
        <v>40</v>
      </c>
      <c r="E26" s="21">
        <v>44</v>
      </c>
      <c r="F26" s="21">
        <v>44</v>
      </c>
      <c r="G26" s="21">
        <f>E26-D30</f>
        <v>-14.700000000000003</v>
      </c>
      <c r="H26" s="21">
        <v>14.7</v>
      </c>
      <c r="I26" s="21">
        <f t="shared" si="2"/>
        <v>14.7</v>
      </c>
    </row>
    <row r="27" spans="1:26" x14ac:dyDescent="0.25">
      <c r="A27" s="28" t="s">
        <v>51</v>
      </c>
      <c r="B27" s="27"/>
      <c r="C27" s="27">
        <f>SUM(C17:C26)</f>
        <v>40</v>
      </c>
      <c r="D27" s="27"/>
      <c r="E27" s="27"/>
      <c r="F27" s="27">
        <f>SUM(F17:F26)</f>
        <v>2348</v>
      </c>
      <c r="G27" s="27">
        <f>SUM(G17:G26)</f>
        <v>-12.000000000000028</v>
      </c>
      <c r="H27" s="27">
        <f>SUM(H17:H26)</f>
        <v>75.000000000000014</v>
      </c>
      <c r="I27" s="27">
        <f>SUM(I17:I26)</f>
        <v>176.4</v>
      </c>
    </row>
    <row r="28" spans="1:26" x14ac:dyDescent="0.25">
      <c r="A28" s="30" t="s">
        <v>52</v>
      </c>
      <c r="B28" s="30"/>
      <c r="C28" s="30"/>
      <c r="D28" s="30">
        <f>MEDIAN(58+(20-13/11)*3)</f>
        <v>114.45454545454545</v>
      </c>
    </row>
    <row r="29" spans="1:26" x14ac:dyDescent="0.25">
      <c r="A29" s="30" t="s">
        <v>53</v>
      </c>
      <c r="B29" s="30"/>
      <c r="C29" s="30"/>
      <c r="D29" s="30">
        <f>58+(6/9)*3</f>
        <v>60</v>
      </c>
    </row>
    <row r="30" spans="1:26" x14ac:dyDescent="0.25">
      <c r="A30" s="30" t="s">
        <v>14</v>
      </c>
      <c r="B30" s="30"/>
      <c r="C30" s="30"/>
      <c r="D30" s="30">
        <f>F27/C27</f>
        <v>58.7</v>
      </c>
    </row>
    <row r="34" spans="1:26" x14ac:dyDescent="0.25">
      <c r="A34" s="22" t="s">
        <v>54</v>
      </c>
      <c r="B34" s="22"/>
      <c r="C34" s="22" t="s">
        <v>55</v>
      </c>
      <c r="D34" s="22" t="s">
        <v>50</v>
      </c>
      <c r="E34" s="22" t="s">
        <v>79</v>
      </c>
      <c r="F34" s="22" t="s">
        <v>80</v>
      </c>
      <c r="G34" s="22" t="s">
        <v>81</v>
      </c>
      <c r="H34" s="22" t="s">
        <v>253</v>
      </c>
      <c r="I34" s="22" t="s">
        <v>254</v>
      </c>
      <c r="V34" s="21" t="s">
        <v>64</v>
      </c>
      <c r="W34" s="21"/>
      <c r="Y34" s="21" t="s">
        <v>66</v>
      </c>
      <c r="Z34" s="21"/>
    </row>
    <row r="35" spans="1:26" x14ac:dyDescent="0.25">
      <c r="A35" s="23" t="s">
        <v>56</v>
      </c>
      <c r="B35" s="23"/>
      <c r="C35" s="23">
        <v>2</v>
      </c>
      <c r="D35" s="23">
        <v>2</v>
      </c>
      <c r="E35" s="23">
        <v>16</v>
      </c>
      <c r="F35" s="23">
        <v>32</v>
      </c>
      <c r="G35" s="23">
        <f>E35-D46</f>
        <v>-17.799999999999997</v>
      </c>
      <c r="H35" s="23">
        <v>17.8</v>
      </c>
      <c r="I35" s="23">
        <f>H35*C35</f>
        <v>35.6</v>
      </c>
      <c r="Q35" s="21" t="s">
        <v>255</v>
      </c>
      <c r="R35" s="21">
        <f>I43/35</f>
        <v>8.9599999999999991</v>
      </c>
      <c r="S35" s="21"/>
      <c r="V35" s="21" t="s">
        <v>110</v>
      </c>
      <c r="W35" s="21">
        <v>35</v>
      </c>
      <c r="Y35" s="21" t="s">
        <v>110</v>
      </c>
      <c r="Z35" s="21">
        <v>35</v>
      </c>
    </row>
    <row r="36" spans="1:26" x14ac:dyDescent="0.25">
      <c r="A36" s="23" t="s">
        <v>57</v>
      </c>
      <c r="B36" s="23"/>
      <c r="C36" s="23">
        <v>7</v>
      </c>
      <c r="D36" s="23">
        <v>9</v>
      </c>
      <c r="E36" s="23">
        <v>23</v>
      </c>
      <c r="F36" s="23">
        <v>161</v>
      </c>
      <c r="G36" s="23">
        <f>E36-D46</f>
        <v>-10.799999999999997</v>
      </c>
      <c r="H36" s="23">
        <v>10.8</v>
      </c>
      <c r="I36" s="23">
        <f t="shared" ref="I36:I42" si="3">H36*C36</f>
        <v>75.600000000000009</v>
      </c>
      <c r="Q36" s="21" t="s">
        <v>64</v>
      </c>
      <c r="R36" s="21">
        <f>35/4</f>
        <v>8.75</v>
      </c>
      <c r="S36" s="21">
        <f>20+7/7*((35/4)-2)</f>
        <v>26.75</v>
      </c>
      <c r="V36" s="21" t="s">
        <v>256</v>
      </c>
      <c r="W36" s="21">
        <v>20</v>
      </c>
      <c r="Y36" s="21" t="s">
        <v>256</v>
      </c>
      <c r="Z36" s="21">
        <v>41</v>
      </c>
    </row>
    <row r="37" spans="1:26" x14ac:dyDescent="0.25">
      <c r="A37" s="23" t="s">
        <v>58</v>
      </c>
      <c r="B37" s="23"/>
      <c r="C37" s="23">
        <v>12</v>
      </c>
      <c r="D37" s="23">
        <v>21</v>
      </c>
      <c r="E37" s="23">
        <v>30</v>
      </c>
      <c r="F37" s="23">
        <v>360</v>
      </c>
      <c r="G37" s="23">
        <f>E37-D46</f>
        <v>-3.7999999999999972</v>
      </c>
      <c r="H37" s="23">
        <v>3.8</v>
      </c>
      <c r="I37" s="23">
        <f>H37*C37</f>
        <v>45.599999999999994</v>
      </c>
      <c r="Q37" s="21" t="s">
        <v>66</v>
      </c>
      <c r="R37" s="21">
        <f>(3*35)/4</f>
        <v>26.25</v>
      </c>
      <c r="S37" s="21">
        <f>41+7/6*((3*35/4)-26)</f>
        <v>41.291666666666664</v>
      </c>
      <c r="V37" s="21" t="s">
        <v>17</v>
      </c>
      <c r="W37" s="21">
        <v>7</v>
      </c>
      <c r="Y37" s="21" t="s">
        <v>258</v>
      </c>
      <c r="Z37" s="21">
        <v>6</v>
      </c>
    </row>
    <row r="38" spans="1:26" x14ac:dyDescent="0.25">
      <c r="A38" s="23" t="s">
        <v>59</v>
      </c>
      <c r="B38" s="23"/>
      <c r="C38" s="23">
        <v>5</v>
      </c>
      <c r="D38" s="23">
        <v>26</v>
      </c>
      <c r="E38" s="23">
        <v>37</v>
      </c>
      <c r="F38" s="23">
        <v>185</v>
      </c>
      <c r="G38" s="23">
        <f>E38-D46</f>
        <v>3.2000000000000028</v>
      </c>
      <c r="H38" s="23">
        <v>3.2</v>
      </c>
      <c r="I38" s="23">
        <f t="shared" si="3"/>
        <v>16</v>
      </c>
      <c r="Q38" s="21" t="s">
        <v>259</v>
      </c>
      <c r="R38" s="21"/>
      <c r="S38" s="21">
        <f>(S37-S36)/2</f>
        <v>7.2708333333333321</v>
      </c>
      <c r="V38" s="21" t="s">
        <v>230</v>
      </c>
      <c r="W38" s="21">
        <v>2</v>
      </c>
      <c r="Y38" s="21" t="s">
        <v>230</v>
      </c>
      <c r="Z38" s="21">
        <v>26</v>
      </c>
    </row>
    <row r="39" spans="1:26" x14ac:dyDescent="0.25">
      <c r="A39" s="23" t="s">
        <v>60</v>
      </c>
      <c r="B39" s="23"/>
      <c r="C39" s="23">
        <v>6</v>
      </c>
      <c r="D39" s="23">
        <v>32</v>
      </c>
      <c r="E39" s="23">
        <v>44</v>
      </c>
      <c r="F39" s="23">
        <v>264</v>
      </c>
      <c r="G39" s="23">
        <f>E39-D46</f>
        <v>10.200000000000003</v>
      </c>
      <c r="H39" s="23">
        <v>10.199999999999999</v>
      </c>
      <c r="I39" s="23">
        <f t="shared" si="3"/>
        <v>61.199999999999996</v>
      </c>
      <c r="Q39" s="21" t="s">
        <v>260</v>
      </c>
      <c r="R39" s="21"/>
      <c r="S39" s="21">
        <f>(S37-S36)/(41.29167+26.75)</f>
        <v>0.21371707464950027</v>
      </c>
      <c r="V39" s="21" t="s">
        <v>257</v>
      </c>
      <c r="W39" s="21">
        <v>7</v>
      </c>
      <c r="Y39" s="21" t="s">
        <v>257</v>
      </c>
      <c r="Z39" s="21">
        <v>7</v>
      </c>
    </row>
    <row r="40" spans="1:26" x14ac:dyDescent="0.25">
      <c r="A40" s="23" t="s">
        <v>61</v>
      </c>
      <c r="B40" s="23"/>
      <c r="C40" s="23">
        <v>1</v>
      </c>
      <c r="D40" s="23">
        <v>33</v>
      </c>
      <c r="E40" s="23">
        <v>51</v>
      </c>
      <c r="F40" s="23">
        <v>51</v>
      </c>
      <c r="G40" s="23">
        <f>E40-D46</f>
        <v>17.200000000000003</v>
      </c>
      <c r="H40" s="23">
        <v>17.2</v>
      </c>
      <c r="I40" s="23">
        <f t="shared" si="3"/>
        <v>17.2</v>
      </c>
    </row>
    <row r="41" spans="1:26" x14ac:dyDescent="0.25">
      <c r="A41" s="23" t="s">
        <v>62</v>
      </c>
      <c r="B41" s="23"/>
      <c r="C41" s="23">
        <v>0</v>
      </c>
      <c r="D41" s="23">
        <v>33</v>
      </c>
      <c r="E41" s="23">
        <v>58</v>
      </c>
      <c r="F41" s="23">
        <v>0</v>
      </c>
      <c r="G41" s="23">
        <f>E41-D46</f>
        <v>24.200000000000003</v>
      </c>
      <c r="H41" s="23">
        <v>24.2</v>
      </c>
      <c r="I41" s="23">
        <f t="shared" si="3"/>
        <v>0</v>
      </c>
    </row>
    <row r="42" spans="1:26" x14ac:dyDescent="0.25">
      <c r="A42" s="23" t="s">
        <v>63</v>
      </c>
      <c r="B42" s="23"/>
      <c r="C42" s="23">
        <v>2</v>
      </c>
      <c r="D42" s="23">
        <v>35</v>
      </c>
      <c r="E42" s="23">
        <v>65</v>
      </c>
      <c r="F42" s="23">
        <v>130</v>
      </c>
      <c r="G42" s="23">
        <f>E42-D46</f>
        <v>31.200000000000003</v>
      </c>
      <c r="H42" s="23">
        <v>31.2</v>
      </c>
      <c r="I42" s="23">
        <f t="shared" si="3"/>
        <v>62.4</v>
      </c>
    </row>
    <row r="43" spans="1:26" ht="15.75" x14ac:dyDescent="0.25">
      <c r="A43" s="31" t="s">
        <v>51</v>
      </c>
      <c r="B43" s="21"/>
      <c r="C43" s="21">
        <f>SUM(C35:C42)</f>
        <v>35</v>
      </c>
      <c r="D43" s="21"/>
      <c r="E43" s="21"/>
      <c r="F43" s="21">
        <f>SUM(F35:F42)</f>
        <v>1183</v>
      </c>
      <c r="G43" s="21">
        <f>SUM(G35:G42)</f>
        <v>53.600000000000023</v>
      </c>
      <c r="H43" s="21"/>
      <c r="I43" s="21">
        <f>SUM(I35:I42)</f>
        <v>313.59999999999997</v>
      </c>
    </row>
    <row r="44" spans="1:26" x14ac:dyDescent="0.25">
      <c r="A44" s="32" t="s">
        <v>52</v>
      </c>
      <c r="B44" s="23"/>
      <c r="C44" s="23"/>
      <c r="D44" s="23">
        <f>MEDIAN(27+(17.5-9/12)*7)</f>
        <v>144.25</v>
      </c>
    </row>
    <row r="45" spans="1:26" x14ac:dyDescent="0.25">
      <c r="A45" s="32" t="s">
        <v>53</v>
      </c>
      <c r="B45" s="23"/>
      <c r="C45" s="23"/>
      <c r="D45" s="23">
        <f>27+(12-7/24-7-5)*7</f>
        <v>24.958333333333336</v>
      </c>
    </row>
    <row r="46" spans="1:26" x14ac:dyDescent="0.25">
      <c r="A46" s="32" t="s">
        <v>82</v>
      </c>
      <c r="B46" s="23"/>
      <c r="C46" s="23"/>
      <c r="D46" s="23">
        <f>F43/C43</f>
        <v>33.799999999999997</v>
      </c>
    </row>
    <row r="50" spans="1:26" x14ac:dyDescent="0.25">
      <c r="A50" s="46" t="s">
        <v>221</v>
      </c>
      <c r="B50" s="46" t="s">
        <v>17</v>
      </c>
      <c r="C50" s="46" t="s">
        <v>228</v>
      </c>
      <c r="D50" s="46" t="s">
        <v>229</v>
      </c>
      <c r="E50" s="46" t="s">
        <v>68</v>
      </c>
      <c r="F50" s="46" t="s">
        <v>230</v>
      </c>
      <c r="G50" s="46" t="s">
        <v>253</v>
      </c>
      <c r="H50" s="46" t="s">
        <v>254</v>
      </c>
      <c r="K50" s="24" t="s">
        <v>82</v>
      </c>
      <c r="L50" s="24">
        <f>D57/6</f>
        <v>65.833333333333329</v>
      </c>
      <c r="Q50" s="25" t="s">
        <v>255</v>
      </c>
      <c r="R50" s="25">
        <f>H57/20</f>
        <v>46.083300000000001</v>
      </c>
      <c r="S50" s="25"/>
      <c r="V50" s="25" t="s">
        <v>64</v>
      </c>
      <c r="W50" s="25"/>
      <c r="Y50" s="25" t="s">
        <v>66</v>
      </c>
      <c r="Z50" s="25"/>
    </row>
    <row r="51" spans="1:26" x14ac:dyDescent="0.25">
      <c r="A51" s="59" t="s">
        <v>222</v>
      </c>
      <c r="B51" s="60">
        <v>1</v>
      </c>
      <c r="C51" s="56">
        <f>(5+9)/2</f>
        <v>7</v>
      </c>
      <c r="D51" s="56">
        <f>B51*C51</f>
        <v>7</v>
      </c>
      <c r="E51" s="56">
        <f>C51-L50</f>
        <v>-58.833333333333329</v>
      </c>
      <c r="F51" s="56">
        <v>1</v>
      </c>
      <c r="G51" s="56">
        <v>58.833300000000001</v>
      </c>
      <c r="H51" s="56">
        <f>G51*B51</f>
        <v>58.833300000000001</v>
      </c>
      <c r="K51" s="24" t="s">
        <v>52</v>
      </c>
      <c r="L51" s="24">
        <f>15+(5/6)*5</f>
        <v>19.166666666666668</v>
      </c>
      <c r="Q51" s="25" t="s">
        <v>64</v>
      </c>
      <c r="R51" s="25">
        <f>20/4</f>
        <v>5</v>
      </c>
      <c r="S51" s="25">
        <f>10+5/4*((20/4)-1)</f>
        <v>15</v>
      </c>
      <c r="V51" s="25" t="s">
        <v>110</v>
      </c>
      <c r="W51" s="25">
        <v>20</v>
      </c>
      <c r="Y51" s="25" t="s">
        <v>110</v>
      </c>
      <c r="Z51" s="25">
        <v>20</v>
      </c>
    </row>
    <row r="52" spans="1:26" x14ac:dyDescent="0.25">
      <c r="A52" s="59" t="s">
        <v>223</v>
      </c>
      <c r="B52" s="56">
        <v>4</v>
      </c>
      <c r="C52" s="56">
        <f>(10+14)/2</f>
        <v>12</v>
      </c>
      <c r="D52" s="56">
        <f t="shared" ref="D52:D56" si="4">B52*C52</f>
        <v>48</v>
      </c>
      <c r="E52" s="56">
        <f>C52-L50</f>
        <v>-53.833333333333329</v>
      </c>
      <c r="F52" s="56">
        <v>5</v>
      </c>
      <c r="G52" s="56">
        <v>53.833300000000001</v>
      </c>
      <c r="H52" s="56">
        <f t="shared" ref="H52:H56" si="5">G52*B52</f>
        <v>215.33320000000001</v>
      </c>
      <c r="K52" s="24" t="s">
        <v>53</v>
      </c>
      <c r="L52" s="24">
        <f>15+(2/4)*5</f>
        <v>17.5</v>
      </c>
      <c r="Q52" s="25" t="s">
        <v>66</v>
      </c>
      <c r="R52" s="25">
        <f>(3*20)/4</f>
        <v>15</v>
      </c>
      <c r="S52" s="25">
        <f>20+5/4*((3*20/4)-11)</f>
        <v>25</v>
      </c>
      <c r="V52" s="25" t="s">
        <v>256</v>
      </c>
      <c r="W52" s="25">
        <v>10</v>
      </c>
      <c r="Y52" s="25" t="s">
        <v>256</v>
      </c>
      <c r="Z52" s="25">
        <v>20</v>
      </c>
    </row>
    <row r="53" spans="1:26" x14ac:dyDescent="0.25">
      <c r="A53" s="61" t="s">
        <v>224</v>
      </c>
      <c r="B53" s="56">
        <v>6</v>
      </c>
      <c r="C53" s="56">
        <v>17</v>
      </c>
      <c r="D53" s="56">
        <f t="shared" si="4"/>
        <v>102</v>
      </c>
      <c r="E53" s="56">
        <f>C53-L50</f>
        <v>-48.833333333333329</v>
      </c>
      <c r="F53" s="56">
        <v>11</v>
      </c>
      <c r="G53" s="56">
        <v>48.833300000000001</v>
      </c>
      <c r="H53" s="56">
        <f t="shared" si="5"/>
        <v>292.99979999999999</v>
      </c>
      <c r="K53" s="24" t="s">
        <v>216</v>
      </c>
      <c r="L53" s="24">
        <f>SQRT(E58/20)</f>
        <v>62.16268977449414</v>
      </c>
      <c r="Q53" s="25" t="s">
        <v>259</v>
      </c>
      <c r="R53" s="25"/>
      <c r="S53" s="25">
        <f>(S52-S51)/2</f>
        <v>5</v>
      </c>
      <c r="V53" s="25" t="s">
        <v>17</v>
      </c>
      <c r="W53" s="25">
        <v>4</v>
      </c>
      <c r="Y53" s="25" t="s">
        <v>258</v>
      </c>
      <c r="Z53" s="25">
        <v>4</v>
      </c>
    </row>
    <row r="54" spans="1:26" x14ac:dyDescent="0.25">
      <c r="A54" s="61" t="s">
        <v>225</v>
      </c>
      <c r="B54" s="56">
        <v>4</v>
      </c>
      <c r="C54" s="56">
        <v>22</v>
      </c>
      <c r="D54" s="56">
        <f t="shared" si="4"/>
        <v>88</v>
      </c>
      <c r="E54" s="56">
        <f>C54-L50</f>
        <v>-43.833333333333329</v>
      </c>
      <c r="F54" s="56">
        <v>15</v>
      </c>
      <c r="G54" s="56">
        <v>43.833300000000001</v>
      </c>
      <c r="H54" s="56">
        <f t="shared" si="5"/>
        <v>175.33320000000001</v>
      </c>
      <c r="K54" s="24" t="s">
        <v>217</v>
      </c>
      <c r="L54" s="24">
        <f>L53^2</f>
        <v>3864.1999999999985</v>
      </c>
      <c r="Q54" s="25" t="s">
        <v>260</v>
      </c>
      <c r="R54" s="25"/>
      <c r="S54" s="25">
        <f>(S52-S51)/(25+15)</f>
        <v>0.25</v>
      </c>
      <c r="V54" s="25" t="s">
        <v>230</v>
      </c>
      <c r="W54" s="25">
        <v>1</v>
      </c>
      <c r="Y54" s="25" t="s">
        <v>230</v>
      </c>
      <c r="Z54" s="25">
        <v>11</v>
      </c>
    </row>
    <row r="55" spans="1:26" x14ac:dyDescent="0.25">
      <c r="A55" s="61" t="s">
        <v>226</v>
      </c>
      <c r="B55" s="56">
        <v>2</v>
      </c>
      <c r="C55" s="56">
        <v>27</v>
      </c>
      <c r="D55" s="56">
        <f t="shared" si="4"/>
        <v>54</v>
      </c>
      <c r="E55" s="56">
        <f>C55-L50</f>
        <v>-38.833333333333329</v>
      </c>
      <c r="F55" s="56">
        <v>17</v>
      </c>
      <c r="G55" s="56">
        <v>38.833300000000001</v>
      </c>
      <c r="H55" s="56">
        <f t="shared" si="5"/>
        <v>77.666600000000003</v>
      </c>
      <c r="V55" s="25" t="s">
        <v>257</v>
      </c>
      <c r="W55" s="25">
        <v>5</v>
      </c>
      <c r="Y55" s="25" t="s">
        <v>257</v>
      </c>
      <c r="Z55" s="25">
        <v>5</v>
      </c>
    </row>
    <row r="56" spans="1:26" x14ac:dyDescent="0.25">
      <c r="A56" s="61" t="s">
        <v>227</v>
      </c>
      <c r="B56" s="56">
        <v>3</v>
      </c>
      <c r="C56" s="56">
        <v>32</v>
      </c>
      <c r="D56" s="56">
        <f t="shared" si="4"/>
        <v>96</v>
      </c>
      <c r="E56" s="56">
        <f>C56-L50</f>
        <v>-33.833333333333329</v>
      </c>
      <c r="F56" s="56">
        <v>20</v>
      </c>
      <c r="G56" s="56">
        <v>33.833300000000001</v>
      </c>
      <c r="H56" s="56">
        <f t="shared" si="5"/>
        <v>101.4999</v>
      </c>
    </row>
    <row r="57" spans="1:26" x14ac:dyDescent="0.25">
      <c r="A57" s="55"/>
      <c r="B57" s="55"/>
      <c r="C57" s="55"/>
      <c r="D57" s="46">
        <f>SUM(D51:D56)</f>
        <v>395</v>
      </c>
      <c r="E57" s="46">
        <f>SUM(E51:E56)</f>
        <v>-277.99999999999994</v>
      </c>
      <c r="F57" s="55"/>
      <c r="H57" s="46">
        <f>SUM(H51:H56)</f>
        <v>921.66600000000005</v>
      </c>
    </row>
    <row r="58" spans="1:26" x14ac:dyDescent="0.25">
      <c r="A58" s="55"/>
      <c r="B58" s="55"/>
      <c r="C58" s="55"/>
      <c r="D58" s="46"/>
      <c r="E58" s="46">
        <f>E57^2</f>
        <v>77283.999999999971</v>
      </c>
      <c r="F58" s="55"/>
    </row>
    <row r="62" spans="1:26" x14ac:dyDescent="0.25">
      <c r="A62" s="6" t="s">
        <v>231</v>
      </c>
      <c r="B62" s="6" t="s">
        <v>17</v>
      </c>
      <c r="C62" s="6" t="s">
        <v>233</v>
      </c>
      <c r="D62" s="6" t="s">
        <v>234</v>
      </c>
      <c r="E62" s="6" t="s">
        <v>235</v>
      </c>
      <c r="F62" s="6" t="s">
        <v>230</v>
      </c>
      <c r="G62" s="6" t="s">
        <v>253</v>
      </c>
      <c r="H62" s="6" t="s">
        <v>254</v>
      </c>
      <c r="L62" s="6" t="s">
        <v>14</v>
      </c>
      <c r="M62" s="6">
        <f>D68/5</f>
        <v>322.8</v>
      </c>
      <c r="Q62" s="6" t="s">
        <v>255</v>
      </c>
      <c r="R62" s="6">
        <f>H68/92</f>
        <v>305.25652173913039</v>
      </c>
      <c r="S62" s="6"/>
      <c r="V62" s="6" t="s">
        <v>64</v>
      </c>
      <c r="W62" s="6"/>
      <c r="Y62" s="6" t="s">
        <v>66</v>
      </c>
      <c r="Z62" s="6"/>
    </row>
    <row r="63" spans="1:26" x14ac:dyDescent="0.25">
      <c r="A63" s="6" t="s">
        <v>237</v>
      </c>
      <c r="B63" s="6">
        <v>30</v>
      </c>
      <c r="C63" s="6">
        <v>4.5</v>
      </c>
      <c r="D63" s="6">
        <f>B63*C63</f>
        <v>135</v>
      </c>
      <c r="E63" s="6">
        <f>C63-M62</f>
        <v>-318.3</v>
      </c>
      <c r="F63" s="6">
        <v>30</v>
      </c>
      <c r="G63" s="6">
        <v>318.3</v>
      </c>
      <c r="H63" s="6">
        <f>G63*B63</f>
        <v>9549</v>
      </c>
      <c r="L63" s="6" t="s">
        <v>210</v>
      </c>
      <c r="M63" s="6">
        <f>10+(16/27)*10</f>
        <v>15.925925925925926</v>
      </c>
      <c r="Q63" s="6" t="s">
        <v>64</v>
      </c>
      <c r="R63" s="6">
        <f>92/4</f>
        <v>23</v>
      </c>
      <c r="S63" s="6">
        <f>0+10/30*((92/4)-0)</f>
        <v>7.6666666666666661</v>
      </c>
      <c r="V63" s="6" t="s">
        <v>110</v>
      </c>
      <c r="W63" s="6">
        <v>92</v>
      </c>
      <c r="Y63" s="6" t="s">
        <v>110</v>
      </c>
      <c r="Z63" s="6">
        <v>92</v>
      </c>
    </row>
    <row r="64" spans="1:26" x14ac:dyDescent="0.25">
      <c r="A64" s="52" t="s">
        <v>241</v>
      </c>
      <c r="B64" s="6">
        <v>27</v>
      </c>
      <c r="C64" s="6">
        <f>29/2</f>
        <v>14.5</v>
      </c>
      <c r="D64" s="6">
        <f t="shared" ref="D64:D67" si="6">B64*C64</f>
        <v>391.5</v>
      </c>
      <c r="E64" s="6">
        <f>C64-M62</f>
        <v>-308.3</v>
      </c>
      <c r="F64" s="6">
        <v>57</v>
      </c>
      <c r="G64" s="6">
        <v>308.3</v>
      </c>
      <c r="H64" s="6">
        <f t="shared" ref="H64:H67" si="7">G64*B64</f>
        <v>8324.1</v>
      </c>
      <c r="L64" s="6" t="s">
        <v>215</v>
      </c>
      <c r="M64" s="6">
        <f>10+(-3/10)*10</f>
        <v>7</v>
      </c>
      <c r="Q64" s="6" t="s">
        <v>66</v>
      </c>
      <c r="R64" s="6">
        <f>(3*92)/4</f>
        <v>69</v>
      </c>
      <c r="S64" s="6">
        <f>20+10/14*((3*92/4)-57)</f>
        <v>28.571428571428569</v>
      </c>
      <c r="V64" s="6" t="s">
        <v>256</v>
      </c>
      <c r="W64" s="6">
        <v>0</v>
      </c>
      <c r="Y64" s="6" t="s">
        <v>256</v>
      </c>
      <c r="Z64" s="6">
        <v>20</v>
      </c>
    </row>
    <row r="65" spans="1:26" x14ac:dyDescent="0.25">
      <c r="A65" s="6" t="s">
        <v>238</v>
      </c>
      <c r="B65" s="6">
        <v>14</v>
      </c>
      <c r="C65" s="6">
        <v>24.5</v>
      </c>
      <c r="D65" s="6">
        <f t="shared" si="6"/>
        <v>343</v>
      </c>
      <c r="E65" s="6">
        <f>C65-M62</f>
        <v>-298.3</v>
      </c>
      <c r="F65" s="6">
        <v>71</v>
      </c>
      <c r="G65" s="6">
        <v>298.3</v>
      </c>
      <c r="H65" s="6">
        <f t="shared" si="7"/>
        <v>4176.2</v>
      </c>
      <c r="L65" s="6" t="s">
        <v>69</v>
      </c>
      <c r="M65" s="6">
        <f>SQRT(E69/B68)</f>
        <v>155.4996242830635</v>
      </c>
      <c r="Q65" s="6" t="s">
        <v>259</v>
      </c>
      <c r="R65" s="6"/>
      <c r="S65" s="6">
        <f>(S64-S63)/2</f>
        <v>10.452380952380953</v>
      </c>
      <c r="V65" s="6" t="s">
        <v>17</v>
      </c>
      <c r="W65" s="6">
        <v>30</v>
      </c>
      <c r="Y65" s="6" t="s">
        <v>258</v>
      </c>
      <c r="Z65" s="6">
        <v>14</v>
      </c>
    </row>
    <row r="66" spans="1:26" x14ac:dyDescent="0.25">
      <c r="A66" s="6" t="s">
        <v>239</v>
      </c>
      <c r="B66" s="6">
        <v>19</v>
      </c>
      <c r="C66" s="6">
        <v>34.5</v>
      </c>
      <c r="D66" s="6">
        <f t="shared" si="6"/>
        <v>655.5</v>
      </c>
      <c r="E66" s="6">
        <f>C66-M62</f>
        <v>-288.3</v>
      </c>
      <c r="F66" s="6">
        <v>90</v>
      </c>
      <c r="G66" s="6">
        <v>288.3</v>
      </c>
      <c r="H66" s="6">
        <f t="shared" si="7"/>
        <v>5477.7</v>
      </c>
      <c r="L66" s="6" t="s">
        <v>236</v>
      </c>
      <c r="M66" s="6">
        <f>M65^2</f>
        <v>24180.133152173912</v>
      </c>
      <c r="Q66" s="6" t="s">
        <v>260</v>
      </c>
      <c r="R66" s="6"/>
      <c r="S66" s="6">
        <f>(S64-S63)/(28.57143+7.666667)</f>
        <v>0.5768725080889846</v>
      </c>
      <c r="V66" s="6" t="s">
        <v>230</v>
      </c>
      <c r="W66" s="6">
        <v>0</v>
      </c>
      <c r="Y66" s="6" t="s">
        <v>230</v>
      </c>
      <c r="Z66" s="6">
        <v>57</v>
      </c>
    </row>
    <row r="67" spans="1:26" x14ac:dyDescent="0.25">
      <c r="A67" s="6" t="s">
        <v>240</v>
      </c>
      <c r="B67" s="6">
        <v>2</v>
      </c>
      <c r="C67" s="6">
        <v>44.5</v>
      </c>
      <c r="D67" s="6">
        <f t="shared" si="6"/>
        <v>89</v>
      </c>
      <c r="E67" s="6">
        <f>C67-M62</f>
        <v>-278.3</v>
      </c>
      <c r="F67" s="6">
        <v>92</v>
      </c>
      <c r="G67" s="6">
        <v>278.3</v>
      </c>
      <c r="H67" s="6">
        <f t="shared" si="7"/>
        <v>556.6</v>
      </c>
      <c r="V67" s="6" t="s">
        <v>257</v>
      </c>
      <c r="W67" s="6">
        <v>10</v>
      </c>
      <c r="Y67" s="6" t="s">
        <v>257</v>
      </c>
      <c r="Z67" s="6">
        <v>10</v>
      </c>
    </row>
    <row r="68" spans="1:26" x14ac:dyDescent="0.25">
      <c r="A68" s="24" t="s">
        <v>232</v>
      </c>
      <c r="B68" s="24">
        <f>SUM(B63:B67)</f>
        <v>92</v>
      </c>
      <c r="C68" s="24"/>
      <c r="D68" s="24">
        <f>SUM(D63:D67)</f>
        <v>1614</v>
      </c>
      <c r="E68" s="24">
        <f>SUM(E63:E67)</f>
        <v>-1491.5</v>
      </c>
      <c r="H68" s="24">
        <f>SUM(H63:H67)</f>
        <v>28083.599999999999</v>
      </c>
    </row>
    <row r="69" spans="1:26" x14ac:dyDescent="0.25">
      <c r="E69" s="24">
        <f>E68^2</f>
        <v>2224572.25</v>
      </c>
    </row>
    <row r="72" spans="1:26" x14ac:dyDescent="0.25">
      <c r="A72" s="53" t="s">
        <v>242</v>
      </c>
      <c r="B72" s="53" t="s">
        <v>243</v>
      </c>
      <c r="C72" s="53" t="s">
        <v>68</v>
      </c>
      <c r="D72" s="53" t="s">
        <v>253</v>
      </c>
      <c r="E72" s="53" t="s">
        <v>254</v>
      </c>
      <c r="F72" s="62" t="s">
        <v>214</v>
      </c>
      <c r="G72" s="66"/>
      <c r="H72" s="67"/>
      <c r="I72" s="67"/>
      <c r="J72" s="66"/>
      <c r="K72" s="66"/>
      <c r="L72" s="66"/>
      <c r="M72" s="66"/>
    </row>
    <row r="73" spans="1:26" x14ac:dyDescent="0.25">
      <c r="A73" s="55">
        <v>3</v>
      </c>
      <c r="B73" s="55">
        <v>1</v>
      </c>
      <c r="C73" s="55">
        <f>A73-J74</f>
        <v>-8.6666666666666661</v>
      </c>
      <c r="D73" s="55">
        <v>8.6666699999999999</v>
      </c>
      <c r="E73" s="55">
        <f>D73*B73</f>
        <v>8.6666699999999999</v>
      </c>
      <c r="F73" s="63">
        <v>1</v>
      </c>
      <c r="G73" s="65"/>
      <c r="H73" s="65"/>
      <c r="I73" s="69" t="s">
        <v>255</v>
      </c>
      <c r="J73" s="69">
        <f>E79/15</f>
        <v>2.9555562444444443</v>
      </c>
      <c r="K73" s="65"/>
      <c r="L73" s="65"/>
      <c r="M73" s="65"/>
      <c r="R73" s="68"/>
      <c r="S73" s="68"/>
      <c r="T73" s="68"/>
    </row>
    <row r="74" spans="1:26" x14ac:dyDescent="0.25">
      <c r="A74" s="55">
        <v>9</v>
      </c>
      <c r="B74" s="55">
        <v>3</v>
      </c>
      <c r="C74" s="55">
        <f>A74-J74</f>
        <v>-2.6666666666666661</v>
      </c>
      <c r="D74" s="55">
        <v>2.6666699999999999</v>
      </c>
      <c r="E74" s="55">
        <f t="shared" ref="E74:E78" si="8">D74*B74</f>
        <v>8.0000099999999996</v>
      </c>
      <c r="F74" s="63">
        <v>4</v>
      </c>
      <c r="G74" s="65"/>
      <c r="H74" s="65"/>
      <c r="I74" s="24" t="s">
        <v>25</v>
      </c>
      <c r="J74" s="21">
        <f>70/6</f>
        <v>11.666666666666666</v>
      </c>
      <c r="K74" s="65"/>
      <c r="L74" s="65"/>
      <c r="M74" s="65"/>
      <c r="R74" s="68"/>
      <c r="S74" s="68"/>
      <c r="T74" s="68"/>
    </row>
    <row r="75" spans="1:26" x14ac:dyDescent="0.25">
      <c r="A75" s="55">
        <v>12</v>
      </c>
      <c r="B75" s="55">
        <v>4</v>
      </c>
      <c r="C75" s="55">
        <f>A75-J74</f>
        <v>0.33333333333333393</v>
      </c>
      <c r="D75" s="55">
        <v>0.33333299999999999</v>
      </c>
      <c r="E75" s="55">
        <f t="shared" si="8"/>
        <v>1.333332</v>
      </c>
      <c r="F75" s="63">
        <v>8</v>
      </c>
      <c r="G75" s="65"/>
      <c r="H75" s="65"/>
      <c r="I75" s="24" t="s">
        <v>36</v>
      </c>
      <c r="J75" s="21">
        <f>26/2</f>
        <v>13</v>
      </c>
      <c r="K75" s="65"/>
      <c r="L75" s="65"/>
      <c r="M75" s="65"/>
    </row>
    <row r="76" spans="1:26" x14ac:dyDescent="0.25">
      <c r="A76" s="55">
        <v>14</v>
      </c>
      <c r="B76" s="55">
        <v>1</v>
      </c>
      <c r="C76" s="55">
        <f>A76-J74</f>
        <v>2.3333333333333339</v>
      </c>
      <c r="D76" s="55">
        <v>2.3333330000000001</v>
      </c>
      <c r="E76" s="55">
        <f t="shared" si="8"/>
        <v>2.3333330000000001</v>
      </c>
      <c r="F76" s="63">
        <v>9</v>
      </c>
      <c r="G76" s="65"/>
      <c r="H76" s="65"/>
      <c r="I76" s="24" t="s">
        <v>216</v>
      </c>
      <c r="J76" s="21">
        <f>SQRT(C80/B79)</f>
        <v>0</v>
      </c>
      <c r="K76" s="65"/>
      <c r="L76" s="65"/>
      <c r="M76" s="65"/>
    </row>
    <row r="77" spans="1:26" x14ac:dyDescent="0.25">
      <c r="A77" s="55">
        <v>15</v>
      </c>
      <c r="B77" s="55">
        <v>4</v>
      </c>
      <c r="C77" s="55">
        <f>A77-J74</f>
        <v>3.3333333333333339</v>
      </c>
      <c r="D77" s="55">
        <v>3.3333330000000001</v>
      </c>
      <c r="E77" s="55">
        <f t="shared" si="8"/>
        <v>13.333332</v>
      </c>
      <c r="F77" s="63">
        <v>13</v>
      </c>
      <c r="G77" s="65"/>
      <c r="H77" s="65"/>
      <c r="I77" s="24" t="s">
        <v>217</v>
      </c>
      <c r="J77" s="21">
        <f>J76^2</f>
        <v>0</v>
      </c>
      <c r="K77" s="65"/>
      <c r="L77" s="65"/>
      <c r="M77" s="65"/>
    </row>
    <row r="78" spans="1:26" x14ac:dyDescent="0.25">
      <c r="A78" s="55">
        <v>17</v>
      </c>
      <c r="B78" s="55">
        <v>2</v>
      </c>
      <c r="C78" s="55">
        <f>A78-J74</f>
        <v>5.3333333333333339</v>
      </c>
      <c r="D78" s="55">
        <f>C78</f>
        <v>5.3333333333333339</v>
      </c>
      <c r="E78" s="55">
        <f t="shared" si="8"/>
        <v>10.666666666666668</v>
      </c>
      <c r="F78" s="63">
        <v>15</v>
      </c>
      <c r="G78" s="65"/>
      <c r="H78" s="65"/>
      <c r="I78" s="24" t="s">
        <v>246</v>
      </c>
      <c r="J78" s="21">
        <f>6*(G79)</f>
        <v>0</v>
      </c>
      <c r="K78" s="65"/>
      <c r="L78" s="65"/>
      <c r="M78" s="65"/>
    </row>
    <row r="79" spans="1:26" x14ac:dyDescent="0.25">
      <c r="A79" s="56">
        <f>SUM(A73:A78)</f>
        <v>70</v>
      </c>
      <c r="B79" s="56">
        <f>SUM(B73:B78)</f>
        <v>15</v>
      </c>
      <c r="C79" s="56">
        <f>SUM(C73:C78)</f>
        <v>0</v>
      </c>
      <c r="D79" s="56"/>
      <c r="E79" s="56">
        <f>SUM(E73:E78)</f>
        <v>44.333343666666664</v>
      </c>
      <c r="F79" s="64"/>
      <c r="G79" s="66"/>
      <c r="H79" s="66"/>
      <c r="I79" s="24" t="s">
        <v>247</v>
      </c>
      <c r="J79" s="21">
        <f>6*(36-1)</f>
        <v>210</v>
      </c>
      <c r="K79" s="66"/>
      <c r="L79" s="66"/>
      <c r="M79" s="66"/>
    </row>
    <row r="80" spans="1:26" x14ac:dyDescent="0.25">
      <c r="A80">
        <f>J74</f>
        <v>11.666666666666666</v>
      </c>
      <c r="B80">
        <f>15/6</f>
        <v>2.5</v>
      </c>
      <c r="C80">
        <f>C79^2</f>
        <v>0</v>
      </c>
      <c r="I80" s="24" t="s">
        <v>136</v>
      </c>
      <c r="J80" s="21">
        <f>1-(J78/J79)</f>
        <v>1</v>
      </c>
    </row>
    <row r="82" spans="1:13" x14ac:dyDescent="0.25">
      <c r="A82" t="s">
        <v>73</v>
      </c>
      <c r="B82" t="s">
        <v>91</v>
      </c>
    </row>
    <row r="83" spans="1:13" x14ac:dyDescent="0.25">
      <c r="A83" s="70" t="s">
        <v>262</v>
      </c>
      <c r="B83" s="70" t="s">
        <v>263</v>
      </c>
      <c r="C83" s="71" t="s">
        <v>127</v>
      </c>
      <c r="D83" s="71" t="s">
        <v>128</v>
      </c>
      <c r="E83" s="71" t="s">
        <v>129</v>
      </c>
      <c r="F83" s="71" t="s">
        <v>130</v>
      </c>
      <c r="G83" s="66"/>
      <c r="H83" s="67"/>
      <c r="I83" s="67"/>
      <c r="J83" s="66"/>
      <c r="K83" s="66"/>
      <c r="L83" s="66"/>
      <c r="M83" s="66"/>
    </row>
    <row r="84" spans="1:13" x14ac:dyDescent="0.25">
      <c r="A84" s="55">
        <v>80</v>
      </c>
      <c r="B84" s="55">
        <v>5</v>
      </c>
      <c r="C84" s="55">
        <v>5</v>
      </c>
      <c r="D84" s="55">
        <v>13</v>
      </c>
      <c r="E84" s="55">
        <f>C84-D84</f>
        <v>-8</v>
      </c>
      <c r="F84" s="55">
        <f>E84^2</f>
        <v>64</v>
      </c>
      <c r="I84" s="5" t="s">
        <v>89</v>
      </c>
      <c r="J84" s="5">
        <v>15</v>
      </c>
    </row>
    <row r="85" spans="1:13" x14ac:dyDescent="0.25">
      <c r="A85" s="55">
        <v>78</v>
      </c>
      <c r="B85" s="55">
        <v>23</v>
      </c>
      <c r="C85" s="55">
        <v>7</v>
      </c>
      <c r="D85" s="55">
        <v>6.5</v>
      </c>
      <c r="E85" s="55">
        <f t="shared" ref="E85:E98" si="9">C85-D85</f>
        <v>0.5</v>
      </c>
      <c r="F85" s="55">
        <f t="shared" ref="F85:F98" si="10">E85^2</f>
        <v>0.25</v>
      </c>
      <c r="I85" s="5" t="s">
        <v>264</v>
      </c>
      <c r="J85" s="5">
        <f>6*F99</f>
        <v>5616</v>
      </c>
    </row>
    <row r="86" spans="1:13" x14ac:dyDescent="0.25">
      <c r="A86" s="55">
        <v>60</v>
      </c>
      <c r="B86" s="55">
        <v>25</v>
      </c>
      <c r="C86" s="55">
        <v>13</v>
      </c>
      <c r="D86" s="55">
        <v>5</v>
      </c>
      <c r="E86" s="55">
        <f t="shared" si="9"/>
        <v>8</v>
      </c>
      <c r="F86" s="55">
        <f t="shared" si="10"/>
        <v>64</v>
      </c>
      <c r="I86" s="5" t="s">
        <v>265</v>
      </c>
      <c r="J86" s="5">
        <f>15^2</f>
        <v>225</v>
      </c>
    </row>
    <row r="87" spans="1:13" x14ac:dyDescent="0.25">
      <c r="A87" s="55">
        <v>53</v>
      </c>
      <c r="B87" s="55">
        <v>48</v>
      </c>
      <c r="C87" s="55">
        <v>15</v>
      </c>
      <c r="D87" s="55">
        <v>1</v>
      </c>
      <c r="E87" s="55">
        <f t="shared" si="9"/>
        <v>14</v>
      </c>
      <c r="F87" s="55">
        <f t="shared" si="10"/>
        <v>196</v>
      </c>
      <c r="I87" s="5" t="s">
        <v>266</v>
      </c>
      <c r="J87" s="5">
        <f>J86-1</f>
        <v>224</v>
      </c>
    </row>
    <row r="88" spans="1:13" x14ac:dyDescent="0.25">
      <c r="A88" s="55">
        <v>85</v>
      </c>
      <c r="B88" s="55">
        <v>17</v>
      </c>
      <c r="C88" s="55">
        <v>2</v>
      </c>
      <c r="D88" s="55">
        <v>9</v>
      </c>
      <c r="E88" s="55">
        <f t="shared" si="9"/>
        <v>-7</v>
      </c>
      <c r="F88" s="55">
        <f t="shared" si="10"/>
        <v>49</v>
      </c>
      <c r="I88" s="5" t="s">
        <v>247</v>
      </c>
      <c r="J88" s="5">
        <f>15*J87</f>
        <v>3360</v>
      </c>
    </row>
    <row r="89" spans="1:13" x14ac:dyDescent="0.25">
      <c r="A89" s="55">
        <v>84</v>
      </c>
      <c r="B89" s="55">
        <v>8</v>
      </c>
      <c r="C89" s="55">
        <v>3</v>
      </c>
      <c r="D89" s="55">
        <v>12</v>
      </c>
      <c r="E89" s="55">
        <f t="shared" si="9"/>
        <v>-9</v>
      </c>
      <c r="F89" s="55">
        <f t="shared" si="10"/>
        <v>81</v>
      </c>
      <c r="I89" s="5" t="s">
        <v>267</v>
      </c>
      <c r="J89" s="5">
        <f>1-(J85/J88)</f>
        <v>-0.67142857142857149</v>
      </c>
    </row>
    <row r="90" spans="1:13" x14ac:dyDescent="0.25">
      <c r="A90" s="55">
        <v>73</v>
      </c>
      <c r="B90" s="55">
        <v>4</v>
      </c>
      <c r="C90" s="55">
        <v>9</v>
      </c>
      <c r="D90" s="55">
        <v>14.5</v>
      </c>
      <c r="E90" s="55">
        <f t="shared" si="9"/>
        <v>-5.5</v>
      </c>
      <c r="F90" s="55">
        <f t="shared" si="10"/>
        <v>30.25</v>
      </c>
    </row>
    <row r="91" spans="1:13" x14ac:dyDescent="0.25">
      <c r="A91" s="55">
        <v>79</v>
      </c>
      <c r="B91" s="55">
        <v>26</v>
      </c>
      <c r="C91" s="55">
        <v>6</v>
      </c>
      <c r="D91" s="55">
        <v>4</v>
      </c>
      <c r="E91" s="55">
        <f t="shared" si="9"/>
        <v>2</v>
      </c>
      <c r="F91" s="55">
        <f t="shared" si="10"/>
        <v>4</v>
      </c>
    </row>
    <row r="92" spans="1:13" x14ac:dyDescent="0.25">
      <c r="A92" s="55">
        <v>81</v>
      </c>
      <c r="B92" s="55">
        <v>11</v>
      </c>
      <c r="C92" s="55">
        <v>4</v>
      </c>
      <c r="D92" s="55">
        <v>11</v>
      </c>
      <c r="E92" s="55">
        <f t="shared" si="9"/>
        <v>-7</v>
      </c>
      <c r="F92" s="55">
        <f t="shared" si="10"/>
        <v>49</v>
      </c>
    </row>
    <row r="93" spans="1:13" x14ac:dyDescent="0.25">
      <c r="A93" s="55">
        <v>75</v>
      </c>
      <c r="B93" s="55">
        <v>19</v>
      </c>
      <c r="C93" s="55">
        <v>8</v>
      </c>
      <c r="D93" s="55">
        <v>8</v>
      </c>
      <c r="E93" s="55">
        <f t="shared" si="9"/>
        <v>0</v>
      </c>
      <c r="F93" s="55">
        <f t="shared" si="10"/>
        <v>0</v>
      </c>
    </row>
    <row r="94" spans="1:13" x14ac:dyDescent="0.25">
      <c r="A94" s="55">
        <v>68</v>
      </c>
      <c r="B94" s="55">
        <v>14</v>
      </c>
      <c r="C94" s="55">
        <v>11</v>
      </c>
      <c r="D94" s="55">
        <v>10</v>
      </c>
      <c r="E94" s="55">
        <f t="shared" si="9"/>
        <v>1</v>
      </c>
      <c r="F94" s="55">
        <f t="shared" si="10"/>
        <v>1</v>
      </c>
    </row>
    <row r="95" spans="1:13" x14ac:dyDescent="0.25">
      <c r="A95" s="55">
        <v>72</v>
      </c>
      <c r="B95" s="55">
        <v>35</v>
      </c>
      <c r="C95" s="55">
        <v>10</v>
      </c>
      <c r="D95" s="55">
        <v>2</v>
      </c>
      <c r="E95" s="55">
        <f t="shared" si="9"/>
        <v>8</v>
      </c>
      <c r="F95" s="55">
        <f t="shared" si="10"/>
        <v>64</v>
      </c>
    </row>
    <row r="96" spans="1:13" x14ac:dyDescent="0.25">
      <c r="A96" s="55">
        <v>58</v>
      </c>
      <c r="B96" s="55">
        <v>29</v>
      </c>
      <c r="C96" s="55">
        <v>14</v>
      </c>
      <c r="D96" s="55">
        <v>3</v>
      </c>
      <c r="E96" s="55">
        <f t="shared" si="9"/>
        <v>11</v>
      </c>
      <c r="F96" s="55">
        <f t="shared" si="10"/>
        <v>121</v>
      </c>
    </row>
    <row r="97" spans="1:10" x14ac:dyDescent="0.25">
      <c r="A97" s="55">
        <v>92</v>
      </c>
      <c r="B97" s="55">
        <v>4</v>
      </c>
      <c r="C97" s="55">
        <v>1</v>
      </c>
      <c r="D97" s="55">
        <v>14.5</v>
      </c>
      <c r="E97" s="55">
        <f t="shared" si="9"/>
        <v>-13.5</v>
      </c>
      <c r="F97" s="55">
        <f t="shared" si="10"/>
        <v>182.25</v>
      </c>
    </row>
    <row r="98" spans="1:10" x14ac:dyDescent="0.25">
      <c r="A98" s="55">
        <v>65</v>
      </c>
      <c r="B98" s="55">
        <v>23</v>
      </c>
      <c r="C98" s="55">
        <v>12</v>
      </c>
      <c r="D98" s="55">
        <v>6.5</v>
      </c>
      <c r="E98" s="55">
        <f t="shared" si="9"/>
        <v>5.5</v>
      </c>
      <c r="F98" s="55">
        <f t="shared" si="10"/>
        <v>30.25</v>
      </c>
    </row>
    <row r="99" spans="1:10" x14ac:dyDescent="0.25">
      <c r="A99" s="70">
        <f>SUM(A84:A98)</f>
        <v>1103</v>
      </c>
      <c r="B99" s="70">
        <f>SUM(B84:B98)</f>
        <v>291</v>
      </c>
      <c r="C99" s="70"/>
      <c r="D99" s="70"/>
      <c r="E99" s="70"/>
      <c r="F99" s="70">
        <f>SUM(F84:F98)</f>
        <v>936</v>
      </c>
    </row>
    <row r="100" spans="1:10" x14ac:dyDescent="0.25">
      <c r="A100" s="5">
        <f>A99/15</f>
        <v>73.533333333333331</v>
      </c>
      <c r="B100" s="5">
        <f>B99/15</f>
        <v>19.399999999999999</v>
      </c>
    </row>
    <row r="103" spans="1:10" x14ac:dyDescent="0.25">
      <c r="A103" s="16" t="s">
        <v>268</v>
      </c>
      <c r="B103" s="16" t="s">
        <v>269</v>
      </c>
      <c r="C103" s="16" t="s">
        <v>140</v>
      </c>
      <c r="D103" s="16" t="s">
        <v>141</v>
      </c>
      <c r="E103" s="16" t="s">
        <v>244</v>
      </c>
      <c r="F103" s="16" t="s">
        <v>245</v>
      </c>
    </row>
    <row r="104" spans="1:10" x14ac:dyDescent="0.25">
      <c r="A104" s="55">
        <v>35</v>
      </c>
      <c r="B104" s="55">
        <v>26</v>
      </c>
      <c r="C104" s="55">
        <v>3</v>
      </c>
      <c r="D104" s="55">
        <v>3.5</v>
      </c>
      <c r="E104" s="55">
        <f>C104-D104</f>
        <v>-0.5</v>
      </c>
      <c r="F104" s="55">
        <f>E104^2</f>
        <v>0.25</v>
      </c>
      <c r="I104" s="16" t="s">
        <v>89</v>
      </c>
      <c r="J104" s="16">
        <v>11</v>
      </c>
    </row>
    <row r="105" spans="1:10" x14ac:dyDescent="0.25">
      <c r="A105" s="55">
        <v>29</v>
      </c>
      <c r="B105" s="55">
        <v>22</v>
      </c>
      <c r="C105" s="55">
        <v>1</v>
      </c>
      <c r="D105" s="55">
        <v>1.5</v>
      </c>
      <c r="E105" s="55">
        <f t="shared" ref="E105:E114" si="11">C105-D105</f>
        <v>-0.5</v>
      </c>
      <c r="F105" s="55">
        <f t="shared" ref="F105:F114" si="12">E105^2</f>
        <v>0.25</v>
      </c>
      <c r="I105" s="16" t="s">
        <v>264</v>
      </c>
      <c r="J105" s="16">
        <f>6*F115</f>
        <v>486</v>
      </c>
    </row>
    <row r="106" spans="1:10" x14ac:dyDescent="0.25">
      <c r="A106" s="55">
        <v>41</v>
      </c>
      <c r="B106" s="55">
        <v>32</v>
      </c>
      <c r="C106" s="55">
        <v>5</v>
      </c>
      <c r="D106" s="55">
        <v>10.5</v>
      </c>
      <c r="E106" s="55">
        <f t="shared" si="11"/>
        <v>-5.5</v>
      </c>
      <c r="F106" s="55">
        <f t="shared" si="12"/>
        <v>30.25</v>
      </c>
      <c r="I106" s="16" t="s">
        <v>265</v>
      </c>
      <c r="J106" s="16">
        <f>11^2</f>
        <v>121</v>
      </c>
    </row>
    <row r="107" spans="1:10" x14ac:dyDescent="0.25">
      <c r="A107" s="55">
        <v>66</v>
      </c>
      <c r="B107" s="55">
        <v>28</v>
      </c>
      <c r="C107" s="55">
        <v>11</v>
      </c>
      <c r="D107" s="55">
        <v>6</v>
      </c>
      <c r="E107" s="55">
        <f t="shared" si="11"/>
        <v>5</v>
      </c>
      <c r="F107" s="55">
        <f t="shared" si="12"/>
        <v>25</v>
      </c>
      <c r="I107" s="16" t="s">
        <v>266</v>
      </c>
      <c r="J107" s="16">
        <v>120</v>
      </c>
    </row>
    <row r="108" spans="1:10" x14ac:dyDescent="0.25">
      <c r="A108" s="55">
        <v>53</v>
      </c>
      <c r="B108" s="55">
        <v>31</v>
      </c>
      <c r="C108" s="55">
        <v>8</v>
      </c>
      <c r="D108" s="55">
        <v>9</v>
      </c>
      <c r="E108" s="55">
        <f t="shared" si="11"/>
        <v>-1</v>
      </c>
      <c r="F108" s="55">
        <f t="shared" si="12"/>
        <v>1</v>
      </c>
      <c r="I108" s="16" t="s">
        <v>247</v>
      </c>
      <c r="J108" s="16">
        <f>11*J107</f>
        <v>1320</v>
      </c>
    </row>
    <row r="109" spans="1:10" x14ac:dyDescent="0.25">
      <c r="A109" s="55">
        <v>48</v>
      </c>
      <c r="B109" s="55">
        <v>26</v>
      </c>
      <c r="C109" s="55">
        <v>7</v>
      </c>
      <c r="D109" s="55">
        <v>3.5</v>
      </c>
      <c r="E109" s="55">
        <f t="shared" si="11"/>
        <v>3.5</v>
      </c>
      <c r="F109" s="55">
        <f t="shared" si="12"/>
        <v>12.25</v>
      </c>
      <c r="I109" s="16" t="s">
        <v>267</v>
      </c>
      <c r="J109" s="16">
        <f>1-(J105/J108)</f>
        <v>0.63181818181818183</v>
      </c>
    </row>
    <row r="110" spans="1:10" x14ac:dyDescent="0.25">
      <c r="A110" s="55">
        <v>60</v>
      </c>
      <c r="B110" s="55">
        <v>30</v>
      </c>
      <c r="C110" s="55">
        <v>10</v>
      </c>
      <c r="D110" s="55">
        <v>7.5</v>
      </c>
      <c r="E110" s="55">
        <f t="shared" si="11"/>
        <v>2.5</v>
      </c>
      <c r="F110" s="55">
        <f t="shared" si="12"/>
        <v>6.25</v>
      </c>
    </row>
    <row r="111" spans="1:10" x14ac:dyDescent="0.25">
      <c r="A111" s="55">
        <v>46</v>
      </c>
      <c r="B111" s="55">
        <v>30</v>
      </c>
      <c r="C111" s="55">
        <v>6</v>
      </c>
      <c r="D111" s="55">
        <v>7.5</v>
      </c>
      <c r="E111" s="55">
        <f t="shared" si="11"/>
        <v>-1.5</v>
      </c>
      <c r="F111" s="55">
        <f t="shared" si="12"/>
        <v>2.25</v>
      </c>
    </row>
    <row r="112" spans="1:10" x14ac:dyDescent="0.25">
      <c r="A112" s="55">
        <v>30</v>
      </c>
      <c r="B112" s="55">
        <v>22</v>
      </c>
      <c r="C112" s="55">
        <v>2</v>
      </c>
      <c r="D112" s="55">
        <v>1.5</v>
      </c>
      <c r="E112" s="55">
        <f t="shared" si="11"/>
        <v>0.5</v>
      </c>
      <c r="F112" s="55">
        <f t="shared" si="12"/>
        <v>0.25</v>
      </c>
    </row>
    <row r="113" spans="1:10" x14ac:dyDescent="0.25">
      <c r="A113" s="55">
        <v>36</v>
      </c>
      <c r="B113" s="55">
        <v>27</v>
      </c>
      <c r="C113" s="55">
        <v>4</v>
      </c>
      <c r="D113" s="55">
        <v>5</v>
      </c>
      <c r="E113" s="55">
        <f t="shared" si="11"/>
        <v>-1</v>
      </c>
      <c r="F113" s="55">
        <f t="shared" si="12"/>
        <v>1</v>
      </c>
    </row>
    <row r="114" spans="1:10" x14ac:dyDescent="0.25">
      <c r="A114" s="55">
        <v>58</v>
      </c>
      <c r="B114" s="55">
        <v>32</v>
      </c>
      <c r="C114" s="55">
        <v>9</v>
      </c>
      <c r="D114" s="55">
        <v>10.5</v>
      </c>
      <c r="E114" s="55">
        <f t="shared" si="11"/>
        <v>-1.5</v>
      </c>
      <c r="F114" s="55">
        <f t="shared" si="12"/>
        <v>2.25</v>
      </c>
    </row>
    <row r="115" spans="1:10" x14ac:dyDescent="0.25">
      <c r="F115" s="16">
        <f>SUM(F104:F114)</f>
        <v>81</v>
      </c>
    </row>
    <row r="119" spans="1:10" x14ac:dyDescent="0.25">
      <c r="A119" s="72" t="s">
        <v>270</v>
      </c>
      <c r="B119" s="72" t="s">
        <v>271</v>
      </c>
      <c r="C119" s="72" t="s">
        <v>140</v>
      </c>
      <c r="D119" s="72" t="s">
        <v>141</v>
      </c>
      <c r="E119" s="72" t="s">
        <v>244</v>
      </c>
      <c r="F119" s="72" t="s">
        <v>245</v>
      </c>
    </row>
    <row r="120" spans="1:10" x14ac:dyDescent="0.25">
      <c r="A120" s="74">
        <v>5</v>
      </c>
      <c r="B120" s="74">
        <v>5</v>
      </c>
      <c r="C120" s="74">
        <v>7</v>
      </c>
      <c r="D120" s="74">
        <v>6</v>
      </c>
      <c r="E120" s="74">
        <f>C120-D120</f>
        <v>1</v>
      </c>
      <c r="F120" s="74">
        <f>E120^2</f>
        <v>1</v>
      </c>
    </row>
    <row r="121" spans="1:10" x14ac:dyDescent="0.25">
      <c r="A121" s="74">
        <v>10</v>
      </c>
      <c r="B121" s="74">
        <v>2</v>
      </c>
      <c r="C121" s="74">
        <v>2</v>
      </c>
      <c r="D121" s="74">
        <v>10</v>
      </c>
      <c r="E121" s="74">
        <f t="shared" ref="E121:E129" si="13">C121-D121</f>
        <v>-8</v>
      </c>
      <c r="F121" s="74">
        <f t="shared" ref="F121:F129" si="14">E121^2</f>
        <v>64</v>
      </c>
      <c r="I121" s="73" t="s">
        <v>89</v>
      </c>
      <c r="J121" s="73">
        <v>10</v>
      </c>
    </row>
    <row r="122" spans="1:10" x14ac:dyDescent="0.25">
      <c r="A122" s="74">
        <v>4</v>
      </c>
      <c r="B122" s="74">
        <v>8</v>
      </c>
      <c r="C122" s="74">
        <v>8</v>
      </c>
      <c r="D122" s="74">
        <v>2.5</v>
      </c>
      <c r="E122" s="74">
        <f t="shared" si="13"/>
        <v>5.5</v>
      </c>
      <c r="F122" s="74">
        <f t="shared" si="14"/>
        <v>30.25</v>
      </c>
      <c r="I122" s="73" t="s">
        <v>264</v>
      </c>
      <c r="J122" s="73">
        <f>6*F130</f>
        <v>1854</v>
      </c>
    </row>
    <row r="123" spans="1:10" x14ac:dyDescent="0.25">
      <c r="A123" s="74">
        <v>8</v>
      </c>
      <c r="B123" s="74">
        <v>3</v>
      </c>
      <c r="C123" s="74">
        <v>4</v>
      </c>
      <c r="D123" s="74">
        <v>8.5</v>
      </c>
      <c r="E123" s="74">
        <f t="shared" si="13"/>
        <v>-4.5</v>
      </c>
      <c r="F123" s="74">
        <f t="shared" si="14"/>
        <v>20.25</v>
      </c>
      <c r="I123" s="73" t="s">
        <v>265</v>
      </c>
      <c r="J123" s="73">
        <v>100</v>
      </c>
    </row>
    <row r="124" spans="1:10" x14ac:dyDescent="0.25">
      <c r="A124" s="74">
        <v>2</v>
      </c>
      <c r="B124" s="74">
        <v>8</v>
      </c>
      <c r="C124" s="74">
        <v>9</v>
      </c>
      <c r="D124" s="74">
        <v>2.5</v>
      </c>
      <c r="E124" s="74">
        <f t="shared" si="13"/>
        <v>6.5</v>
      </c>
      <c r="F124" s="74">
        <f t="shared" si="14"/>
        <v>42.25</v>
      </c>
      <c r="I124" s="73" t="s">
        <v>266</v>
      </c>
      <c r="J124" s="73">
        <v>99</v>
      </c>
    </row>
    <row r="125" spans="1:10" x14ac:dyDescent="0.25">
      <c r="A125" s="74">
        <v>7</v>
      </c>
      <c r="B125" s="74">
        <v>5</v>
      </c>
      <c r="C125" s="74">
        <v>5</v>
      </c>
      <c r="D125" s="74">
        <v>6</v>
      </c>
      <c r="E125" s="74">
        <f t="shared" si="13"/>
        <v>-1</v>
      </c>
      <c r="F125" s="74">
        <f t="shared" si="14"/>
        <v>1</v>
      </c>
      <c r="I125" s="73" t="s">
        <v>247</v>
      </c>
      <c r="J125" s="73">
        <f>J121*J124</f>
        <v>990</v>
      </c>
    </row>
    <row r="126" spans="1:10" x14ac:dyDescent="0.25">
      <c r="A126" s="74">
        <v>9</v>
      </c>
      <c r="B126" s="74">
        <v>5</v>
      </c>
      <c r="C126" s="74">
        <v>3</v>
      </c>
      <c r="D126" s="74">
        <v>6</v>
      </c>
      <c r="E126" s="74">
        <f t="shared" si="13"/>
        <v>-3</v>
      </c>
      <c r="F126" s="74">
        <f t="shared" si="14"/>
        <v>9</v>
      </c>
      <c r="I126" s="73" t="s">
        <v>267</v>
      </c>
      <c r="J126" s="73">
        <f>1-(J122/J125)</f>
        <v>-0.8727272727272728</v>
      </c>
    </row>
    <row r="127" spans="1:10" x14ac:dyDescent="0.25">
      <c r="A127" s="74">
        <v>6</v>
      </c>
      <c r="B127" s="74">
        <v>7</v>
      </c>
      <c r="C127" s="74">
        <v>6</v>
      </c>
      <c r="D127" s="74">
        <v>4</v>
      </c>
      <c r="E127" s="74">
        <f t="shared" si="13"/>
        <v>2</v>
      </c>
      <c r="F127" s="74">
        <f t="shared" si="14"/>
        <v>4</v>
      </c>
    </row>
    <row r="128" spans="1:10" x14ac:dyDescent="0.25">
      <c r="A128" s="74">
        <v>1</v>
      </c>
      <c r="B128" s="74">
        <v>10</v>
      </c>
      <c r="C128" s="74">
        <v>10</v>
      </c>
      <c r="D128" s="74">
        <v>1</v>
      </c>
      <c r="E128" s="74">
        <f t="shared" si="13"/>
        <v>9</v>
      </c>
      <c r="F128" s="74">
        <f t="shared" si="14"/>
        <v>81</v>
      </c>
    </row>
    <row r="129" spans="1:6" x14ac:dyDescent="0.25">
      <c r="A129" s="74">
        <v>12</v>
      </c>
      <c r="B129" s="74">
        <v>3</v>
      </c>
      <c r="C129" s="74">
        <v>1</v>
      </c>
      <c r="D129" s="74">
        <v>8.5</v>
      </c>
      <c r="E129" s="74">
        <f t="shared" si="13"/>
        <v>-7.5</v>
      </c>
      <c r="F129" s="74">
        <f t="shared" si="14"/>
        <v>56.25</v>
      </c>
    </row>
    <row r="130" spans="1:6" x14ac:dyDescent="0.25">
      <c r="F130" s="72">
        <f>SUM(F120:F129)</f>
        <v>309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Farhana</dc:creator>
  <cp:lastModifiedBy>Farhana</cp:lastModifiedBy>
  <dcterms:created xsi:type="dcterms:W3CDTF">2022-01-17T10:50:56Z</dcterms:created>
  <dcterms:modified xsi:type="dcterms:W3CDTF">2022-01-31T11:07:14Z</dcterms:modified>
</cp:coreProperties>
</file>