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_INSPER\Macroeconometria\Macroeconometria_APS1\data\"/>
    </mc:Choice>
  </mc:AlternateContent>
  <xr:revisionPtr revIDLastSave="0" documentId="13_ncr:1_{8AFF530D-7F3C-4751-A350-3A07E3FDD4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definedNames>
    <definedName name="CIQWBGuid" hidden="1">"b2b098e4-b90c-43d5-96db-36e24471f64a"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2" l="1"/>
  <c r="B122" i="2"/>
  <c r="B123" i="2"/>
  <c r="D4" i="2"/>
  <c r="D5" i="2"/>
  <c r="D6" i="2"/>
  <c r="D7" i="2"/>
  <c r="D8" i="2"/>
  <c r="D9" i="2"/>
  <c r="D10" i="2"/>
  <c r="D11" i="2"/>
  <c r="D12" i="2"/>
  <c r="D13" i="2"/>
  <c r="D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J13" i="2"/>
  <c r="J14" i="2"/>
  <c r="J15" i="2"/>
  <c r="J16" i="2"/>
  <c r="J17" i="2"/>
  <c r="J18" i="2"/>
  <c r="J19" i="2"/>
  <c r="J20" i="2"/>
  <c r="J21" i="2"/>
  <c r="J22" i="2"/>
  <c r="J23" i="2"/>
  <c r="L4" i="2"/>
  <c r="L5" i="2"/>
  <c r="L6" i="2"/>
  <c r="L7" i="2"/>
  <c r="L8" i="2"/>
  <c r="L9" i="2"/>
  <c r="L10" i="2"/>
  <c r="L11" i="2"/>
  <c r="L12" i="2"/>
  <c r="L13" i="2"/>
  <c r="L14" i="2"/>
  <c r="J121" i="2"/>
  <c r="J122" i="2"/>
  <c r="J123" i="2"/>
  <c r="J4" i="2"/>
  <c r="J5" i="2"/>
  <c r="J6" i="2"/>
  <c r="J7" i="2"/>
  <c r="J8" i="2"/>
  <c r="J9" i="2"/>
  <c r="J10" i="2"/>
  <c r="J11" i="2"/>
  <c r="L123" i="2"/>
  <c r="K123" i="2"/>
  <c r="I123" i="2"/>
  <c r="H123" i="2"/>
  <c r="G123" i="2"/>
  <c r="F123" i="2"/>
  <c r="E123" i="2"/>
  <c r="D123" i="2"/>
  <c r="C123" i="2"/>
  <c r="L122" i="2"/>
  <c r="K122" i="2"/>
  <c r="I122" i="2"/>
  <c r="H122" i="2"/>
  <c r="G122" i="2"/>
  <c r="F122" i="2"/>
  <c r="E122" i="2"/>
  <c r="D122" i="2"/>
  <c r="C122" i="2"/>
  <c r="L121" i="2"/>
  <c r="K121" i="2"/>
  <c r="I121" i="2"/>
  <c r="H121" i="2"/>
  <c r="G121" i="2"/>
  <c r="F121" i="2"/>
  <c r="E121" i="2"/>
  <c r="D121" i="2"/>
  <c r="C121" i="2"/>
  <c r="L120" i="2"/>
  <c r="K120" i="2"/>
  <c r="J120" i="2"/>
  <c r="I120" i="2"/>
  <c r="H120" i="2"/>
  <c r="G120" i="2"/>
  <c r="F120" i="2"/>
  <c r="E120" i="2"/>
  <c r="D120" i="2"/>
  <c r="C120" i="2"/>
  <c r="B120" i="2"/>
  <c r="L119" i="2"/>
  <c r="K119" i="2"/>
  <c r="J119" i="2"/>
  <c r="I119" i="2"/>
  <c r="H119" i="2"/>
  <c r="G119" i="2"/>
  <c r="F119" i="2"/>
  <c r="E119" i="2"/>
  <c r="D119" i="2"/>
  <c r="C119" i="2"/>
  <c r="B119" i="2"/>
  <c r="L118" i="2"/>
  <c r="K118" i="2"/>
  <c r="J118" i="2"/>
  <c r="I118" i="2"/>
  <c r="H118" i="2"/>
  <c r="G118" i="2"/>
  <c r="F118" i="2"/>
  <c r="E118" i="2"/>
  <c r="D118" i="2"/>
  <c r="C118" i="2"/>
  <c r="B118" i="2"/>
  <c r="L117" i="2"/>
  <c r="K117" i="2"/>
  <c r="J117" i="2"/>
  <c r="I117" i="2"/>
  <c r="H117" i="2"/>
  <c r="G117" i="2"/>
  <c r="F117" i="2"/>
  <c r="E117" i="2"/>
  <c r="D117" i="2"/>
  <c r="C117" i="2"/>
  <c r="B117" i="2"/>
  <c r="L116" i="2"/>
  <c r="K116" i="2"/>
  <c r="J116" i="2"/>
  <c r="I116" i="2"/>
  <c r="H116" i="2"/>
  <c r="G116" i="2"/>
  <c r="F116" i="2"/>
  <c r="E116" i="2"/>
  <c r="D116" i="2"/>
  <c r="C116" i="2"/>
  <c r="B116" i="2"/>
  <c r="L115" i="2"/>
  <c r="K115" i="2"/>
  <c r="J115" i="2"/>
  <c r="I115" i="2"/>
  <c r="H115" i="2"/>
  <c r="G115" i="2"/>
  <c r="F115" i="2"/>
  <c r="E115" i="2"/>
  <c r="D115" i="2"/>
  <c r="C115" i="2"/>
  <c r="B115" i="2"/>
  <c r="L114" i="2"/>
  <c r="K114" i="2"/>
  <c r="J114" i="2"/>
  <c r="I114" i="2"/>
  <c r="H114" i="2"/>
  <c r="G114" i="2"/>
  <c r="F114" i="2"/>
  <c r="E114" i="2"/>
  <c r="D114" i="2"/>
  <c r="C114" i="2"/>
  <c r="B114" i="2"/>
  <c r="L113" i="2"/>
  <c r="K113" i="2"/>
  <c r="J113" i="2"/>
  <c r="I113" i="2"/>
  <c r="H113" i="2"/>
  <c r="G113" i="2"/>
  <c r="F113" i="2"/>
  <c r="E113" i="2"/>
  <c r="D113" i="2"/>
  <c r="C113" i="2"/>
  <c r="B113" i="2"/>
  <c r="L112" i="2"/>
  <c r="K112" i="2"/>
  <c r="J112" i="2"/>
  <c r="I112" i="2"/>
  <c r="H112" i="2"/>
  <c r="G112" i="2"/>
  <c r="F112" i="2"/>
  <c r="E112" i="2"/>
  <c r="D112" i="2"/>
  <c r="C112" i="2"/>
  <c r="B112" i="2"/>
  <c r="L111" i="2"/>
  <c r="K111" i="2"/>
  <c r="J111" i="2"/>
  <c r="I111" i="2"/>
  <c r="H111" i="2"/>
  <c r="G111" i="2"/>
  <c r="F111" i="2"/>
  <c r="E111" i="2"/>
  <c r="D111" i="2"/>
  <c r="C111" i="2"/>
  <c r="B111" i="2"/>
  <c r="L110" i="2"/>
  <c r="K110" i="2"/>
  <c r="J110" i="2"/>
  <c r="I110" i="2"/>
  <c r="H110" i="2"/>
  <c r="G110" i="2"/>
  <c r="F110" i="2"/>
  <c r="E110" i="2"/>
  <c r="D110" i="2"/>
  <c r="C110" i="2"/>
  <c r="B110" i="2"/>
  <c r="L109" i="2"/>
  <c r="K109" i="2"/>
  <c r="J109" i="2"/>
  <c r="I109" i="2"/>
  <c r="H109" i="2"/>
  <c r="G109" i="2"/>
  <c r="F109" i="2"/>
  <c r="E109" i="2"/>
  <c r="D109" i="2"/>
  <c r="C109" i="2"/>
  <c r="B109" i="2"/>
  <c r="L108" i="2"/>
  <c r="K108" i="2"/>
  <c r="J108" i="2"/>
  <c r="I108" i="2"/>
  <c r="H108" i="2"/>
  <c r="G108" i="2"/>
  <c r="F108" i="2"/>
  <c r="E108" i="2"/>
  <c r="D108" i="2"/>
  <c r="C108" i="2"/>
  <c r="B108" i="2"/>
  <c r="L107" i="2"/>
  <c r="K107" i="2"/>
  <c r="J107" i="2"/>
  <c r="I107" i="2"/>
  <c r="H107" i="2"/>
  <c r="G107" i="2"/>
  <c r="F107" i="2"/>
  <c r="E107" i="2"/>
  <c r="D107" i="2"/>
  <c r="C107" i="2"/>
  <c r="B107" i="2"/>
  <c r="L106" i="2"/>
  <c r="K106" i="2"/>
  <c r="J106" i="2"/>
  <c r="I106" i="2"/>
  <c r="H106" i="2"/>
  <c r="G106" i="2"/>
  <c r="F106" i="2"/>
  <c r="E106" i="2"/>
  <c r="D106" i="2"/>
  <c r="C106" i="2"/>
  <c r="B106" i="2"/>
  <c r="L105" i="2"/>
  <c r="K105" i="2"/>
  <c r="J105" i="2"/>
  <c r="I105" i="2"/>
  <c r="H105" i="2"/>
  <c r="G105" i="2"/>
  <c r="F105" i="2"/>
  <c r="E105" i="2"/>
  <c r="D105" i="2"/>
  <c r="C105" i="2"/>
  <c r="B105" i="2"/>
  <c r="L104" i="2"/>
  <c r="K104" i="2"/>
  <c r="J104" i="2"/>
  <c r="I104" i="2"/>
  <c r="H104" i="2"/>
  <c r="G104" i="2"/>
  <c r="F104" i="2"/>
  <c r="E104" i="2"/>
  <c r="D104" i="2"/>
  <c r="C104" i="2"/>
  <c r="B104" i="2"/>
  <c r="L103" i="2"/>
  <c r="K103" i="2"/>
  <c r="J103" i="2"/>
  <c r="I103" i="2"/>
  <c r="H103" i="2"/>
  <c r="G103" i="2"/>
  <c r="F103" i="2"/>
  <c r="E103" i="2"/>
  <c r="D103" i="2"/>
  <c r="C103" i="2"/>
  <c r="B103" i="2"/>
  <c r="L102" i="2"/>
  <c r="K102" i="2"/>
  <c r="J102" i="2"/>
  <c r="I102" i="2"/>
  <c r="H102" i="2"/>
  <c r="G102" i="2"/>
  <c r="F102" i="2"/>
  <c r="E102" i="2"/>
  <c r="D102" i="2"/>
  <c r="C102" i="2"/>
  <c r="B102" i="2"/>
  <c r="L101" i="2"/>
  <c r="K101" i="2"/>
  <c r="J101" i="2"/>
  <c r="I101" i="2"/>
  <c r="H101" i="2"/>
  <c r="G101" i="2"/>
  <c r="F101" i="2"/>
  <c r="E101" i="2"/>
  <c r="D101" i="2"/>
  <c r="C101" i="2"/>
  <c r="B101" i="2"/>
  <c r="L100" i="2"/>
  <c r="K100" i="2"/>
  <c r="J100" i="2"/>
  <c r="I100" i="2"/>
  <c r="H100" i="2"/>
  <c r="G100" i="2"/>
  <c r="F100" i="2"/>
  <c r="E100" i="2"/>
  <c r="D100" i="2"/>
  <c r="C100" i="2"/>
  <c r="B100" i="2"/>
  <c r="L99" i="2"/>
  <c r="K99" i="2"/>
  <c r="J99" i="2"/>
  <c r="I99" i="2"/>
  <c r="H99" i="2"/>
  <c r="G99" i="2"/>
  <c r="F99" i="2"/>
  <c r="E99" i="2"/>
  <c r="D99" i="2"/>
  <c r="C99" i="2"/>
  <c r="B99" i="2"/>
  <c r="L98" i="2"/>
  <c r="K98" i="2"/>
  <c r="J98" i="2"/>
  <c r="I98" i="2"/>
  <c r="H98" i="2"/>
  <c r="G98" i="2"/>
  <c r="F98" i="2"/>
  <c r="E98" i="2"/>
  <c r="D98" i="2"/>
  <c r="C98" i="2"/>
  <c r="B98" i="2"/>
  <c r="L97" i="2"/>
  <c r="K97" i="2"/>
  <c r="J97" i="2"/>
  <c r="I97" i="2"/>
  <c r="H97" i="2"/>
  <c r="G97" i="2"/>
  <c r="F97" i="2"/>
  <c r="E97" i="2"/>
  <c r="D97" i="2"/>
  <c r="C97" i="2"/>
  <c r="B97" i="2"/>
  <c r="L96" i="2"/>
  <c r="K96" i="2"/>
  <c r="J96" i="2"/>
  <c r="I96" i="2"/>
  <c r="H96" i="2"/>
  <c r="G96" i="2"/>
  <c r="F96" i="2"/>
  <c r="E96" i="2"/>
  <c r="D96" i="2"/>
  <c r="C96" i="2"/>
  <c r="B96" i="2"/>
  <c r="L95" i="2"/>
  <c r="K95" i="2"/>
  <c r="J95" i="2"/>
  <c r="I95" i="2"/>
  <c r="H95" i="2"/>
  <c r="G95" i="2"/>
  <c r="F95" i="2"/>
  <c r="E95" i="2"/>
  <c r="D95" i="2"/>
  <c r="C95" i="2"/>
  <c r="B95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C93" i="2"/>
  <c r="B93" i="2"/>
  <c r="L92" i="2"/>
  <c r="K92" i="2"/>
  <c r="J92" i="2"/>
  <c r="I92" i="2"/>
  <c r="H92" i="2"/>
  <c r="G92" i="2"/>
  <c r="F92" i="2"/>
  <c r="E92" i="2"/>
  <c r="D92" i="2"/>
  <c r="C92" i="2"/>
  <c r="B92" i="2"/>
  <c r="L91" i="2"/>
  <c r="K91" i="2"/>
  <c r="J91" i="2"/>
  <c r="I91" i="2"/>
  <c r="H91" i="2"/>
  <c r="G91" i="2"/>
  <c r="F91" i="2"/>
  <c r="E91" i="2"/>
  <c r="D91" i="2"/>
  <c r="C91" i="2"/>
  <c r="B91" i="2"/>
  <c r="L90" i="2"/>
  <c r="K90" i="2"/>
  <c r="J90" i="2"/>
  <c r="I90" i="2"/>
  <c r="H90" i="2"/>
  <c r="G90" i="2"/>
  <c r="F90" i="2"/>
  <c r="E90" i="2"/>
  <c r="D90" i="2"/>
  <c r="C90" i="2"/>
  <c r="B90" i="2"/>
  <c r="L89" i="2"/>
  <c r="K89" i="2"/>
  <c r="J89" i="2"/>
  <c r="I89" i="2"/>
  <c r="H89" i="2"/>
  <c r="G89" i="2"/>
  <c r="F89" i="2"/>
  <c r="E89" i="2"/>
  <c r="D89" i="2"/>
  <c r="C89" i="2"/>
  <c r="B89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C87" i="2"/>
  <c r="B87" i="2"/>
  <c r="L86" i="2"/>
  <c r="K86" i="2"/>
  <c r="J86" i="2"/>
  <c r="I86" i="2"/>
  <c r="H86" i="2"/>
  <c r="G86" i="2"/>
  <c r="F86" i="2"/>
  <c r="E86" i="2"/>
  <c r="D86" i="2"/>
  <c r="C86" i="2"/>
  <c r="B86" i="2"/>
  <c r="L85" i="2"/>
  <c r="K85" i="2"/>
  <c r="J85" i="2"/>
  <c r="I85" i="2"/>
  <c r="H85" i="2"/>
  <c r="G85" i="2"/>
  <c r="F85" i="2"/>
  <c r="E85" i="2"/>
  <c r="D85" i="2"/>
  <c r="C85" i="2"/>
  <c r="B85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D83" i="2"/>
  <c r="C83" i="2"/>
  <c r="B83" i="2"/>
  <c r="L82" i="2"/>
  <c r="K82" i="2"/>
  <c r="J82" i="2"/>
  <c r="I82" i="2"/>
  <c r="H82" i="2"/>
  <c r="G82" i="2"/>
  <c r="F82" i="2"/>
  <c r="E82" i="2"/>
  <c r="D82" i="2"/>
  <c r="C82" i="2"/>
  <c r="B82" i="2"/>
  <c r="L81" i="2"/>
  <c r="K81" i="2"/>
  <c r="J81" i="2"/>
  <c r="I81" i="2"/>
  <c r="H81" i="2"/>
  <c r="G81" i="2"/>
  <c r="F81" i="2"/>
  <c r="E81" i="2"/>
  <c r="D81" i="2"/>
  <c r="C81" i="2"/>
  <c r="B81" i="2"/>
  <c r="L80" i="2"/>
  <c r="K80" i="2"/>
  <c r="J80" i="2"/>
  <c r="I80" i="2"/>
  <c r="H80" i="2"/>
  <c r="G80" i="2"/>
  <c r="F80" i="2"/>
  <c r="E80" i="2"/>
  <c r="D80" i="2"/>
  <c r="C80" i="2"/>
  <c r="B80" i="2"/>
  <c r="L79" i="2"/>
  <c r="K79" i="2"/>
  <c r="J79" i="2"/>
  <c r="I79" i="2"/>
  <c r="H79" i="2"/>
  <c r="G79" i="2"/>
  <c r="F79" i="2"/>
  <c r="E79" i="2"/>
  <c r="D79" i="2"/>
  <c r="C79" i="2"/>
  <c r="B79" i="2"/>
  <c r="L78" i="2"/>
  <c r="K78" i="2"/>
  <c r="J78" i="2"/>
  <c r="I78" i="2"/>
  <c r="H78" i="2"/>
  <c r="G78" i="2"/>
  <c r="F78" i="2"/>
  <c r="E78" i="2"/>
  <c r="D78" i="2"/>
  <c r="C78" i="2"/>
  <c r="B78" i="2"/>
  <c r="L77" i="2"/>
  <c r="K77" i="2"/>
  <c r="J77" i="2"/>
  <c r="I77" i="2"/>
  <c r="H77" i="2"/>
  <c r="G77" i="2"/>
  <c r="F77" i="2"/>
  <c r="E77" i="2"/>
  <c r="D77" i="2"/>
  <c r="C77" i="2"/>
  <c r="B77" i="2"/>
  <c r="L76" i="2"/>
  <c r="K76" i="2"/>
  <c r="J76" i="2"/>
  <c r="I76" i="2"/>
  <c r="H76" i="2"/>
  <c r="G76" i="2"/>
  <c r="F76" i="2"/>
  <c r="E76" i="2"/>
  <c r="D76" i="2"/>
  <c r="C76" i="2"/>
  <c r="B76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73" i="2"/>
  <c r="K73" i="2"/>
  <c r="J73" i="2"/>
  <c r="I73" i="2"/>
  <c r="H73" i="2"/>
  <c r="G73" i="2"/>
  <c r="F73" i="2"/>
  <c r="E73" i="2"/>
  <c r="D73" i="2"/>
  <c r="C73" i="2"/>
  <c r="B73" i="2"/>
  <c r="L72" i="2"/>
  <c r="K72" i="2"/>
  <c r="J72" i="2"/>
  <c r="I72" i="2"/>
  <c r="H72" i="2"/>
  <c r="G72" i="2"/>
  <c r="F72" i="2"/>
  <c r="E72" i="2"/>
  <c r="D72" i="2"/>
  <c r="C72" i="2"/>
  <c r="B72" i="2"/>
  <c r="L71" i="2"/>
  <c r="K71" i="2"/>
  <c r="J71" i="2"/>
  <c r="I71" i="2"/>
  <c r="H71" i="2"/>
  <c r="G71" i="2"/>
  <c r="F71" i="2"/>
  <c r="E71" i="2"/>
  <c r="D71" i="2"/>
  <c r="C71" i="2"/>
  <c r="B71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L65" i="2"/>
  <c r="K65" i="2"/>
  <c r="J65" i="2"/>
  <c r="I65" i="2"/>
  <c r="H65" i="2"/>
  <c r="G65" i="2"/>
  <c r="F65" i="2"/>
  <c r="E65" i="2"/>
  <c r="D65" i="2"/>
  <c r="C65" i="2"/>
  <c r="B65" i="2"/>
  <c r="L64" i="2"/>
  <c r="K64" i="2"/>
  <c r="J64" i="2"/>
  <c r="I64" i="2"/>
  <c r="H64" i="2"/>
  <c r="G64" i="2"/>
  <c r="F64" i="2"/>
  <c r="E64" i="2"/>
  <c r="D64" i="2"/>
  <c r="C64" i="2"/>
  <c r="B64" i="2"/>
  <c r="L63" i="2"/>
  <c r="K63" i="2"/>
  <c r="J63" i="2"/>
  <c r="I63" i="2"/>
  <c r="H63" i="2"/>
  <c r="G63" i="2"/>
  <c r="F63" i="2"/>
  <c r="E63" i="2"/>
  <c r="D63" i="2"/>
  <c r="C63" i="2"/>
  <c r="B63" i="2"/>
  <c r="L62" i="2"/>
  <c r="K62" i="2"/>
  <c r="J62" i="2"/>
  <c r="I62" i="2"/>
  <c r="H62" i="2"/>
  <c r="G62" i="2"/>
  <c r="F62" i="2"/>
  <c r="E62" i="2"/>
  <c r="D62" i="2"/>
  <c r="C62" i="2"/>
  <c r="B62" i="2"/>
  <c r="L61" i="2"/>
  <c r="K61" i="2"/>
  <c r="J61" i="2"/>
  <c r="I61" i="2"/>
  <c r="H61" i="2"/>
  <c r="G61" i="2"/>
  <c r="F61" i="2"/>
  <c r="E61" i="2"/>
  <c r="D61" i="2"/>
  <c r="C61" i="2"/>
  <c r="B61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C59" i="2"/>
  <c r="B59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C57" i="2"/>
  <c r="B57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L52" i="2"/>
  <c r="K52" i="2"/>
  <c r="J52" i="2"/>
  <c r="I52" i="2"/>
  <c r="H52" i="2"/>
  <c r="G52" i="2"/>
  <c r="F52" i="2"/>
  <c r="E52" i="2"/>
  <c r="D52" i="2"/>
  <c r="C52" i="2"/>
  <c r="B52" i="2"/>
  <c r="L51" i="2"/>
  <c r="K51" i="2"/>
  <c r="J51" i="2"/>
  <c r="I51" i="2"/>
  <c r="H51" i="2"/>
  <c r="G51" i="2"/>
  <c r="F51" i="2"/>
  <c r="E51" i="2"/>
  <c r="D51" i="2"/>
  <c r="C51" i="2"/>
  <c r="B51" i="2"/>
  <c r="L50" i="2"/>
  <c r="K50" i="2"/>
  <c r="J50" i="2"/>
  <c r="I50" i="2"/>
  <c r="H50" i="2"/>
  <c r="G50" i="2"/>
  <c r="F50" i="2"/>
  <c r="E50" i="2"/>
  <c r="D50" i="2"/>
  <c r="C50" i="2"/>
  <c r="B50" i="2"/>
  <c r="L49" i="2"/>
  <c r="K49" i="2"/>
  <c r="J49" i="2"/>
  <c r="I49" i="2"/>
  <c r="H49" i="2"/>
  <c r="G49" i="2"/>
  <c r="F49" i="2"/>
  <c r="E49" i="2"/>
  <c r="D49" i="2"/>
  <c r="C49" i="2"/>
  <c r="B49" i="2"/>
  <c r="L48" i="2"/>
  <c r="K48" i="2"/>
  <c r="J48" i="2"/>
  <c r="I48" i="2"/>
  <c r="H48" i="2"/>
  <c r="G48" i="2"/>
  <c r="F48" i="2"/>
  <c r="E48" i="2"/>
  <c r="D48" i="2"/>
  <c r="C48" i="2"/>
  <c r="B48" i="2"/>
  <c r="L47" i="2"/>
  <c r="K47" i="2"/>
  <c r="J47" i="2"/>
  <c r="I47" i="2"/>
  <c r="H47" i="2"/>
  <c r="G47" i="2"/>
  <c r="F47" i="2"/>
  <c r="E47" i="2"/>
  <c r="D47" i="2"/>
  <c r="C47" i="2"/>
  <c r="B47" i="2"/>
  <c r="L46" i="2"/>
  <c r="K46" i="2"/>
  <c r="J46" i="2"/>
  <c r="I46" i="2"/>
  <c r="H46" i="2"/>
  <c r="G46" i="2"/>
  <c r="F46" i="2"/>
  <c r="E46" i="2"/>
  <c r="D46" i="2"/>
  <c r="C46" i="2"/>
  <c r="B46" i="2"/>
  <c r="L45" i="2"/>
  <c r="K45" i="2"/>
  <c r="J45" i="2"/>
  <c r="I45" i="2"/>
  <c r="H45" i="2"/>
  <c r="G45" i="2"/>
  <c r="F45" i="2"/>
  <c r="E45" i="2"/>
  <c r="D45" i="2"/>
  <c r="C45" i="2"/>
  <c r="B45" i="2"/>
  <c r="L44" i="2"/>
  <c r="K44" i="2"/>
  <c r="J44" i="2"/>
  <c r="I44" i="2"/>
  <c r="H44" i="2"/>
  <c r="G44" i="2"/>
  <c r="F44" i="2"/>
  <c r="E44" i="2"/>
  <c r="D44" i="2"/>
  <c r="C44" i="2"/>
  <c r="B44" i="2"/>
  <c r="L43" i="2"/>
  <c r="K43" i="2"/>
  <c r="J43" i="2"/>
  <c r="I43" i="2"/>
  <c r="H43" i="2"/>
  <c r="G43" i="2"/>
  <c r="F43" i="2"/>
  <c r="E43" i="2"/>
  <c r="D43" i="2"/>
  <c r="C43" i="2"/>
  <c r="B43" i="2"/>
  <c r="L42" i="2"/>
  <c r="K42" i="2"/>
  <c r="J42" i="2"/>
  <c r="I42" i="2"/>
  <c r="H42" i="2"/>
  <c r="G42" i="2"/>
  <c r="F42" i="2"/>
  <c r="E42" i="2"/>
  <c r="D42" i="2"/>
  <c r="C42" i="2"/>
  <c r="B42" i="2"/>
  <c r="L41" i="2"/>
  <c r="K41" i="2"/>
  <c r="J41" i="2"/>
  <c r="I41" i="2"/>
  <c r="H41" i="2"/>
  <c r="G41" i="2"/>
  <c r="F41" i="2"/>
  <c r="E41" i="2"/>
  <c r="D41" i="2"/>
  <c r="C41" i="2"/>
  <c r="B41" i="2"/>
  <c r="L40" i="2"/>
  <c r="K40" i="2"/>
  <c r="J40" i="2"/>
  <c r="I40" i="2"/>
  <c r="H40" i="2"/>
  <c r="G40" i="2"/>
  <c r="F40" i="2"/>
  <c r="E40" i="2"/>
  <c r="D40" i="2"/>
  <c r="C40" i="2"/>
  <c r="B40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I38" i="2"/>
  <c r="H38" i="2"/>
  <c r="G38" i="2"/>
  <c r="F38" i="2"/>
  <c r="E38" i="2"/>
  <c r="D38" i="2"/>
  <c r="C38" i="2"/>
  <c r="B38" i="2"/>
  <c r="L37" i="2"/>
  <c r="K37" i="2"/>
  <c r="J37" i="2"/>
  <c r="I37" i="2"/>
  <c r="H37" i="2"/>
  <c r="G37" i="2"/>
  <c r="F37" i="2"/>
  <c r="E37" i="2"/>
  <c r="D37" i="2"/>
  <c r="C37" i="2"/>
  <c r="B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L33" i="2"/>
  <c r="K33" i="2"/>
  <c r="J33" i="2"/>
  <c r="I33" i="2"/>
  <c r="H33" i="2"/>
  <c r="G33" i="2"/>
  <c r="F33" i="2"/>
  <c r="E33" i="2"/>
  <c r="D33" i="2"/>
  <c r="C33" i="2"/>
  <c r="B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I23" i="2"/>
  <c r="H23" i="2"/>
  <c r="G23" i="2"/>
  <c r="F23" i="2"/>
  <c r="E23" i="2"/>
  <c r="D23" i="2"/>
  <c r="C23" i="2"/>
  <c r="L22" i="2"/>
  <c r="K22" i="2"/>
  <c r="I22" i="2"/>
  <c r="H22" i="2"/>
  <c r="G22" i="2"/>
  <c r="F22" i="2"/>
  <c r="E22" i="2"/>
  <c r="D22" i="2"/>
  <c r="C22" i="2"/>
  <c r="L21" i="2"/>
  <c r="K21" i="2"/>
  <c r="I21" i="2"/>
  <c r="H21" i="2"/>
  <c r="G21" i="2"/>
  <c r="F21" i="2"/>
  <c r="E21" i="2"/>
  <c r="D21" i="2"/>
  <c r="C21" i="2"/>
  <c r="L20" i="2"/>
  <c r="K20" i="2"/>
  <c r="I20" i="2"/>
  <c r="H20" i="2"/>
  <c r="G20" i="2"/>
  <c r="F20" i="2"/>
  <c r="E20" i="2"/>
  <c r="D20" i="2"/>
  <c r="C20" i="2"/>
  <c r="L19" i="2"/>
  <c r="K19" i="2"/>
  <c r="I19" i="2"/>
  <c r="H19" i="2"/>
  <c r="G19" i="2"/>
  <c r="F19" i="2"/>
  <c r="E19" i="2"/>
  <c r="D19" i="2"/>
  <c r="C19" i="2"/>
  <c r="L18" i="2"/>
  <c r="K18" i="2"/>
  <c r="I18" i="2"/>
  <c r="H18" i="2"/>
  <c r="G18" i="2"/>
  <c r="F18" i="2"/>
  <c r="E18" i="2"/>
  <c r="D18" i="2"/>
  <c r="C18" i="2"/>
  <c r="L17" i="2"/>
  <c r="K17" i="2"/>
  <c r="I17" i="2"/>
  <c r="H17" i="2"/>
  <c r="G17" i="2"/>
  <c r="F17" i="2"/>
  <c r="E17" i="2"/>
  <c r="D17" i="2"/>
  <c r="C17" i="2"/>
  <c r="L16" i="2"/>
  <c r="K16" i="2"/>
  <c r="I16" i="2"/>
  <c r="H16" i="2"/>
  <c r="G16" i="2"/>
  <c r="F16" i="2"/>
  <c r="E16" i="2"/>
  <c r="D16" i="2"/>
  <c r="C16" i="2"/>
  <c r="L15" i="2"/>
  <c r="K15" i="2"/>
  <c r="I15" i="2"/>
  <c r="H15" i="2"/>
  <c r="G15" i="2"/>
  <c r="F15" i="2"/>
  <c r="E15" i="2"/>
  <c r="D15" i="2"/>
  <c r="C15" i="2"/>
  <c r="K14" i="2"/>
  <c r="I14" i="2"/>
  <c r="H14" i="2"/>
  <c r="G14" i="2"/>
  <c r="F14" i="2"/>
  <c r="E14" i="2"/>
  <c r="C14" i="2"/>
  <c r="K13" i="2"/>
  <c r="I13" i="2"/>
  <c r="H13" i="2"/>
  <c r="G13" i="2"/>
  <c r="F13" i="2"/>
  <c r="E13" i="2"/>
  <c r="C13" i="2"/>
  <c r="K12" i="2"/>
  <c r="J12" i="2"/>
  <c r="I12" i="2"/>
  <c r="H12" i="2"/>
  <c r="G12" i="2"/>
  <c r="F12" i="2"/>
  <c r="E12" i="2"/>
  <c r="C12" i="2"/>
  <c r="K11" i="2"/>
  <c r="I11" i="2"/>
  <c r="H11" i="2"/>
  <c r="G11" i="2"/>
  <c r="F11" i="2"/>
  <c r="E11" i="2"/>
  <c r="C11" i="2"/>
  <c r="K10" i="2"/>
  <c r="I10" i="2"/>
  <c r="H10" i="2"/>
  <c r="G10" i="2"/>
  <c r="F10" i="2"/>
  <c r="E10" i="2"/>
  <c r="C10" i="2"/>
  <c r="K9" i="2"/>
  <c r="I9" i="2"/>
  <c r="H9" i="2"/>
  <c r="G9" i="2"/>
  <c r="F9" i="2"/>
  <c r="E9" i="2"/>
  <c r="C9" i="2"/>
  <c r="K8" i="2"/>
  <c r="I8" i="2"/>
  <c r="H8" i="2"/>
  <c r="G8" i="2"/>
  <c r="F8" i="2"/>
  <c r="E8" i="2"/>
  <c r="C8" i="2"/>
  <c r="K7" i="2"/>
  <c r="I7" i="2"/>
  <c r="H7" i="2"/>
  <c r="G7" i="2"/>
  <c r="F7" i="2"/>
  <c r="E7" i="2"/>
  <c r="C7" i="2"/>
  <c r="K6" i="2"/>
  <c r="I6" i="2"/>
  <c r="H6" i="2"/>
  <c r="G6" i="2"/>
  <c r="F6" i="2"/>
  <c r="E6" i="2"/>
  <c r="C6" i="2"/>
  <c r="K5" i="2"/>
  <c r="I5" i="2"/>
  <c r="H5" i="2"/>
  <c r="G5" i="2"/>
  <c r="F5" i="2"/>
  <c r="E5" i="2"/>
  <c r="C5" i="2"/>
  <c r="K4" i="2"/>
  <c r="I4" i="2"/>
  <c r="H4" i="2"/>
  <c r="G4" i="2"/>
  <c r="F4" i="2"/>
  <c r="E4" i="2"/>
  <c r="C4" i="2"/>
</calcChain>
</file>

<file path=xl/sharedStrings.xml><?xml version="1.0" encoding="utf-8"?>
<sst xmlns="http://schemas.openxmlformats.org/spreadsheetml/2006/main" count="34" uniqueCount="20">
  <si>
    <t>Date</t>
  </si>
  <si>
    <t>CNWMBEIJ</t>
  </si>
  <si>
    <t>CNUEMPTL</t>
  </si>
  <si>
    <t>CHOMCMDY</t>
  </si>
  <si>
    <t>ECOYECNN</t>
  </si>
  <si>
    <t>ECOYMCNN</t>
  </si>
  <si>
    <t>CNFRTTNO</t>
  </si>
  <si>
    <t>ECORCNN</t>
  </si>
  <si>
    <t>BISBCNR</t>
  </si>
  <si>
    <t>&lt;NSAZ&gt;</t>
  </si>
  <si>
    <t>&lt;Anual&gt;</t>
  </si>
  <si>
    <t>&lt;Valor NSA&gt;</t>
  </si>
  <si>
    <t>China Minimum Wage - Beijing</t>
  </si>
  <si>
    <t>China Registered Urban Unemployed Persons</t>
  </si>
  <si>
    <t>China Commodities Price Indices YoY</t>
  </si>
  <si>
    <t>China Exports (Billion USD) NSA</t>
  </si>
  <si>
    <t>China Imports (Billion USD) NSA</t>
  </si>
  <si>
    <t>China Total Trade</t>
  </si>
  <si>
    <t>China Money Supply M2 (Billion USD) NSA</t>
  </si>
  <si>
    <t>China Real Effective Exchange Rate 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</si>
</sst>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103" workbookViewId="0">
      <selection activeCell="B120" sqref="B120:B123"/>
    </sheetView>
  </sheetViews>
  <sheetFormatPr defaultRowHeight="14.4" x14ac:dyDescent="0.3"/>
  <cols>
    <col min="1" max="1" width="16" bestFit="1" customWidth="1"/>
    <col min="2" max="2" width="28.6640625" bestFit="1" customWidth="1"/>
    <col min="3" max="3" width="42.109375" bestFit="1" customWidth="1"/>
    <col min="4" max="4" width="34.33203125" bestFit="1" customWidth="1"/>
    <col min="5" max="5" width="29.33203125" bestFit="1" customWidth="1"/>
    <col min="6" max="6" width="29.6640625" bestFit="1" customWidth="1"/>
    <col min="7" max="7" width="16.44140625" bestFit="1" customWidth="1"/>
    <col min="8" max="8" width="38.88671875" bestFit="1" customWidth="1"/>
    <col min="9" max="9" width="35.5546875" bestFit="1" customWidth="1"/>
    <col min="10" max="10" width="26.109375" bestFit="1" customWidth="1"/>
    <col min="11" max="11" width="38.33203125" bestFit="1" customWidth="1"/>
    <col min="12" max="12" width="31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3</v>
      </c>
    </row>
    <row r="2" spans="1:12" x14ac:dyDescent="0.3">
      <c r="B2" t="s">
        <v>9</v>
      </c>
      <c r="C2" t="s">
        <v>10</v>
      </c>
      <c r="D2" t="s">
        <v>9</v>
      </c>
      <c r="E2" t="s">
        <v>9</v>
      </c>
      <c r="F2" t="s">
        <v>9</v>
      </c>
      <c r="G2" t="s">
        <v>11</v>
      </c>
      <c r="H2" t="s">
        <v>9</v>
      </c>
      <c r="I2" t="s">
        <v>9</v>
      </c>
      <c r="J2" t="s">
        <v>9</v>
      </c>
      <c r="K2" t="s">
        <v>10</v>
      </c>
      <c r="L2" t="s">
        <v>9</v>
      </c>
    </row>
    <row r="3" spans="1:12" x14ac:dyDescent="0.3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12</v>
      </c>
      <c r="K3" t="s">
        <v>13</v>
      </c>
      <c r="L3" t="s">
        <v>14</v>
      </c>
    </row>
    <row r="4" spans="1:12" x14ac:dyDescent="0.3">
      <c r="A4" s="1">
        <v>45169</v>
      </c>
      <c r="B4">
        <f>2320</f>
        <v>2320</v>
      </c>
      <c r="C4" t="e">
        <f>NA()</f>
        <v>#N/A</v>
      </c>
      <c r="D4">
        <f t="shared" ref="D4:D14" si="0">1.7</f>
        <v>1.7</v>
      </c>
      <c r="E4">
        <f>3427.9</f>
        <v>3427.9</v>
      </c>
      <c r="F4">
        <f>2572.5</f>
        <v>2572.5</v>
      </c>
      <c r="G4">
        <f>501.4</f>
        <v>501.4</v>
      </c>
      <c r="H4">
        <f>39529.2</f>
        <v>39529.199999999997</v>
      </c>
      <c r="I4">
        <f>91.6</f>
        <v>91.6</v>
      </c>
      <c r="J4">
        <f>2320</f>
        <v>2320</v>
      </c>
      <c r="K4" t="e">
        <f>NA()</f>
        <v>#N/A</v>
      </c>
      <c r="L4">
        <f t="shared" ref="L4:L14" si="1">1.7</f>
        <v>1.7</v>
      </c>
    </row>
    <row r="5" spans="1:12" x14ac:dyDescent="0.3">
      <c r="A5" s="1">
        <v>45138</v>
      </c>
      <c r="B5">
        <f>2320</f>
        <v>2320</v>
      </c>
      <c r="C5" t="e">
        <f>NA()</f>
        <v>#N/A</v>
      </c>
      <c r="D5">
        <f t="shared" si="0"/>
        <v>1.7</v>
      </c>
      <c r="E5">
        <f>3455.4</f>
        <v>3455.4</v>
      </c>
      <c r="F5">
        <f>2589.5</f>
        <v>2589.5</v>
      </c>
      <c r="G5">
        <f>482.7</f>
        <v>482.7</v>
      </c>
      <c r="H5">
        <f>39957.3</f>
        <v>39957.300000000003</v>
      </c>
      <c r="I5">
        <f>91.2</f>
        <v>91.2</v>
      </c>
      <c r="J5">
        <f>2320</f>
        <v>2320</v>
      </c>
      <c r="K5" t="e">
        <f>NA()</f>
        <v>#N/A</v>
      </c>
      <c r="L5">
        <f t="shared" si="1"/>
        <v>1.7</v>
      </c>
    </row>
    <row r="6" spans="1:12" x14ac:dyDescent="0.3">
      <c r="A6" s="1">
        <v>45107</v>
      </c>
      <c r="B6">
        <f>2320</f>
        <v>2320</v>
      </c>
      <c r="C6" t="e">
        <f>NA()</f>
        <v>#N/A</v>
      </c>
      <c r="D6">
        <f t="shared" si="0"/>
        <v>1.7</v>
      </c>
      <c r="E6">
        <f>3502.6</f>
        <v>3502.6</v>
      </c>
      <c r="F6">
        <f>2617.7</f>
        <v>2617.6999999999998</v>
      </c>
      <c r="G6">
        <f>498.9</f>
        <v>498.9</v>
      </c>
      <c r="H6">
        <f>39607.2</f>
        <v>39607.199999999997</v>
      </c>
      <c r="I6">
        <f>91.9</f>
        <v>91.9</v>
      </c>
      <c r="J6">
        <f>2320</f>
        <v>2320</v>
      </c>
      <c r="K6" t="e">
        <f>NA()</f>
        <v>#N/A</v>
      </c>
      <c r="L6">
        <f t="shared" si="1"/>
        <v>1.7</v>
      </c>
    </row>
    <row r="7" spans="1:12" x14ac:dyDescent="0.3">
      <c r="A7" s="1">
        <v>45077</v>
      </c>
      <c r="B7">
        <f>2320</f>
        <v>2320</v>
      </c>
      <c r="C7" t="e">
        <f>NA()</f>
        <v>#N/A</v>
      </c>
      <c r="D7">
        <f t="shared" si="0"/>
        <v>1.7</v>
      </c>
      <c r="E7">
        <f>3542.8</f>
        <v>3542.8</v>
      </c>
      <c r="F7">
        <f>2633.5</f>
        <v>2633.5</v>
      </c>
      <c r="G7">
        <f>499.4</f>
        <v>499.4</v>
      </c>
      <c r="H7">
        <f>39656.7</f>
        <v>39656.699999999997</v>
      </c>
      <c r="I7">
        <f>94</f>
        <v>94</v>
      </c>
      <c r="J7">
        <f>2320</f>
        <v>2320</v>
      </c>
      <c r="K7" t="e">
        <f>NA()</f>
        <v>#N/A</v>
      </c>
      <c r="L7">
        <f t="shared" si="1"/>
        <v>1.7</v>
      </c>
    </row>
    <row r="8" spans="1:12" x14ac:dyDescent="0.3">
      <c r="A8" s="1">
        <v>45046</v>
      </c>
      <c r="B8">
        <f>2320</f>
        <v>2320</v>
      </c>
      <c r="C8" t="e">
        <f>NA()</f>
        <v>#N/A</v>
      </c>
      <c r="D8">
        <f t="shared" si="0"/>
        <v>1.7</v>
      </c>
      <c r="E8">
        <f>3565.1</f>
        <v>3565.1</v>
      </c>
      <c r="F8">
        <f>2644.4</f>
        <v>2644.4</v>
      </c>
      <c r="G8">
        <f>494.3</f>
        <v>494.3</v>
      </c>
      <c r="H8" t="e">
        <f>NA()</f>
        <v>#N/A</v>
      </c>
      <c r="I8">
        <f>95.3</f>
        <v>95.3</v>
      </c>
      <c r="J8">
        <f>2320</f>
        <v>2320</v>
      </c>
      <c r="K8" t="e">
        <f>NA()</f>
        <v>#N/A</v>
      </c>
      <c r="L8">
        <f t="shared" si="1"/>
        <v>1.7</v>
      </c>
    </row>
    <row r="9" spans="1:12" x14ac:dyDescent="0.3">
      <c r="A9" s="1">
        <v>45016</v>
      </c>
      <c r="B9">
        <f>2320</f>
        <v>2320</v>
      </c>
      <c r="C9" t="e">
        <f>NA()</f>
        <v>#N/A</v>
      </c>
      <c r="D9">
        <f t="shared" si="0"/>
        <v>1.7</v>
      </c>
      <c r="E9">
        <f>3545.4</f>
        <v>3545.4</v>
      </c>
      <c r="F9">
        <f>2663.2</f>
        <v>2663.2</v>
      </c>
      <c r="G9">
        <f>530.5</f>
        <v>530.5</v>
      </c>
      <c r="H9">
        <f>40974.9</f>
        <v>40974.9</v>
      </c>
      <c r="I9">
        <f>96.9</f>
        <v>96.9</v>
      </c>
      <c r="J9">
        <f>2320</f>
        <v>2320</v>
      </c>
      <c r="K9" t="e">
        <f>NA()</f>
        <v>#N/A</v>
      </c>
      <c r="L9">
        <f t="shared" si="1"/>
        <v>1.7</v>
      </c>
    </row>
    <row r="10" spans="1:12" x14ac:dyDescent="0.3">
      <c r="A10" s="1">
        <v>44985</v>
      </c>
      <c r="B10">
        <f>2320</f>
        <v>2320</v>
      </c>
      <c r="C10" t="e">
        <f>NA()</f>
        <v>#N/A</v>
      </c>
      <c r="D10">
        <f t="shared" si="0"/>
        <v>1.7</v>
      </c>
      <c r="E10">
        <f>3514.6</f>
        <v>3514.6</v>
      </c>
      <c r="F10">
        <f>2667.5</f>
        <v>2667.5</v>
      </c>
      <c r="G10">
        <f>406.7</f>
        <v>406.7</v>
      </c>
      <c r="H10">
        <f>39726.8</f>
        <v>39726.800000000003</v>
      </c>
      <c r="I10">
        <f>98</f>
        <v>98</v>
      </c>
      <c r="J10">
        <f>2320</f>
        <v>2320</v>
      </c>
      <c r="K10" t="e">
        <f>NA()</f>
        <v>#N/A</v>
      </c>
      <c r="L10">
        <f t="shared" si="1"/>
        <v>1.7</v>
      </c>
    </row>
    <row r="11" spans="1:12" x14ac:dyDescent="0.3">
      <c r="A11" s="1">
        <v>44957</v>
      </c>
      <c r="B11">
        <f>2320</f>
        <v>2320</v>
      </c>
      <c r="C11" t="e">
        <f>NA()</f>
        <v>#N/A</v>
      </c>
      <c r="D11">
        <f t="shared" si="0"/>
        <v>1.7</v>
      </c>
      <c r="E11">
        <f>3521.5</f>
        <v>3521.5</v>
      </c>
      <c r="F11">
        <f>2658.8</f>
        <v>2658.8</v>
      </c>
      <c r="G11">
        <f>479.3</f>
        <v>479.3</v>
      </c>
      <c r="H11">
        <f>40532.2</f>
        <v>40532.199999999997</v>
      </c>
      <c r="I11">
        <f>98.1</f>
        <v>98.1</v>
      </c>
      <c r="J11">
        <f>2320</f>
        <v>2320</v>
      </c>
      <c r="K11" t="e">
        <f>NA()</f>
        <v>#N/A</v>
      </c>
      <c r="L11">
        <f t="shared" si="1"/>
        <v>1.7</v>
      </c>
    </row>
    <row r="12" spans="1:12" x14ac:dyDescent="0.3">
      <c r="A12" s="1">
        <v>44926</v>
      </c>
      <c r="B12">
        <f>2320</f>
        <v>2320</v>
      </c>
      <c r="C12" t="e">
        <f>NA()</f>
        <v>#N/A</v>
      </c>
      <c r="D12">
        <f t="shared" si="0"/>
        <v>1.7</v>
      </c>
      <c r="E12">
        <f>3560.5</f>
        <v>3560.5</v>
      </c>
      <c r="F12">
        <f>2709.4</f>
        <v>2709.4</v>
      </c>
      <c r="G12">
        <f>527.8</f>
        <v>527.79999999999995</v>
      </c>
      <c r="H12" t="e">
        <f>NA()</f>
        <v>#N/A</v>
      </c>
      <c r="I12">
        <f>97.4</f>
        <v>97.4</v>
      </c>
      <c r="J12">
        <f>2320</f>
        <v>2320</v>
      </c>
      <c r="K12" t="e">
        <f>NA()</f>
        <v>#N/A</v>
      </c>
      <c r="L12">
        <f t="shared" si="1"/>
        <v>1.7</v>
      </c>
    </row>
    <row r="13" spans="1:12" x14ac:dyDescent="0.3">
      <c r="A13" s="1">
        <v>44895</v>
      </c>
      <c r="B13">
        <f>2320</f>
        <v>2320</v>
      </c>
      <c r="C13" t="e">
        <f>NA()</f>
        <v>#N/A</v>
      </c>
      <c r="D13">
        <f t="shared" si="0"/>
        <v>1.7</v>
      </c>
      <c r="E13">
        <f>3601</f>
        <v>3601</v>
      </c>
      <c r="F13">
        <f>2727.3</f>
        <v>2727.3</v>
      </c>
      <c r="G13">
        <f>517.3</f>
        <v>517.29999999999995</v>
      </c>
      <c r="H13">
        <f>37321.8</f>
        <v>37321.800000000003</v>
      </c>
      <c r="I13">
        <f>96.8</f>
        <v>96.8</v>
      </c>
      <c r="J13">
        <f>2320</f>
        <v>2320</v>
      </c>
      <c r="K13" t="e">
        <f>NA()</f>
        <v>#N/A</v>
      </c>
      <c r="L13">
        <f t="shared" si="1"/>
        <v>1.7</v>
      </c>
    </row>
    <row r="14" spans="1:12" x14ac:dyDescent="0.3">
      <c r="A14" s="1">
        <v>44865</v>
      </c>
      <c r="B14">
        <f>2320</f>
        <v>2320</v>
      </c>
      <c r="C14" t="e">
        <f>NA()</f>
        <v>#N/A</v>
      </c>
      <c r="D14">
        <f t="shared" si="0"/>
        <v>1.7</v>
      </c>
      <c r="E14">
        <f>3633.4</f>
        <v>3633.4</v>
      </c>
      <c r="F14">
        <f>2754.9</f>
        <v>2754.9</v>
      </c>
      <c r="G14">
        <f>506.7</f>
        <v>506.7</v>
      </c>
      <c r="H14">
        <f>35768.9</f>
        <v>35768.9</v>
      </c>
      <c r="I14">
        <f>99.4</f>
        <v>99.4</v>
      </c>
      <c r="J14">
        <f>2320</f>
        <v>2320</v>
      </c>
      <c r="K14" t="e">
        <f>NA()</f>
        <v>#N/A</v>
      </c>
      <c r="L14">
        <f t="shared" si="1"/>
        <v>1.7</v>
      </c>
    </row>
    <row r="15" spans="1:12" x14ac:dyDescent="0.3">
      <c r="A15" s="1">
        <v>44834</v>
      </c>
      <c r="B15">
        <f>2320</f>
        <v>2320</v>
      </c>
      <c r="C15" t="e">
        <f>NA()</f>
        <v>#N/A</v>
      </c>
      <c r="D15">
        <f>1.7</f>
        <v>1.7</v>
      </c>
      <c r="E15">
        <f>3637.9</f>
        <v>3637.9</v>
      </c>
      <c r="F15">
        <f>2757.4</f>
        <v>2757.4</v>
      </c>
      <c r="G15">
        <f>555.4</f>
        <v>555.4</v>
      </c>
      <c r="H15">
        <f>36911.7</f>
        <v>36911.699999999997</v>
      </c>
      <c r="I15">
        <f>101.1</f>
        <v>101.1</v>
      </c>
      <c r="J15">
        <f>2320</f>
        <v>2320</v>
      </c>
      <c r="K15" t="e">
        <f>NA()</f>
        <v>#N/A</v>
      </c>
      <c r="L15">
        <f>1.7</f>
        <v>1.7</v>
      </c>
    </row>
    <row r="16" spans="1:12" x14ac:dyDescent="0.3">
      <c r="A16" s="1">
        <v>44804</v>
      </c>
      <c r="B16">
        <f>2320</f>
        <v>2320</v>
      </c>
      <c r="C16" t="e">
        <f>NA()</f>
        <v>#N/A</v>
      </c>
      <c r="D16">
        <f>2.3</f>
        <v>2.2999999999999998</v>
      </c>
      <c r="E16">
        <f>3623.6</f>
        <v>3623.6</v>
      </c>
      <c r="F16">
        <f>2758.3</f>
        <v>2758.3</v>
      </c>
      <c r="G16">
        <f>545.9</f>
        <v>545.9</v>
      </c>
      <c r="H16">
        <f>37662.1</f>
        <v>37662.1</v>
      </c>
      <c r="I16">
        <f>101.9</f>
        <v>101.9</v>
      </c>
      <c r="J16">
        <f>2320</f>
        <v>2320</v>
      </c>
      <c r="K16" t="e">
        <f>NA()</f>
        <v>#N/A</v>
      </c>
      <c r="L16">
        <f>2.3</f>
        <v>2.2999999999999998</v>
      </c>
    </row>
    <row r="17" spans="1:12" x14ac:dyDescent="0.3">
      <c r="A17" s="1">
        <v>44773</v>
      </c>
      <c r="B17">
        <f>2320</f>
        <v>2320</v>
      </c>
      <c r="C17" t="e">
        <f>NA()</f>
        <v>#N/A</v>
      </c>
      <c r="D17">
        <f>3.1</f>
        <v>3.1</v>
      </c>
      <c r="E17">
        <f>3604.5</f>
        <v>3604.5</v>
      </c>
      <c r="F17">
        <f>2759.4</f>
        <v>2759.4</v>
      </c>
      <c r="G17">
        <f>558.1</f>
        <v>558.1</v>
      </c>
      <c r="H17" t="e">
        <f>NA()</f>
        <v>#N/A</v>
      </c>
      <c r="I17">
        <f>103.4</f>
        <v>103.4</v>
      </c>
      <c r="J17">
        <f>2320</f>
        <v>2320</v>
      </c>
      <c r="K17" t="e">
        <f>NA()</f>
        <v>#N/A</v>
      </c>
      <c r="L17">
        <f>3.1</f>
        <v>3.1</v>
      </c>
    </row>
    <row r="18" spans="1:12" x14ac:dyDescent="0.3">
      <c r="A18" s="1">
        <v>44742</v>
      </c>
      <c r="B18">
        <f>2320</f>
        <v>2320</v>
      </c>
      <c r="C18" t="e">
        <f>NA()</f>
        <v>#N/A</v>
      </c>
      <c r="D18">
        <f>5.2</f>
        <v>5.2</v>
      </c>
      <c r="E18">
        <f>3557</f>
        <v>3557</v>
      </c>
      <c r="F18">
        <f>2756.4</f>
        <v>2756.4</v>
      </c>
      <c r="G18">
        <f>554.8</f>
        <v>554.79999999999995</v>
      </c>
      <c r="H18">
        <f>38533.2</f>
        <v>38533.199999999997</v>
      </c>
      <c r="I18">
        <f>101.4</f>
        <v>101.4</v>
      </c>
      <c r="J18">
        <f>2320</f>
        <v>2320</v>
      </c>
      <c r="K18" t="e">
        <f>NA()</f>
        <v>#N/A</v>
      </c>
      <c r="L18">
        <f>5.2</f>
        <v>5.2</v>
      </c>
    </row>
    <row r="19" spans="1:12" x14ac:dyDescent="0.3">
      <c r="A19" s="1">
        <v>44712</v>
      </c>
      <c r="B19">
        <f>2320</f>
        <v>2320</v>
      </c>
      <c r="C19" t="e">
        <f>NA()</f>
        <v>#N/A</v>
      </c>
      <c r="D19">
        <f>5.1</f>
        <v>5.0999999999999996</v>
      </c>
      <c r="E19">
        <f>3512.8</f>
        <v>3512.8</v>
      </c>
      <c r="F19">
        <f>2757</f>
        <v>2757</v>
      </c>
      <c r="G19">
        <f>532.7</f>
        <v>532.70000000000005</v>
      </c>
      <c r="H19">
        <f>37876.2</f>
        <v>37876.199999999997</v>
      </c>
      <c r="I19">
        <f>101.3</f>
        <v>101.3</v>
      </c>
      <c r="J19">
        <f>2320</f>
        <v>2320</v>
      </c>
      <c r="K19" t="e">
        <f>NA()</f>
        <v>#N/A</v>
      </c>
      <c r="L19">
        <f>5.1</f>
        <v>5.0999999999999996</v>
      </c>
    </row>
    <row r="20" spans="1:12" x14ac:dyDescent="0.3">
      <c r="A20" s="1">
        <v>44681</v>
      </c>
      <c r="B20">
        <f>2320</f>
        <v>2320</v>
      </c>
      <c r="C20" t="e">
        <f>NA()</f>
        <v>#N/A</v>
      </c>
      <c r="D20">
        <f>6.3</f>
        <v>6.3</v>
      </c>
      <c r="E20">
        <f>3471.2</f>
        <v>3471.2</v>
      </c>
      <c r="F20">
        <f>2749.5</f>
        <v>2749.5</v>
      </c>
      <c r="G20">
        <f>493.4</f>
        <v>493.4</v>
      </c>
      <c r="H20" t="e">
        <f>NA()</f>
        <v>#N/A</v>
      </c>
      <c r="I20">
        <f>105.2</f>
        <v>105.2</v>
      </c>
      <c r="J20">
        <f>2320</f>
        <v>2320</v>
      </c>
      <c r="K20" t="e">
        <f>NA()</f>
        <v>#N/A</v>
      </c>
      <c r="L20">
        <f>6.3</f>
        <v>6.3</v>
      </c>
    </row>
    <row r="21" spans="1:12" x14ac:dyDescent="0.3">
      <c r="A21" s="1">
        <v>44651</v>
      </c>
      <c r="B21">
        <f>2320</f>
        <v>2320</v>
      </c>
      <c r="C21" t="e">
        <f>NA()</f>
        <v>#N/A</v>
      </c>
      <c r="D21">
        <f>6.1</f>
        <v>6.1</v>
      </c>
      <c r="E21">
        <f>3463.6</f>
        <v>3463.6</v>
      </c>
      <c r="F21">
        <f>2749.4</f>
        <v>2749.4</v>
      </c>
      <c r="G21">
        <f>503.9</f>
        <v>503.9</v>
      </c>
      <c r="H21">
        <f>39395.7</f>
        <v>39395.699999999997</v>
      </c>
      <c r="I21">
        <f>106.4</f>
        <v>106.4</v>
      </c>
      <c r="J21">
        <f>2320</f>
        <v>2320</v>
      </c>
      <c r="K21" t="e">
        <f>NA()</f>
        <v>#N/A</v>
      </c>
      <c r="L21">
        <f>6.1</f>
        <v>6.1</v>
      </c>
    </row>
    <row r="22" spans="1:12" x14ac:dyDescent="0.3">
      <c r="A22" s="1">
        <v>44620</v>
      </c>
      <c r="B22">
        <f>2320</f>
        <v>2320</v>
      </c>
      <c r="C22" t="e">
        <f>NA()</f>
        <v>#N/A</v>
      </c>
      <c r="D22">
        <f>6.1</f>
        <v>6.1</v>
      </c>
      <c r="E22">
        <f>3430.5</f>
        <v>3430.5</v>
      </c>
      <c r="F22">
        <f>2748.1</f>
        <v>2748.1</v>
      </c>
      <c r="G22">
        <f>404.8</f>
        <v>404.8</v>
      </c>
      <c r="H22">
        <f>38697.3</f>
        <v>38697.300000000003</v>
      </c>
      <c r="I22">
        <f>105.9</f>
        <v>105.9</v>
      </c>
      <c r="J22">
        <f>2320</f>
        <v>2320</v>
      </c>
      <c r="K22" t="e">
        <f>NA()</f>
        <v>#N/A</v>
      </c>
      <c r="L22">
        <f>6.1</f>
        <v>6.1</v>
      </c>
    </row>
    <row r="23" spans="1:12" x14ac:dyDescent="0.3">
      <c r="A23" s="1">
        <v>44592</v>
      </c>
      <c r="B23">
        <f>2320</f>
        <v>2320</v>
      </c>
      <c r="C23" t="e">
        <f>NA()</f>
        <v>#N/A</v>
      </c>
      <c r="D23">
        <f>6.4</f>
        <v>6.4</v>
      </c>
      <c r="E23">
        <f>3418.8</f>
        <v>3418.8</v>
      </c>
      <c r="F23">
        <f>2728.8</f>
        <v>2728.8</v>
      </c>
      <c r="G23">
        <f>569</f>
        <v>569</v>
      </c>
      <c r="H23" t="e">
        <f>NA()</f>
        <v>#N/A</v>
      </c>
      <c r="I23">
        <f>105.1</f>
        <v>105.1</v>
      </c>
      <c r="J23">
        <f>2320</f>
        <v>2320</v>
      </c>
      <c r="K23" t="e">
        <f>NA()</f>
        <v>#N/A</v>
      </c>
      <c r="L23">
        <f>6.4</f>
        <v>6.4</v>
      </c>
    </row>
    <row r="24" spans="1:12" x14ac:dyDescent="0.3">
      <c r="A24" s="1">
        <v>44561</v>
      </c>
      <c r="B24">
        <f>2320</f>
        <v>2320</v>
      </c>
      <c r="C24">
        <f>10.4</f>
        <v>10.4</v>
      </c>
      <c r="D24">
        <f>7.5</f>
        <v>7.5</v>
      </c>
      <c r="E24">
        <f>3357.1</f>
        <v>3357.1</v>
      </c>
      <c r="F24">
        <f>2686.7</f>
        <v>2686.7</v>
      </c>
      <c r="G24">
        <f>586.1</f>
        <v>586.1</v>
      </c>
      <c r="H24">
        <f>37490</f>
        <v>37490</v>
      </c>
      <c r="I24">
        <f>105.8</f>
        <v>105.8</v>
      </c>
      <c r="J24">
        <f>2320</f>
        <v>2320</v>
      </c>
      <c r="K24">
        <f>10.4</f>
        <v>10.4</v>
      </c>
      <c r="L24">
        <f>7.5</f>
        <v>7.5</v>
      </c>
    </row>
    <row r="25" spans="1:12" x14ac:dyDescent="0.3">
      <c r="A25" s="1">
        <v>44530</v>
      </c>
      <c r="B25" t="e">
        <f>NA()</f>
        <v>#N/A</v>
      </c>
      <c r="C25" t="e">
        <f>NA()</f>
        <v>#N/A</v>
      </c>
      <c r="D25">
        <f>9.8</f>
        <v>9.8000000000000007</v>
      </c>
      <c r="E25">
        <f>3299.4</f>
        <v>3299.4</v>
      </c>
      <c r="F25">
        <f>2644</f>
        <v>2644</v>
      </c>
      <c r="G25">
        <f>577.3</f>
        <v>577.29999999999995</v>
      </c>
      <c r="H25">
        <f>37018</f>
        <v>37018</v>
      </c>
      <c r="I25">
        <f>105</f>
        <v>105</v>
      </c>
      <c r="J25" t="e">
        <f>NA()</f>
        <v>#N/A</v>
      </c>
      <c r="K25" t="e">
        <f>NA()</f>
        <v>#N/A</v>
      </c>
      <c r="L25">
        <f>9.8</f>
        <v>9.8000000000000007</v>
      </c>
    </row>
    <row r="26" spans="1:12" x14ac:dyDescent="0.3">
      <c r="A26" s="1">
        <v>44500</v>
      </c>
      <c r="B26" t="e">
        <f>NA()</f>
        <v>#N/A</v>
      </c>
      <c r="C26" t="e">
        <f>NA()</f>
        <v>#N/A</v>
      </c>
      <c r="D26">
        <f>10.1</f>
        <v>10.1</v>
      </c>
      <c r="E26">
        <f>3242.1</f>
        <v>3242.1</v>
      </c>
      <c r="F26">
        <f>2582.5</f>
        <v>2582.5</v>
      </c>
      <c r="G26">
        <f>513.8</f>
        <v>513.79999999999995</v>
      </c>
      <c r="H26" t="e">
        <f>NA()</f>
        <v>#N/A</v>
      </c>
      <c r="I26">
        <f>104</f>
        <v>104</v>
      </c>
      <c r="J26" t="e">
        <f>NA()</f>
        <v>#N/A</v>
      </c>
      <c r="K26" t="e">
        <f>NA()</f>
        <v>#N/A</v>
      </c>
      <c r="L26">
        <f>10.1</f>
        <v>10.1</v>
      </c>
    </row>
    <row r="27" spans="1:12" x14ac:dyDescent="0.3">
      <c r="A27" s="1">
        <v>44469</v>
      </c>
      <c r="B27" t="e">
        <f>NA()</f>
        <v>#N/A</v>
      </c>
      <c r="C27" t="e">
        <f>NA()</f>
        <v>#N/A</v>
      </c>
      <c r="D27">
        <f>7.9</f>
        <v>7.9</v>
      </c>
      <c r="E27">
        <f>3179.2</f>
        <v>3179.2</v>
      </c>
      <c r="F27">
        <f>2546</f>
        <v>2546</v>
      </c>
      <c r="G27">
        <f>541.9</f>
        <v>541.9</v>
      </c>
      <c r="H27">
        <f>36352.3</f>
        <v>36352.300000000003</v>
      </c>
      <c r="I27">
        <f>102.4</f>
        <v>102.4</v>
      </c>
      <c r="J27" t="e">
        <f>NA()</f>
        <v>#N/A</v>
      </c>
      <c r="K27" t="e">
        <f>NA()</f>
        <v>#N/A</v>
      </c>
      <c r="L27">
        <f>7.9</f>
        <v>7.9</v>
      </c>
    </row>
    <row r="28" spans="1:12" x14ac:dyDescent="0.3">
      <c r="A28" s="1">
        <v>44439</v>
      </c>
      <c r="B28" t="e">
        <f>NA()</f>
        <v>#N/A</v>
      </c>
      <c r="C28" t="e">
        <f>NA()</f>
        <v>#N/A</v>
      </c>
      <c r="D28">
        <f>7.6</f>
        <v>7.6</v>
      </c>
      <c r="E28">
        <f>3113.3</f>
        <v>3113.3</v>
      </c>
      <c r="F28">
        <f>2510.8</f>
        <v>2510.8000000000002</v>
      </c>
      <c r="G28">
        <f>527.9</f>
        <v>527.9</v>
      </c>
      <c r="H28">
        <f>35789.7</f>
        <v>35789.699999999997</v>
      </c>
      <c r="I28">
        <f>102.4</f>
        <v>102.4</v>
      </c>
      <c r="J28" t="e">
        <f>NA()</f>
        <v>#N/A</v>
      </c>
      <c r="K28" t="e">
        <f>NA()</f>
        <v>#N/A</v>
      </c>
      <c r="L28">
        <f>7.6</f>
        <v>7.6</v>
      </c>
    </row>
    <row r="29" spans="1:12" x14ac:dyDescent="0.3">
      <c r="A29" s="1">
        <v>44408</v>
      </c>
      <c r="B29" t="e">
        <f>NA()</f>
        <v>#N/A</v>
      </c>
      <c r="C29" t="e">
        <f>NA()</f>
        <v>#N/A</v>
      </c>
      <c r="D29">
        <f>7.9</f>
        <v>7.9</v>
      </c>
      <c r="E29">
        <f>3054.5</f>
        <v>3054.5</v>
      </c>
      <c r="F29">
        <f>2452</f>
        <v>2452</v>
      </c>
      <c r="G29">
        <f>507.7</f>
        <v>507.7</v>
      </c>
      <c r="H29" t="e">
        <f>NA()</f>
        <v>#N/A</v>
      </c>
      <c r="I29">
        <f>102.4</f>
        <v>102.4</v>
      </c>
      <c r="J29" t="e">
        <f>NA()</f>
        <v>#N/A</v>
      </c>
      <c r="K29" t="e">
        <f>NA()</f>
        <v>#N/A</v>
      </c>
      <c r="L29">
        <f>7.9</f>
        <v>7.9</v>
      </c>
    </row>
    <row r="30" spans="1:12" x14ac:dyDescent="0.3">
      <c r="A30" s="1">
        <v>44377</v>
      </c>
      <c r="B30" t="e">
        <f>NA()</f>
        <v>#N/A</v>
      </c>
      <c r="C30" t="e">
        <f>NA()</f>
        <v>#N/A</v>
      </c>
      <c r="D30">
        <f>8.1</f>
        <v>8.1</v>
      </c>
      <c r="E30">
        <f>3010.1</f>
        <v>3010.1</v>
      </c>
      <c r="F30">
        <f>2400.5</f>
        <v>2400.5</v>
      </c>
      <c r="G30">
        <f>511.2</f>
        <v>511.2</v>
      </c>
      <c r="H30">
        <f>35894.6</f>
        <v>35894.6</v>
      </c>
      <c r="I30">
        <f>101.7</f>
        <v>101.7</v>
      </c>
      <c r="J30" t="e">
        <f>NA()</f>
        <v>#N/A</v>
      </c>
      <c r="K30" t="e">
        <f>NA()</f>
        <v>#N/A</v>
      </c>
      <c r="L30">
        <f>8.1</f>
        <v>8.1</v>
      </c>
    </row>
    <row r="31" spans="1:12" x14ac:dyDescent="0.3">
      <c r="A31" s="1">
        <v>44347</v>
      </c>
      <c r="B31" t="e">
        <f>NA()</f>
        <v>#N/A</v>
      </c>
      <c r="C31" t="e">
        <f>NA()</f>
        <v>#N/A</v>
      </c>
      <c r="D31">
        <f>9.1</f>
        <v>9.1</v>
      </c>
      <c r="E31">
        <f>2942.7</f>
        <v>2942.7</v>
      </c>
      <c r="F31">
        <f>2336.3</f>
        <v>2336.3000000000002</v>
      </c>
      <c r="G31">
        <f>483.6</f>
        <v>483.6</v>
      </c>
      <c r="H31">
        <f>35722.2</f>
        <v>35722.199999999997</v>
      </c>
      <c r="I31">
        <f>101.8</f>
        <v>101.8</v>
      </c>
      <c r="J31" t="e">
        <f>NA()</f>
        <v>#N/A</v>
      </c>
      <c r="K31" t="e">
        <f>NA()</f>
        <v>#N/A</v>
      </c>
      <c r="L31">
        <f>9.1</f>
        <v>9.1</v>
      </c>
    </row>
    <row r="32" spans="1:12" x14ac:dyDescent="0.3">
      <c r="A32" s="1">
        <v>44316</v>
      </c>
      <c r="B32" t="e">
        <f>NA()</f>
        <v>#N/A</v>
      </c>
      <c r="C32" t="e">
        <f>NA()</f>
        <v>#N/A</v>
      </c>
      <c r="D32">
        <f>7.5</f>
        <v>7.5</v>
      </c>
      <c r="E32">
        <f>2886</f>
        <v>2886</v>
      </c>
      <c r="F32">
        <f>2259.8</f>
        <v>2259.8000000000002</v>
      </c>
      <c r="G32">
        <f>485.7</f>
        <v>485.7</v>
      </c>
      <c r="H32">
        <f>34936.6</f>
        <v>34936.6</v>
      </c>
      <c r="I32">
        <f>102</f>
        <v>102</v>
      </c>
      <c r="J32" t="e">
        <f>NA()</f>
        <v>#N/A</v>
      </c>
      <c r="K32" t="e">
        <f>NA()</f>
        <v>#N/A</v>
      </c>
      <c r="L32">
        <f>7.5</f>
        <v>7.5</v>
      </c>
    </row>
    <row r="33" spans="1:12" x14ac:dyDescent="0.3">
      <c r="A33" s="1">
        <v>44286</v>
      </c>
      <c r="B33" t="e">
        <f>NA()</f>
        <v>#N/A</v>
      </c>
      <c r="C33" t="e">
        <f>NA()</f>
        <v>#N/A</v>
      </c>
      <c r="D33">
        <f>5.4</f>
        <v>5.4</v>
      </c>
      <c r="E33">
        <f>2822.4</f>
        <v>2822.4</v>
      </c>
      <c r="F33">
        <f>2191.8</f>
        <v>2191.8000000000002</v>
      </c>
      <c r="G33">
        <f>469.5</f>
        <v>469.5</v>
      </c>
      <c r="H33">
        <f>34740.2</f>
        <v>34740.199999999997</v>
      </c>
      <c r="I33">
        <f>103.2</f>
        <v>103.2</v>
      </c>
      <c r="J33" t="e">
        <f>NA()</f>
        <v>#N/A</v>
      </c>
      <c r="K33" t="e">
        <f>NA()</f>
        <v>#N/A</v>
      </c>
      <c r="L33">
        <f>5.4</f>
        <v>5.4</v>
      </c>
    </row>
    <row r="34" spans="1:12" x14ac:dyDescent="0.3">
      <c r="A34" s="1">
        <v>44255</v>
      </c>
      <c r="B34" t="e">
        <f>NA()</f>
        <v>#N/A</v>
      </c>
      <c r="C34" t="e">
        <f>NA()</f>
        <v>#N/A</v>
      </c>
      <c r="D34">
        <f>2.9</f>
        <v>2.9</v>
      </c>
      <c r="E34">
        <f>2766.4</f>
        <v>2766.4</v>
      </c>
      <c r="F34">
        <f>2127.6</f>
        <v>2127.6</v>
      </c>
      <c r="G34">
        <f>373.8</f>
        <v>373.8</v>
      </c>
      <c r="H34" t="e">
        <f>NA()</f>
        <v>#N/A</v>
      </c>
      <c r="I34">
        <f>103.8</f>
        <v>103.8</v>
      </c>
      <c r="J34" t="e">
        <f>NA()</f>
        <v>#N/A</v>
      </c>
      <c r="K34" t="e">
        <f>NA()</f>
        <v>#N/A</v>
      </c>
      <c r="L34">
        <f>2.9</f>
        <v>2.9</v>
      </c>
    </row>
    <row r="35" spans="1:12" x14ac:dyDescent="0.3">
      <c r="A35" s="1">
        <v>44227</v>
      </c>
      <c r="B35" t="e">
        <f>NA()</f>
        <v>#N/A</v>
      </c>
      <c r="C35" t="e">
        <f>NA()</f>
        <v>#N/A</v>
      </c>
      <c r="D35">
        <f>1.2</f>
        <v>1.2</v>
      </c>
      <c r="E35">
        <f>2642.4</f>
        <v>2642.4</v>
      </c>
      <c r="F35">
        <f>2100.7</f>
        <v>2100.6999999999998</v>
      </c>
      <c r="G35">
        <f>465.4</f>
        <v>465.4</v>
      </c>
      <c r="H35" t="e">
        <f>NA()</f>
        <v>#N/A</v>
      </c>
      <c r="I35">
        <f>102.3</f>
        <v>102.3</v>
      </c>
      <c r="J35" t="e">
        <f>NA()</f>
        <v>#N/A</v>
      </c>
      <c r="K35" t="e">
        <f>NA()</f>
        <v>#N/A</v>
      </c>
      <c r="L35">
        <f>1.2</f>
        <v>1.2</v>
      </c>
    </row>
    <row r="36" spans="1:12" x14ac:dyDescent="0.3">
      <c r="A36" s="1">
        <v>44196</v>
      </c>
      <c r="B36">
        <f>2200</f>
        <v>2200</v>
      </c>
      <c r="C36">
        <f>11.6</f>
        <v>11.6</v>
      </c>
      <c r="D36">
        <f>0.2</f>
        <v>0.2</v>
      </c>
      <c r="E36">
        <f>2590.6</f>
        <v>2590.6</v>
      </c>
      <c r="F36">
        <f>2055.6</f>
        <v>2055.6</v>
      </c>
      <c r="G36">
        <f>485.7</f>
        <v>485.7</v>
      </c>
      <c r="H36">
        <f>33502.8</f>
        <v>33502.800000000003</v>
      </c>
      <c r="I36">
        <f>101.2</f>
        <v>101.2</v>
      </c>
      <c r="J36">
        <f>2200</f>
        <v>2200</v>
      </c>
      <c r="K36">
        <f>11.6</f>
        <v>11.6</v>
      </c>
      <c r="L36">
        <f>0.2</f>
        <v>0.2</v>
      </c>
    </row>
    <row r="37" spans="1:12" x14ac:dyDescent="0.3">
      <c r="A37" s="1">
        <v>44165</v>
      </c>
      <c r="B37" t="e">
        <f>NA()</f>
        <v>#N/A</v>
      </c>
      <c r="C37" t="e">
        <f>NA()</f>
        <v>#N/A</v>
      </c>
      <c r="D37">
        <f>-1</f>
        <v>-1</v>
      </c>
      <c r="E37">
        <f>2547</f>
        <v>2547</v>
      </c>
      <c r="F37">
        <f>2042.9</f>
        <v>2042.9</v>
      </c>
      <c r="G37">
        <f>458.5</f>
        <v>458.5</v>
      </c>
      <c r="H37">
        <f>33014.7</f>
        <v>33014.699999999997</v>
      </c>
      <c r="I37">
        <f>101.2</f>
        <v>101.2</v>
      </c>
      <c r="J37" t="e">
        <f>NA()</f>
        <v>#N/A</v>
      </c>
      <c r="K37" t="e">
        <f>NA()</f>
        <v>#N/A</v>
      </c>
      <c r="L37">
        <f>-1</f>
        <v>-1</v>
      </c>
    </row>
    <row r="38" spans="1:12" x14ac:dyDescent="0.3">
      <c r="A38" s="1">
        <v>44135</v>
      </c>
      <c r="B38" t="e">
        <f>NA()</f>
        <v>#N/A</v>
      </c>
      <c r="C38" t="e">
        <f>NA()</f>
        <v>#N/A</v>
      </c>
      <c r="D38">
        <f>-1.5</f>
        <v>-1.5</v>
      </c>
      <c r="E38">
        <f>2501.5</f>
        <v>2501.5</v>
      </c>
      <c r="F38">
        <f>2035.3</f>
        <v>2035.3</v>
      </c>
      <c r="G38">
        <f>414.4</f>
        <v>414.4</v>
      </c>
      <c r="H38" t="e">
        <f>NA()</f>
        <v>#N/A</v>
      </c>
      <c r="I38">
        <f>100.8</f>
        <v>100.8</v>
      </c>
      <c r="J38" t="e">
        <f>NA()</f>
        <v>#N/A</v>
      </c>
      <c r="K38" t="e">
        <f>NA()</f>
        <v>#N/A</v>
      </c>
      <c r="L38">
        <f>-1.5</f>
        <v>-1.5</v>
      </c>
    </row>
    <row r="39" spans="1:12" x14ac:dyDescent="0.3">
      <c r="A39" s="1">
        <v>44104</v>
      </c>
      <c r="B39" t="e">
        <f>NA()</f>
        <v>#N/A</v>
      </c>
      <c r="C39" t="e">
        <f>NA()</f>
        <v>#N/A</v>
      </c>
      <c r="D39">
        <f>-1.3</f>
        <v>-1.3</v>
      </c>
      <c r="E39">
        <f>2478.2</f>
        <v>2478.1999999999998</v>
      </c>
      <c r="F39">
        <f>2027.6</f>
        <v>2027.6</v>
      </c>
      <c r="G39">
        <f>440.7</f>
        <v>440.7</v>
      </c>
      <c r="H39">
        <f>31867</f>
        <v>31867</v>
      </c>
      <c r="I39">
        <f>100.1</f>
        <v>100.1</v>
      </c>
      <c r="J39" t="e">
        <f>NA()</f>
        <v>#N/A</v>
      </c>
      <c r="K39" t="e">
        <f>NA()</f>
        <v>#N/A</v>
      </c>
      <c r="L39">
        <f>-1.3</f>
        <v>-1.3</v>
      </c>
    </row>
    <row r="40" spans="1:12" x14ac:dyDescent="0.3">
      <c r="A40" s="1">
        <v>44074</v>
      </c>
      <c r="B40" t="e">
        <f>NA()</f>
        <v>#N/A</v>
      </c>
      <c r="C40" t="e">
        <f>NA()</f>
        <v>#N/A</v>
      </c>
      <c r="D40">
        <f>-1.1</f>
        <v>-1.1000000000000001</v>
      </c>
      <c r="E40">
        <f>2457.7</f>
        <v>2457.6999999999998</v>
      </c>
      <c r="F40">
        <f>2004.8</f>
        <v>2004.8</v>
      </c>
      <c r="G40">
        <f>410.4</f>
        <v>410.4</v>
      </c>
      <c r="H40">
        <f>31201.5</f>
        <v>31201.5</v>
      </c>
      <c r="I40">
        <f>98.4</f>
        <v>98.4</v>
      </c>
      <c r="J40" t="e">
        <f>NA()</f>
        <v>#N/A</v>
      </c>
      <c r="K40" t="e">
        <f>NA()</f>
        <v>#N/A</v>
      </c>
      <c r="L40">
        <f>-1.1</f>
        <v>-1.1000000000000001</v>
      </c>
    </row>
    <row r="41" spans="1:12" x14ac:dyDescent="0.3">
      <c r="A41" s="1">
        <v>44043</v>
      </c>
      <c r="B41" t="e">
        <f>NA()</f>
        <v>#N/A</v>
      </c>
      <c r="C41" t="e">
        <f>NA()</f>
        <v>#N/A</v>
      </c>
      <c r="D41">
        <f>-1.5</f>
        <v>-1.5</v>
      </c>
      <c r="E41">
        <f>2438.1</f>
        <v>2438.1</v>
      </c>
      <c r="F41">
        <f>2009.1</f>
        <v>2009.1</v>
      </c>
      <c r="G41">
        <f>411.8</f>
        <v>411.8</v>
      </c>
      <c r="H41">
        <f>30471.7</f>
        <v>30471.7</v>
      </c>
      <c r="I41">
        <f>98.2</f>
        <v>98.2</v>
      </c>
      <c r="J41" t="e">
        <f>NA()</f>
        <v>#N/A</v>
      </c>
      <c r="K41" t="e">
        <f>NA()</f>
        <v>#N/A</v>
      </c>
      <c r="L41">
        <f>-1.5</f>
        <v>-1.5</v>
      </c>
    </row>
    <row r="42" spans="1:12" x14ac:dyDescent="0.3">
      <c r="A42" s="1">
        <v>44012</v>
      </c>
      <c r="B42" t="e">
        <f>NA()</f>
        <v>#N/A</v>
      </c>
      <c r="C42" t="e">
        <f>NA()</f>
        <v>#N/A</v>
      </c>
      <c r="D42">
        <f>-2.3</f>
        <v>-2.2999999999999998</v>
      </c>
      <c r="E42">
        <f>2423.1</f>
        <v>2423.1</v>
      </c>
      <c r="F42">
        <f>2011.8</f>
        <v>2011.8</v>
      </c>
      <c r="G42">
        <f>379.5</f>
        <v>379.5</v>
      </c>
      <c r="H42">
        <f>30217</f>
        <v>30217</v>
      </c>
      <c r="I42">
        <f>97.4</f>
        <v>97.4</v>
      </c>
      <c r="J42" t="e">
        <f>NA()</f>
        <v>#N/A</v>
      </c>
      <c r="K42" t="e">
        <f>NA()</f>
        <v>#N/A</v>
      </c>
      <c r="L42">
        <f>-2.3</f>
        <v>-2.2999999999999998</v>
      </c>
    </row>
    <row r="43" spans="1:12" x14ac:dyDescent="0.3">
      <c r="A43" s="1">
        <v>43982</v>
      </c>
      <c r="B43" t="e">
        <f>NA()</f>
        <v>#N/A</v>
      </c>
      <c r="C43" t="e">
        <f>NA()</f>
        <v>#N/A</v>
      </c>
      <c r="D43">
        <f>-3.3</f>
        <v>-3.3</v>
      </c>
      <c r="E43">
        <f>2422.6</f>
        <v>2422.6</v>
      </c>
      <c r="F43">
        <f>2008</f>
        <v>2008</v>
      </c>
      <c r="G43">
        <f>350.4</f>
        <v>350.4</v>
      </c>
      <c r="H43" t="e">
        <f>NA()</f>
        <v>#N/A</v>
      </c>
      <c r="I43">
        <f>99.1</f>
        <v>99.1</v>
      </c>
      <c r="J43" t="e">
        <f>NA()</f>
        <v>#N/A</v>
      </c>
      <c r="K43" t="e">
        <f>NA()</f>
        <v>#N/A</v>
      </c>
      <c r="L43">
        <f>-3.3</f>
        <v>-3.3</v>
      </c>
    </row>
    <row r="44" spans="1:12" x14ac:dyDescent="0.3">
      <c r="A44" s="1">
        <v>43951</v>
      </c>
      <c r="B44" t="e">
        <f>NA()</f>
        <v>#N/A</v>
      </c>
      <c r="C44" t="e">
        <f>NA()</f>
        <v>#N/A</v>
      </c>
      <c r="D44">
        <f>-3</f>
        <v>-3</v>
      </c>
      <c r="E44">
        <f>2430</f>
        <v>2430</v>
      </c>
      <c r="F44">
        <f>2036.8</f>
        <v>2036.8</v>
      </c>
      <c r="G44">
        <f>354.1</f>
        <v>354.1</v>
      </c>
      <c r="H44">
        <f>29639.6</f>
        <v>29639.599999999999</v>
      </c>
      <c r="I44">
        <f>100.9</f>
        <v>100.9</v>
      </c>
      <c r="J44" t="e">
        <f>NA()</f>
        <v>#N/A</v>
      </c>
      <c r="K44" t="e">
        <f>NA()</f>
        <v>#N/A</v>
      </c>
      <c r="L44">
        <f>-3</f>
        <v>-3</v>
      </c>
    </row>
    <row r="45" spans="1:12" x14ac:dyDescent="0.3">
      <c r="A45" s="1">
        <v>43921</v>
      </c>
      <c r="B45" t="e">
        <f>NA()</f>
        <v>#N/A</v>
      </c>
      <c r="C45" t="e">
        <f>NA()</f>
        <v>#N/A</v>
      </c>
      <c r="D45">
        <f>-1.4</f>
        <v>-1.4</v>
      </c>
      <c r="E45">
        <f>2424</f>
        <v>2424</v>
      </c>
      <c r="F45">
        <f>2062.6</f>
        <v>2062.6</v>
      </c>
      <c r="G45">
        <f>349.4</f>
        <v>349.4</v>
      </c>
      <c r="H45">
        <f>29382</f>
        <v>29382</v>
      </c>
      <c r="I45">
        <f>101.2</f>
        <v>101.2</v>
      </c>
      <c r="J45" t="e">
        <f>NA()</f>
        <v>#N/A</v>
      </c>
      <c r="K45" t="e">
        <f>NA()</f>
        <v>#N/A</v>
      </c>
      <c r="L45">
        <f>-1.4</f>
        <v>-1.4</v>
      </c>
    </row>
    <row r="46" spans="1:12" x14ac:dyDescent="0.3">
      <c r="A46" s="1">
        <v>43890</v>
      </c>
      <c r="B46" t="e">
        <f>NA()</f>
        <v>#N/A</v>
      </c>
      <c r="C46" t="e">
        <f>NA()</f>
        <v>#N/A</v>
      </c>
      <c r="D46">
        <f>0.3</f>
        <v>0.3</v>
      </c>
      <c r="E46">
        <f>2437.7</f>
        <v>2437.6999999999998</v>
      </c>
      <c r="F46">
        <f>2064.6</f>
        <v>2064.6</v>
      </c>
      <c r="G46">
        <f>222.9</f>
        <v>222.9</v>
      </c>
      <c r="H46" t="e">
        <f>NA()</f>
        <v>#N/A</v>
      </c>
      <c r="I46">
        <f>101.4</f>
        <v>101.4</v>
      </c>
      <c r="J46" t="e">
        <f>NA()</f>
        <v>#N/A</v>
      </c>
      <c r="K46" t="e">
        <f>NA()</f>
        <v>#N/A</v>
      </c>
      <c r="L46">
        <f>0.3</f>
        <v>0.3</v>
      </c>
    </row>
    <row r="47" spans="1:12" x14ac:dyDescent="0.3">
      <c r="A47" s="1">
        <v>43861</v>
      </c>
      <c r="B47" t="e">
        <f>NA()</f>
        <v>#N/A</v>
      </c>
      <c r="C47" t="e">
        <f>NA()</f>
        <v>#N/A</v>
      </c>
      <c r="D47">
        <f>1</f>
        <v>1</v>
      </c>
      <c r="E47">
        <f>2492.6</f>
        <v>2492.6</v>
      </c>
      <c r="F47">
        <f>2054.4</f>
        <v>2054.4</v>
      </c>
      <c r="G47">
        <f>368.5</f>
        <v>368.5</v>
      </c>
      <c r="H47" t="e">
        <f>NA()</f>
        <v>#N/A</v>
      </c>
      <c r="I47">
        <f>100.1</f>
        <v>100.1</v>
      </c>
      <c r="J47" t="e">
        <f>NA()</f>
        <v>#N/A</v>
      </c>
      <c r="K47" t="e">
        <f>NA()</f>
        <v>#N/A</v>
      </c>
      <c r="L47">
        <f>1</f>
        <v>1</v>
      </c>
    </row>
    <row r="48" spans="1:12" x14ac:dyDescent="0.3">
      <c r="A48" s="1">
        <v>43830</v>
      </c>
      <c r="B48">
        <f>2200</f>
        <v>2200</v>
      </c>
      <c r="C48">
        <f>9.5</f>
        <v>9.5</v>
      </c>
      <c r="D48">
        <f>0.5</f>
        <v>0.5</v>
      </c>
      <c r="E48">
        <f>2499</f>
        <v>2499</v>
      </c>
      <c r="F48">
        <f>2077.1</f>
        <v>2077.1</v>
      </c>
      <c r="G48">
        <f>429.3</f>
        <v>429.3</v>
      </c>
      <c r="H48">
        <f>28527.6</f>
        <v>28527.599999999999</v>
      </c>
      <c r="I48">
        <f>98</f>
        <v>98</v>
      </c>
      <c r="J48">
        <f>2200</f>
        <v>2200</v>
      </c>
      <c r="K48">
        <f>9.5</f>
        <v>9.5</v>
      </c>
      <c r="L48">
        <f>0.5</f>
        <v>0.5</v>
      </c>
    </row>
    <row r="49" spans="1:12" x14ac:dyDescent="0.3">
      <c r="A49" s="1">
        <v>43799</v>
      </c>
      <c r="B49" t="e">
        <f>NA()</f>
        <v>#N/A</v>
      </c>
      <c r="C49" t="e">
        <f>NA()</f>
        <v>#N/A</v>
      </c>
      <c r="D49">
        <f>-0.6</f>
        <v>-0.6</v>
      </c>
      <c r="E49">
        <f>2482</f>
        <v>2482</v>
      </c>
      <c r="F49">
        <f>2050.2</f>
        <v>2050.1999999999998</v>
      </c>
      <c r="G49">
        <f>405.3</f>
        <v>405.3</v>
      </c>
      <c r="H49" t="e">
        <f>NA()</f>
        <v>#N/A</v>
      </c>
      <c r="I49">
        <f>98.3</f>
        <v>98.3</v>
      </c>
      <c r="J49" t="e">
        <f>NA()</f>
        <v>#N/A</v>
      </c>
      <c r="K49" t="e">
        <f>NA()</f>
        <v>#N/A</v>
      </c>
      <c r="L49">
        <f>-0.6</f>
        <v>-0.6</v>
      </c>
    </row>
    <row r="50" spans="1:12" x14ac:dyDescent="0.3">
      <c r="A50" s="1">
        <v>43769</v>
      </c>
      <c r="B50" t="e">
        <f>NA()</f>
        <v>#N/A</v>
      </c>
      <c r="C50" t="e">
        <f>NA()</f>
        <v>#N/A</v>
      </c>
      <c r="D50">
        <f>-1.1</f>
        <v>-1.1000000000000001</v>
      </c>
      <c r="E50">
        <f>2484.9</f>
        <v>2484.9</v>
      </c>
      <c r="F50">
        <f>2048.9</f>
        <v>2048.9</v>
      </c>
      <c r="G50">
        <f>383.5</f>
        <v>383.5</v>
      </c>
      <c r="H50">
        <f>27641.5</f>
        <v>27641.5</v>
      </c>
      <c r="I50">
        <f>97</f>
        <v>97</v>
      </c>
      <c r="J50" t="e">
        <f>NA()</f>
        <v>#N/A</v>
      </c>
      <c r="K50" t="e">
        <f>NA()</f>
        <v>#N/A</v>
      </c>
      <c r="L50">
        <f>-1.1</f>
        <v>-1.1000000000000001</v>
      </c>
    </row>
    <row r="51" spans="1:12" x14ac:dyDescent="0.3">
      <c r="A51" s="1">
        <v>43738</v>
      </c>
      <c r="B51" t="e">
        <f>NA()</f>
        <v>#N/A</v>
      </c>
      <c r="C51" t="e">
        <f>NA()</f>
        <v>#N/A</v>
      </c>
      <c r="D51">
        <f>-1.1</f>
        <v>-1.1000000000000001</v>
      </c>
      <c r="E51">
        <f>2486.7</f>
        <v>2486.6999999999998</v>
      </c>
      <c r="F51">
        <f>2060.1</f>
        <v>2060.1</v>
      </c>
      <c r="G51">
        <f>397.4</f>
        <v>397.4</v>
      </c>
      <c r="H51">
        <f>27310.3</f>
        <v>27310.3</v>
      </c>
      <c r="I51">
        <f>96.3</f>
        <v>96.3</v>
      </c>
      <c r="J51" t="e">
        <f>NA()</f>
        <v>#N/A</v>
      </c>
      <c r="K51" t="e">
        <f>NA()</f>
        <v>#N/A</v>
      </c>
      <c r="L51">
        <f>-1.1</f>
        <v>-1.1000000000000001</v>
      </c>
    </row>
    <row r="52" spans="1:12" x14ac:dyDescent="0.3">
      <c r="A52" s="1">
        <v>43708</v>
      </c>
      <c r="B52" t="e">
        <f>NA()</f>
        <v>#N/A</v>
      </c>
      <c r="C52" t="e">
        <f>NA()</f>
        <v>#N/A</v>
      </c>
      <c r="D52">
        <f>-0.7</f>
        <v>-0.7</v>
      </c>
      <c r="E52">
        <f>2493.9</f>
        <v>2493.9</v>
      </c>
      <c r="F52">
        <f>2075.9</f>
        <v>2075.9</v>
      </c>
      <c r="G52">
        <f>395.1</f>
        <v>395.1</v>
      </c>
      <c r="H52" t="e">
        <f>NA()</f>
        <v>#N/A</v>
      </c>
      <c r="I52">
        <f>96.1</f>
        <v>96.1</v>
      </c>
      <c r="J52" t="e">
        <f>NA()</f>
        <v>#N/A</v>
      </c>
      <c r="K52" t="e">
        <f>NA()</f>
        <v>#N/A</v>
      </c>
      <c r="L52">
        <f>-0.7</f>
        <v>-0.7</v>
      </c>
    </row>
    <row r="53" spans="1:12" x14ac:dyDescent="0.3">
      <c r="A53" s="1">
        <v>43677</v>
      </c>
      <c r="B53" t="e">
        <f>NA()</f>
        <v>#N/A</v>
      </c>
      <c r="C53" t="e">
        <f>NA()</f>
        <v>#N/A</v>
      </c>
      <c r="D53">
        <f>-0.3</f>
        <v>-0.3</v>
      </c>
      <c r="E53">
        <f>2496</f>
        <v>2496</v>
      </c>
      <c r="F53">
        <f>2086.3</f>
        <v>2086.3000000000002</v>
      </c>
      <c r="G53">
        <f>399.5</f>
        <v>399.5</v>
      </c>
      <c r="H53">
        <f>27881.4</f>
        <v>27881.4</v>
      </c>
      <c r="I53">
        <f>97.2</f>
        <v>97.2</v>
      </c>
      <c r="J53" t="e">
        <f>NA()</f>
        <v>#N/A</v>
      </c>
      <c r="K53" t="e">
        <f>NA()</f>
        <v>#N/A</v>
      </c>
      <c r="L53">
        <f>-0.3</f>
        <v>-0.3</v>
      </c>
    </row>
    <row r="54" spans="1:12" x14ac:dyDescent="0.3">
      <c r="A54" s="1">
        <v>43646</v>
      </c>
      <c r="B54" t="e">
        <f>NA()</f>
        <v>#N/A</v>
      </c>
      <c r="C54" t="e">
        <f>NA()</f>
        <v>#N/A</v>
      </c>
      <c r="D54">
        <f>-0.2</f>
        <v>-0.2</v>
      </c>
      <c r="E54">
        <f>2488.6</f>
        <v>2488.6</v>
      </c>
      <c r="F54">
        <f>2095.6</f>
        <v>2095.6</v>
      </c>
      <c r="G54">
        <f>375.2</f>
        <v>375.2</v>
      </c>
      <c r="H54" t="e">
        <f>NA()</f>
        <v>#N/A</v>
      </c>
      <c r="I54">
        <f>96.6</f>
        <v>96.6</v>
      </c>
      <c r="J54" t="e">
        <f>NA()</f>
        <v>#N/A</v>
      </c>
      <c r="K54" t="e">
        <f>NA()</f>
        <v>#N/A</v>
      </c>
      <c r="L54">
        <f>-0.2</f>
        <v>-0.2</v>
      </c>
    </row>
    <row r="55" spans="1:12" x14ac:dyDescent="0.3">
      <c r="A55" s="1">
        <v>43616</v>
      </c>
      <c r="B55" t="e">
        <f>NA()</f>
        <v>#N/A</v>
      </c>
      <c r="C55" t="e">
        <f>NA()</f>
        <v>#N/A</v>
      </c>
      <c r="D55">
        <f>0.7</f>
        <v>0.7</v>
      </c>
      <c r="E55">
        <f>2491.8</f>
        <v>2491.8000000000002</v>
      </c>
      <c r="F55">
        <f>2107.5</f>
        <v>2107.5</v>
      </c>
      <c r="G55">
        <f>386.6</f>
        <v>386.6</v>
      </c>
      <c r="H55">
        <f>27387.8</f>
        <v>27387.8</v>
      </c>
      <c r="I55">
        <f>98</f>
        <v>98</v>
      </c>
      <c r="J55" t="e">
        <f>NA()</f>
        <v>#N/A</v>
      </c>
      <c r="K55" t="e">
        <f>NA()</f>
        <v>#N/A</v>
      </c>
      <c r="L55">
        <f>0.7</f>
        <v>0.7</v>
      </c>
    </row>
    <row r="56" spans="1:12" x14ac:dyDescent="0.3">
      <c r="A56" s="1">
        <v>43585</v>
      </c>
      <c r="B56" t="e">
        <f>NA()</f>
        <v>#N/A</v>
      </c>
      <c r="C56" t="e">
        <f>NA()</f>
        <v>#N/A</v>
      </c>
      <c r="D56">
        <f>1.1</f>
        <v>1.1000000000000001</v>
      </c>
      <c r="E56">
        <f>2489.5</f>
        <v>2489.5</v>
      </c>
      <c r="F56">
        <f>2123</f>
        <v>2123</v>
      </c>
      <c r="G56">
        <f>374</f>
        <v>374</v>
      </c>
      <c r="H56">
        <f>27984.1</f>
        <v>27984.1</v>
      </c>
      <c r="I56">
        <f>99.5</f>
        <v>99.5</v>
      </c>
      <c r="J56" t="e">
        <f>NA()</f>
        <v>#N/A</v>
      </c>
      <c r="K56" t="e">
        <f>NA()</f>
        <v>#N/A</v>
      </c>
      <c r="L56">
        <f>1.1</f>
        <v>1.1000000000000001</v>
      </c>
    </row>
    <row r="57" spans="1:12" x14ac:dyDescent="0.3">
      <c r="A57" s="1">
        <v>43555</v>
      </c>
      <c r="B57" t="e">
        <f>NA()</f>
        <v>#N/A</v>
      </c>
      <c r="C57" t="e">
        <f>NA()</f>
        <v>#N/A</v>
      </c>
      <c r="D57">
        <f>0.6</f>
        <v>0.6</v>
      </c>
      <c r="E57">
        <f>2494.9</f>
        <v>2494.9</v>
      </c>
      <c r="F57">
        <f>2115.2</f>
        <v>2115.1999999999998</v>
      </c>
      <c r="G57">
        <f>365</f>
        <v>365</v>
      </c>
      <c r="H57" t="e">
        <f>NA()</f>
        <v>#N/A</v>
      </c>
      <c r="I57">
        <f>99.8</f>
        <v>99.8</v>
      </c>
      <c r="J57" t="e">
        <f>NA()</f>
        <v>#N/A</v>
      </c>
      <c r="K57" t="e">
        <f>NA()</f>
        <v>#N/A</v>
      </c>
      <c r="L57">
        <f>0.6</f>
        <v>0.6</v>
      </c>
    </row>
    <row r="58" spans="1:12" x14ac:dyDescent="0.3">
      <c r="A58" s="1">
        <v>43524</v>
      </c>
      <c r="B58" t="e">
        <f>NA()</f>
        <v>#N/A</v>
      </c>
      <c r="C58" t="e">
        <f>NA()</f>
        <v>#N/A</v>
      </c>
      <c r="D58">
        <f>-0.3</f>
        <v>-0.3</v>
      </c>
      <c r="E58">
        <f>2470.6</f>
        <v>2470.6</v>
      </c>
      <c r="F58">
        <f>2128.1</f>
        <v>2128.1</v>
      </c>
      <c r="G58">
        <f>267.6</f>
        <v>267.60000000000002</v>
      </c>
      <c r="H58">
        <f>27898.3</f>
        <v>27898.3</v>
      </c>
      <c r="I58">
        <f>99.9</f>
        <v>99.9</v>
      </c>
      <c r="J58" t="e">
        <f>NA()</f>
        <v>#N/A</v>
      </c>
      <c r="K58" t="e">
        <f>NA()</f>
        <v>#N/A</v>
      </c>
      <c r="L58">
        <f>-0.3</f>
        <v>-0.3</v>
      </c>
    </row>
    <row r="59" spans="1:12" x14ac:dyDescent="0.3">
      <c r="A59" s="1">
        <v>43496</v>
      </c>
      <c r="B59" t="e">
        <f>NA()</f>
        <v>#N/A</v>
      </c>
      <c r="C59" t="e">
        <f>NA()</f>
        <v>#N/A</v>
      </c>
      <c r="D59">
        <f>-0.5</f>
        <v>-0.5</v>
      </c>
      <c r="E59">
        <f>2505.9</f>
        <v>2505.9</v>
      </c>
      <c r="F59">
        <f>2134.2</f>
        <v>2134.1999999999998</v>
      </c>
      <c r="G59">
        <f>397.6</f>
        <v>397.6</v>
      </c>
      <c r="H59">
        <f>27848.1</f>
        <v>27848.1</v>
      </c>
      <c r="I59">
        <f>97.9</f>
        <v>97.9</v>
      </c>
      <c r="J59" t="e">
        <f>NA()</f>
        <v>#N/A</v>
      </c>
      <c r="K59" t="e">
        <f>NA()</f>
        <v>#N/A</v>
      </c>
      <c r="L59">
        <f>-0.5</f>
        <v>-0.5</v>
      </c>
    </row>
    <row r="60" spans="1:12" x14ac:dyDescent="0.3">
      <c r="A60" s="1">
        <v>43465</v>
      </c>
      <c r="B60">
        <f>2120</f>
        <v>2120</v>
      </c>
      <c r="C60">
        <f>9.7</f>
        <v>9.6999999999999993</v>
      </c>
      <c r="D60">
        <f>0.3</f>
        <v>0.3</v>
      </c>
      <c r="E60">
        <f>2487.4</f>
        <v>2487.4</v>
      </c>
      <c r="F60">
        <f>2135.6</f>
        <v>2135.6</v>
      </c>
      <c r="G60">
        <f>385.4</f>
        <v>385.4</v>
      </c>
      <c r="H60">
        <f>26557.3</f>
        <v>26557.3</v>
      </c>
      <c r="I60">
        <f>97.1</f>
        <v>97.1</v>
      </c>
      <c r="J60">
        <f>2120</f>
        <v>2120</v>
      </c>
      <c r="K60">
        <f>9.7</f>
        <v>9.6999999999999993</v>
      </c>
      <c r="L60">
        <f>0.3</f>
        <v>0.3</v>
      </c>
    </row>
    <row r="61" spans="1:12" x14ac:dyDescent="0.3">
      <c r="A61" s="1">
        <v>43434</v>
      </c>
      <c r="B61" t="e">
        <f>NA()</f>
        <v>#N/A</v>
      </c>
      <c r="C61" t="e">
        <f>NA()</f>
        <v>#N/A</v>
      </c>
      <c r="D61">
        <f>1.8</f>
        <v>1.8</v>
      </c>
      <c r="E61">
        <f>2497.7</f>
        <v>2497.6999999999998</v>
      </c>
      <c r="F61">
        <f>2149.1</f>
        <v>2149.1</v>
      </c>
      <c r="G61">
        <f>406.8</f>
        <v>406.8</v>
      </c>
      <c r="H61">
        <f>26054.7</f>
        <v>26054.7</v>
      </c>
      <c r="I61">
        <f>96.2</f>
        <v>96.2</v>
      </c>
      <c r="J61" t="e">
        <f>NA()</f>
        <v>#N/A</v>
      </c>
      <c r="K61" t="e">
        <f>NA()</f>
        <v>#N/A</v>
      </c>
      <c r="L61">
        <f>1.8</f>
        <v>1.8</v>
      </c>
    </row>
    <row r="62" spans="1:12" x14ac:dyDescent="0.3">
      <c r="A62" s="1">
        <v>43404</v>
      </c>
      <c r="B62" t="e">
        <f>NA()</f>
        <v>#N/A</v>
      </c>
      <c r="C62" t="e">
        <f>NA()</f>
        <v>#N/A</v>
      </c>
      <c r="D62">
        <f>2.8</f>
        <v>2.8</v>
      </c>
      <c r="E62">
        <f>2489.2</f>
        <v>2489.1999999999998</v>
      </c>
      <c r="F62">
        <f>2144</f>
        <v>2144</v>
      </c>
      <c r="G62">
        <f>396.5</f>
        <v>396.5</v>
      </c>
      <c r="H62">
        <f>25739.9</f>
        <v>25739.9</v>
      </c>
      <c r="I62">
        <f>96.3</f>
        <v>96.3</v>
      </c>
      <c r="J62" t="e">
        <f>NA()</f>
        <v>#N/A</v>
      </c>
      <c r="K62" t="e">
        <f>NA()</f>
        <v>#N/A</v>
      </c>
      <c r="L62">
        <f>2.8</f>
        <v>2.8</v>
      </c>
    </row>
    <row r="63" spans="1:12" x14ac:dyDescent="0.3">
      <c r="A63" s="1">
        <v>43373</v>
      </c>
      <c r="B63" t="e">
        <f>NA()</f>
        <v>#N/A</v>
      </c>
      <c r="C63" t="e">
        <f>NA()</f>
        <v>#N/A</v>
      </c>
      <c r="D63">
        <f>3.2</f>
        <v>3.2</v>
      </c>
      <c r="E63">
        <f>2462.3</f>
        <v>2462.3000000000002</v>
      </c>
      <c r="F63">
        <f>2113.4</f>
        <v>2113.4</v>
      </c>
      <c r="G63">
        <f>420.4</f>
        <v>420.4</v>
      </c>
      <c r="H63" t="e">
        <f>NA()</f>
        <v>#N/A</v>
      </c>
      <c r="I63">
        <f>96.6</f>
        <v>96.6</v>
      </c>
      <c r="J63" t="e">
        <f>NA()</f>
        <v>#N/A</v>
      </c>
      <c r="K63" t="e">
        <f>NA()</f>
        <v>#N/A</v>
      </c>
      <c r="L63">
        <f>3.2</f>
        <v>3.2</v>
      </c>
    </row>
    <row r="64" spans="1:12" x14ac:dyDescent="0.3">
      <c r="A64" s="1">
        <v>43343</v>
      </c>
      <c r="B64" t="e">
        <f>NA()</f>
        <v>#N/A</v>
      </c>
      <c r="C64" t="e">
        <f>NA()</f>
        <v>#N/A</v>
      </c>
      <c r="D64">
        <f>3.3</f>
        <v>3.3</v>
      </c>
      <c r="E64">
        <f>2434.8</f>
        <v>2434.8000000000002</v>
      </c>
      <c r="F64">
        <f>2089</f>
        <v>2089</v>
      </c>
      <c r="G64">
        <f>407.7</f>
        <v>407.7</v>
      </c>
      <c r="H64">
        <f>26155.1</f>
        <v>26155.1</v>
      </c>
      <c r="I64">
        <f>96.1</f>
        <v>96.1</v>
      </c>
      <c r="J64" t="e">
        <f>NA()</f>
        <v>#N/A</v>
      </c>
      <c r="K64" t="e">
        <f>NA()</f>
        <v>#N/A</v>
      </c>
      <c r="L64">
        <f>3.3</f>
        <v>3.3</v>
      </c>
    </row>
    <row r="65" spans="1:12" x14ac:dyDescent="0.3">
      <c r="A65" s="1">
        <v>43312</v>
      </c>
      <c r="B65" t="e">
        <f>NA()</f>
        <v>#N/A</v>
      </c>
      <c r="C65" t="e">
        <f>NA()</f>
        <v>#N/A</v>
      </c>
      <c r="D65">
        <f>3.9</f>
        <v>3.9</v>
      </c>
      <c r="E65">
        <f>2415.9</f>
        <v>2415.9</v>
      </c>
      <c r="F65">
        <f>2056.2</f>
        <v>2056.1999999999998</v>
      </c>
      <c r="G65">
        <f>401.4</f>
        <v>401.4</v>
      </c>
      <c r="H65">
        <f>26035.2</f>
        <v>26035.200000000001</v>
      </c>
      <c r="I65">
        <f>97</f>
        <v>97</v>
      </c>
      <c r="J65" t="e">
        <f>NA()</f>
        <v>#N/A</v>
      </c>
      <c r="K65" t="e">
        <f>NA()</f>
        <v>#N/A</v>
      </c>
      <c r="L65">
        <f>3.9</f>
        <v>3.9</v>
      </c>
    </row>
    <row r="66" spans="1:12" x14ac:dyDescent="0.3">
      <c r="A66" s="1">
        <v>43281</v>
      </c>
      <c r="B66" t="e">
        <f>NA()</f>
        <v>#N/A</v>
      </c>
      <c r="C66" t="e">
        <f>NA()</f>
        <v>#N/A</v>
      </c>
      <c r="D66">
        <f>4.1</f>
        <v>4.0999999999999996</v>
      </c>
      <c r="E66">
        <f>2393.6</f>
        <v>2393.6</v>
      </c>
      <c r="F66">
        <f>2016.5</f>
        <v>2016.5</v>
      </c>
      <c r="G66">
        <f>390.3</f>
        <v>390.3</v>
      </c>
      <c r="H66" t="e">
        <f>NA()</f>
        <v>#N/A</v>
      </c>
      <c r="I66">
        <f>99.8</f>
        <v>99.8</v>
      </c>
      <c r="J66" t="e">
        <f>NA()</f>
        <v>#N/A</v>
      </c>
      <c r="K66" t="e">
        <f>NA()</f>
        <v>#N/A</v>
      </c>
      <c r="L66">
        <f>4.1</f>
        <v>4.0999999999999996</v>
      </c>
    </row>
    <row r="67" spans="1:12" x14ac:dyDescent="0.3">
      <c r="A67" s="1">
        <v>43251</v>
      </c>
      <c r="B67" t="e">
        <f>NA()</f>
        <v>#N/A</v>
      </c>
      <c r="C67" t="e">
        <f>NA()</f>
        <v>#N/A</v>
      </c>
      <c r="D67">
        <f>3.6</f>
        <v>3.6</v>
      </c>
      <c r="E67">
        <f>2372.7</f>
        <v>2372.6999999999998</v>
      </c>
      <c r="F67">
        <f>1995.4</f>
        <v>1995.4</v>
      </c>
      <c r="G67">
        <f>399.8</f>
        <v>399.8</v>
      </c>
      <c r="H67">
        <f>27191.2</f>
        <v>27191.200000000001</v>
      </c>
      <c r="I67">
        <f>100.5</f>
        <v>100.5</v>
      </c>
      <c r="J67" t="e">
        <f>NA()</f>
        <v>#N/A</v>
      </c>
      <c r="K67" t="e">
        <f>NA()</f>
        <v>#N/A</v>
      </c>
      <c r="L67">
        <f>3.6</f>
        <v>3.6</v>
      </c>
    </row>
    <row r="68" spans="1:12" x14ac:dyDescent="0.3">
      <c r="A68" s="1">
        <v>43220</v>
      </c>
      <c r="B68" t="e">
        <f>NA()</f>
        <v>#N/A</v>
      </c>
      <c r="C68" t="e">
        <f>NA()</f>
        <v>#N/A</v>
      </c>
      <c r="D68">
        <f>2.8</f>
        <v>2.8</v>
      </c>
      <c r="E68">
        <f>2350.2</f>
        <v>2350.1999999999998</v>
      </c>
      <c r="F68">
        <f>1956.4</f>
        <v>1956.4</v>
      </c>
      <c r="G68">
        <f>371.6</f>
        <v>371.6</v>
      </c>
      <c r="H68">
        <f>27378.9</f>
        <v>27378.9</v>
      </c>
      <c r="I68">
        <f>99.9</f>
        <v>99.9</v>
      </c>
      <c r="J68" t="e">
        <f>NA()</f>
        <v>#N/A</v>
      </c>
      <c r="K68" t="e">
        <f>NA()</f>
        <v>#N/A</v>
      </c>
      <c r="L68">
        <f>2.8</f>
        <v>2.8</v>
      </c>
    </row>
    <row r="69" spans="1:12" x14ac:dyDescent="0.3">
      <c r="A69" s="1">
        <v>43190</v>
      </c>
      <c r="B69" t="e">
        <f>NA()</f>
        <v>#N/A</v>
      </c>
      <c r="C69" t="e">
        <f>NA()</f>
        <v>#N/A</v>
      </c>
      <c r="D69">
        <f>2.7</f>
        <v>2.7</v>
      </c>
      <c r="E69">
        <f>2329</f>
        <v>2329</v>
      </c>
      <c r="F69">
        <f>1924.9</f>
        <v>1924.9</v>
      </c>
      <c r="G69">
        <f>353.6</f>
        <v>353.6</v>
      </c>
      <c r="H69" t="e">
        <f>NA()</f>
        <v>#N/A</v>
      </c>
      <c r="I69">
        <f>99.6</f>
        <v>99.6</v>
      </c>
      <c r="J69" t="e">
        <f>NA()</f>
        <v>#N/A</v>
      </c>
      <c r="K69" t="e">
        <f>NA()</f>
        <v>#N/A</v>
      </c>
      <c r="L69">
        <f>2.7</f>
        <v>2.7</v>
      </c>
    </row>
    <row r="70" spans="1:12" x14ac:dyDescent="0.3">
      <c r="A70" s="1">
        <v>43159</v>
      </c>
      <c r="B70" t="e">
        <f>NA()</f>
        <v>#N/A</v>
      </c>
      <c r="C70" t="e">
        <f>NA()</f>
        <v>#N/A</v>
      </c>
      <c r="D70">
        <f>3.4</f>
        <v>3.4</v>
      </c>
      <c r="E70">
        <f>2334.4</f>
        <v>2334.4</v>
      </c>
      <c r="F70">
        <f>1901.8</f>
        <v>1901.8</v>
      </c>
      <c r="G70">
        <f>309</f>
        <v>309</v>
      </c>
      <c r="H70">
        <f>27311.2</f>
        <v>27311.200000000001</v>
      </c>
      <c r="I70">
        <f>101.1</f>
        <v>101.1</v>
      </c>
      <c r="J70" t="e">
        <f>NA()</f>
        <v>#N/A</v>
      </c>
      <c r="K70" t="e">
        <f>NA()</f>
        <v>#N/A</v>
      </c>
      <c r="L70">
        <f>3.4</f>
        <v>3.4</v>
      </c>
    </row>
    <row r="71" spans="1:12" x14ac:dyDescent="0.3">
      <c r="A71" s="1">
        <v>43131</v>
      </c>
      <c r="B71" t="e">
        <f>NA()</f>
        <v>#N/A</v>
      </c>
      <c r="C71" t="e">
        <f>NA()</f>
        <v>#N/A</v>
      </c>
      <c r="D71">
        <f>3.9</f>
        <v>3.9</v>
      </c>
      <c r="E71">
        <f>2282.6</f>
        <v>2282.6</v>
      </c>
      <c r="F71">
        <f>1893.3</f>
        <v>1893.3</v>
      </c>
      <c r="G71">
        <f>380.6</f>
        <v>380.6</v>
      </c>
      <c r="H71">
        <f>27369.7</f>
        <v>27369.7</v>
      </c>
      <c r="I71">
        <f>98.8</f>
        <v>98.8</v>
      </c>
      <c r="J71" t="e">
        <f>NA()</f>
        <v>#N/A</v>
      </c>
      <c r="K71" t="e">
        <f>NA()</f>
        <v>#N/A</v>
      </c>
      <c r="L71">
        <f>3.9</f>
        <v>3.9</v>
      </c>
    </row>
    <row r="72" spans="1:12" x14ac:dyDescent="0.3">
      <c r="A72" s="1">
        <v>43100</v>
      </c>
      <c r="B72">
        <f>2000</f>
        <v>2000</v>
      </c>
      <c r="C72">
        <f>9.7</f>
        <v>9.6999999999999993</v>
      </c>
      <c r="D72">
        <f>4.4</f>
        <v>4.4000000000000004</v>
      </c>
      <c r="E72">
        <f>2263.3</f>
        <v>2263.3000000000002</v>
      </c>
      <c r="F72">
        <f>1843.8</f>
        <v>1843.8</v>
      </c>
      <c r="G72">
        <f>409.2</f>
        <v>409.2</v>
      </c>
      <c r="H72" t="e">
        <f>NA()</f>
        <v>#N/A</v>
      </c>
      <c r="I72">
        <f>97.9</f>
        <v>97.9</v>
      </c>
      <c r="J72">
        <f>2000</f>
        <v>2000</v>
      </c>
      <c r="K72">
        <f>9.7</f>
        <v>9.6999999999999993</v>
      </c>
      <c r="L72">
        <f>4.4</f>
        <v>4.4000000000000004</v>
      </c>
    </row>
    <row r="73" spans="1:12" x14ac:dyDescent="0.3">
      <c r="A73" s="1">
        <v>43069</v>
      </c>
      <c r="B73" t="e">
        <f>NA()</f>
        <v>#N/A</v>
      </c>
      <c r="C73" t="e">
        <f>NA()</f>
        <v>#N/A</v>
      </c>
      <c r="D73">
        <f>5.3</f>
        <v>5.3</v>
      </c>
      <c r="E73">
        <f>2240.9</f>
        <v>2240.9</v>
      </c>
      <c r="F73">
        <f>1835.6</f>
        <v>1835.6</v>
      </c>
      <c r="G73">
        <f>393.2</f>
        <v>393.2</v>
      </c>
      <c r="H73">
        <f>25283.7</f>
        <v>25283.7</v>
      </c>
      <c r="I73">
        <f>97.7</f>
        <v>97.7</v>
      </c>
      <c r="J73" t="e">
        <f>NA()</f>
        <v>#N/A</v>
      </c>
      <c r="K73" t="e">
        <f>NA()</f>
        <v>#N/A</v>
      </c>
      <c r="L73">
        <f>5.3</f>
        <v>5.3</v>
      </c>
    </row>
    <row r="74" spans="1:12" x14ac:dyDescent="0.3">
      <c r="A74" s="1">
        <v>43039</v>
      </c>
      <c r="B74" t="e">
        <f>NA()</f>
        <v>#N/A</v>
      </c>
      <c r="C74" t="e">
        <f>NA()</f>
        <v>#N/A</v>
      </c>
      <c r="D74">
        <f>6.8</f>
        <v>6.8</v>
      </c>
      <c r="E74">
        <f>2218.6</f>
        <v>2218.6</v>
      </c>
      <c r="F74">
        <f>1808.7</f>
        <v>1808.7</v>
      </c>
      <c r="G74">
        <f>338.9</f>
        <v>338.9</v>
      </c>
      <c r="H74">
        <f>24943.6</f>
        <v>24943.599999999999</v>
      </c>
      <c r="I74">
        <f>97.8</f>
        <v>97.8</v>
      </c>
      <c r="J74" t="e">
        <f>NA()</f>
        <v>#N/A</v>
      </c>
      <c r="K74" t="e">
        <f>NA()</f>
        <v>#N/A</v>
      </c>
      <c r="L74">
        <f>6.8</f>
        <v>6.8</v>
      </c>
    </row>
    <row r="75" spans="1:12" x14ac:dyDescent="0.3">
      <c r="A75" s="1">
        <v>43008</v>
      </c>
      <c r="B75" t="e">
        <f>NA()</f>
        <v>#N/A</v>
      </c>
      <c r="C75" t="e">
        <f>NA()</f>
        <v>#N/A</v>
      </c>
      <c r="D75">
        <f>6.9</f>
        <v>6.9</v>
      </c>
      <c r="E75">
        <f>2207.6</f>
        <v>2207.6</v>
      </c>
      <c r="F75">
        <f>1786.3</f>
        <v>1786.3</v>
      </c>
      <c r="G75">
        <f>368.5</f>
        <v>368.5</v>
      </c>
      <c r="H75" t="e">
        <f>NA()</f>
        <v>#N/A</v>
      </c>
      <c r="I75">
        <f>97.6</f>
        <v>97.6</v>
      </c>
      <c r="J75" t="e">
        <f>NA()</f>
        <v>#N/A</v>
      </c>
      <c r="K75" t="e">
        <f>NA()</f>
        <v>#N/A</v>
      </c>
      <c r="L75">
        <f>6.9</f>
        <v>6.9</v>
      </c>
    </row>
    <row r="76" spans="1:12" x14ac:dyDescent="0.3">
      <c r="A76" s="1">
        <v>42978</v>
      </c>
      <c r="B76" t="e">
        <f>NA()</f>
        <v>#N/A</v>
      </c>
      <c r="C76" t="e">
        <f>NA()</f>
        <v>#N/A</v>
      </c>
      <c r="D76">
        <f>6.7</f>
        <v>6.7</v>
      </c>
      <c r="E76">
        <f>2193.1</f>
        <v>2193.1</v>
      </c>
      <c r="F76">
        <f>1758.8</f>
        <v>1758.8</v>
      </c>
      <c r="G76">
        <f>356</f>
        <v>356</v>
      </c>
      <c r="H76">
        <f>24943.2</f>
        <v>24943.200000000001</v>
      </c>
      <c r="I76">
        <f>96.3</f>
        <v>96.3</v>
      </c>
      <c r="J76" t="e">
        <f>NA()</f>
        <v>#N/A</v>
      </c>
      <c r="K76" t="e">
        <f>NA()</f>
        <v>#N/A</v>
      </c>
      <c r="L76">
        <f>6.7</f>
        <v>6.7</v>
      </c>
    </row>
    <row r="77" spans="1:12" x14ac:dyDescent="0.3">
      <c r="A77" s="1">
        <v>42947</v>
      </c>
      <c r="B77" t="e">
        <f>NA()</f>
        <v>#N/A</v>
      </c>
      <c r="C77" t="e">
        <f>NA()</f>
        <v>#N/A</v>
      </c>
      <c r="D77">
        <f>5.8</f>
        <v>5.8</v>
      </c>
      <c r="E77">
        <f>2183.9</f>
        <v>2183.9</v>
      </c>
      <c r="F77">
        <f>1739.5</f>
        <v>1739.5</v>
      </c>
      <c r="G77">
        <f>339.4</f>
        <v>339.4</v>
      </c>
      <c r="H77">
        <f>24225.2</f>
        <v>24225.200000000001</v>
      </c>
      <c r="I77">
        <f>95.7</f>
        <v>95.7</v>
      </c>
      <c r="J77" t="e">
        <f>NA()</f>
        <v>#N/A</v>
      </c>
      <c r="K77" t="e">
        <f>NA()</f>
        <v>#N/A</v>
      </c>
      <c r="L77">
        <f>5.8</f>
        <v>5.8</v>
      </c>
    </row>
    <row r="78" spans="1:12" x14ac:dyDescent="0.3">
      <c r="A78" s="1">
        <v>42916</v>
      </c>
      <c r="B78" t="e">
        <f>NA()</f>
        <v>#N/A</v>
      </c>
      <c r="C78" t="e">
        <f>NA()</f>
        <v>#N/A</v>
      </c>
      <c r="D78">
        <f>6.1</f>
        <v>6.1</v>
      </c>
      <c r="E78">
        <f>2172.4</f>
        <v>2172.4</v>
      </c>
      <c r="F78">
        <f>1724.6</f>
        <v>1724.6</v>
      </c>
      <c r="G78">
        <f>348.3</f>
        <v>348.3</v>
      </c>
      <c r="H78">
        <f>24113.2</f>
        <v>24113.200000000001</v>
      </c>
      <c r="I78">
        <f>95.6</f>
        <v>95.6</v>
      </c>
      <c r="J78" t="e">
        <f>NA()</f>
        <v>#N/A</v>
      </c>
      <c r="K78" t="e">
        <f>NA()</f>
        <v>#N/A</v>
      </c>
      <c r="L78">
        <f>6.1</f>
        <v>6.1</v>
      </c>
    </row>
    <row r="79" spans="1:12" x14ac:dyDescent="0.3">
      <c r="A79" s="1">
        <v>42886</v>
      </c>
      <c r="B79" t="e">
        <f>NA()</f>
        <v>#N/A</v>
      </c>
      <c r="C79" t="e">
        <f>NA()</f>
        <v>#N/A</v>
      </c>
      <c r="D79">
        <f>6.2</f>
        <v>6.2</v>
      </c>
      <c r="E79">
        <f>2154.2</f>
        <v>2154.1999999999998</v>
      </c>
      <c r="F79">
        <f>1702.3</f>
        <v>1702.3</v>
      </c>
      <c r="G79">
        <f>338.3</f>
        <v>338.3</v>
      </c>
      <c r="H79">
        <f>23487.6</f>
        <v>23487.599999999999</v>
      </c>
      <c r="I79">
        <f>95.3</f>
        <v>95.3</v>
      </c>
      <c r="J79" t="e">
        <f>NA()</f>
        <v>#N/A</v>
      </c>
      <c r="K79" t="e">
        <f>NA()</f>
        <v>#N/A</v>
      </c>
      <c r="L79">
        <f>6.2</f>
        <v>6.2</v>
      </c>
    </row>
    <row r="80" spans="1:12" x14ac:dyDescent="0.3">
      <c r="A80" s="1">
        <v>42855</v>
      </c>
      <c r="B80" t="e">
        <f>NA()</f>
        <v>#N/A</v>
      </c>
      <c r="C80" t="e">
        <f>NA()</f>
        <v>#N/A</v>
      </c>
      <c r="D80">
        <f>6.8</f>
        <v>6.8</v>
      </c>
      <c r="E80">
        <f>2140.9</f>
        <v>2140.9</v>
      </c>
      <c r="F80">
        <f>1684</f>
        <v>1684</v>
      </c>
      <c r="G80">
        <f>319</f>
        <v>319</v>
      </c>
      <c r="H80" t="e">
        <f>NA()</f>
        <v>#N/A</v>
      </c>
      <c r="I80">
        <f>96.1</f>
        <v>96.1</v>
      </c>
      <c r="J80" t="e">
        <f>NA()</f>
        <v>#N/A</v>
      </c>
      <c r="K80" t="e">
        <f>NA()</f>
        <v>#N/A</v>
      </c>
      <c r="L80">
        <f>6.8</f>
        <v>6.8</v>
      </c>
    </row>
    <row r="81" spans="1:12" x14ac:dyDescent="0.3">
      <c r="A81" s="1">
        <v>42825</v>
      </c>
      <c r="B81" t="e">
        <f>NA()</f>
        <v>#N/A</v>
      </c>
      <c r="C81" t="e">
        <f>NA()</f>
        <v>#N/A</v>
      </c>
      <c r="D81">
        <f>8.4</f>
        <v>8.4</v>
      </c>
      <c r="E81">
        <f>2129.8</f>
        <v>2129.8000000000002</v>
      </c>
      <c r="F81">
        <f>1669.6</f>
        <v>1669.6</v>
      </c>
      <c r="G81">
        <f>335.8</f>
        <v>335.8</v>
      </c>
      <c r="H81">
        <f>23258.3</f>
        <v>23258.3</v>
      </c>
      <c r="I81">
        <f>96.9</f>
        <v>96.9</v>
      </c>
      <c r="J81" t="e">
        <f>NA()</f>
        <v>#N/A</v>
      </c>
      <c r="K81" t="e">
        <f>NA()</f>
        <v>#N/A</v>
      </c>
      <c r="L81">
        <f>8.4</f>
        <v>8.4</v>
      </c>
    </row>
    <row r="82" spans="1:12" x14ac:dyDescent="0.3">
      <c r="A82" s="1">
        <v>42794</v>
      </c>
      <c r="B82" t="e">
        <f>NA()</f>
        <v>#N/A</v>
      </c>
      <c r="C82" t="e">
        <f>NA()</f>
        <v>#N/A</v>
      </c>
      <c r="D82">
        <f>9.3</f>
        <v>9.3000000000000007</v>
      </c>
      <c r="E82">
        <f>2105.6</f>
        <v>2105.6</v>
      </c>
      <c r="F82">
        <f>1643.2</f>
        <v>1643.2</v>
      </c>
      <c r="G82">
        <f>248.6</f>
        <v>248.6</v>
      </c>
      <c r="H82">
        <f>23073.2</f>
        <v>23073.200000000001</v>
      </c>
      <c r="I82">
        <f>98.3</f>
        <v>98.3</v>
      </c>
      <c r="J82" t="e">
        <f>NA()</f>
        <v>#N/A</v>
      </c>
      <c r="K82" t="e">
        <f>NA()</f>
        <v>#N/A</v>
      </c>
      <c r="L82">
        <f>9.3</f>
        <v>9.3000000000000007</v>
      </c>
    </row>
    <row r="83" spans="1:12" x14ac:dyDescent="0.3">
      <c r="A83" s="1">
        <v>42766</v>
      </c>
      <c r="B83" t="e">
        <f>NA()</f>
        <v>#N/A</v>
      </c>
      <c r="C83" t="e">
        <f>NA()</f>
        <v>#N/A</v>
      </c>
      <c r="D83">
        <f>8.5</f>
        <v>8.5</v>
      </c>
      <c r="E83">
        <f>2108.5</f>
        <v>2108.5</v>
      </c>
      <c r="F83">
        <f>1607</f>
        <v>1607</v>
      </c>
      <c r="G83">
        <f>311.9</f>
        <v>311.89999999999998</v>
      </c>
      <c r="H83">
        <f>22955.6</f>
        <v>22955.599999999999</v>
      </c>
      <c r="I83">
        <f>99.2</f>
        <v>99.2</v>
      </c>
      <c r="J83" t="e">
        <f>NA()</f>
        <v>#N/A</v>
      </c>
      <c r="K83" t="e">
        <f>NA()</f>
        <v>#N/A</v>
      </c>
      <c r="L83">
        <f>8.5</f>
        <v>8.5</v>
      </c>
    </row>
    <row r="84" spans="1:12" x14ac:dyDescent="0.3">
      <c r="A84" s="1">
        <v>42735</v>
      </c>
      <c r="B84">
        <f>1890</f>
        <v>1890</v>
      </c>
      <c r="C84">
        <f>9.8</f>
        <v>9.8000000000000007</v>
      </c>
      <c r="D84">
        <f>6.8</f>
        <v>6.8</v>
      </c>
      <c r="E84">
        <f>2097.6</f>
        <v>2097.6</v>
      </c>
      <c r="F84">
        <f>1587.9</f>
        <v>1587.9</v>
      </c>
      <c r="G84">
        <f>378.6</f>
        <v>378.6</v>
      </c>
      <c r="H84" t="e">
        <f>NA()</f>
        <v>#N/A</v>
      </c>
      <c r="I84">
        <f>98.8</f>
        <v>98.8</v>
      </c>
      <c r="J84">
        <f>1890</f>
        <v>1890</v>
      </c>
      <c r="K84">
        <f>9.8</f>
        <v>9.8000000000000007</v>
      </c>
      <c r="L84">
        <f>6.8</f>
        <v>6.8</v>
      </c>
    </row>
    <row r="85" spans="1:12" x14ac:dyDescent="0.3">
      <c r="A85" s="1">
        <v>42704</v>
      </c>
      <c r="B85" t="e">
        <f>NA()</f>
        <v>#N/A</v>
      </c>
      <c r="C85" t="e">
        <f>NA()</f>
        <v>#N/A</v>
      </c>
      <c r="D85">
        <f>4.5</f>
        <v>4.5</v>
      </c>
      <c r="E85">
        <f>2111.7</f>
        <v>2111.6999999999998</v>
      </c>
      <c r="F85">
        <f>1582</f>
        <v>1582</v>
      </c>
      <c r="G85">
        <f>344</f>
        <v>344</v>
      </c>
      <c r="H85">
        <f>22192.1</f>
        <v>22192.1</v>
      </c>
      <c r="I85">
        <f>98</f>
        <v>98</v>
      </c>
      <c r="J85" t="e">
        <f>NA()</f>
        <v>#N/A</v>
      </c>
      <c r="K85" t="e">
        <f>NA()</f>
        <v>#N/A</v>
      </c>
      <c r="L85">
        <f>4.5</f>
        <v>4.5</v>
      </c>
    </row>
    <row r="86" spans="1:12" x14ac:dyDescent="0.3">
      <c r="A86" s="1">
        <v>42674</v>
      </c>
      <c r="B86" t="e">
        <f>NA()</f>
        <v>#N/A</v>
      </c>
      <c r="C86" t="e">
        <f>NA()</f>
        <v>#N/A</v>
      </c>
      <c r="D86">
        <f>1.7</f>
        <v>1.7</v>
      </c>
      <c r="E86">
        <f>2114.7</f>
        <v>2114.6999999999998</v>
      </c>
      <c r="F86">
        <f>1574.1</f>
        <v>1574.1</v>
      </c>
      <c r="G86">
        <f>305.5</f>
        <v>305.5</v>
      </c>
      <c r="H86">
        <f>22446.7</f>
        <v>22446.7</v>
      </c>
      <c r="I86">
        <f>97.4</f>
        <v>97.4</v>
      </c>
      <c r="J86" t="e">
        <f>NA()</f>
        <v>#N/A</v>
      </c>
      <c r="K86" t="e">
        <f>NA()</f>
        <v>#N/A</v>
      </c>
      <c r="L86">
        <f>1.7</f>
        <v>1.7</v>
      </c>
    </row>
    <row r="87" spans="1:12" x14ac:dyDescent="0.3">
      <c r="A87" s="1">
        <v>42643</v>
      </c>
      <c r="B87" t="e">
        <f>NA()</f>
        <v>#N/A</v>
      </c>
      <c r="C87" t="e">
        <f>NA()</f>
        <v>#N/A</v>
      </c>
      <c r="D87">
        <f>0.2</f>
        <v>0.2</v>
      </c>
      <c r="E87">
        <f>2130.1</f>
        <v>2130.1</v>
      </c>
      <c r="F87">
        <f>1576.3</f>
        <v>1576.3</v>
      </c>
      <c r="G87">
        <f>326.5</f>
        <v>326.5</v>
      </c>
      <c r="H87">
        <f>22746.7</f>
        <v>22746.7</v>
      </c>
      <c r="I87">
        <f>97.6</f>
        <v>97.6</v>
      </c>
      <c r="J87" t="e">
        <f>NA()</f>
        <v>#N/A</v>
      </c>
      <c r="K87" t="e">
        <f>NA()</f>
        <v>#N/A</v>
      </c>
      <c r="L87">
        <f>0.2</f>
        <v>0.2</v>
      </c>
    </row>
    <row r="88" spans="1:12" x14ac:dyDescent="0.3">
      <c r="A88" s="1">
        <v>42613</v>
      </c>
      <c r="B88" t="e">
        <f>NA()</f>
        <v>#N/A</v>
      </c>
      <c r="C88" t="e">
        <f>NA()</f>
        <v>#N/A</v>
      </c>
      <c r="D88">
        <f>-1.3</f>
        <v>-1.3</v>
      </c>
      <c r="E88">
        <f>2151.5</f>
        <v>2151.5</v>
      </c>
      <c r="F88">
        <f>1578.6</f>
        <v>1578.6</v>
      </c>
      <c r="G88">
        <f>327.6</f>
        <v>327.60000000000002</v>
      </c>
      <c r="H88">
        <f>22612.7</f>
        <v>22612.7</v>
      </c>
      <c r="I88">
        <f>97.3</f>
        <v>97.3</v>
      </c>
      <c r="J88" t="e">
        <f>NA()</f>
        <v>#N/A</v>
      </c>
      <c r="K88" t="e">
        <f>NA()</f>
        <v>#N/A</v>
      </c>
      <c r="L88">
        <f>-1.3</f>
        <v>-1.3</v>
      </c>
    </row>
    <row r="89" spans="1:12" x14ac:dyDescent="0.3">
      <c r="A89" s="1">
        <v>42582</v>
      </c>
      <c r="B89" t="e">
        <f>NA()</f>
        <v>#N/A</v>
      </c>
      <c r="C89" t="e">
        <f>NA()</f>
        <v>#N/A</v>
      </c>
      <c r="D89">
        <f>-2.1</f>
        <v>-2.1</v>
      </c>
      <c r="E89">
        <f>2158.9</f>
        <v>2158.9</v>
      </c>
      <c r="F89">
        <f>1576.4</f>
        <v>1576.4</v>
      </c>
      <c r="G89">
        <f>313</f>
        <v>313</v>
      </c>
      <c r="H89" t="e">
        <f>NA()</f>
        <v>#N/A</v>
      </c>
      <c r="I89">
        <f>98</f>
        <v>98</v>
      </c>
      <c r="J89" t="e">
        <f>NA()</f>
        <v>#N/A</v>
      </c>
      <c r="K89" t="e">
        <f>NA()</f>
        <v>#N/A</v>
      </c>
      <c r="L89">
        <f>-2.1</f>
        <v>-2.1</v>
      </c>
    </row>
    <row r="90" spans="1:12" x14ac:dyDescent="0.3">
      <c r="A90" s="1">
        <v>42551</v>
      </c>
      <c r="B90" t="e">
        <f>NA()</f>
        <v>#N/A</v>
      </c>
      <c r="C90" t="e">
        <f>NA()</f>
        <v>#N/A</v>
      </c>
      <c r="D90">
        <f>-3.4</f>
        <v>-3.4</v>
      </c>
      <c r="E90">
        <f>2171.4</f>
        <v>2171.4</v>
      </c>
      <c r="F90">
        <f>1595.4</f>
        <v>1595.4</v>
      </c>
      <c r="G90">
        <f>307.9</f>
        <v>307.89999999999998</v>
      </c>
      <c r="H90">
        <f>22397.6</f>
        <v>22397.599999999999</v>
      </c>
      <c r="I90">
        <f>99</f>
        <v>99</v>
      </c>
      <c r="J90" t="e">
        <f>NA()</f>
        <v>#N/A</v>
      </c>
      <c r="K90" t="e">
        <f>NA()</f>
        <v>#N/A</v>
      </c>
      <c r="L90">
        <f>-3.4</f>
        <v>-3.4</v>
      </c>
    </row>
    <row r="91" spans="1:12" x14ac:dyDescent="0.3">
      <c r="A91" s="1">
        <v>42521</v>
      </c>
      <c r="B91" t="e">
        <f>NA()</f>
        <v>#N/A</v>
      </c>
      <c r="C91" t="e">
        <f>NA()</f>
        <v>#N/A</v>
      </c>
      <c r="D91">
        <f>-3.8</f>
        <v>-3.8</v>
      </c>
      <c r="E91">
        <f>2184.3</f>
        <v>2184.3000000000002</v>
      </c>
      <c r="F91">
        <f>1608.4</f>
        <v>1608.4</v>
      </c>
      <c r="G91">
        <f>306.6</f>
        <v>306.60000000000002</v>
      </c>
      <c r="H91">
        <f>22208.1</f>
        <v>22208.1</v>
      </c>
      <c r="I91">
        <f>100.6</f>
        <v>100.6</v>
      </c>
      <c r="J91" t="e">
        <f>NA()</f>
        <v>#N/A</v>
      </c>
      <c r="K91" t="e">
        <f>NA()</f>
        <v>#N/A</v>
      </c>
      <c r="L91">
        <f>-3.8</f>
        <v>-3.8</v>
      </c>
    </row>
    <row r="92" spans="1:12" x14ac:dyDescent="0.3">
      <c r="A92" s="1">
        <v>42490</v>
      </c>
      <c r="B92" t="e">
        <f>NA()</f>
        <v>#N/A</v>
      </c>
      <c r="C92" t="e">
        <f>NA()</f>
        <v>#N/A</v>
      </c>
      <c r="D92">
        <f>-4</f>
        <v>-4</v>
      </c>
      <c r="E92">
        <f>2197.4</f>
        <v>2197.4</v>
      </c>
      <c r="F92">
        <f>1609.2</f>
        <v>1609.2</v>
      </c>
      <c r="G92">
        <f>293.5</f>
        <v>293.5</v>
      </c>
      <c r="H92" t="e">
        <f>NA()</f>
        <v>#N/A</v>
      </c>
      <c r="I92">
        <f>101.4</f>
        <v>101.4</v>
      </c>
      <c r="J92" t="e">
        <f>NA()</f>
        <v>#N/A</v>
      </c>
      <c r="K92" t="e">
        <f>NA()</f>
        <v>#N/A</v>
      </c>
      <c r="L92">
        <f>-4</f>
        <v>-4</v>
      </c>
    </row>
    <row r="93" spans="1:12" x14ac:dyDescent="0.3">
      <c r="A93" s="1">
        <v>42460</v>
      </c>
      <c r="B93" t="e">
        <f>NA()</f>
        <v>#N/A</v>
      </c>
      <c r="C93" t="e">
        <f>NA()</f>
        <v>#N/A</v>
      </c>
      <c r="D93">
        <f>-5.1</f>
        <v>-5.0999999999999996</v>
      </c>
      <c r="E93">
        <f>2206.6</f>
        <v>2206.6</v>
      </c>
      <c r="F93">
        <f>1625.1</f>
        <v>1625.1</v>
      </c>
      <c r="G93">
        <f>285.3</f>
        <v>285.3</v>
      </c>
      <c r="H93">
        <f>22412.3</f>
        <v>22412.3</v>
      </c>
      <c r="I93">
        <f>103.3</f>
        <v>103.3</v>
      </c>
      <c r="J93" t="e">
        <f>NA()</f>
        <v>#N/A</v>
      </c>
      <c r="K93" t="e">
        <f>NA()</f>
        <v>#N/A</v>
      </c>
      <c r="L93">
        <f>-5.1</f>
        <v>-5.0999999999999996</v>
      </c>
    </row>
    <row r="94" spans="1:12" x14ac:dyDescent="0.3">
      <c r="A94" s="1">
        <v>42429</v>
      </c>
      <c r="B94" t="e">
        <f>NA()</f>
        <v>#N/A</v>
      </c>
      <c r="C94" t="e">
        <f>NA()</f>
        <v>#N/A</v>
      </c>
      <c r="D94">
        <f>-6.1</f>
        <v>-6.1</v>
      </c>
      <c r="E94">
        <f>2195.8</f>
        <v>2195.8000000000002</v>
      </c>
      <c r="F94">
        <f>1636.6</f>
        <v>1636.6</v>
      </c>
      <c r="G94">
        <f>215.3</f>
        <v>215.3</v>
      </c>
      <c r="H94">
        <f>21736.6</f>
        <v>21736.6</v>
      </c>
      <c r="I94">
        <f>105.1</f>
        <v>105.1</v>
      </c>
      <c r="J94" t="e">
        <f>NA()</f>
        <v>#N/A</v>
      </c>
      <c r="K94" t="e">
        <f>NA()</f>
        <v>#N/A</v>
      </c>
      <c r="L94">
        <f>-6.1</f>
        <v>-6.1</v>
      </c>
    </row>
    <row r="95" spans="1:12" x14ac:dyDescent="0.3">
      <c r="A95" s="1">
        <v>42400</v>
      </c>
      <c r="B95" t="e">
        <f>NA()</f>
        <v>#N/A</v>
      </c>
      <c r="C95" t="e">
        <f>NA()</f>
        <v>#N/A</v>
      </c>
      <c r="D95">
        <f>-6.6</f>
        <v>-6.6</v>
      </c>
      <c r="E95">
        <f>2243</f>
        <v>2243</v>
      </c>
      <c r="F95">
        <f>1651.6</f>
        <v>1651.6</v>
      </c>
      <c r="G95">
        <f>281.9</f>
        <v>281.89999999999998</v>
      </c>
      <c r="H95" t="e">
        <f>NA()</f>
        <v>#N/A</v>
      </c>
      <c r="I95">
        <f>104.1</f>
        <v>104.1</v>
      </c>
      <c r="J95" t="e">
        <f>NA()</f>
        <v>#N/A</v>
      </c>
      <c r="K95" t="e">
        <f>NA()</f>
        <v>#N/A</v>
      </c>
      <c r="L95">
        <f>-6.6</f>
        <v>-6.6</v>
      </c>
    </row>
    <row r="96" spans="1:12" x14ac:dyDescent="0.3">
      <c r="A96" s="1">
        <v>42369</v>
      </c>
      <c r="B96">
        <f>1720</f>
        <v>1720</v>
      </c>
      <c r="C96">
        <f>9.7</f>
        <v>9.6999999999999993</v>
      </c>
      <c r="D96">
        <f>-7.3</f>
        <v>-7.3</v>
      </c>
      <c r="E96">
        <f>2273.5</f>
        <v>2273.5</v>
      </c>
      <c r="F96">
        <f>1679.6</f>
        <v>1679.6</v>
      </c>
      <c r="G96">
        <f>386.6</f>
        <v>386.6</v>
      </c>
      <c r="H96">
        <f>21460.9</f>
        <v>21460.9</v>
      </c>
      <c r="I96">
        <f>104.5</f>
        <v>104.5</v>
      </c>
      <c r="J96">
        <f>1720</f>
        <v>1720</v>
      </c>
      <c r="K96">
        <f>9.7</f>
        <v>9.6999999999999993</v>
      </c>
      <c r="L96">
        <f>-7.3</f>
        <v>-7.3</v>
      </c>
    </row>
    <row r="97" spans="1:12" x14ac:dyDescent="0.3">
      <c r="A97" s="1">
        <v>42338</v>
      </c>
      <c r="B97" t="e">
        <f>NA()</f>
        <v>#N/A</v>
      </c>
      <c r="C97" t="e">
        <f>NA()</f>
        <v>#N/A</v>
      </c>
      <c r="D97">
        <f>-7.7</f>
        <v>-7.7</v>
      </c>
      <c r="E97">
        <f>2277.8</f>
        <v>2277.8000000000002</v>
      </c>
      <c r="F97">
        <f>1693.6</f>
        <v>1693.6</v>
      </c>
      <c r="G97">
        <f>339.2</f>
        <v>339.2</v>
      </c>
      <c r="H97">
        <f>21476.8</f>
        <v>21476.799999999999</v>
      </c>
      <c r="I97">
        <f>105</f>
        <v>105</v>
      </c>
      <c r="J97" t="e">
        <f>NA()</f>
        <v>#N/A</v>
      </c>
      <c r="K97" t="e">
        <f>NA()</f>
        <v>#N/A</v>
      </c>
      <c r="L97">
        <f>-7.7</f>
        <v>-7.7</v>
      </c>
    </row>
    <row r="98" spans="1:12" x14ac:dyDescent="0.3">
      <c r="A98" s="1">
        <v>42308</v>
      </c>
      <c r="B98" t="e">
        <f>NA()</f>
        <v>#N/A</v>
      </c>
      <c r="C98" t="e">
        <f>NA()</f>
        <v>#N/A</v>
      </c>
      <c r="D98">
        <f>-7.4</f>
        <v>-7.4</v>
      </c>
      <c r="E98">
        <f>2292.7</f>
        <v>2292.6999999999998</v>
      </c>
      <c r="F98">
        <f>1707.8</f>
        <v>1707.8</v>
      </c>
      <c r="G98">
        <f>323.1</f>
        <v>323.10000000000002</v>
      </c>
      <c r="H98" t="e">
        <f>NA()</f>
        <v>#N/A</v>
      </c>
      <c r="I98">
        <f>103.4</f>
        <v>103.4</v>
      </c>
      <c r="J98" t="e">
        <f>NA()</f>
        <v>#N/A</v>
      </c>
      <c r="K98" t="e">
        <f>NA()</f>
        <v>#N/A</v>
      </c>
      <c r="L98">
        <f>-7.4</f>
        <v>-7.4</v>
      </c>
    </row>
    <row r="99" spans="1:12" x14ac:dyDescent="0.3">
      <c r="A99" s="1">
        <v>42277</v>
      </c>
      <c r="B99" t="e">
        <f>NA()</f>
        <v>#N/A</v>
      </c>
      <c r="C99" t="e">
        <f>NA()</f>
        <v>#N/A</v>
      </c>
      <c r="D99">
        <f>-7.3</f>
        <v>-7.3</v>
      </c>
      <c r="E99">
        <f>2307.3</f>
        <v>2307.3000000000002</v>
      </c>
      <c r="F99">
        <f>1737.9</f>
        <v>1737.9</v>
      </c>
      <c r="G99">
        <f>350.2</f>
        <v>350.2</v>
      </c>
      <c r="H99">
        <f>21387.9</f>
        <v>21387.9</v>
      </c>
      <c r="I99">
        <f>104.3</f>
        <v>104.3</v>
      </c>
      <c r="J99" t="e">
        <f>NA()</f>
        <v>#N/A</v>
      </c>
      <c r="K99" t="e">
        <f>NA()</f>
        <v>#N/A</v>
      </c>
      <c r="L99">
        <f>-7.3</f>
        <v>-7.3</v>
      </c>
    </row>
    <row r="100" spans="1:12" x14ac:dyDescent="0.3">
      <c r="A100" s="1">
        <v>42247</v>
      </c>
      <c r="B100" t="e">
        <f>NA()</f>
        <v>#N/A</v>
      </c>
      <c r="C100" t="e">
        <f>NA()</f>
        <v>#N/A</v>
      </c>
      <c r="D100">
        <f>-7</f>
        <v>-7</v>
      </c>
      <c r="E100">
        <f>2316</f>
        <v>2316</v>
      </c>
      <c r="F100">
        <f>1775</f>
        <v>1775</v>
      </c>
      <c r="G100">
        <f>332.6</f>
        <v>332.6</v>
      </c>
      <c r="H100">
        <f>21258.8</f>
        <v>21258.799999999999</v>
      </c>
      <c r="I100">
        <f>104.4</f>
        <v>104.4</v>
      </c>
      <c r="J100" t="e">
        <f>NA()</f>
        <v>#N/A</v>
      </c>
      <c r="K100" t="e">
        <f>NA()</f>
        <v>#N/A</v>
      </c>
      <c r="L100">
        <f>-7</f>
        <v>-7</v>
      </c>
    </row>
    <row r="101" spans="1:12" x14ac:dyDescent="0.3">
      <c r="A101" s="1">
        <v>42216</v>
      </c>
      <c r="B101" t="e">
        <f>NA()</f>
        <v>#N/A</v>
      </c>
      <c r="C101" t="e">
        <f>NA()</f>
        <v>#N/A</v>
      </c>
      <c r="D101">
        <f>-6.7</f>
        <v>-6.7</v>
      </c>
      <c r="E101">
        <f>2328.1</f>
        <v>2328.1</v>
      </c>
      <c r="F101">
        <f>1796.9</f>
        <v>1796.9</v>
      </c>
      <c r="G101">
        <f>344.5</f>
        <v>344.5</v>
      </c>
      <c r="H101">
        <f>21795.4</f>
        <v>21795.4</v>
      </c>
      <c r="I101">
        <f>104.9</f>
        <v>104.9</v>
      </c>
      <c r="J101" t="e">
        <f>NA()</f>
        <v>#N/A</v>
      </c>
      <c r="K101" t="e">
        <f>NA()</f>
        <v>#N/A</v>
      </c>
      <c r="L101">
        <f>-6.7</f>
        <v>-6.7</v>
      </c>
    </row>
    <row r="102" spans="1:12" x14ac:dyDescent="0.3">
      <c r="A102" s="1">
        <v>42185</v>
      </c>
      <c r="B102" t="e">
        <f>NA()</f>
        <v>#N/A</v>
      </c>
      <c r="C102" t="e">
        <f>NA()</f>
        <v>#N/A</v>
      </c>
      <c r="D102">
        <f>-5.8</f>
        <v>-5.8</v>
      </c>
      <c r="E102">
        <f>2347.7</f>
        <v>2347.6999999999998</v>
      </c>
      <c r="F102">
        <f>1811</f>
        <v>1811</v>
      </c>
      <c r="G102">
        <f>333.9</f>
        <v>333.9</v>
      </c>
      <c r="H102">
        <f>21511.3</f>
        <v>21511.3</v>
      </c>
      <c r="I102">
        <f>103.2</f>
        <v>103.2</v>
      </c>
      <c r="J102" t="e">
        <f>NA()</f>
        <v>#N/A</v>
      </c>
      <c r="K102" t="e">
        <f>NA()</f>
        <v>#N/A</v>
      </c>
      <c r="L102">
        <f>-5.8</f>
        <v>-5.8</v>
      </c>
    </row>
    <row r="103" spans="1:12" x14ac:dyDescent="0.3">
      <c r="A103" s="1">
        <v>42155</v>
      </c>
      <c r="B103" t="e">
        <f>NA()</f>
        <v>#N/A</v>
      </c>
      <c r="C103" t="e">
        <f>NA()</f>
        <v>#N/A</v>
      </c>
      <c r="D103">
        <f>-5.5</f>
        <v>-5.5</v>
      </c>
      <c r="E103">
        <f>2344.9</f>
        <v>2344.9</v>
      </c>
      <c r="F103">
        <f>1821.6</f>
        <v>1821.6</v>
      </c>
      <c r="G103">
        <f>320.4</f>
        <v>320.39999999999998</v>
      </c>
      <c r="H103" t="e">
        <f>NA()</f>
        <v>#N/A</v>
      </c>
      <c r="I103">
        <f>102.6</f>
        <v>102.6</v>
      </c>
      <c r="J103" t="e">
        <f>NA()</f>
        <v>#N/A</v>
      </c>
      <c r="K103" t="e">
        <f>NA()</f>
        <v>#N/A</v>
      </c>
      <c r="L103">
        <f>-5.5</f>
        <v>-5.5</v>
      </c>
    </row>
    <row r="104" spans="1:12" x14ac:dyDescent="0.3">
      <c r="A104" s="1">
        <v>42124</v>
      </c>
      <c r="B104" t="e">
        <f>NA()</f>
        <v>#N/A</v>
      </c>
      <c r="C104" t="e">
        <f>NA()</f>
        <v>#N/A</v>
      </c>
      <c r="D104">
        <f>-5.3</f>
        <v>-5.3</v>
      </c>
      <c r="E104">
        <f>2351.7</f>
        <v>2351.6999999999998</v>
      </c>
      <c r="F104">
        <f>1849.3</f>
        <v>1849.3</v>
      </c>
      <c r="G104">
        <f>318.6</f>
        <v>318.60000000000002</v>
      </c>
      <c r="H104">
        <f>20658.4</f>
        <v>20658.400000000001</v>
      </c>
      <c r="I104">
        <f>104</f>
        <v>104</v>
      </c>
      <c r="J104" t="e">
        <f>NA()</f>
        <v>#N/A</v>
      </c>
      <c r="K104" t="e">
        <f>NA()</f>
        <v>#N/A</v>
      </c>
      <c r="L104">
        <f>-5.3</f>
        <v>-5.3</v>
      </c>
    </row>
    <row r="105" spans="1:12" x14ac:dyDescent="0.3">
      <c r="A105" s="1">
        <v>42094</v>
      </c>
      <c r="B105" t="e">
        <f>NA()</f>
        <v>#N/A</v>
      </c>
      <c r="C105" t="e">
        <f>NA()</f>
        <v>#N/A</v>
      </c>
      <c r="D105">
        <f>-5.4</f>
        <v>-5.4</v>
      </c>
      <c r="E105">
        <f>2364.3</f>
        <v>2364.3000000000002</v>
      </c>
      <c r="F105">
        <f>1876.3</f>
        <v>1876.3</v>
      </c>
      <c r="G105">
        <f>286</f>
        <v>286</v>
      </c>
      <c r="H105">
        <f>20564.9</f>
        <v>20564.900000000001</v>
      </c>
      <c r="I105">
        <f>104.6</f>
        <v>104.6</v>
      </c>
      <c r="J105" t="e">
        <f>NA()</f>
        <v>#N/A</v>
      </c>
      <c r="K105" t="e">
        <f>NA()</f>
        <v>#N/A</v>
      </c>
      <c r="L105">
        <f>-5.4</f>
        <v>-5.4</v>
      </c>
    </row>
    <row r="106" spans="1:12" x14ac:dyDescent="0.3">
      <c r="A106" s="1">
        <v>42063</v>
      </c>
      <c r="B106" t="e">
        <f>NA()</f>
        <v>#N/A</v>
      </c>
      <c r="C106" t="e">
        <f>NA()</f>
        <v>#N/A</v>
      </c>
      <c r="D106">
        <f>-5.8</f>
        <v>-5.8</v>
      </c>
      <c r="E106">
        <f>2390</f>
        <v>2390</v>
      </c>
      <c r="F106">
        <f>1896.6</f>
        <v>1896.6</v>
      </c>
      <c r="G106">
        <f>277.4</f>
        <v>277.39999999999998</v>
      </c>
      <c r="H106" t="e">
        <f>NA()</f>
        <v>#N/A</v>
      </c>
      <c r="I106">
        <f>103.7</f>
        <v>103.7</v>
      </c>
      <c r="J106" t="e">
        <f>NA()</f>
        <v>#N/A</v>
      </c>
      <c r="K106" t="e">
        <f>NA()</f>
        <v>#N/A</v>
      </c>
      <c r="L106">
        <f>-5.8</f>
        <v>-5.8</v>
      </c>
    </row>
    <row r="107" spans="1:12" x14ac:dyDescent="0.3">
      <c r="A107" s="1">
        <v>42035</v>
      </c>
      <c r="B107" t="e">
        <f>NA()</f>
        <v>#N/A</v>
      </c>
      <c r="C107" t="e">
        <f>NA()</f>
        <v>#N/A</v>
      </c>
      <c r="D107">
        <f>-5.6</f>
        <v>-5.6</v>
      </c>
      <c r="E107">
        <f>2335.1</f>
        <v>2335.1</v>
      </c>
      <c r="F107">
        <f>1924.8</f>
        <v>1924.8</v>
      </c>
      <c r="G107">
        <f>340.4</f>
        <v>340.4</v>
      </c>
      <c r="H107" t="e">
        <f>NA()</f>
        <v>#N/A</v>
      </c>
      <c r="I107">
        <f>102.2</f>
        <v>102.2</v>
      </c>
      <c r="J107" t="e">
        <f>NA()</f>
        <v>#N/A</v>
      </c>
      <c r="K107" t="e">
        <f>NA()</f>
        <v>#N/A</v>
      </c>
      <c r="L107">
        <f>-5.6</f>
        <v>-5.6</v>
      </c>
    </row>
    <row r="108" spans="1:12" x14ac:dyDescent="0.3">
      <c r="A108" s="1">
        <v>42004</v>
      </c>
      <c r="B108">
        <f>1560</f>
        <v>1560</v>
      </c>
      <c r="C108">
        <f>9.5</f>
        <v>9.5</v>
      </c>
      <c r="D108">
        <f>-4.4</f>
        <v>-4.4000000000000004</v>
      </c>
      <c r="E108">
        <f>2342.3</f>
        <v>2342.3000000000002</v>
      </c>
      <c r="F108">
        <f>1959.2</f>
        <v>1959.2</v>
      </c>
      <c r="G108">
        <f>404.9</f>
        <v>404.9</v>
      </c>
      <c r="H108">
        <f>19788.9</f>
        <v>19788.900000000001</v>
      </c>
      <c r="I108">
        <f>100.5</f>
        <v>100.5</v>
      </c>
      <c r="J108">
        <f>1560</f>
        <v>1560</v>
      </c>
      <c r="K108">
        <f>9.5</f>
        <v>9.5</v>
      </c>
      <c r="L108">
        <f>-4.4</f>
        <v>-4.4000000000000004</v>
      </c>
    </row>
    <row r="109" spans="1:12" x14ac:dyDescent="0.3">
      <c r="A109" s="1">
        <v>41973</v>
      </c>
      <c r="B109" t="e">
        <f>NA()</f>
        <v>#N/A</v>
      </c>
      <c r="C109" t="e">
        <f>NA()</f>
        <v>#N/A</v>
      </c>
      <c r="D109">
        <f>-3.6</f>
        <v>-3.6</v>
      </c>
      <c r="E109">
        <f>2322.2</f>
        <v>2322.1999999999998</v>
      </c>
      <c r="F109">
        <f>1963.9</f>
        <v>1963.9</v>
      </c>
      <c r="G109">
        <f>368.4</f>
        <v>368.4</v>
      </c>
      <c r="H109" t="e">
        <f>NA()</f>
        <v>#N/A</v>
      </c>
      <c r="I109">
        <f>99.3</f>
        <v>99.3</v>
      </c>
      <c r="J109" t="e">
        <f>NA()</f>
        <v>#N/A</v>
      </c>
      <c r="K109" t="e">
        <f>NA()</f>
        <v>#N/A</v>
      </c>
      <c r="L109">
        <f>-3.6</f>
        <v>-3.6</v>
      </c>
    </row>
    <row r="110" spans="1:12" x14ac:dyDescent="0.3">
      <c r="A110" s="1">
        <v>41943</v>
      </c>
      <c r="B110" t="e">
        <f>NA()</f>
        <v>#N/A</v>
      </c>
      <c r="C110" t="e">
        <f>NA()</f>
        <v>#N/A</v>
      </c>
      <c r="D110">
        <f>-3.1</f>
        <v>-3.1</v>
      </c>
      <c r="E110">
        <f>2312.7</f>
        <v>2312.6999999999998</v>
      </c>
      <c r="F110">
        <f>1975.4</f>
        <v>1975.4</v>
      </c>
      <c r="G110">
        <f>367.8</f>
        <v>367.8</v>
      </c>
      <c r="H110">
        <f>19612.7</f>
        <v>19612.7</v>
      </c>
      <c r="I110">
        <f>97.2</f>
        <v>97.2</v>
      </c>
      <c r="J110" t="e">
        <f>NA()</f>
        <v>#N/A</v>
      </c>
      <c r="K110" t="e">
        <f>NA()</f>
        <v>#N/A</v>
      </c>
      <c r="L110">
        <f>-3.1</f>
        <v>-3.1</v>
      </c>
    </row>
    <row r="111" spans="1:12" x14ac:dyDescent="0.3">
      <c r="A111" s="1">
        <v>41912</v>
      </c>
      <c r="B111" t="e">
        <f>NA()</f>
        <v>#N/A</v>
      </c>
      <c r="C111" t="e">
        <f>NA()</f>
        <v>#N/A</v>
      </c>
      <c r="D111">
        <f>-2.4</f>
        <v>-2.4</v>
      </c>
      <c r="E111">
        <f>2291.3</f>
        <v>2291.3000000000002</v>
      </c>
      <c r="F111">
        <f>1968.6</f>
        <v>1968.6</v>
      </c>
      <c r="G111">
        <f>395.9</f>
        <v>395.9</v>
      </c>
      <c r="H111">
        <f>19583.1</f>
        <v>19583.099999999999</v>
      </c>
      <c r="I111">
        <f>95.6</f>
        <v>95.6</v>
      </c>
      <c r="J111" t="e">
        <f>NA()</f>
        <v>#N/A</v>
      </c>
      <c r="K111" t="e">
        <f>NA()</f>
        <v>#N/A</v>
      </c>
      <c r="L111">
        <f>-2.4</f>
        <v>-2.4</v>
      </c>
    </row>
    <row r="112" spans="1:12" x14ac:dyDescent="0.3">
      <c r="A112" s="1">
        <v>41882</v>
      </c>
      <c r="B112" t="e">
        <f>NA()</f>
        <v>#N/A</v>
      </c>
      <c r="C112" t="e">
        <f>NA()</f>
        <v>#N/A</v>
      </c>
      <c r="D112">
        <f>-1.4</f>
        <v>-1.4</v>
      </c>
      <c r="E112">
        <f>2263</f>
        <v>2263</v>
      </c>
      <c r="F112">
        <f>1956.8</f>
        <v>1956.8</v>
      </c>
      <c r="G112">
        <f>366.8</f>
        <v>366.8</v>
      </c>
      <c r="H112" t="e">
        <f>NA()</f>
        <v>#N/A</v>
      </c>
      <c r="I112">
        <f>93.4</f>
        <v>93.4</v>
      </c>
      <c r="J112" t="e">
        <f>NA()</f>
        <v>#N/A</v>
      </c>
      <c r="K112" t="e">
        <f>NA()</f>
        <v>#N/A</v>
      </c>
      <c r="L112">
        <f>-1.4</f>
        <v>-1.4</v>
      </c>
    </row>
    <row r="113" spans="1:12" x14ac:dyDescent="0.3">
      <c r="A113" s="1">
        <v>41851</v>
      </c>
      <c r="B113" t="e">
        <f>NA()</f>
        <v>#N/A</v>
      </c>
      <c r="C113" t="e">
        <f>NA()</f>
        <v>#N/A</v>
      </c>
      <c r="D113">
        <f>-0.9</f>
        <v>-0.9</v>
      </c>
      <c r="E113">
        <f>2245.2</f>
        <v>2245.1999999999998</v>
      </c>
      <c r="F113">
        <f>1960.7</f>
        <v>1960.7</v>
      </c>
      <c r="G113">
        <f>378.1</f>
        <v>378.1</v>
      </c>
      <c r="H113">
        <f>19340.7</f>
        <v>19340.7</v>
      </c>
      <c r="I113">
        <f>91.8</f>
        <v>91.8</v>
      </c>
      <c r="J113" t="e">
        <f>NA()</f>
        <v>#N/A</v>
      </c>
      <c r="K113" t="e">
        <f>NA()</f>
        <v>#N/A</v>
      </c>
      <c r="L113">
        <f>-0.9</f>
        <v>-0.9</v>
      </c>
    </row>
    <row r="114" spans="1:12" x14ac:dyDescent="0.3">
      <c r="A114" s="1">
        <v>41820</v>
      </c>
      <c r="B114" t="e">
        <f>NA()</f>
        <v>#N/A</v>
      </c>
      <c r="C114" t="e">
        <f>NA()</f>
        <v>#N/A</v>
      </c>
      <c r="D114">
        <f>-1.1</f>
        <v>-1.1000000000000001</v>
      </c>
      <c r="E114">
        <f>2218.4</f>
        <v>2218.4</v>
      </c>
      <c r="F114">
        <f>1963.5</f>
        <v>1963.5</v>
      </c>
      <c r="G114">
        <f>341.6</f>
        <v>341.6</v>
      </c>
      <c r="H114">
        <f>19496.3</f>
        <v>19496.3</v>
      </c>
      <c r="I114">
        <f>91.3</f>
        <v>91.3</v>
      </c>
      <c r="J114" t="e">
        <f>NA()</f>
        <v>#N/A</v>
      </c>
      <c r="K114" t="e">
        <f>NA()</f>
        <v>#N/A</v>
      </c>
      <c r="L114">
        <f>-1.1</f>
        <v>-1.1000000000000001</v>
      </c>
    </row>
    <row r="115" spans="1:12" x14ac:dyDescent="0.3">
      <c r="A115" s="1">
        <v>41790</v>
      </c>
      <c r="B115" t="e">
        <f>NA()</f>
        <v>#N/A</v>
      </c>
      <c r="C115" t="e">
        <f>NA()</f>
        <v>#N/A</v>
      </c>
      <c r="D115">
        <f>-1.4</f>
        <v>-1.4</v>
      </c>
      <c r="E115">
        <f>2205.8</f>
        <v>2205.8000000000002</v>
      </c>
      <c r="F115">
        <f>1955.6</f>
        <v>1955.6</v>
      </c>
      <c r="G115">
        <f>355</f>
        <v>355</v>
      </c>
      <c r="H115" t="e">
        <f>NA()</f>
        <v>#N/A</v>
      </c>
      <c r="I115">
        <f>91.3</f>
        <v>91.3</v>
      </c>
      <c r="J115" t="e">
        <f>NA()</f>
        <v>#N/A</v>
      </c>
      <c r="K115" t="e">
        <f>NA()</f>
        <v>#N/A</v>
      </c>
      <c r="L115">
        <f>-1.4</f>
        <v>-1.4</v>
      </c>
    </row>
    <row r="116" spans="1:12" x14ac:dyDescent="0.3">
      <c r="A116" s="1">
        <v>41759</v>
      </c>
      <c r="B116" t="e">
        <f>NA()</f>
        <v>#N/A</v>
      </c>
      <c r="C116" t="e">
        <f>NA()</f>
        <v>#N/A</v>
      </c>
      <c r="D116">
        <f>-2.2</f>
        <v>-2.2000000000000002</v>
      </c>
      <c r="E116">
        <f>2192.9</f>
        <v>2192.9</v>
      </c>
      <c r="F116">
        <f>1958.2</f>
        <v>1958.2</v>
      </c>
      <c r="G116">
        <f>358.2</f>
        <v>358.2</v>
      </c>
      <c r="H116">
        <f>18672.6</f>
        <v>18672.599999999999</v>
      </c>
      <c r="I116">
        <f>91.8</f>
        <v>91.8</v>
      </c>
      <c r="J116" t="e">
        <f>NA()</f>
        <v>#N/A</v>
      </c>
      <c r="K116" t="e">
        <f>NA()</f>
        <v>#N/A</v>
      </c>
      <c r="L116">
        <f>-2.2</f>
        <v>-2.2000000000000002</v>
      </c>
    </row>
    <row r="117" spans="1:12" x14ac:dyDescent="0.3">
      <c r="A117" s="1">
        <v>41729</v>
      </c>
      <c r="B117" t="e">
        <f>NA()</f>
        <v>#N/A</v>
      </c>
      <c r="C117" t="e">
        <f>NA()</f>
        <v>#N/A</v>
      </c>
      <c r="D117">
        <f>-2.4</f>
        <v>-2.4</v>
      </c>
      <c r="E117">
        <f>2191.4</f>
        <v>2191.4</v>
      </c>
      <c r="F117">
        <f>1957</f>
        <v>1957</v>
      </c>
      <c r="G117">
        <f>332</f>
        <v>332</v>
      </c>
      <c r="H117">
        <f>18665.1</f>
        <v>18665.099999999999</v>
      </c>
      <c r="I117">
        <f>93.9</f>
        <v>93.9</v>
      </c>
      <c r="J117" t="e">
        <f>NA()</f>
        <v>#N/A</v>
      </c>
      <c r="K117" t="e">
        <f>NA()</f>
        <v>#N/A</v>
      </c>
      <c r="L117">
        <f>-2.4</f>
        <v>-2.4</v>
      </c>
    </row>
    <row r="118" spans="1:12" x14ac:dyDescent="0.3">
      <c r="A118" s="1">
        <v>41698</v>
      </c>
      <c r="B118" t="e">
        <f>NA()</f>
        <v>#N/A</v>
      </c>
      <c r="C118" t="e">
        <f>NA()</f>
        <v>#N/A</v>
      </c>
      <c r="D118">
        <f>-2.3</f>
        <v>-2.2999999999999998</v>
      </c>
      <c r="E118">
        <f>2203.5</f>
        <v>2203.5</v>
      </c>
      <c r="F118">
        <f>1978</f>
        <v>1978</v>
      </c>
      <c r="G118">
        <f>250.7</f>
        <v>250.7</v>
      </c>
      <c r="H118">
        <f>18415.2</f>
        <v>18415.2</v>
      </c>
      <c r="I118">
        <f>96.8</f>
        <v>96.8</v>
      </c>
      <c r="J118" t="e">
        <f>NA()</f>
        <v>#N/A</v>
      </c>
      <c r="K118" t="e">
        <f>NA()</f>
        <v>#N/A</v>
      </c>
      <c r="L118">
        <f>-2.3</f>
        <v>-2.2999999999999998</v>
      </c>
    </row>
    <row r="119" spans="1:12" x14ac:dyDescent="0.3">
      <c r="A119" s="1">
        <v>41670</v>
      </c>
      <c r="B119" t="e">
        <f>NA()</f>
        <v>#N/A</v>
      </c>
      <c r="C119" t="e">
        <f>NA()</f>
        <v>#N/A</v>
      </c>
      <c r="D119">
        <f>-1.4</f>
        <v>-1.4</v>
      </c>
      <c r="E119">
        <f>2228.8</f>
        <v>2228.8000000000002</v>
      </c>
      <c r="F119">
        <f>1965.8</f>
        <v>1965.8</v>
      </c>
      <c r="G119">
        <f>382.1</f>
        <v>382.1</v>
      </c>
      <c r="H119">
        <f>18545.2</f>
        <v>18545.2</v>
      </c>
      <c r="I119">
        <f>96.9</f>
        <v>96.9</v>
      </c>
      <c r="J119" t="e">
        <f>NA()</f>
        <v>#N/A</v>
      </c>
      <c r="K119" t="e">
        <f>NA()</f>
        <v>#N/A</v>
      </c>
      <c r="L119">
        <f>-1.4</f>
        <v>-1.4</v>
      </c>
    </row>
    <row r="120" spans="1:12" x14ac:dyDescent="0.3">
      <c r="A120" s="1">
        <v>41639</v>
      </c>
      <c r="B120">
        <f>1260</f>
        <v>1260</v>
      </c>
      <c r="C120">
        <f>9.3</f>
        <v>9.3000000000000007</v>
      </c>
      <c r="D120">
        <f>-0.7</f>
        <v>-0.7</v>
      </c>
      <c r="E120">
        <f>2209</f>
        <v>2209</v>
      </c>
      <c r="F120">
        <f>1950</f>
        <v>1950</v>
      </c>
      <c r="G120">
        <f>389.5</f>
        <v>389.5</v>
      </c>
      <c r="H120">
        <f>18282.4</f>
        <v>18282.400000000001</v>
      </c>
      <c r="I120">
        <f>95</f>
        <v>95</v>
      </c>
      <c r="J120">
        <f>1260</f>
        <v>1260</v>
      </c>
      <c r="K120">
        <f>9.3</f>
        <v>9.3000000000000007</v>
      </c>
      <c r="L120">
        <f>-0.7</f>
        <v>-0.7</v>
      </c>
    </row>
    <row r="121" spans="1:12" x14ac:dyDescent="0.3">
      <c r="A121" s="1">
        <v>41608</v>
      </c>
      <c r="B121">
        <f>1260</f>
        <v>1260</v>
      </c>
      <c r="C121" t="e">
        <f>NA()</f>
        <v>#N/A</v>
      </c>
      <c r="D121">
        <f>-0.4</f>
        <v>-0.4</v>
      </c>
      <c r="E121">
        <f>2200.8</f>
        <v>2200.8000000000002</v>
      </c>
      <c r="F121">
        <f>1935.7</f>
        <v>1935.7</v>
      </c>
      <c r="G121">
        <f>370.4</f>
        <v>370.4</v>
      </c>
      <c r="H121" t="e">
        <f>NA()</f>
        <v>#N/A</v>
      </c>
      <c r="I121">
        <f>94.2</f>
        <v>94.2</v>
      </c>
      <c r="J121">
        <f>1260</f>
        <v>1260</v>
      </c>
      <c r="K121" t="e">
        <f>NA()</f>
        <v>#N/A</v>
      </c>
      <c r="L121">
        <f>-0.4</f>
        <v>-0.4</v>
      </c>
    </row>
    <row r="122" spans="1:12" x14ac:dyDescent="0.3">
      <c r="A122" s="1">
        <v>41578</v>
      </c>
      <c r="B122">
        <f>1260</f>
        <v>1260</v>
      </c>
      <c r="C122" t="e">
        <f>NA()</f>
        <v>#N/A</v>
      </c>
      <c r="D122">
        <f>-0.3</f>
        <v>-0.3</v>
      </c>
      <c r="E122">
        <f>2178.1</f>
        <v>2178.1</v>
      </c>
      <c r="F122">
        <f>1927.1</f>
        <v>1927.1</v>
      </c>
      <c r="G122">
        <f>339.6</f>
        <v>339.6</v>
      </c>
      <c r="H122">
        <f>17558.8</f>
        <v>17558.8</v>
      </c>
      <c r="I122">
        <f>93.1</f>
        <v>93.1</v>
      </c>
      <c r="J122">
        <f>1260</f>
        <v>1260</v>
      </c>
      <c r="K122" t="e">
        <f>NA()</f>
        <v>#N/A</v>
      </c>
      <c r="L122">
        <f>-0.3</f>
        <v>-0.3</v>
      </c>
    </row>
    <row r="123" spans="1:12" x14ac:dyDescent="0.3">
      <c r="A123" s="1">
        <v>41547</v>
      </c>
      <c r="B123">
        <f>1260</f>
        <v>1260</v>
      </c>
      <c r="C123" t="e">
        <f>NA()</f>
        <v>#N/A</v>
      </c>
      <c r="D123">
        <f>-0.4</f>
        <v>-0.4</v>
      </c>
      <c r="E123">
        <f>2168.3</f>
        <v>2168.3000000000002</v>
      </c>
      <c r="F123">
        <f>1916.3</f>
        <v>1916.3</v>
      </c>
      <c r="G123">
        <f>355.9</f>
        <v>355.9</v>
      </c>
      <c r="H123">
        <f>17600.2</f>
        <v>17600.2</v>
      </c>
      <c r="I123">
        <f>94.1</f>
        <v>94.1</v>
      </c>
      <c r="J123">
        <f>1260</f>
        <v>1260</v>
      </c>
      <c r="K123" t="e">
        <f>NA()</f>
        <v>#N/A</v>
      </c>
      <c r="L123">
        <f>-0.4</f>
        <v>-0.4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Júlio César Ballen Mugnol</cp:lastModifiedBy>
  <dcterms:created xsi:type="dcterms:W3CDTF">2013-04-03T15:49:21Z</dcterms:created>
  <dcterms:modified xsi:type="dcterms:W3CDTF">2023-09-27T00:49:18Z</dcterms:modified>
</cp:coreProperties>
</file>