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13_ncr:1_{A1174E2C-9491-43EB-A158-07E20FE245BA}" xr6:coauthVersionLast="47" xr6:coauthVersionMax="47" xr10:uidLastSave="{00000000-0000-0000-0000-000000000000}"/>
  <bookViews>
    <workbookView xWindow="-120" yWindow="300" windowWidth="29040" windowHeight="15420" xr2:uid="{00000000-000D-0000-FFFF-FFFF00000000}"/>
  </bookViews>
  <sheets>
    <sheet name="Worksheet" sheetId="2" r:id="rId1"/>
  </sheets>
  <definedNames>
    <definedName name="CIQWBGuid" hidden="1">"3ece9e11-74d5-4e7f-a546-3d9741c95b6f"</definedName>
    <definedName name="CIQWBInfo" hidden="1">"{ ""CIQVersion"":""9.50.2716.4594"" }"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4" i="2" l="1"/>
  <c r="G124" i="2"/>
  <c r="F124" i="2"/>
  <c r="E124" i="2"/>
  <c r="D124" i="2"/>
  <c r="C124" i="2"/>
  <c r="B124" i="2"/>
  <c r="H123" i="2"/>
  <c r="G123" i="2"/>
  <c r="F123" i="2"/>
  <c r="E123" i="2"/>
  <c r="D123" i="2"/>
  <c r="C123" i="2"/>
  <c r="B123" i="2"/>
  <c r="H122" i="2"/>
  <c r="G122" i="2"/>
  <c r="F122" i="2"/>
  <c r="E122" i="2"/>
  <c r="D122" i="2"/>
  <c r="C122" i="2"/>
  <c r="B122" i="2"/>
  <c r="H121" i="2"/>
  <c r="G121" i="2"/>
  <c r="F121" i="2"/>
  <c r="E121" i="2"/>
  <c r="D121" i="2"/>
  <c r="C121" i="2"/>
  <c r="B121" i="2"/>
  <c r="H120" i="2"/>
  <c r="G120" i="2"/>
  <c r="F120" i="2"/>
  <c r="E120" i="2"/>
  <c r="D120" i="2"/>
  <c r="C120" i="2"/>
  <c r="B120" i="2"/>
  <c r="H119" i="2"/>
  <c r="G119" i="2"/>
  <c r="F119" i="2"/>
  <c r="E119" i="2"/>
  <c r="D119" i="2"/>
  <c r="C119" i="2"/>
  <c r="B119" i="2"/>
  <c r="H118" i="2"/>
  <c r="G118" i="2"/>
  <c r="F118" i="2"/>
  <c r="E118" i="2"/>
  <c r="D118" i="2"/>
  <c r="C118" i="2"/>
  <c r="B118" i="2"/>
  <c r="H117" i="2"/>
  <c r="G117" i="2"/>
  <c r="F117" i="2"/>
  <c r="E117" i="2"/>
  <c r="D117" i="2"/>
  <c r="C117" i="2"/>
  <c r="B117" i="2"/>
  <c r="H116" i="2"/>
  <c r="G116" i="2"/>
  <c r="F116" i="2"/>
  <c r="E116" i="2"/>
  <c r="D116" i="2"/>
  <c r="C116" i="2"/>
  <c r="B116" i="2"/>
  <c r="H115" i="2"/>
  <c r="G115" i="2"/>
  <c r="F115" i="2"/>
  <c r="E115" i="2"/>
  <c r="D115" i="2"/>
  <c r="C115" i="2"/>
  <c r="B115" i="2"/>
  <c r="H114" i="2"/>
  <c r="G114" i="2"/>
  <c r="F114" i="2"/>
  <c r="E114" i="2"/>
  <c r="D114" i="2"/>
  <c r="C114" i="2"/>
  <c r="B114" i="2"/>
  <c r="H113" i="2"/>
  <c r="G113" i="2"/>
  <c r="F113" i="2"/>
  <c r="E113" i="2"/>
  <c r="D113" i="2"/>
  <c r="C113" i="2"/>
  <c r="B113" i="2"/>
  <c r="H112" i="2"/>
  <c r="G112" i="2"/>
  <c r="F112" i="2"/>
  <c r="E112" i="2"/>
  <c r="D112" i="2"/>
  <c r="C112" i="2"/>
  <c r="B112" i="2"/>
  <c r="H111" i="2"/>
  <c r="G111" i="2"/>
  <c r="F111" i="2"/>
  <c r="E111" i="2"/>
  <c r="D111" i="2"/>
  <c r="C111" i="2"/>
  <c r="B111" i="2"/>
  <c r="H110" i="2"/>
  <c r="G110" i="2"/>
  <c r="F110" i="2"/>
  <c r="E110" i="2"/>
  <c r="D110" i="2"/>
  <c r="C110" i="2"/>
  <c r="B110" i="2"/>
  <c r="H109" i="2"/>
  <c r="G109" i="2"/>
  <c r="F109" i="2"/>
  <c r="E109" i="2"/>
  <c r="D109" i="2"/>
  <c r="C109" i="2"/>
  <c r="B109" i="2"/>
  <c r="H108" i="2"/>
  <c r="G108" i="2"/>
  <c r="F108" i="2"/>
  <c r="E108" i="2"/>
  <c r="D108" i="2"/>
  <c r="C108" i="2"/>
  <c r="B108" i="2"/>
  <c r="H107" i="2"/>
  <c r="G107" i="2"/>
  <c r="F107" i="2"/>
  <c r="E107" i="2"/>
  <c r="D107" i="2"/>
  <c r="C107" i="2"/>
  <c r="B107" i="2"/>
  <c r="H106" i="2"/>
  <c r="G106" i="2"/>
  <c r="F106" i="2"/>
  <c r="E106" i="2"/>
  <c r="D106" i="2"/>
  <c r="C106" i="2"/>
  <c r="B106" i="2"/>
  <c r="H105" i="2"/>
  <c r="G105" i="2"/>
  <c r="F105" i="2"/>
  <c r="E105" i="2"/>
  <c r="D105" i="2"/>
  <c r="C105" i="2"/>
  <c r="B105" i="2"/>
  <c r="H104" i="2"/>
  <c r="G104" i="2"/>
  <c r="F104" i="2"/>
  <c r="E104" i="2"/>
  <c r="D104" i="2"/>
  <c r="C104" i="2"/>
  <c r="B104" i="2"/>
  <c r="H103" i="2"/>
  <c r="G103" i="2"/>
  <c r="F103" i="2"/>
  <c r="E103" i="2"/>
  <c r="D103" i="2"/>
  <c r="C103" i="2"/>
  <c r="B103" i="2"/>
  <c r="H102" i="2"/>
  <c r="G102" i="2"/>
  <c r="F102" i="2"/>
  <c r="E102" i="2"/>
  <c r="D102" i="2"/>
  <c r="C102" i="2"/>
  <c r="B102" i="2"/>
  <c r="H101" i="2"/>
  <c r="G101" i="2"/>
  <c r="F101" i="2"/>
  <c r="E101" i="2"/>
  <c r="D101" i="2"/>
  <c r="C101" i="2"/>
  <c r="B101" i="2"/>
  <c r="H100" i="2"/>
  <c r="G100" i="2"/>
  <c r="F100" i="2"/>
  <c r="E100" i="2"/>
  <c r="D100" i="2"/>
  <c r="C100" i="2"/>
  <c r="B100" i="2"/>
  <c r="H99" i="2"/>
  <c r="G99" i="2"/>
  <c r="F99" i="2"/>
  <c r="E99" i="2"/>
  <c r="D99" i="2"/>
  <c r="C99" i="2"/>
  <c r="B99" i="2"/>
  <c r="H98" i="2"/>
  <c r="G98" i="2"/>
  <c r="F98" i="2"/>
  <c r="E98" i="2"/>
  <c r="D98" i="2"/>
  <c r="C98" i="2"/>
  <c r="B98" i="2"/>
  <c r="H97" i="2"/>
  <c r="G97" i="2"/>
  <c r="F97" i="2"/>
  <c r="E97" i="2"/>
  <c r="D97" i="2"/>
  <c r="C97" i="2"/>
  <c r="B97" i="2"/>
  <c r="H96" i="2"/>
  <c r="G96" i="2"/>
  <c r="F96" i="2"/>
  <c r="E96" i="2"/>
  <c r="D96" i="2"/>
  <c r="C96" i="2"/>
  <c r="B96" i="2"/>
  <c r="H95" i="2"/>
  <c r="G95" i="2"/>
  <c r="F95" i="2"/>
  <c r="E95" i="2"/>
  <c r="D95" i="2"/>
  <c r="C95" i="2"/>
  <c r="B95" i="2"/>
  <c r="H94" i="2"/>
  <c r="G94" i="2"/>
  <c r="F94" i="2"/>
  <c r="E94" i="2"/>
  <c r="D94" i="2"/>
  <c r="C94" i="2"/>
  <c r="B94" i="2"/>
  <c r="H93" i="2"/>
  <c r="G93" i="2"/>
  <c r="F93" i="2"/>
  <c r="E93" i="2"/>
  <c r="D93" i="2"/>
  <c r="C93" i="2"/>
  <c r="B93" i="2"/>
  <c r="H92" i="2"/>
  <c r="G92" i="2"/>
  <c r="F92" i="2"/>
  <c r="E92" i="2"/>
  <c r="D92" i="2"/>
  <c r="C92" i="2"/>
  <c r="B92" i="2"/>
  <c r="H91" i="2"/>
  <c r="G91" i="2"/>
  <c r="F91" i="2"/>
  <c r="E91" i="2"/>
  <c r="D91" i="2"/>
  <c r="C91" i="2"/>
  <c r="B91" i="2"/>
  <c r="H90" i="2"/>
  <c r="G90" i="2"/>
  <c r="F90" i="2"/>
  <c r="E90" i="2"/>
  <c r="D90" i="2"/>
  <c r="C90" i="2"/>
  <c r="B90" i="2"/>
  <c r="H89" i="2"/>
  <c r="G89" i="2"/>
  <c r="F89" i="2"/>
  <c r="E89" i="2"/>
  <c r="D89" i="2"/>
  <c r="C89" i="2"/>
  <c r="B89" i="2"/>
  <c r="H88" i="2"/>
  <c r="G88" i="2"/>
  <c r="F88" i="2"/>
  <c r="E88" i="2"/>
  <c r="D88" i="2"/>
  <c r="C88" i="2"/>
  <c r="B88" i="2"/>
  <c r="H87" i="2"/>
  <c r="G87" i="2"/>
  <c r="F87" i="2"/>
  <c r="E87" i="2"/>
  <c r="D87" i="2"/>
  <c r="C87" i="2"/>
  <c r="B87" i="2"/>
  <c r="H86" i="2"/>
  <c r="G86" i="2"/>
  <c r="F86" i="2"/>
  <c r="E86" i="2"/>
  <c r="D86" i="2"/>
  <c r="C86" i="2"/>
  <c r="B86" i="2"/>
  <c r="H85" i="2"/>
  <c r="G85" i="2"/>
  <c r="F85" i="2"/>
  <c r="E85" i="2"/>
  <c r="D85" i="2"/>
  <c r="C85" i="2"/>
  <c r="B85" i="2"/>
  <c r="H84" i="2"/>
  <c r="G84" i="2"/>
  <c r="F84" i="2"/>
  <c r="E84" i="2"/>
  <c r="D84" i="2"/>
  <c r="C84" i="2"/>
  <c r="B84" i="2"/>
  <c r="H83" i="2"/>
  <c r="G83" i="2"/>
  <c r="F83" i="2"/>
  <c r="E83" i="2"/>
  <c r="D83" i="2"/>
  <c r="C83" i="2"/>
  <c r="B83" i="2"/>
  <c r="H82" i="2"/>
  <c r="G82" i="2"/>
  <c r="F82" i="2"/>
  <c r="E82" i="2"/>
  <c r="D82" i="2"/>
  <c r="C82" i="2"/>
  <c r="B82" i="2"/>
  <c r="H81" i="2"/>
  <c r="G81" i="2"/>
  <c r="F81" i="2"/>
  <c r="E81" i="2"/>
  <c r="D81" i="2"/>
  <c r="C81" i="2"/>
  <c r="B81" i="2"/>
  <c r="H80" i="2"/>
  <c r="G80" i="2"/>
  <c r="F80" i="2"/>
  <c r="E80" i="2"/>
  <c r="D80" i="2"/>
  <c r="C80" i="2"/>
  <c r="B80" i="2"/>
  <c r="H79" i="2"/>
  <c r="G79" i="2"/>
  <c r="F79" i="2"/>
  <c r="E79" i="2"/>
  <c r="D79" i="2"/>
  <c r="C79" i="2"/>
  <c r="B79" i="2"/>
  <c r="H78" i="2"/>
  <c r="G78" i="2"/>
  <c r="F78" i="2"/>
  <c r="E78" i="2"/>
  <c r="D78" i="2"/>
  <c r="C78" i="2"/>
  <c r="B78" i="2"/>
  <c r="H77" i="2"/>
  <c r="G77" i="2"/>
  <c r="F77" i="2"/>
  <c r="E77" i="2"/>
  <c r="D77" i="2"/>
  <c r="C77" i="2"/>
  <c r="B77" i="2"/>
  <c r="H76" i="2"/>
  <c r="G76" i="2"/>
  <c r="F76" i="2"/>
  <c r="E76" i="2"/>
  <c r="D76" i="2"/>
  <c r="C76" i="2"/>
  <c r="B76" i="2"/>
  <c r="H75" i="2"/>
  <c r="G75" i="2"/>
  <c r="F75" i="2"/>
  <c r="E75" i="2"/>
  <c r="D75" i="2"/>
  <c r="C75" i="2"/>
  <c r="B75" i="2"/>
  <c r="H74" i="2"/>
  <c r="G74" i="2"/>
  <c r="F74" i="2"/>
  <c r="E74" i="2"/>
  <c r="D74" i="2"/>
  <c r="C74" i="2"/>
  <c r="B74" i="2"/>
  <c r="H73" i="2"/>
  <c r="G73" i="2"/>
  <c r="F73" i="2"/>
  <c r="E73" i="2"/>
  <c r="D73" i="2"/>
  <c r="C73" i="2"/>
  <c r="B73" i="2"/>
  <c r="H72" i="2"/>
  <c r="G72" i="2"/>
  <c r="F72" i="2"/>
  <c r="E72" i="2"/>
  <c r="D72" i="2"/>
  <c r="C72" i="2"/>
  <c r="B72" i="2"/>
  <c r="H71" i="2"/>
  <c r="G71" i="2"/>
  <c r="F71" i="2"/>
  <c r="E71" i="2"/>
  <c r="D71" i="2"/>
  <c r="C71" i="2"/>
  <c r="B71" i="2"/>
  <c r="H70" i="2"/>
  <c r="G70" i="2"/>
  <c r="F70" i="2"/>
  <c r="E70" i="2"/>
  <c r="D70" i="2"/>
  <c r="C70" i="2"/>
  <c r="B70" i="2"/>
  <c r="H69" i="2"/>
  <c r="G69" i="2"/>
  <c r="F69" i="2"/>
  <c r="E69" i="2"/>
  <c r="D69" i="2"/>
  <c r="C69" i="2"/>
  <c r="B69" i="2"/>
  <c r="H68" i="2"/>
  <c r="G68" i="2"/>
  <c r="F68" i="2"/>
  <c r="E68" i="2"/>
  <c r="D68" i="2"/>
  <c r="C68" i="2"/>
  <c r="B68" i="2"/>
  <c r="H67" i="2"/>
  <c r="G67" i="2"/>
  <c r="F67" i="2"/>
  <c r="E67" i="2"/>
  <c r="D67" i="2"/>
  <c r="C67" i="2"/>
  <c r="B67" i="2"/>
  <c r="H66" i="2"/>
  <c r="G66" i="2"/>
  <c r="F66" i="2"/>
  <c r="E66" i="2"/>
  <c r="D66" i="2"/>
  <c r="C66" i="2"/>
  <c r="B66" i="2"/>
  <c r="H65" i="2"/>
  <c r="G65" i="2"/>
  <c r="F65" i="2"/>
  <c r="E65" i="2"/>
  <c r="D65" i="2"/>
  <c r="C65" i="2"/>
  <c r="B65" i="2"/>
  <c r="H64" i="2"/>
  <c r="G64" i="2"/>
  <c r="F64" i="2"/>
  <c r="E64" i="2"/>
  <c r="D64" i="2"/>
  <c r="C64" i="2"/>
  <c r="B64" i="2"/>
  <c r="H63" i="2"/>
  <c r="G63" i="2"/>
  <c r="F63" i="2"/>
  <c r="E63" i="2"/>
  <c r="D63" i="2"/>
  <c r="C63" i="2"/>
  <c r="B63" i="2"/>
  <c r="H62" i="2"/>
  <c r="G62" i="2"/>
  <c r="F62" i="2"/>
  <c r="E62" i="2"/>
  <c r="D62" i="2"/>
  <c r="C62" i="2"/>
  <c r="B62" i="2"/>
  <c r="H61" i="2"/>
  <c r="G61" i="2"/>
  <c r="F61" i="2"/>
  <c r="E61" i="2"/>
  <c r="D61" i="2"/>
  <c r="C61" i="2"/>
  <c r="B61" i="2"/>
  <c r="H60" i="2"/>
  <c r="G60" i="2"/>
  <c r="F60" i="2"/>
  <c r="E60" i="2"/>
  <c r="D60" i="2"/>
  <c r="C60" i="2"/>
  <c r="B60" i="2"/>
  <c r="H59" i="2"/>
  <c r="G59" i="2"/>
  <c r="F59" i="2"/>
  <c r="E59" i="2"/>
  <c r="D59" i="2"/>
  <c r="C59" i="2"/>
  <c r="B59" i="2"/>
  <c r="H58" i="2"/>
  <c r="G58" i="2"/>
  <c r="F58" i="2"/>
  <c r="E58" i="2"/>
  <c r="D58" i="2"/>
  <c r="C58" i="2"/>
  <c r="B58" i="2"/>
  <c r="H57" i="2"/>
  <c r="G57" i="2"/>
  <c r="F57" i="2"/>
  <c r="E57" i="2"/>
  <c r="D57" i="2"/>
  <c r="C57" i="2"/>
  <c r="B57" i="2"/>
  <c r="H56" i="2"/>
  <c r="G56" i="2"/>
  <c r="F56" i="2"/>
  <c r="E56" i="2"/>
  <c r="D56" i="2"/>
  <c r="C56" i="2"/>
  <c r="B56" i="2"/>
  <c r="H55" i="2"/>
  <c r="G55" i="2"/>
  <c r="F55" i="2"/>
  <c r="E55" i="2"/>
  <c r="D55" i="2"/>
  <c r="C55" i="2"/>
  <c r="B55" i="2"/>
  <c r="H54" i="2"/>
  <c r="G54" i="2"/>
  <c r="F54" i="2"/>
  <c r="E54" i="2"/>
  <c r="D54" i="2"/>
  <c r="C54" i="2"/>
  <c r="B54" i="2"/>
  <c r="H53" i="2"/>
  <c r="G53" i="2"/>
  <c r="F53" i="2"/>
  <c r="E53" i="2"/>
  <c r="D53" i="2"/>
  <c r="C53" i="2"/>
  <c r="B53" i="2"/>
  <c r="H52" i="2"/>
  <c r="G52" i="2"/>
  <c r="F52" i="2"/>
  <c r="E52" i="2"/>
  <c r="D52" i="2"/>
  <c r="C52" i="2"/>
  <c r="B52" i="2"/>
  <c r="H51" i="2"/>
  <c r="G51" i="2"/>
  <c r="F51" i="2"/>
  <c r="E51" i="2"/>
  <c r="D51" i="2"/>
  <c r="C51" i="2"/>
  <c r="B51" i="2"/>
  <c r="H50" i="2"/>
  <c r="G50" i="2"/>
  <c r="F50" i="2"/>
  <c r="E50" i="2"/>
  <c r="D50" i="2"/>
  <c r="C50" i="2"/>
  <c r="B50" i="2"/>
  <c r="H49" i="2"/>
  <c r="G49" i="2"/>
  <c r="F49" i="2"/>
  <c r="E49" i="2"/>
  <c r="D49" i="2"/>
  <c r="C49" i="2"/>
  <c r="B49" i="2"/>
  <c r="H48" i="2"/>
  <c r="G48" i="2"/>
  <c r="F48" i="2"/>
  <c r="E48" i="2"/>
  <c r="D48" i="2"/>
  <c r="C48" i="2"/>
  <c r="B48" i="2"/>
  <c r="H47" i="2"/>
  <c r="G47" i="2"/>
  <c r="F47" i="2"/>
  <c r="E47" i="2"/>
  <c r="D47" i="2"/>
  <c r="C47" i="2"/>
  <c r="B47" i="2"/>
  <c r="H46" i="2"/>
  <c r="G46" i="2"/>
  <c r="F46" i="2"/>
  <c r="E46" i="2"/>
  <c r="D46" i="2"/>
  <c r="C46" i="2"/>
  <c r="B46" i="2"/>
  <c r="H45" i="2"/>
  <c r="G45" i="2"/>
  <c r="F45" i="2"/>
  <c r="E45" i="2"/>
  <c r="D45" i="2"/>
  <c r="C45" i="2"/>
  <c r="B45" i="2"/>
  <c r="H44" i="2"/>
  <c r="G44" i="2"/>
  <c r="F44" i="2"/>
  <c r="E44" i="2"/>
  <c r="D44" i="2"/>
  <c r="C44" i="2"/>
  <c r="B44" i="2"/>
  <c r="H43" i="2"/>
  <c r="G43" i="2"/>
  <c r="F43" i="2"/>
  <c r="E43" i="2"/>
  <c r="D43" i="2"/>
  <c r="C43" i="2"/>
  <c r="B43" i="2"/>
  <c r="H42" i="2"/>
  <c r="G42" i="2"/>
  <c r="F42" i="2"/>
  <c r="E42" i="2"/>
  <c r="D42" i="2"/>
  <c r="C42" i="2"/>
  <c r="B42" i="2"/>
  <c r="H41" i="2"/>
  <c r="G41" i="2"/>
  <c r="F41" i="2"/>
  <c r="E41" i="2"/>
  <c r="D41" i="2"/>
  <c r="C41" i="2"/>
  <c r="B41" i="2"/>
  <c r="H40" i="2"/>
  <c r="G40" i="2"/>
  <c r="F40" i="2"/>
  <c r="E40" i="2"/>
  <c r="D40" i="2"/>
  <c r="C40" i="2"/>
  <c r="B40" i="2"/>
  <c r="H39" i="2"/>
  <c r="G39" i="2"/>
  <c r="F39" i="2"/>
  <c r="E39" i="2"/>
  <c r="D39" i="2"/>
  <c r="C39" i="2"/>
  <c r="B39" i="2"/>
  <c r="H38" i="2"/>
  <c r="G38" i="2"/>
  <c r="F38" i="2"/>
  <c r="E38" i="2"/>
  <c r="D38" i="2"/>
  <c r="C38" i="2"/>
  <c r="B38" i="2"/>
  <c r="H37" i="2"/>
  <c r="G37" i="2"/>
  <c r="F37" i="2"/>
  <c r="E37" i="2"/>
  <c r="D37" i="2"/>
  <c r="C37" i="2"/>
  <c r="B37" i="2"/>
  <c r="H36" i="2"/>
  <c r="G36" i="2"/>
  <c r="F36" i="2"/>
  <c r="E36" i="2"/>
  <c r="D36" i="2"/>
  <c r="C36" i="2"/>
  <c r="B36" i="2"/>
  <c r="H35" i="2"/>
  <c r="G35" i="2"/>
  <c r="F35" i="2"/>
  <c r="E35" i="2"/>
  <c r="D35" i="2"/>
  <c r="C35" i="2"/>
  <c r="B35" i="2"/>
  <c r="H34" i="2"/>
  <c r="G34" i="2"/>
  <c r="F34" i="2"/>
  <c r="E34" i="2"/>
  <c r="D34" i="2"/>
  <c r="C34" i="2"/>
  <c r="B34" i="2"/>
  <c r="H33" i="2"/>
  <c r="G33" i="2"/>
  <c r="F33" i="2"/>
  <c r="E33" i="2"/>
  <c r="D33" i="2"/>
  <c r="C33" i="2"/>
  <c r="B33" i="2"/>
  <c r="H32" i="2"/>
  <c r="G32" i="2"/>
  <c r="F32" i="2"/>
  <c r="E32" i="2"/>
  <c r="D32" i="2"/>
  <c r="C32" i="2"/>
  <c r="B32" i="2"/>
  <c r="H31" i="2"/>
  <c r="G31" i="2"/>
  <c r="F31" i="2"/>
  <c r="E31" i="2"/>
  <c r="D31" i="2"/>
  <c r="C31" i="2"/>
  <c r="B31" i="2"/>
  <c r="H30" i="2"/>
  <c r="G30" i="2"/>
  <c r="F30" i="2"/>
  <c r="E30" i="2"/>
  <c r="D30" i="2"/>
  <c r="C30" i="2"/>
  <c r="B30" i="2"/>
  <c r="H29" i="2"/>
  <c r="G29" i="2"/>
  <c r="F29" i="2"/>
  <c r="E29" i="2"/>
  <c r="D29" i="2"/>
  <c r="C29" i="2"/>
  <c r="B29" i="2"/>
  <c r="H28" i="2"/>
  <c r="G28" i="2"/>
  <c r="F28" i="2"/>
  <c r="E28" i="2"/>
  <c r="D28" i="2"/>
  <c r="C28" i="2"/>
  <c r="B28" i="2"/>
  <c r="H27" i="2"/>
  <c r="G27" i="2"/>
  <c r="F27" i="2"/>
  <c r="E27" i="2"/>
  <c r="D27" i="2"/>
  <c r="C27" i="2"/>
  <c r="B27" i="2"/>
  <c r="H26" i="2"/>
  <c r="G26" i="2"/>
  <c r="F26" i="2"/>
  <c r="E26" i="2"/>
  <c r="D26" i="2"/>
  <c r="C26" i="2"/>
  <c r="B26" i="2"/>
  <c r="H25" i="2"/>
  <c r="G25" i="2"/>
  <c r="F25" i="2"/>
  <c r="E25" i="2"/>
  <c r="D25" i="2"/>
  <c r="C25" i="2"/>
  <c r="B25" i="2"/>
  <c r="H24" i="2"/>
  <c r="G24" i="2"/>
  <c r="F24" i="2"/>
  <c r="E24" i="2"/>
  <c r="D24" i="2"/>
  <c r="C24" i="2"/>
  <c r="B24" i="2"/>
  <c r="H23" i="2"/>
  <c r="G23" i="2"/>
  <c r="F23" i="2"/>
  <c r="E23" i="2"/>
  <c r="D23" i="2"/>
  <c r="C23" i="2"/>
  <c r="B23" i="2"/>
  <c r="H22" i="2"/>
  <c r="G22" i="2"/>
  <c r="F22" i="2"/>
  <c r="E22" i="2"/>
  <c r="D22" i="2"/>
  <c r="C22" i="2"/>
  <c r="B22" i="2"/>
  <c r="H21" i="2"/>
  <c r="G21" i="2"/>
  <c r="F21" i="2"/>
  <c r="E21" i="2"/>
  <c r="D21" i="2"/>
  <c r="C21" i="2"/>
  <c r="B21" i="2"/>
  <c r="H20" i="2"/>
  <c r="G20" i="2"/>
  <c r="F20" i="2"/>
  <c r="E20" i="2"/>
  <c r="D20" i="2"/>
  <c r="C20" i="2"/>
  <c r="B20" i="2"/>
  <c r="H19" i="2"/>
  <c r="G19" i="2"/>
  <c r="F19" i="2"/>
  <c r="E19" i="2"/>
  <c r="D19" i="2"/>
  <c r="C19" i="2"/>
  <c r="B19" i="2"/>
  <c r="H18" i="2"/>
  <c r="G18" i="2"/>
  <c r="F18" i="2"/>
  <c r="E18" i="2"/>
  <c r="D18" i="2"/>
  <c r="C18" i="2"/>
  <c r="B18" i="2"/>
  <c r="H17" i="2"/>
  <c r="G17" i="2"/>
  <c r="F17" i="2"/>
  <c r="E17" i="2"/>
  <c r="D17" i="2"/>
  <c r="C17" i="2"/>
  <c r="B17" i="2"/>
  <c r="H16" i="2"/>
  <c r="G16" i="2"/>
  <c r="F16" i="2"/>
  <c r="E16" i="2"/>
  <c r="D16" i="2"/>
  <c r="C16" i="2"/>
  <c r="B16" i="2"/>
  <c r="H15" i="2"/>
  <c r="G15" i="2"/>
  <c r="F15" i="2"/>
  <c r="E15" i="2"/>
  <c r="D15" i="2"/>
  <c r="C15" i="2"/>
  <c r="B15" i="2"/>
  <c r="H14" i="2"/>
  <c r="G14" i="2"/>
  <c r="F14" i="2"/>
  <c r="E14" i="2"/>
  <c r="D14" i="2"/>
  <c r="C14" i="2"/>
  <c r="B14" i="2"/>
  <c r="H13" i="2"/>
  <c r="G13" i="2"/>
  <c r="F13" i="2"/>
  <c r="E13" i="2"/>
  <c r="D13" i="2"/>
  <c r="C13" i="2"/>
  <c r="B13" i="2"/>
  <c r="H12" i="2"/>
  <c r="G12" i="2"/>
  <c r="F12" i="2"/>
  <c r="E12" i="2"/>
  <c r="D12" i="2"/>
  <c r="C12" i="2"/>
  <c r="B12" i="2"/>
  <c r="H11" i="2"/>
  <c r="G11" i="2"/>
  <c r="F11" i="2"/>
  <c r="E11" i="2"/>
  <c r="D11" i="2"/>
  <c r="C11" i="2"/>
  <c r="B11" i="2"/>
  <c r="H10" i="2"/>
  <c r="G10" i="2"/>
  <c r="F10" i="2"/>
  <c r="E10" i="2"/>
  <c r="D10" i="2"/>
  <c r="C10" i="2"/>
  <c r="B10" i="2"/>
  <c r="H9" i="2"/>
  <c r="G9" i="2"/>
  <c r="F9" i="2"/>
  <c r="E9" i="2"/>
  <c r="D9" i="2"/>
  <c r="C9" i="2"/>
  <c r="B9" i="2"/>
  <c r="H8" i="2"/>
  <c r="G8" i="2"/>
  <c r="F8" i="2"/>
  <c r="E8" i="2"/>
  <c r="D8" i="2"/>
  <c r="C8" i="2"/>
  <c r="B8" i="2"/>
  <c r="H7" i="2"/>
  <c r="G7" i="2"/>
  <c r="F7" i="2"/>
  <c r="E7" i="2"/>
  <c r="D7" i="2"/>
  <c r="C7" i="2"/>
  <c r="B7" i="2"/>
  <c r="H6" i="2"/>
  <c r="G6" i="2"/>
  <c r="F6" i="2"/>
  <c r="E6" i="2"/>
  <c r="D6" i="2"/>
  <c r="C6" i="2"/>
  <c r="B6" i="2"/>
  <c r="H5" i="2"/>
  <c r="G5" i="2"/>
  <c r="F5" i="2"/>
  <c r="E5" i="2"/>
  <c r="D5" i="2"/>
  <c r="C5" i="2"/>
  <c r="B5" i="2"/>
</calcChain>
</file>

<file path=xl/sharedStrings.xml><?xml version="1.0" encoding="utf-8"?>
<sst xmlns="http://schemas.openxmlformats.org/spreadsheetml/2006/main" count="28" uniqueCount="21">
  <si>
    <t>Date</t>
  </si>
  <si>
    <t>CNGDGDP</t>
  </si>
  <si>
    <t>CNNGPQ$</t>
  </si>
  <si>
    <t>CNCPIYOY</t>
  </si>
  <si>
    <t>ECORCNN</t>
  </si>
  <si>
    <t>WIRACHIN</t>
  </si>
  <si>
    <t>CNMSM2</t>
  </si>
  <si>
    <t>CNNGPC$</t>
  </si>
  <si>
    <t>&lt;Valor NSA&gt;</t>
  </si>
  <si>
    <t>&lt;NSAZ&gt;</t>
  </si>
  <si>
    <t>&lt;NSA %A/A&gt;</t>
  </si>
  <si>
    <t>China GDP Constant Price</t>
  </si>
  <si>
    <t>China GDP Current Price NSA</t>
  </si>
  <si>
    <t>China CPI YoY</t>
  </si>
  <si>
    <t>China Money Supply M2 (Billion USD) NSA</t>
  </si>
  <si>
    <t>China Foreign Exchange Reserves in Millions of USD</t>
  </si>
  <si>
    <t>M2 Money Supply (CNY tn)</t>
  </si>
  <si>
    <t>China GDP Current Price NSA Cumulative</t>
  </si>
  <si>
    <t>CNY, Bilhoes</t>
  </si>
  <si>
    <t xml:space="preserve">USD bilhoes </t>
  </si>
  <si>
    <t>USD milhao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</si>
</sst>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2">
    <xf numFmtId="0" fontId="0" fillId="0" borderId="0" xfId="0"/>
    <xf numFmtId="22" fontId="1" fillId="0" borderId="0" xfId="42" applyNumberFormat="1" applyFont="1" applyFill="1" applyBorder="1" applyAlignment="1" applyProtection="1"/>
  </cellXfs>
  <cellStyles count="43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lp_datetime" xfId="42" xr:uid="{00000000-0005-0000-0000-000019000000}"/>
    <cellStyle name="Bom" xfId="29" builtinId="26" customBuiltin="1"/>
    <cellStyle name="Cálculo" xfId="26" builtinId="22" customBuiltin="1"/>
    <cellStyle name="Célula de Verificação" xfId="27" builtinId="23" customBuiltin="1"/>
    <cellStyle name="Célula Vinculada" xfId="35" builtinId="24" customBuiltin="1"/>
    <cellStyle name="Ênfase1" xfId="19" builtinId="29" customBuiltin="1"/>
    <cellStyle name="Ênfase2" xfId="20" builtinId="33" customBuiltin="1"/>
    <cellStyle name="Ênfase3" xfId="21" builtinId="37" customBuiltin="1"/>
    <cellStyle name="Ênfase4" xfId="22" builtinId="41" customBuiltin="1"/>
    <cellStyle name="Ênfase5" xfId="23" builtinId="45" customBuiltin="1"/>
    <cellStyle name="Ênfase6" xfId="24" builtinId="49" customBuiltin="1"/>
    <cellStyle name="Entrada" xfId="34" builtinId="20" customBuiltin="1"/>
    <cellStyle name="Neutro" xfId="36" builtinId="28" customBuiltin="1"/>
    <cellStyle name="Normal" xfId="0" builtinId="0"/>
    <cellStyle name="Nota" xfId="37" builtinId="10" customBuiltin="1"/>
    <cellStyle name="Ruim" xfId="25" builtinId="27" customBuiltin="1"/>
    <cellStyle name="Saída" xfId="38" builtinId="21" customBuiltin="1"/>
    <cellStyle name="Texto de Aviso" xfId="41" builtinId="11" customBuiltin="1"/>
    <cellStyle name="Texto Explicativo" xfId="28" builtinId="53" customBuiltin="1"/>
    <cellStyle name="Título" xfId="39" builtinId="15" customBuiltin="1"/>
    <cellStyle name="Título 1" xfId="30" builtinId="16" customBuiltin="1"/>
    <cellStyle name="Título 2" xfId="31" builtinId="17" customBuiltin="1"/>
    <cellStyle name="Título 3" xfId="32" builtinId="18" customBuiltin="1"/>
    <cellStyle name="Título 4" xfId="33" builtinId="19" customBuiltin="1"/>
    <cellStyle name="Total" xfId="40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4"/>
  <sheetViews>
    <sheetView tabSelected="1" workbookViewId="0">
      <selection activeCell="F2" sqref="F2"/>
    </sheetView>
  </sheetViews>
  <sheetFormatPr defaultRowHeight="15" x14ac:dyDescent="0.25"/>
  <cols>
    <col min="1" max="1" width="16" bestFit="1" customWidth="1"/>
    <col min="2" max="2" width="23.7109375" bestFit="1" customWidth="1"/>
    <col min="3" max="3" width="26.85546875" bestFit="1" customWidth="1"/>
    <col min="4" max="4" width="12.85546875" bestFit="1" customWidth="1"/>
    <col min="5" max="5" width="38.85546875" bestFit="1" customWidth="1"/>
    <col min="6" max="6" width="47.5703125" bestFit="1" customWidth="1"/>
    <col min="7" max="7" width="24.85546875" bestFit="1" customWidth="1"/>
    <col min="8" max="8" width="37.7109375" bestFit="1" customWidth="1"/>
  </cols>
  <sheetData>
    <row r="1" spans="1:8" x14ac:dyDescent="0.25">
      <c r="B1" t="s">
        <v>18</v>
      </c>
      <c r="C1" t="s">
        <v>18</v>
      </c>
      <c r="E1" t="s">
        <v>19</v>
      </c>
      <c r="F1" t="s">
        <v>20</v>
      </c>
      <c r="G1" t="s">
        <v>18</v>
      </c>
      <c r="H1" t="s">
        <v>18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B3" t="s">
        <v>8</v>
      </c>
      <c r="C3" t="s">
        <v>9</v>
      </c>
      <c r="D3" t="s">
        <v>10</v>
      </c>
      <c r="E3" t="s">
        <v>9</v>
      </c>
      <c r="F3" t="s">
        <v>9</v>
      </c>
      <c r="G3" t="s">
        <v>8</v>
      </c>
      <c r="H3" t="s">
        <v>9</v>
      </c>
    </row>
    <row r="4" spans="1:8" x14ac:dyDescent="0.25"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</row>
    <row r="5" spans="1:8" x14ac:dyDescent="0.25">
      <c r="A5" s="1">
        <v>45169</v>
      </c>
      <c r="B5" t="e">
        <f>NA()</f>
        <v>#N/A</v>
      </c>
      <c r="C5" t="e">
        <f>NA()</f>
        <v>#N/A</v>
      </c>
      <c r="D5">
        <f>0.1</f>
        <v>0.1</v>
      </c>
      <c r="E5">
        <f>39529.2</f>
        <v>39529.199999999997</v>
      </c>
      <c r="F5">
        <f>3160098</f>
        <v>3160098</v>
      </c>
      <c r="G5">
        <f>286934.3</f>
        <v>286934.3</v>
      </c>
      <c r="H5" t="e">
        <f>NA()</f>
        <v>#N/A</v>
      </c>
    </row>
    <row r="6" spans="1:8" x14ac:dyDescent="0.25">
      <c r="A6" s="1">
        <v>45138</v>
      </c>
      <c r="B6" t="e">
        <f>NA()</f>
        <v>#N/A</v>
      </c>
      <c r="C6" t="e">
        <f>NA()</f>
        <v>#N/A</v>
      </c>
      <c r="D6">
        <f>-0.3</f>
        <v>-0.3</v>
      </c>
      <c r="E6">
        <f>39957.3</f>
        <v>39957.300000000003</v>
      </c>
      <c r="F6">
        <f>3204270</f>
        <v>3204270</v>
      </c>
      <c r="G6">
        <f>285403.2</f>
        <v>285403.2</v>
      </c>
      <c r="H6" t="e">
        <f>NA()</f>
        <v>#N/A</v>
      </c>
    </row>
    <row r="7" spans="1:8" x14ac:dyDescent="0.25">
      <c r="A7" s="1">
        <v>45107</v>
      </c>
      <c r="B7">
        <f>28675.6</f>
        <v>28675.599999999999</v>
      </c>
      <c r="C7">
        <f>30803.8</f>
        <v>30803.8</v>
      </c>
      <c r="D7">
        <f>0</f>
        <v>0</v>
      </c>
      <c r="E7">
        <f>39607.2</f>
        <v>39607.199999999997</v>
      </c>
      <c r="F7">
        <f>3192998</f>
        <v>3192998</v>
      </c>
      <c r="G7">
        <f>287302.4</f>
        <v>287302.40000000002</v>
      </c>
      <c r="H7">
        <f>59303.4</f>
        <v>59303.4</v>
      </c>
    </row>
    <row r="8" spans="1:8" x14ac:dyDescent="0.25">
      <c r="A8" s="1">
        <v>45077</v>
      </c>
      <c r="B8" t="e">
        <f>NA()</f>
        <v>#N/A</v>
      </c>
      <c r="C8" t="e">
        <f>NA()</f>
        <v>#N/A</v>
      </c>
      <c r="D8">
        <f>0.2</f>
        <v>0.2</v>
      </c>
      <c r="E8">
        <f>39656.7</f>
        <v>39656.699999999997</v>
      </c>
      <c r="F8">
        <f>3176508</f>
        <v>3176508</v>
      </c>
      <c r="G8">
        <f>282050.5</f>
        <v>282050.5</v>
      </c>
      <c r="H8" t="e">
        <f>NA()</f>
        <v>#N/A</v>
      </c>
    </row>
    <row r="9" spans="1:8" x14ac:dyDescent="0.25">
      <c r="A9" s="1">
        <v>45046</v>
      </c>
      <c r="B9" t="e">
        <f>NA()</f>
        <v>#N/A</v>
      </c>
      <c r="C9" t="e">
        <f>NA()</f>
        <v>#N/A</v>
      </c>
      <c r="D9">
        <f>0.1</f>
        <v>0.1</v>
      </c>
      <c r="E9" t="e">
        <f>NA()</f>
        <v>#N/A</v>
      </c>
      <c r="F9">
        <f>3204800</f>
        <v>3204800</v>
      </c>
      <c r="G9">
        <f>280846.9</f>
        <v>280846.90000000002</v>
      </c>
      <c r="H9" t="e">
        <f>NA()</f>
        <v>#N/A</v>
      </c>
    </row>
    <row r="10" spans="1:8" x14ac:dyDescent="0.25">
      <c r="A10" s="1">
        <v>45016</v>
      </c>
      <c r="B10">
        <f>26899.2</f>
        <v>26899.200000000001</v>
      </c>
      <c r="C10">
        <f>28499.7</f>
        <v>28499.7</v>
      </c>
      <c r="D10">
        <f>0.7</f>
        <v>0.7</v>
      </c>
      <c r="E10">
        <f>40974.9</f>
        <v>40974.9</v>
      </c>
      <c r="F10">
        <f>3183870</f>
        <v>3183870</v>
      </c>
      <c r="G10">
        <f>281456.6</f>
        <v>281456.59999999998</v>
      </c>
      <c r="H10">
        <f>28499.7</f>
        <v>28499.7</v>
      </c>
    </row>
    <row r="11" spans="1:8" x14ac:dyDescent="0.25">
      <c r="A11" s="1">
        <v>44985</v>
      </c>
      <c r="B11" t="e">
        <f>NA()</f>
        <v>#N/A</v>
      </c>
      <c r="C11" t="e">
        <f>NA()</f>
        <v>#N/A</v>
      </c>
      <c r="D11">
        <f>1</f>
        <v>1</v>
      </c>
      <c r="E11">
        <f>39726.8</f>
        <v>39726.800000000003</v>
      </c>
      <c r="F11">
        <f>3133153</f>
        <v>3133153</v>
      </c>
      <c r="G11">
        <f>275524.9</f>
        <v>275524.90000000002</v>
      </c>
      <c r="H11" t="e">
        <f>NA()</f>
        <v>#N/A</v>
      </c>
    </row>
    <row r="12" spans="1:8" x14ac:dyDescent="0.25">
      <c r="A12" s="1">
        <v>44957</v>
      </c>
      <c r="B12" t="e">
        <f>NA()</f>
        <v>#N/A</v>
      </c>
      <c r="C12" t="e">
        <f>NA()</f>
        <v>#N/A</v>
      </c>
      <c r="D12">
        <f>2.1</f>
        <v>2.1</v>
      </c>
      <c r="E12">
        <f>40532.2</f>
        <v>40532.199999999997</v>
      </c>
      <c r="F12">
        <f>3184460</f>
        <v>3184460</v>
      </c>
      <c r="G12">
        <f>273807.2</f>
        <v>273807.2</v>
      </c>
      <c r="H12" t="e">
        <f>NA()</f>
        <v>#N/A</v>
      </c>
    </row>
    <row r="13" spans="1:8" x14ac:dyDescent="0.25">
      <c r="A13" s="1">
        <v>44926</v>
      </c>
      <c r="B13">
        <f>31558.9</f>
        <v>31558.9</v>
      </c>
      <c r="C13">
        <f>33550.8</f>
        <v>33550.800000000003</v>
      </c>
      <c r="D13">
        <f>1.8</f>
        <v>1.8</v>
      </c>
      <c r="E13" t="e">
        <f>NA()</f>
        <v>#N/A</v>
      </c>
      <c r="F13">
        <f>3127691</f>
        <v>3127691</v>
      </c>
      <c r="G13">
        <f>266432.1</f>
        <v>266432.09999999998</v>
      </c>
      <c r="H13">
        <f>121020.7</f>
        <v>121020.7</v>
      </c>
    </row>
    <row r="14" spans="1:8" x14ac:dyDescent="0.25">
      <c r="A14" s="1">
        <v>44895</v>
      </c>
      <c r="B14" t="e">
        <f>NA()</f>
        <v>#N/A</v>
      </c>
      <c r="C14" t="e">
        <f>NA()</f>
        <v>#N/A</v>
      </c>
      <c r="D14">
        <f>1.6</f>
        <v>1.6</v>
      </c>
      <c r="E14">
        <f>37321.8</f>
        <v>37321.800000000003</v>
      </c>
      <c r="F14">
        <f>3117490</f>
        <v>3117490</v>
      </c>
      <c r="G14">
        <f>264700.8</f>
        <v>264700.79999999999</v>
      </c>
      <c r="H14" t="e">
        <f>NA()</f>
        <v>#N/A</v>
      </c>
    </row>
    <row r="15" spans="1:8" x14ac:dyDescent="0.25">
      <c r="A15" s="1">
        <v>44865</v>
      </c>
      <c r="B15" t="e">
        <f>NA()</f>
        <v>#N/A</v>
      </c>
      <c r="C15" t="e">
        <f>NA()</f>
        <v>#N/A</v>
      </c>
      <c r="D15">
        <f>2.1</f>
        <v>2.1</v>
      </c>
      <c r="E15">
        <f>35768.9</f>
        <v>35768.9</v>
      </c>
      <c r="F15">
        <f>3052430</f>
        <v>3052430</v>
      </c>
      <c r="G15">
        <f>261291.5</f>
        <v>261291.5</v>
      </c>
      <c r="H15" t="e">
        <f>NA()</f>
        <v>#N/A</v>
      </c>
    </row>
    <row r="16" spans="1:8" x14ac:dyDescent="0.25">
      <c r="A16" s="1">
        <v>44834</v>
      </c>
      <c r="B16">
        <f>28950.5</f>
        <v>28950.5</v>
      </c>
      <c r="C16">
        <f>30927.1</f>
        <v>30927.1</v>
      </c>
      <c r="D16">
        <f>2.8</f>
        <v>2.8</v>
      </c>
      <c r="E16">
        <f>36911.7</f>
        <v>36911.699999999997</v>
      </c>
      <c r="F16">
        <f>3028955</f>
        <v>3028955</v>
      </c>
      <c r="G16">
        <f>262660.1</f>
        <v>262660.09999999998</v>
      </c>
      <c r="H16">
        <f>87469.9</f>
        <v>87469.9</v>
      </c>
    </row>
    <row r="17" spans="1:8" x14ac:dyDescent="0.25">
      <c r="A17" s="1">
        <v>44804</v>
      </c>
      <c r="B17" t="e">
        <f>NA()</f>
        <v>#N/A</v>
      </c>
      <c r="C17" t="e">
        <f>NA()</f>
        <v>#N/A</v>
      </c>
      <c r="D17">
        <f>2.5</f>
        <v>2.5</v>
      </c>
      <c r="E17">
        <f>37662.1</f>
        <v>37662.1</v>
      </c>
      <c r="F17">
        <f>3054881</f>
        <v>3054881</v>
      </c>
      <c r="G17">
        <f>259506.8</f>
        <v>259506.8</v>
      </c>
      <c r="H17" t="e">
        <f>NA()</f>
        <v>#N/A</v>
      </c>
    </row>
    <row r="18" spans="1:8" x14ac:dyDescent="0.25">
      <c r="A18" s="1">
        <v>44773</v>
      </c>
      <c r="B18" t="e">
        <f>NA()</f>
        <v>#N/A</v>
      </c>
      <c r="C18" t="e">
        <f>NA()</f>
        <v>#N/A</v>
      </c>
      <c r="D18">
        <f>2.7</f>
        <v>2.7</v>
      </c>
      <c r="E18" t="e">
        <f>NA()</f>
        <v>#N/A</v>
      </c>
      <c r="F18">
        <f>3104071</f>
        <v>3104071</v>
      </c>
      <c r="G18">
        <f>257807.8</f>
        <v>257807.8</v>
      </c>
      <c r="H18" t="e">
        <f>NA()</f>
        <v>#N/A</v>
      </c>
    </row>
    <row r="19" spans="1:8" x14ac:dyDescent="0.25">
      <c r="A19" s="1">
        <v>44742</v>
      </c>
      <c r="B19">
        <f>26967.4</f>
        <v>26967.4</v>
      </c>
      <c r="C19">
        <f>29392</f>
        <v>29392</v>
      </c>
      <c r="D19">
        <f>2.5</f>
        <v>2.5</v>
      </c>
      <c r="E19">
        <f>38533.2</f>
        <v>38533.199999999997</v>
      </c>
      <c r="F19">
        <f>3071272</f>
        <v>3071272</v>
      </c>
      <c r="G19">
        <f>258145.1</f>
        <v>258145.1</v>
      </c>
      <c r="H19">
        <f>56542.9</f>
        <v>56542.9</v>
      </c>
    </row>
    <row r="20" spans="1:8" x14ac:dyDescent="0.25">
      <c r="A20" s="1">
        <v>44712</v>
      </c>
      <c r="B20" t="e">
        <f>NA()</f>
        <v>#N/A</v>
      </c>
      <c r="C20" t="e">
        <f>NA()</f>
        <v>#N/A</v>
      </c>
      <c r="D20">
        <f>2.1</f>
        <v>2.1</v>
      </c>
      <c r="E20">
        <f>37876.2</f>
        <v>37876.199999999997</v>
      </c>
      <c r="F20">
        <f>3127780</f>
        <v>3127780</v>
      </c>
      <c r="G20">
        <f>252702.6</f>
        <v>252702.6</v>
      </c>
      <c r="H20" t="e">
        <f>NA()</f>
        <v>#N/A</v>
      </c>
    </row>
    <row r="21" spans="1:8" x14ac:dyDescent="0.25">
      <c r="A21" s="1">
        <v>44681</v>
      </c>
      <c r="B21" t="e">
        <f>NA()</f>
        <v>#N/A</v>
      </c>
      <c r="C21" t="e">
        <f>NA()</f>
        <v>#N/A</v>
      </c>
      <c r="D21">
        <f>2.1</f>
        <v>2.1</v>
      </c>
      <c r="E21" t="e">
        <f>NA()</f>
        <v>#N/A</v>
      </c>
      <c r="F21">
        <f>3119720</f>
        <v>3119720</v>
      </c>
      <c r="G21">
        <f>249971.1</f>
        <v>249971.1</v>
      </c>
      <c r="H21" t="e">
        <f>NA()</f>
        <v>#N/A</v>
      </c>
    </row>
    <row r="22" spans="1:8" x14ac:dyDescent="0.25">
      <c r="A22" s="1">
        <v>44651</v>
      </c>
      <c r="B22">
        <f>25728.6</f>
        <v>25728.6</v>
      </c>
      <c r="C22">
        <f>27150.9</f>
        <v>27150.9</v>
      </c>
      <c r="D22">
        <f>1.5</f>
        <v>1.5</v>
      </c>
      <c r="E22">
        <f>39395.7</f>
        <v>39395.699999999997</v>
      </c>
      <c r="F22">
        <f>3187990</f>
        <v>3187990</v>
      </c>
      <c r="G22">
        <f>249768.8</f>
        <v>249768.8</v>
      </c>
      <c r="H22">
        <f>27150.9</f>
        <v>27150.9</v>
      </c>
    </row>
    <row r="23" spans="1:8" x14ac:dyDescent="0.25">
      <c r="A23" s="1">
        <v>44620</v>
      </c>
      <c r="B23" t="e">
        <f>NA()</f>
        <v>#N/A</v>
      </c>
      <c r="C23" t="e">
        <f>NA()</f>
        <v>#N/A</v>
      </c>
      <c r="D23">
        <f>0.9</f>
        <v>0.9</v>
      </c>
      <c r="E23">
        <f>38697.3</f>
        <v>38697.300000000003</v>
      </c>
      <c r="F23">
        <f>3213830</f>
        <v>3213830</v>
      </c>
      <c r="G23">
        <f>244148.9</f>
        <v>244148.9</v>
      </c>
      <c r="H23" t="e">
        <f>NA()</f>
        <v>#N/A</v>
      </c>
    </row>
    <row r="24" spans="1:8" x14ac:dyDescent="0.25">
      <c r="A24" s="1">
        <v>44592</v>
      </c>
      <c r="B24" t="e">
        <f>NA()</f>
        <v>#N/A</v>
      </c>
      <c r="C24" t="e">
        <f>NA()</f>
        <v>#N/A</v>
      </c>
      <c r="D24">
        <f>0.9</f>
        <v>0.9</v>
      </c>
      <c r="E24" t="e">
        <f>NA()</f>
        <v>#N/A</v>
      </c>
      <c r="F24">
        <f>3221630</f>
        <v>3221630</v>
      </c>
      <c r="G24">
        <f>243102.3</f>
        <v>243102.3</v>
      </c>
      <c r="H24" t="e">
        <f>NA()</f>
        <v>#N/A</v>
      </c>
    </row>
    <row r="25" spans="1:8" x14ac:dyDescent="0.25">
      <c r="A25" s="1">
        <v>44561</v>
      </c>
      <c r="B25">
        <f>30668.1</f>
        <v>30668.1</v>
      </c>
      <c r="C25">
        <f>32589.9</f>
        <v>32589.9</v>
      </c>
      <c r="D25">
        <f>1.5</f>
        <v>1.5</v>
      </c>
      <c r="E25">
        <f>37490</f>
        <v>37490</v>
      </c>
      <c r="F25">
        <f>3250170</f>
        <v>3250170</v>
      </c>
      <c r="G25">
        <f>238290</f>
        <v>238290</v>
      </c>
      <c r="H25">
        <f>114923.7</f>
        <v>114923.7</v>
      </c>
    </row>
    <row r="26" spans="1:8" x14ac:dyDescent="0.25">
      <c r="A26" s="1">
        <v>44530</v>
      </c>
      <c r="B26" t="e">
        <f>NA()</f>
        <v>#N/A</v>
      </c>
      <c r="C26" t="e">
        <f>NA()</f>
        <v>#N/A</v>
      </c>
      <c r="D26">
        <f>2.3</f>
        <v>2.2999999999999998</v>
      </c>
      <c r="E26">
        <f>37018</f>
        <v>37018</v>
      </c>
      <c r="F26">
        <f>3222390</f>
        <v>3222390</v>
      </c>
      <c r="G26">
        <f>235601.3</f>
        <v>235601.3</v>
      </c>
      <c r="H26" t="e">
        <f>NA()</f>
        <v>#N/A</v>
      </c>
    </row>
    <row r="27" spans="1:8" x14ac:dyDescent="0.25">
      <c r="A27" s="1">
        <v>44500</v>
      </c>
      <c r="B27" t="e">
        <f>NA()</f>
        <v>#N/A</v>
      </c>
      <c r="C27" t="e">
        <f>NA()</f>
        <v>#N/A</v>
      </c>
      <c r="D27">
        <f>1.5</f>
        <v>1.5</v>
      </c>
      <c r="E27" t="e">
        <f>NA()</f>
        <v>#N/A</v>
      </c>
      <c r="F27">
        <f>3217610</f>
        <v>3217610</v>
      </c>
      <c r="G27">
        <f>233616</f>
        <v>233616</v>
      </c>
      <c r="H27" t="e">
        <f>NA()</f>
        <v>#N/A</v>
      </c>
    </row>
    <row r="28" spans="1:8" x14ac:dyDescent="0.25">
      <c r="A28" s="1">
        <v>44469</v>
      </c>
      <c r="B28">
        <f>27852.1</f>
        <v>27852.1</v>
      </c>
      <c r="C28">
        <f>29128.8</f>
        <v>29128.799999999999</v>
      </c>
      <c r="D28">
        <f>0.7</f>
        <v>0.7</v>
      </c>
      <c r="E28">
        <f>36352.3</f>
        <v>36352.300000000003</v>
      </c>
      <c r="F28">
        <f>3200626</f>
        <v>3200626</v>
      </c>
      <c r="G28">
        <f>234283</f>
        <v>234283</v>
      </c>
      <c r="H28">
        <f>82333.8</f>
        <v>82333.8</v>
      </c>
    </row>
    <row r="29" spans="1:8" x14ac:dyDescent="0.25">
      <c r="A29" s="1">
        <v>44439</v>
      </c>
      <c r="B29" t="e">
        <f>NA()</f>
        <v>#N/A</v>
      </c>
      <c r="C29" t="e">
        <f>NA()</f>
        <v>#N/A</v>
      </c>
      <c r="D29">
        <f>0.8</f>
        <v>0.8</v>
      </c>
      <c r="E29">
        <f>35789.7</f>
        <v>35789.699999999997</v>
      </c>
      <c r="F29">
        <f>3232120</f>
        <v>3232120</v>
      </c>
      <c r="G29">
        <f>231226.8</f>
        <v>231226.8</v>
      </c>
      <c r="H29" t="e">
        <f>NA()</f>
        <v>#N/A</v>
      </c>
    </row>
    <row r="30" spans="1:8" x14ac:dyDescent="0.25">
      <c r="A30" s="1">
        <v>44408</v>
      </c>
      <c r="B30" t="e">
        <f>NA()</f>
        <v>#N/A</v>
      </c>
      <c r="C30" t="e">
        <f>NA()</f>
        <v>#N/A</v>
      </c>
      <c r="D30">
        <f>1</f>
        <v>1</v>
      </c>
      <c r="E30" t="e">
        <f>NA()</f>
        <v>#N/A</v>
      </c>
      <c r="F30">
        <f>3235890</f>
        <v>3235890</v>
      </c>
      <c r="G30">
        <f>230215.4</f>
        <v>230215.4</v>
      </c>
      <c r="H30" t="e">
        <f>NA()</f>
        <v>#N/A</v>
      </c>
    </row>
    <row r="31" spans="1:8" x14ac:dyDescent="0.25">
      <c r="A31" s="1">
        <v>44377</v>
      </c>
      <c r="B31">
        <f>26848.2</f>
        <v>26848.2</v>
      </c>
      <c r="C31">
        <f>28284.9</f>
        <v>28284.9</v>
      </c>
      <c r="D31">
        <f>1.1</f>
        <v>1.1000000000000001</v>
      </c>
      <c r="E31">
        <f>35894.6</f>
        <v>35894.6</v>
      </c>
      <c r="F31">
        <f>3214010</f>
        <v>3214010</v>
      </c>
      <c r="G31">
        <f>231778.8</f>
        <v>231778.8</v>
      </c>
      <c r="H31">
        <f>53204.9</f>
        <v>53204.9</v>
      </c>
    </row>
    <row r="32" spans="1:8" x14ac:dyDescent="0.25">
      <c r="A32" s="1">
        <v>44347</v>
      </c>
      <c r="B32" t="e">
        <f>NA()</f>
        <v>#N/A</v>
      </c>
      <c r="C32" t="e">
        <f>NA()</f>
        <v>#N/A</v>
      </c>
      <c r="D32">
        <f>1.3</f>
        <v>1.3</v>
      </c>
      <c r="E32">
        <f>35722.2</f>
        <v>35722.199999999997</v>
      </c>
      <c r="F32">
        <f>3221800</f>
        <v>3221800</v>
      </c>
      <c r="G32">
        <f>227553.8</f>
        <v>227553.8</v>
      </c>
      <c r="H32" t="e">
        <f>NA()</f>
        <v>#N/A</v>
      </c>
    </row>
    <row r="33" spans="1:8" x14ac:dyDescent="0.25">
      <c r="A33" s="1">
        <v>44316</v>
      </c>
      <c r="B33" t="e">
        <f>NA()</f>
        <v>#N/A</v>
      </c>
      <c r="C33" t="e">
        <f>NA()</f>
        <v>#N/A</v>
      </c>
      <c r="D33">
        <f>0.9</f>
        <v>0.9</v>
      </c>
      <c r="E33">
        <f>34936.6</f>
        <v>34936.6</v>
      </c>
      <c r="F33">
        <f>3198180</f>
        <v>3198180</v>
      </c>
      <c r="G33">
        <f>226210.7</f>
        <v>226210.7</v>
      </c>
      <c r="H33" t="e">
        <f>NA()</f>
        <v>#N/A</v>
      </c>
    </row>
    <row r="34" spans="1:8" x14ac:dyDescent="0.25">
      <c r="A34" s="1">
        <v>44286</v>
      </c>
      <c r="B34">
        <f>24551.4</f>
        <v>24551.4</v>
      </c>
      <c r="C34">
        <f>24920</f>
        <v>24920</v>
      </c>
      <c r="D34">
        <f>0.4</f>
        <v>0.4</v>
      </c>
      <c r="E34">
        <f>34740.2</f>
        <v>34740.199999999997</v>
      </c>
      <c r="F34">
        <f>3170029</f>
        <v>3170029</v>
      </c>
      <c r="G34">
        <f>227648.8</f>
        <v>227648.8</v>
      </c>
      <c r="H34">
        <f>24920</f>
        <v>24920</v>
      </c>
    </row>
    <row r="35" spans="1:8" x14ac:dyDescent="0.25">
      <c r="A35" s="1">
        <v>44255</v>
      </c>
      <c r="B35" t="e">
        <f>NA()</f>
        <v>#N/A</v>
      </c>
      <c r="C35" t="e">
        <f>NA()</f>
        <v>#N/A</v>
      </c>
      <c r="D35">
        <f>-0.2</f>
        <v>-0.2</v>
      </c>
      <c r="E35" t="e">
        <f>NA()</f>
        <v>#N/A</v>
      </c>
      <c r="F35">
        <f>3204990</f>
        <v>3204990</v>
      </c>
      <c r="G35">
        <f>223603</f>
        <v>223603</v>
      </c>
      <c r="H35" t="e">
        <f>NA()</f>
        <v>#N/A</v>
      </c>
    </row>
    <row r="36" spans="1:8" x14ac:dyDescent="0.25">
      <c r="A36" s="1">
        <v>44227</v>
      </c>
      <c r="B36" t="e">
        <f>NA()</f>
        <v>#N/A</v>
      </c>
      <c r="C36" t="e">
        <f>NA()</f>
        <v>#N/A</v>
      </c>
      <c r="D36">
        <f>-0.3</f>
        <v>-0.3</v>
      </c>
      <c r="E36" t="e">
        <f>NA()</f>
        <v>#N/A</v>
      </c>
      <c r="F36">
        <f>3210670</f>
        <v>3210670</v>
      </c>
      <c r="G36">
        <f>221304.7</f>
        <v>221304.7</v>
      </c>
      <c r="H36" t="e">
        <f>NA()</f>
        <v>#N/A</v>
      </c>
    </row>
    <row r="37" spans="1:8" x14ac:dyDescent="0.25">
      <c r="A37" s="1">
        <v>44196</v>
      </c>
      <c r="B37">
        <f>26350.9</f>
        <v>26350.9</v>
      </c>
      <c r="C37">
        <f>29561.9</f>
        <v>29561.9</v>
      </c>
      <c r="D37">
        <f>0.2</f>
        <v>0.2</v>
      </c>
      <c r="E37">
        <f>33502.8</f>
        <v>33502.800000000003</v>
      </c>
      <c r="F37">
        <f>3216520</f>
        <v>3216520</v>
      </c>
      <c r="G37">
        <f>218679.6</f>
        <v>218679.6</v>
      </c>
      <c r="H37">
        <f>101356.7</f>
        <v>101356.7</v>
      </c>
    </row>
    <row r="38" spans="1:8" x14ac:dyDescent="0.25">
      <c r="A38" s="1">
        <v>44165</v>
      </c>
      <c r="B38" t="e">
        <f>NA()</f>
        <v>#N/A</v>
      </c>
      <c r="C38" t="e">
        <f>NA()</f>
        <v>#N/A</v>
      </c>
      <c r="D38">
        <f>-0.5</f>
        <v>-0.5</v>
      </c>
      <c r="E38">
        <f>33014.7</f>
        <v>33014.699999999997</v>
      </c>
      <c r="F38">
        <f>3178490</f>
        <v>3178490</v>
      </c>
      <c r="G38">
        <f>217200.3</f>
        <v>217200.3</v>
      </c>
      <c r="H38" t="e">
        <f>NA()</f>
        <v>#N/A</v>
      </c>
    </row>
    <row r="39" spans="1:8" x14ac:dyDescent="0.25">
      <c r="A39" s="1">
        <v>44135</v>
      </c>
      <c r="B39" t="e">
        <f>NA()</f>
        <v>#N/A</v>
      </c>
      <c r="C39" t="e">
        <f>NA()</f>
        <v>#N/A</v>
      </c>
      <c r="D39">
        <f>0.5</f>
        <v>0.5</v>
      </c>
      <c r="E39" t="e">
        <f>NA()</f>
        <v>#N/A</v>
      </c>
      <c r="F39">
        <f>3127980</f>
        <v>3127980</v>
      </c>
      <c r="G39">
        <f>214972</f>
        <v>214972</v>
      </c>
      <c r="H39" t="e">
        <f>NA()</f>
        <v>#N/A</v>
      </c>
    </row>
    <row r="40" spans="1:8" x14ac:dyDescent="0.25">
      <c r="A40" s="1">
        <v>44104</v>
      </c>
      <c r="B40">
        <f>23870.2</f>
        <v>23870.2</v>
      </c>
      <c r="C40">
        <f>26435.6</f>
        <v>26435.599999999999</v>
      </c>
      <c r="D40">
        <f>1.7</f>
        <v>1.7</v>
      </c>
      <c r="E40">
        <f>31867</f>
        <v>31867</v>
      </c>
      <c r="F40">
        <f>3142562</f>
        <v>3142562</v>
      </c>
      <c r="G40">
        <f>216408.5</f>
        <v>216408.5</v>
      </c>
      <c r="H40">
        <f>71794.8</f>
        <v>71794.8</v>
      </c>
    </row>
    <row r="41" spans="1:8" x14ac:dyDescent="0.25">
      <c r="A41" s="1">
        <v>44074</v>
      </c>
      <c r="B41" t="e">
        <f>NA()</f>
        <v>#N/A</v>
      </c>
      <c r="C41" t="e">
        <f>NA()</f>
        <v>#N/A</v>
      </c>
      <c r="D41">
        <f>2.4</f>
        <v>2.4</v>
      </c>
      <c r="E41">
        <f>31201.5</f>
        <v>31201.5</v>
      </c>
      <c r="F41">
        <f>3164609</f>
        <v>3164609</v>
      </c>
      <c r="G41">
        <f>213683.7</f>
        <v>213683.7</v>
      </c>
      <c r="H41" t="e">
        <f>NA()</f>
        <v>#N/A</v>
      </c>
    </row>
    <row r="42" spans="1:8" x14ac:dyDescent="0.25">
      <c r="A42" s="1">
        <v>44043</v>
      </c>
      <c r="B42" t="e">
        <f>NA()</f>
        <v>#N/A</v>
      </c>
      <c r="C42" t="e">
        <f>NA()</f>
        <v>#N/A</v>
      </c>
      <c r="D42">
        <f>2.7</f>
        <v>2.7</v>
      </c>
      <c r="E42">
        <f>30471.7</f>
        <v>30471.7</v>
      </c>
      <c r="F42">
        <f>3154391</f>
        <v>3154391</v>
      </c>
      <c r="G42">
        <f>212545.8</f>
        <v>212545.8</v>
      </c>
      <c r="H42" t="e">
        <f>NA()</f>
        <v>#N/A</v>
      </c>
    </row>
    <row r="43" spans="1:8" x14ac:dyDescent="0.25">
      <c r="A43" s="1">
        <v>44012</v>
      </c>
      <c r="B43">
        <f>22484.7</f>
        <v>22484.7</v>
      </c>
      <c r="C43">
        <f>24834.8</f>
        <v>24834.799999999999</v>
      </c>
      <c r="D43">
        <f>2.5</f>
        <v>2.5</v>
      </c>
      <c r="E43">
        <f>30217</f>
        <v>30217</v>
      </c>
      <c r="F43">
        <f>3112330</f>
        <v>3112330</v>
      </c>
      <c r="G43">
        <f>213494.9</f>
        <v>213494.9</v>
      </c>
      <c r="H43">
        <f>45359.3</f>
        <v>45359.3</v>
      </c>
    </row>
    <row r="44" spans="1:8" x14ac:dyDescent="0.25">
      <c r="A44" s="1">
        <v>43982</v>
      </c>
      <c r="B44" t="e">
        <f>NA()</f>
        <v>#N/A</v>
      </c>
      <c r="C44" t="e">
        <f>NA()</f>
        <v>#N/A</v>
      </c>
      <c r="D44">
        <f>2.4</f>
        <v>2.4</v>
      </c>
      <c r="E44" t="e">
        <f>NA()</f>
        <v>#N/A</v>
      </c>
      <c r="F44">
        <f>3101690</f>
        <v>3101690</v>
      </c>
      <c r="G44">
        <f>210018.4</f>
        <v>210018.4</v>
      </c>
      <c r="H44" t="e">
        <f>NA()</f>
        <v>#N/A</v>
      </c>
    </row>
    <row r="45" spans="1:8" x14ac:dyDescent="0.25">
      <c r="A45" s="1">
        <v>43951</v>
      </c>
      <c r="B45" t="e">
        <f>NA()</f>
        <v>#N/A</v>
      </c>
      <c r="C45" t="e">
        <f>NA()</f>
        <v>#N/A</v>
      </c>
      <c r="D45">
        <f>3.3</f>
        <v>3.3</v>
      </c>
      <c r="E45">
        <f>29639.6</f>
        <v>29639.599999999999</v>
      </c>
      <c r="F45">
        <f>3091459</f>
        <v>3091459</v>
      </c>
      <c r="G45">
        <f>209353.4</f>
        <v>209353.4</v>
      </c>
      <c r="H45" t="e">
        <f>NA()</f>
        <v>#N/A</v>
      </c>
    </row>
    <row r="46" spans="1:8" x14ac:dyDescent="0.25">
      <c r="A46" s="1">
        <v>43921</v>
      </c>
      <c r="B46">
        <f>18317.8</f>
        <v>18317.8</v>
      </c>
      <c r="C46">
        <f>20524.5</f>
        <v>20524.5</v>
      </c>
      <c r="D46">
        <f>4.3</f>
        <v>4.3</v>
      </c>
      <c r="E46">
        <f>29382</f>
        <v>29382</v>
      </c>
      <c r="F46">
        <f>3060633</f>
        <v>3060633</v>
      </c>
      <c r="G46">
        <f>208092.3</f>
        <v>208092.3</v>
      </c>
      <c r="H46">
        <f>20524.5</f>
        <v>20524.5</v>
      </c>
    </row>
    <row r="47" spans="1:8" x14ac:dyDescent="0.25">
      <c r="A47" s="1">
        <v>43890</v>
      </c>
      <c r="B47" t="e">
        <f>NA()</f>
        <v>#N/A</v>
      </c>
      <c r="C47" t="e">
        <f>NA()</f>
        <v>#N/A</v>
      </c>
      <c r="D47">
        <f>5.2</f>
        <v>5.2</v>
      </c>
      <c r="E47" t="e">
        <f>NA()</f>
        <v>#N/A</v>
      </c>
      <c r="F47">
        <f>3106720</f>
        <v>3106720</v>
      </c>
      <c r="G47">
        <f>203083</f>
        <v>203083</v>
      </c>
      <c r="H47" t="e">
        <f>NA()</f>
        <v>#N/A</v>
      </c>
    </row>
    <row r="48" spans="1:8" x14ac:dyDescent="0.25">
      <c r="A48" s="1">
        <v>43861</v>
      </c>
      <c r="B48" t="e">
        <f>NA()</f>
        <v>#N/A</v>
      </c>
      <c r="C48" t="e">
        <f>NA()</f>
        <v>#N/A</v>
      </c>
      <c r="D48">
        <f>5.4</f>
        <v>5.4</v>
      </c>
      <c r="E48" t="e">
        <f>NA()</f>
        <v>#N/A</v>
      </c>
      <c r="F48">
        <f>3115500</f>
        <v>3115500</v>
      </c>
      <c r="G48">
        <f>202306.7</f>
        <v>202306.7</v>
      </c>
      <c r="H48" t="e">
        <f>NA()</f>
        <v>#N/A</v>
      </c>
    </row>
    <row r="49" spans="1:8" x14ac:dyDescent="0.25">
      <c r="A49" s="1">
        <v>43830</v>
      </c>
      <c r="B49">
        <f>24762.8</f>
        <v>24762.799999999999</v>
      </c>
      <c r="C49">
        <f>27679.8</f>
        <v>27679.8</v>
      </c>
      <c r="D49">
        <f>4.5</f>
        <v>4.5</v>
      </c>
      <c r="E49">
        <f>28527.6</f>
        <v>28527.599999999999</v>
      </c>
      <c r="F49">
        <f>3107924</f>
        <v>3107924</v>
      </c>
      <c r="G49">
        <f>198648.9</f>
        <v>198648.9</v>
      </c>
      <c r="H49">
        <f>98651.5</f>
        <v>98651.5</v>
      </c>
    </row>
    <row r="50" spans="1:8" x14ac:dyDescent="0.25">
      <c r="A50" s="1">
        <v>43799</v>
      </c>
      <c r="B50" t="e">
        <f>NA()</f>
        <v>#N/A</v>
      </c>
      <c r="C50" t="e">
        <f>NA()</f>
        <v>#N/A</v>
      </c>
      <c r="D50">
        <f>4.5</f>
        <v>4.5</v>
      </c>
      <c r="E50" t="e">
        <f>NA()</f>
        <v>#N/A</v>
      </c>
      <c r="F50">
        <f>3095591</f>
        <v>3095591</v>
      </c>
      <c r="G50">
        <f>196143</f>
        <v>196143</v>
      </c>
      <c r="H50" t="e">
        <f>NA()</f>
        <v>#N/A</v>
      </c>
    </row>
    <row r="51" spans="1:8" x14ac:dyDescent="0.25">
      <c r="A51" s="1">
        <v>43769</v>
      </c>
      <c r="B51" t="e">
        <f>NA()</f>
        <v>#N/A</v>
      </c>
      <c r="C51" t="e">
        <f>NA()</f>
        <v>#N/A</v>
      </c>
      <c r="D51">
        <f>3.8</f>
        <v>3.8</v>
      </c>
      <c r="E51">
        <f>27641.5</f>
        <v>27641.5</v>
      </c>
      <c r="F51">
        <f>3105161</f>
        <v>3105161</v>
      </c>
      <c r="G51">
        <f>194560</f>
        <v>194560</v>
      </c>
      <c r="H51" t="e">
        <f>NA()</f>
        <v>#N/A</v>
      </c>
    </row>
    <row r="52" spans="1:8" x14ac:dyDescent="0.25">
      <c r="A52" s="1">
        <v>43738</v>
      </c>
      <c r="B52">
        <f>22768.4</f>
        <v>22768.400000000001</v>
      </c>
      <c r="C52">
        <f>25104.6</f>
        <v>25104.6</v>
      </c>
      <c r="D52">
        <f>3</f>
        <v>3</v>
      </c>
      <c r="E52">
        <f>27310.3</f>
        <v>27310.3</v>
      </c>
      <c r="F52">
        <f>3092431</f>
        <v>3092431</v>
      </c>
      <c r="G52">
        <f>195225</f>
        <v>195225</v>
      </c>
      <c r="H52">
        <f>70971.7</f>
        <v>70971.7</v>
      </c>
    </row>
    <row r="53" spans="1:8" x14ac:dyDescent="0.25">
      <c r="A53" s="1">
        <v>43708</v>
      </c>
      <c r="B53" t="e">
        <f>NA()</f>
        <v>#N/A</v>
      </c>
      <c r="C53" t="e">
        <f>NA()</f>
        <v>#N/A</v>
      </c>
      <c r="D53">
        <f>2.8</f>
        <v>2.8</v>
      </c>
      <c r="E53" t="e">
        <f>NA()</f>
        <v>#N/A</v>
      </c>
      <c r="F53">
        <f>3107176</f>
        <v>3107176</v>
      </c>
      <c r="G53">
        <f>193549.2</f>
        <v>193549.2</v>
      </c>
      <c r="H53" t="e">
        <f>NA()</f>
        <v>#N/A</v>
      </c>
    </row>
    <row r="54" spans="1:8" x14ac:dyDescent="0.25">
      <c r="A54" s="1">
        <v>43677</v>
      </c>
      <c r="B54" t="e">
        <f>NA()</f>
        <v>#N/A</v>
      </c>
      <c r="C54" t="e">
        <f>NA()</f>
        <v>#N/A</v>
      </c>
      <c r="D54">
        <f>2.8</f>
        <v>2.8</v>
      </c>
      <c r="E54">
        <f>27881.4</f>
        <v>27881.4</v>
      </c>
      <c r="F54">
        <f>3103700</f>
        <v>3103700</v>
      </c>
      <c r="G54">
        <f>191941.1</f>
        <v>191941.1</v>
      </c>
      <c r="H54" t="e">
        <f>NA()</f>
        <v>#N/A</v>
      </c>
    </row>
    <row r="55" spans="1:8" x14ac:dyDescent="0.25">
      <c r="A55" s="1">
        <v>43646</v>
      </c>
      <c r="B55">
        <f>21819.1</f>
        <v>21819.1</v>
      </c>
      <c r="C55">
        <f>24150.3</f>
        <v>24150.3</v>
      </c>
      <c r="D55">
        <f>2.7</f>
        <v>2.7</v>
      </c>
      <c r="E55" t="e">
        <f>NA()</f>
        <v>#N/A</v>
      </c>
      <c r="F55">
        <f>3119230</f>
        <v>3119230</v>
      </c>
      <c r="G55">
        <f>192136</f>
        <v>192136</v>
      </c>
      <c r="H55">
        <f>45867.1</f>
        <v>45867.1</v>
      </c>
    </row>
    <row r="56" spans="1:8" x14ac:dyDescent="0.25">
      <c r="A56" s="1">
        <v>43616</v>
      </c>
      <c r="B56" t="e">
        <f>NA()</f>
        <v>#N/A</v>
      </c>
      <c r="C56" t="e">
        <f>NA()</f>
        <v>#N/A</v>
      </c>
      <c r="D56">
        <f>2.7</f>
        <v>2.7</v>
      </c>
      <c r="E56">
        <f>27387.8</f>
        <v>27387.8</v>
      </c>
      <c r="F56">
        <f>3101000</f>
        <v>3101000</v>
      </c>
      <c r="G56">
        <f>189115.4</f>
        <v>189115.4</v>
      </c>
      <c r="H56" t="e">
        <f>NA()</f>
        <v>#N/A</v>
      </c>
    </row>
    <row r="57" spans="1:8" x14ac:dyDescent="0.25">
      <c r="A57" s="1">
        <v>43585</v>
      </c>
      <c r="B57" t="e">
        <f>NA()</f>
        <v>#N/A</v>
      </c>
      <c r="C57" t="e">
        <f>NA()</f>
        <v>#N/A</v>
      </c>
      <c r="D57">
        <f>2.5</f>
        <v>2.5</v>
      </c>
      <c r="E57">
        <f>27984.1</f>
        <v>27984.1</v>
      </c>
      <c r="F57">
        <f>3094950</f>
        <v>3094950</v>
      </c>
      <c r="G57">
        <f>188467</f>
        <v>188467</v>
      </c>
      <c r="H57" t="e">
        <f>NA()</f>
        <v>#N/A</v>
      </c>
    </row>
    <row r="58" spans="1:8" x14ac:dyDescent="0.25">
      <c r="A58" s="1">
        <v>43555</v>
      </c>
      <c r="B58">
        <f>19680.3</f>
        <v>19680.3</v>
      </c>
      <c r="C58">
        <f>21716.8</f>
        <v>21716.799999999999</v>
      </c>
      <c r="D58">
        <f>2.3</f>
        <v>2.2999999999999998</v>
      </c>
      <c r="E58" t="e">
        <f>NA()</f>
        <v>#N/A</v>
      </c>
      <c r="F58">
        <f>3098760</f>
        <v>3098760</v>
      </c>
      <c r="G58">
        <f>188941.2</f>
        <v>188941.2</v>
      </c>
      <c r="H58">
        <f>21716.8</f>
        <v>21716.799999999999</v>
      </c>
    </row>
    <row r="59" spans="1:8" x14ac:dyDescent="0.25">
      <c r="A59" s="1">
        <v>43524</v>
      </c>
      <c r="B59" t="e">
        <f>NA()</f>
        <v>#N/A</v>
      </c>
      <c r="C59" t="e">
        <f>NA()</f>
        <v>#N/A</v>
      </c>
      <c r="D59">
        <f>1.5</f>
        <v>1.5</v>
      </c>
      <c r="E59">
        <f>27898.3</f>
        <v>27898.3</v>
      </c>
      <c r="F59">
        <f>3090180</f>
        <v>3090180</v>
      </c>
      <c r="G59">
        <f>186742.8</f>
        <v>186742.8</v>
      </c>
      <c r="H59" t="e">
        <f>NA()</f>
        <v>#N/A</v>
      </c>
    </row>
    <row r="60" spans="1:8" x14ac:dyDescent="0.25">
      <c r="A60" s="1">
        <v>43496</v>
      </c>
      <c r="B60" t="e">
        <f>NA()</f>
        <v>#N/A</v>
      </c>
      <c r="C60" t="e">
        <f>NA()</f>
        <v>#N/A</v>
      </c>
      <c r="D60">
        <f>1.7</f>
        <v>1.7</v>
      </c>
      <c r="E60">
        <f>27848.1</f>
        <v>27848.1</v>
      </c>
      <c r="F60">
        <f>3087920</f>
        <v>3087920</v>
      </c>
      <c r="G60">
        <f>186593.5</f>
        <v>186593.5</v>
      </c>
      <c r="H60" t="e">
        <f>NA()</f>
        <v>#N/A</v>
      </c>
    </row>
    <row r="61" spans="1:8" x14ac:dyDescent="0.25">
      <c r="A61" s="1">
        <v>43465</v>
      </c>
      <c r="B61">
        <f>23410.8</f>
        <v>23410.799999999999</v>
      </c>
      <c r="C61">
        <f>25880.9</f>
        <v>25880.9</v>
      </c>
      <c r="D61">
        <f>1.9</f>
        <v>1.9</v>
      </c>
      <c r="E61">
        <f>26557.3</f>
        <v>26557.3</v>
      </c>
      <c r="F61">
        <f>3072710</f>
        <v>3072710</v>
      </c>
      <c r="G61">
        <f>182674.4</f>
        <v>182674.4</v>
      </c>
      <c r="H61">
        <f>91928.1</f>
        <v>91928.1</v>
      </c>
    </row>
    <row r="62" spans="1:8" x14ac:dyDescent="0.25">
      <c r="A62" s="1">
        <v>43434</v>
      </c>
      <c r="B62" t="e">
        <f>NA()</f>
        <v>#N/A</v>
      </c>
      <c r="C62" t="e">
        <f>NA()</f>
        <v>#N/A</v>
      </c>
      <c r="D62">
        <f>2.2</f>
        <v>2.2000000000000002</v>
      </c>
      <c r="E62">
        <f>26054.7</f>
        <v>26054.7</v>
      </c>
      <c r="F62">
        <f>3061697</f>
        <v>3061697</v>
      </c>
      <c r="G62">
        <f>181317.5</f>
        <v>181317.5</v>
      </c>
      <c r="H62" t="e">
        <f>NA()</f>
        <v>#N/A</v>
      </c>
    </row>
    <row r="63" spans="1:8" x14ac:dyDescent="0.25">
      <c r="A63" s="1">
        <v>43404</v>
      </c>
      <c r="B63" t="e">
        <f>NA()</f>
        <v>#N/A</v>
      </c>
      <c r="C63" t="e">
        <f>NA()</f>
        <v>#N/A</v>
      </c>
      <c r="D63">
        <f>2.5</f>
        <v>2.5</v>
      </c>
      <c r="E63">
        <f>25739.9</f>
        <v>25739.9</v>
      </c>
      <c r="F63">
        <f>3053098</f>
        <v>3053098</v>
      </c>
      <c r="G63">
        <f>179556.2</f>
        <v>179556.2</v>
      </c>
      <c r="H63" t="e">
        <f>NA()</f>
        <v>#N/A</v>
      </c>
    </row>
    <row r="64" spans="1:8" x14ac:dyDescent="0.25">
      <c r="A64" s="1">
        <v>43373</v>
      </c>
      <c r="B64">
        <f>21509.9</f>
        <v>21509.9</v>
      </c>
      <c r="C64">
        <f>23447.4</f>
        <v>23447.4</v>
      </c>
      <c r="D64">
        <f>2.5</f>
        <v>2.5</v>
      </c>
      <c r="E64" t="e">
        <f>NA()</f>
        <v>#N/A</v>
      </c>
      <c r="F64">
        <f>3087030</f>
        <v>3087030</v>
      </c>
      <c r="G64">
        <f>180166.6</f>
        <v>180166.6</v>
      </c>
      <c r="H64">
        <f>66047.2</f>
        <v>66047.199999999997</v>
      </c>
    </row>
    <row r="65" spans="1:8" x14ac:dyDescent="0.25">
      <c r="A65" s="1">
        <v>43343</v>
      </c>
      <c r="B65" t="e">
        <f>NA()</f>
        <v>#N/A</v>
      </c>
      <c r="C65" t="e">
        <f>NA()</f>
        <v>#N/A</v>
      </c>
      <c r="D65">
        <f>2.3</f>
        <v>2.2999999999999998</v>
      </c>
      <c r="E65">
        <f>26155.1</f>
        <v>26155.1</v>
      </c>
      <c r="F65">
        <f>3109716</f>
        <v>3109716</v>
      </c>
      <c r="G65">
        <f>178867</f>
        <v>178867</v>
      </c>
      <c r="H65" t="e">
        <f>NA()</f>
        <v>#N/A</v>
      </c>
    </row>
    <row r="66" spans="1:8" x14ac:dyDescent="0.25">
      <c r="A66" s="1">
        <v>43312</v>
      </c>
      <c r="B66" t="e">
        <f>NA()</f>
        <v>#N/A</v>
      </c>
      <c r="C66" t="e">
        <f>NA()</f>
        <v>#N/A</v>
      </c>
      <c r="D66">
        <f>2.1</f>
        <v>2.1</v>
      </c>
      <c r="E66">
        <f>26035.2</f>
        <v>26035.200000000001</v>
      </c>
      <c r="F66">
        <f>3117946</f>
        <v>3117946</v>
      </c>
      <c r="G66">
        <f>177619.6</f>
        <v>177619.6</v>
      </c>
      <c r="H66" t="e">
        <f>NA()</f>
        <v>#N/A</v>
      </c>
    </row>
    <row r="67" spans="1:8" x14ac:dyDescent="0.25">
      <c r="A67" s="1">
        <v>43281</v>
      </c>
      <c r="B67">
        <f>20590.6</f>
        <v>20590.599999999999</v>
      </c>
      <c r="C67">
        <f>22396.2</f>
        <v>22396.2</v>
      </c>
      <c r="D67">
        <f>1.9</f>
        <v>1.9</v>
      </c>
      <c r="E67" t="e">
        <f>NA()</f>
        <v>#N/A</v>
      </c>
      <c r="F67">
        <f>3112129</f>
        <v>3112129</v>
      </c>
      <c r="G67">
        <f>177017.8</f>
        <v>177017.8</v>
      </c>
      <c r="H67">
        <f>42599.8</f>
        <v>42599.8</v>
      </c>
    </row>
    <row r="68" spans="1:8" x14ac:dyDescent="0.25">
      <c r="A68" s="1">
        <v>43251</v>
      </c>
      <c r="B68" t="e">
        <f>NA()</f>
        <v>#N/A</v>
      </c>
      <c r="C68" t="e">
        <f>NA()</f>
        <v>#N/A</v>
      </c>
      <c r="D68">
        <f>1.8</f>
        <v>1.8</v>
      </c>
      <c r="E68">
        <f>27191.2</f>
        <v>27191.200000000001</v>
      </c>
      <c r="F68">
        <f>3110623</f>
        <v>3110623</v>
      </c>
      <c r="G68">
        <f>174306.4</f>
        <v>174306.4</v>
      </c>
      <c r="H68" t="e">
        <f>NA()</f>
        <v>#N/A</v>
      </c>
    </row>
    <row r="69" spans="1:8" x14ac:dyDescent="0.25">
      <c r="A69" s="1">
        <v>43220</v>
      </c>
      <c r="B69" t="e">
        <f>NA()</f>
        <v>#N/A</v>
      </c>
      <c r="C69" t="e">
        <f>NA()</f>
        <v>#N/A</v>
      </c>
      <c r="D69">
        <f>1.8</f>
        <v>1.8</v>
      </c>
      <c r="E69">
        <f>27378.9</f>
        <v>27378.9</v>
      </c>
      <c r="F69">
        <f>3124850</f>
        <v>3124850</v>
      </c>
      <c r="G69">
        <f>173768.4</f>
        <v>173768.4</v>
      </c>
      <c r="H69" t="e">
        <f>NA()</f>
        <v>#N/A</v>
      </c>
    </row>
    <row r="70" spans="1:8" x14ac:dyDescent="0.25">
      <c r="A70" s="1">
        <v>43190</v>
      </c>
      <c r="B70">
        <f>18519</f>
        <v>18519</v>
      </c>
      <c r="C70">
        <f>20203.6</f>
        <v>20203.599999999999</v>
      </c>
      <c r="D70">
        <f>2.1</f>
        <v>2.1</v>
      </c>
      <c r="E70" t="e">
        <f>NA()</f>
        <v>#N/A</v>
      </c>
      <c r="F70">
        <f>3142820</f>
        <v>3142820</v>
      </c>
      <c r="G70">
        <f>173986</f>
        <v>173986</v>
      </c>
      <c r="H70">
        <f>20203.6</f>
        <v>20203.599999999999</v>
      </c>
    </row>
    <row r="71" spans="1:8" x14ac:dyDescent="0.25">
      <c r="A71" s="1">
        <v>43159</v>
      </c>
      <c r="B71" t="e">
        <f>NA()</f>
        <v>#N/A</v>
      </c>
      <c r="C71" t="e">
        <f>NA()</f>
        <v>#N/A</v>
      </c>
      <c r="D71">
        <f>2.9</f>
        <v>2.9</v>
      </c>
      <c r="E71">
        <f>27311.2</f>
        <v>27311.200000000001</v>
      </c>
      <c r="F71">
        <f>3134482</f>
        <v>3134482</v>
      </c>
      <c r="G71">
        <f>172907</f>
        <v>172907</v>
      </c>
      <c r="H71" t="e">
        <f>NA()</f>
        <v>#N/A</v>
      </c>
    </row>
    <row r="72" spans="1:8" x14ac:dyDescent="0.25">
      <c r="A72" s="1">
        <v>43131</v>
      </c>
      <c r="B72" t="e">
        <f>NA()</f>
        <v>#N/A</v>
      </c>
      <c r="C72" t="e">
        <f>NA()</f>
        <v>#N/A</v>
      </c>
      <c r="D72">
        <f>1.5</f>
        <v>1.5</v>
      </c>
      <c r="E72">
        <f>27369.7</f>
        <v>27369.7</v>
      </c>
      <c r="F72">
        <f>3161500</f>
        <v>3161500</v>
      </c>
      <c r="G72">
        <f>172081.5</f>
        <v>172081.5</v>
      </c>
      <c r="H72" t="e">
        <f>NA()</f>
        <v>#N/A</v>
      </c>
    </row>
    <row r="73" spans="1:8" x14ac:dyDescent="0.25">
      <c r="A73" s="1">
        <v>43100</v>
      </c>
      <c r="B73">
        <f>21976.8</f>
        <v>21976.799999999999</v>
      </c>
      <c r="C73">
        <f>23542.9</f>
        <v>23542.9</v>
      </c>
      <c r="D73">
        <f>1.8</f>
        <v>1.8</v>
      </c>
      <c r="E73" t="e">
        <f>NA()</f>
        <v>#N/A</v>
      </c>
      <c r="F73">
        <f>3139949</f>
        <v>3139949</v>
      </c>
      <c r="G73">
        <f>167676.8</f>
        <v>167676.79999999999</v>
      </c>
      <c r="H73">
        <f>83203.6</f>
        <v>83203.600000000006</v>
      </c>
    </row>
    <row r="74" spans="1:8" x14ac:dyDescent="0.25">
      <c r="A74" s="1">
        <v>43069</v>
      </c>
      <c r="B74" t="e">
        <f>NA()</f>
        <v>#N/A</v>
      </c>
      <c r="C74" t="e">
        <f>NA()</f>
        <v>#N/A</v>
      </c>
      <c r="D74">
        <f>1.7</f>
        <v>1.7</v>
      </c>
      <c r="E74">
        <f>25283.7</f>
        <v>25283.7</v>
      </c>
      <c r="F74">
        <f>3119280</f>
        <v>3119280</v>
      </c>
      <c r="G74">
        <f>167001.3</f>
        <v>167001.29999999999</v>
      </c>
      <c r="H74" t="e">
        <f>NA()</f>
        <v>#N/A</v>
      </c>
    </row>
    <row r="75" spans="1:8" x14ac:dyDescent="0.25">
      <c r="A75" s="1">
        <v>43039</v>
      </c>
      <c r="B75" t="e">
        <f>NA()</f>
        <v>#N/A</v>
      </c>
      <c r="C75" t="e">
        <f>NA()</f>
        <v>#N/A</v>
      </c>
      <c r="D75">
        <f>1.9</f>
        <v>1.9</v>
      </c>
      <c r="E75">
        <f>24943.6</f>
        <v>24943.599999999999</v>
      </c>
      <c r="F75">
        <f>3109213</f>
        <v>3109213</v>
      </c>
      <c r="G75">
        <f>165343.4</f>
        <v>165343.4</v>
      </c>
      <c r="H75" t="e">
        <f>NA()</f>
        <v>#N/A</v>
      </c>
    </row>
    <row r="76" spans="1:8" x14ac:dyDescent="0.25">
      <c r="A76" s="1">
        <v>43008</v>
      </c>
      <c r="B76">
        <f>20164.8</f>
        <v>20164.8</v>
      </c>
      <c r="C76">
        <f>21278.9</f>
        <v>21278.9</v>
      </c>
      <c r="D76">
        <f>1.6</f>
        <v>1.6</v>
      </c>
      <c r="E76" t="e">
        <f>NA()</f>
        <v>#N/A</v>
      </c>
      <c r="F76">
        <f>3108510</f>
        <v>3108510</v>
      </c>
      <c r="G76">
        <f>165566.2</f>
        <v>165566.20000000001</v>
      </c>
      <c r="H76">
        <f>59660.7</f>
        <v>59660.7</v>
      </c>
    </row>
    <row r="77" spans="1:8" x14ac:dyDescent="0.25">
      <c r="A77" s="1">
        <v>42978</v>
      </c>
      <c r="B77" t="e">
        <f>NA()</f>
        <v>#N/A</v>
      </c>
      <c r="C77" t="e">
        <f>NA()</f>
        <v>#N/A</v>
      </c>
      <c r="D77">
        <f>1.8</f>
        <v>1.8</v>
      </c>
      <c r="E77">
        <f>24943.2</f>
        <v>24943.200000000001</v>
      </c>
      <c r="F77">
        <f>3091527</f>
        <v>3091527</v>
      </c>
      <c r="G77">
        <f>164515.7</f>
        <v>164515.70000000001</v>
      </c>
      <c r="H77" t="e">
        <f>NA()</f>
        <v>#N/A</v>
      </c>
    </row>
    <row r="78" spans="1:8" x14ac:dyDescent="0.25">
      <c r="A78" s="1">
        <v>42947</v>
      </c>
      <c r="B78" t="e">
        <f>NA()</f>
        <v>#N/A</v>
      </c>
      <c r="C78" t="e">
        <f>NA()</f>
        <v>#N/A</v>
      </c>
      <c r="D78">
        <f>1.4</f>
        <v>1.4</v>
      </c>
      <c r="E78">
        <f>24225.2</f>
        <v>24225.200000000001</v>
      </c>
      <c r="F78">
        <f>3080720</f>
        <v>3080720</v>
      </c>
      <c r="G78">
        <f>162899.7</f>
        <v>162899.70000000001</v>
      </c>
      <c r="H78" t="e">
        <f>NA()</f>
        <v>#N/A</v>
      </c>
    </row>
    <row r="79" spans="1:8" x14ac:dyDescent="0.25">
      <c r="A79" s="1">
        <v>42916</v>
      </c>
      <c r="B79">
        <f>19259.4</f>
        <v>19259.400000000001</v>
      </c>
      <c r="C79">
        <f>20195</f>
        <v>20195</v>
      </c>
      <c r="D79">
        <f>1.5</f>
        <v>1.5</v>
      </c>
      <c r="E79">
        <f>24113.2</f>
        <v>24113.200000000001</v>
      </c>
      <c r="F79">
        <f>3056789</f>
        <v>3056789</v>
      </c>
      <c r="G79">
        <f>163128.3</f>
        <v>163128.29999999999</v>
      </c>
      <c r="H79">
        <f>38381.8</f>
        <v>38381.800000000003</v>
      </c>
    </row>
    <row r="80" spans="1:8" x14ac:dyDescent="0.25">
      <c r="A80" s="1">
        <v>42886</v>
      </c>
      <c r="B80" t="e">
        <f>NA()</f>
        <v>#N/A</v>
      </c>
      <c r="C80" t="e">
        <f>NA()</f>
        <v>#N/A</v>
      </c>
      <c r="D80">
        <f>1.5</f>
        <v>1.5</v>
      </c>
      <c r="E80">
        <f>23487.6</f>
        <v>23487.599999999999</v>
      </c>
      <c r="F80">
        <f>3053567</f>
        <v>3053567</v>
      </c>
      <c r="G80">
        <f>160136</f>
        <v>160136</v>
      </c>
      <c r="H80" t="e">
        <f>NA()</f>
        <v>#N/A</v>
      </c>
    </row>
    <row r="81" spans="1:8" x14ac:dyDescent="0.25">
      <c r="A81" s="1">
        <v>42855</v>
      </c>
      <c r="B81" t="e">
        <f>NA()</f>
        <v>#N/A</v>
      </c>
      <c r="C81" t="e">
        <f>NA()</f>
        <v>#N/A</v>
      </c>
      <c r="D81">
        <f>1.2</f>
        <v>1.2</v>
      </c>
      <c r="E81" t="e">
        <f>NA()</f>
        <v>#N/A</v>
      </c>
      <c r="F81">
        <f>3029533</f>
        <v>3029533</v>
      </c>
      <c r="G81">
        <f>159633.2</f>
        <v>159633.20000000001</v>
      </c>
      <c r="H81" t="e">
        <f>NA()</f>
        <v>#N/A</v>
      </c>
    </row>
    <row r="82" spans="1:8" x14ac:dyDescent="0.25">
      <c r="A82" s="1">
        <v>42825</v>
      </c>
      <c r="B82">
        <f>17316</f>
        <v>17316</v>
      </c>
      <c r="C82">
        <f>18186.8</f>
        <v>18186.8</v>
      </c>
      <c r="D82">
        <f>0.9</f>
        <v>0.9</v>
      </c>
      <c r="E82">
        <f>23258.3</f>
        <v>23258.3</v>
      </c>
      <c r="F82">
        <f>3009088</f>
        <v>3009088</v>
      </c>
      <c r="G82">
        <f>159961</f>
        <v>159961</v>
      </c>
      <c r="H82">
        <f>18186.8</f>
        <v>18186.8</v>
      </c>
    </row>
    <row r="83" spans="1:8" x14ac:dyDescent="0.25">
      <c r="A83" s="1">
        <v>42794</v>
      </c>
      <c r="B83" t="e">
        <f>NA()</f>
        <v>#N/A</v>
      </c>
      <c r="C83" t="e">
        <f>NA()</f>
        <v>#N/A</v>
      </c>
      <c r="D83">
        <f>0.8</f>
        <v>0.8</v>
      </c>
      <c r="E83">
        <f>23073.2</f>
        <v>23073.200000000001</v>
      </c>
      <c r="F83">
        <f>3005124</f>
        <v>3005124</v>
      </c>
      <c r="G83">
        <f>158291.3</f>
        <v>158291.29999999999</v>
      </c>
      <c r="H83" t="e">
        <f>NA()</f>
        <v>#N/A</v>
      </c>
    </row>
    <row r="84" spans="1:8" x14ac:dyDescent="0.25">
      <c r="A84" s="1">
        <v>42766</v>
      </c>
      <c r="B84" t="e">
        <f>NA()</f>
        <v>#N/A</v>
      </c>
      <c r="C84" t="e">
        <f>NA()</f>
        <v>#N/A</v>
      </c>
      <c r="D84">
        <f>2.5</f>
        <v>2.5</v>
      </c>
      <c r="E84">
        <f>22955.6</f>
        <v>22955.599999999999</v>
      </c>
      <c r="F84">
        <f>2998204</f>
        <v>2998204</v>
      </c>
      <c r="G84">
        <f>157594.6</f>
        <v>157594.6</v>
      </c>
      <c r="H84" t="e">
        <f>NA()</f>
        <v>#N/A</v>
      </c>
    </row>
    <row r="85" spans="1:8" x14ac:dyDescent="0.25">
      <c r="A85" s="1">
        <v>42735</v>
      </c>
      <c r="B85">
        <f>20568.1</f>
        <v>20568.099999999999</v>
      </c>
      <c r="C85">
        <f>21156.6</f>
        <v>21156.6</v>
      </c>
      <c r="D85">
        <f>2.1</f>
        <v>2.1</v>
      </c>
      <c r="E85" t="e">
        <f>NA()</f>
        <v>#N/A</v>
      </c>
      <c r="F85">
        <f>3010517</f>
        <v>3010517</v>
      </c>
      <c r="G85">
        <f>155006.7</f>
        <v>155006.70000000001</v>
      </c>
      <c r="H85">
        <f>74639.5</f>
        <v>74639.5</v>
      </c>
    </row>
    <row r="86" spans="1:8" x14ac:dyDescent="0.25">
      <c r="A86" s="1">
        <v>42704</v>
      </c>
      <c r="B86" t="e">
        <f>NA()</f>
        <v>#N/A</v>
      </c>
      <c r="C86" t="e">
        <f>NA()</f>
        <v>#N/A</v>
      </c>
      <c r="D86">
        <f>2.3</f>
        <v>2.2999999999999998</v>
      </c>
      <c r="E86">
        <f>22192.1</f>
        <v>22192.1</v>
      </c>
      <c r="F86">
        <f>3051600</f>
        <v>3051600</v>
      </c>
      <c r="G86">
        <f>153043.2</f>
        <v>153043.20000000001</v>
      </c>
      <c r="H86" t="e">
        <f>NA()</f>
        <v>#N/A</v>
      </c>
    </row>
    <row r="87" spans="1:8" x14ac:dyDescent="0.25">
      <c r="A87" s="1">
        <v>42674</v>
      </c>
      <c r="B87" t="e">
        <f>NA()</f>
        <v>#N/A</v>
      </c>
      <c r="C87" t="e">
        <f>NA()</f>
        <v>#N/A</v>
      </c>
      <c r="D87">
        <f>2.1</f>
        <v>2.1</v>
      </c>
      <c r="E87">
        <f>22446.7</f>
        <v>22446.7</v>
      </c>
      <c r="F87">
        <f>3120700</f>
        <v>3120700</v>
      </c>
      <c r="G87">
        <f>151948.5</f>
        <v>151948.5</v>
      </c>
      <c r="H87" t="e">
        <f>NA()</f>
        <v>#N/A</v>
      </c>
    </row>
    <row r="88" spans="1:8" x14ac:dyDescent="0.25">
      <c r="A88" s="1">
        <v>42643</v>
      </c>
      <c r="B88">
        <f>18860.7</f>
        <v>18860.7</v>
      </c>
      <c r="C88">
        <f>19101.1</f>
        <v>19101.099999999999</v>
      </c>
      <c r="D88">
        <f>1.9</f>
        <v>1.9</v>
      </c>
      <c r="E88">
        <f>22746.7</f>
        <v>22746.7</v>
      </c>
      <c r="F88">
        <f>3166400</f>
        <v>3166400</v>
      </c>
      <c r="G88">
        <f>151636</f>
        <v>151636</v>
      </c>
      <c r="H88">
        <f>53482.9</f>
        <v>53482.9</v>
      </c>
    </row>
    <row r="89" spans="1:8" x14ac:dyDescent="0.25">
      <c r="A89" s="1">
        <v>42613</v>
      </c>
      <c r="B89" t="e">
        <f>NA()</f>
        <v>#N/A</v>
      </c>
      <c r="C89" t="e">
        <f>NA()</f>
        <v>#N/A</v>
      </c>
      <c r="D89">
        <f>1.3</f>
        <v>1.3</v>
      </c>
      <c r="E89">
        <f>22612.7</f>
        <v>22612.7</v>
      </c>
      <c r="F89">
        <f>3185200</f>
        <v>3185200</v>
      </c>
      <c r="G89">
        <f>151098.3</f>
        <v>151098.29999999999</v>
      </c>
      <c r="H89" t="e">
        <f>NA()</f>
        <v>#N/A</v>
      </c>
    </row>
    <row r="90" spans="1:8" x14ac:dyDescent="0.25">
      <c r="A90" s="1">
        <v>42582</v>
      </c>
      <c r="B90" t="e">
        <f>NA()</f>
        <v>#N/A</v>
      </c>
      <c r="C90" t="e">
        <f>NA()</f>
        <v>#N/A</v>
      </c>
      <c r="D90">
        <f>1.8</f>
        <v>1.8</v>
      </c>
      <c r="E90" t="e">
        <f>NA()</f>
        <v>#N/A</v>
      </c>
      <c r="F90">
        <f>3201100</f>
        <v>3201100</v>
      </c>
      <c r="G90">
        <f>149155.9</f>
        <v>149155.9</v>
      </c>
      <c r="H90" t="e">
        <f>NA()</f>
        <v>#N/A</v>
      </c>
    </row>
    <row r="91" spans="1:8" x14ac:dyDescent="0.25">
      <c r="A91" s="1">
        <v>42551</v>
      </c>
      <c r="B91">
        <f>17998.8</f>
        <v>17998.8</v>
      </c>
      <c r="C91">
        <f>18140.8</f>
        <v>18140.8</v>
      </c>
      <c r="D91">
        <f>1.9</f>
        <v>1.9</v>
      </c>
      <c r="E91">
        <f>22397.6</f>
        <v>22397.599999999999</v>
      </c>
      <c r="F91">
        <f>3205200</f>
        <v>3205200</v>
      </c>
      <c r="G91">
        <f>149049.2</f>
        <v>149049.20000000001</v>
      </c>
      <c r="H91">
        <f>34381.8</f>
        <v>34381.800000000003</v>
      </c>
    </row>
    <row r="92" spans="1:8" x14ac:dyDescent="0.25">
      <c r="A92" s="1">
        <v>42521</v>
      </c>
      <c r="B92" t="e">
        <f>NA()</f>
        <v>#N/A</v>
      </c>
      <c r="C92" t="e">
        <f>NA()</f>
        <v>#N/A</v>
      </c>
      <c r="D92">
        <f>2</f>
        <v>2</v>
      </c>
      <c r="E92">
        <f>22208.1</f>
        <v>22208.1</v>
      </c>
      <c r="F92">
        <f>3191700</f>
        <v>3191700</v>
      </c>
      <c r="G92">
        <f>146169.5</f>
        <v>146169.5</v>
      </c>
      <c r="H92" t="e">
        <f>NA()</f>
        <v>#N/A</v>
      </c>
    </row>
    <row r="93" spans="1:8" x14ac:dyDescent="0.25">
      <c r="A93" s="1">
        <v>42490</v>
      </c>
      <c r="B93" t="e">
        <f>NA()</f>
        <v>#N/A</v>
      </c>
      <c r="C93" t="e">
        <f>NA()</f>
        <v>#N/A</v>
      </c>
      <c r="D93">
        <f>2.3</f>
        <v>2.2999999999999998</v>
      </c>
      <c r="E93" t="e">
        <f>NA()</f>
        <v>#N/A</v>
      </c>
      <c r="F93">
        <f>3219000</f>
        <v>3219000</v>
      </c>
      <c r="G93">
        <f>144521</f>
        <v>144521</v>
      </c>
      <c r="H93" t="e">
        <f>NA()</f>
        <v>#N/A</v>
      </c>
    </row>
    <row r="94" spans="1:8" x14ac:dyDescent="0.25">
      <c r="A94" s="1">
        <v>42460</v>
      </c>
      <c r="B94">
        <f>16176.1</f>
        <v>16176.1</v>
      </c>
      <c r="C94">
        <f>16241</f>
        <v>16241</v>
      </c>
      <c r="D94">
        <f>2.3</f>
        <v>2.2999999999999998</v>
      </c>
      <c r="E94">
        <f>22412.3</f>
        <v>22412.3</v>
      </c>
      <c r="F94">
        <f>3212579</f>
        <v>3212579</v>
      </c>
      <c r="G94">
        <f>144619.8</f>
        <v>144619.79999999999</v>
      </c>
      <c r="H94">
        <f>16241</f>
        <v>16241</v>
      </c>
    </row>
    <row r="95" spans="1:8" x14ac:dyDescent="0.25">
      <c r="A95" s="1">
        <v>42429</v>
      </c>
      <c r="B95" t="e">
        <f>NA()</f>
        <v>#N/A</v>
      </c>
      <c r="C95" t="e">
        <f>NA()</f>
        <v>#N/A</v>
      </c>
      <c r="D95">
        <f>2.3</f>
        <v>2.2999999999999998</v>
      </c>
      <c r="E95">
        <f>21736.6</f>
        <v>21736.6</v>
      </c>
      <c r="F95">
        <f>3202300</f>
        <v>3202300</v>
      </c>
      <c r="G95">
        <f>142461.9</f>
        <v>142461.9</v>
      </c>
      <c r="H95" t="e">
        <f>NA()</f>
        <v>#N/A</v>
      </c>
    </row>
    <row r="96" spans="1:8" x14ac:dyDescent="0.25">
      <c r="A96" s="1">
        <v>42400</v>
      </c>
      <c r="B96" t="e">
        <f>NA()</f>
        <v>#N/A</v>
      </c>
      <c r="C96" t="e">
        <f>NA()</f>
        <v>#N/A</v>
      </c>
      <c r="D96">
        <f>1.8</f>
        <v>1.8</v>
      </c>
      <c r="E96" t="e">
        <f>NA()</f>
        <v>#N/A</v>
      </c>
      <c r="F96">
        <f>3230890</f>
        <v>3230890</v>
      </c>
      <c r="G96">
        <f>141632</f>
        <v>141632</v>
      </c>
      <c r="H96" t="e">
        <f>NA()</f>
        <v>#N/A</v>
      </c>
    </row>
    <row r="97" spans="1:8" x14ac:dyDescent="0.25">
      <c r="A97" s="1">
        <v>42369</v>
      </c>
      <c r="B97">
        <f>16983.3</f>
        <v>16983.3</v>
      </c>
      <c r="C97">
        <f>19257.3</f>
        <v>19257.3</v>
      </c>
      <c r="D97">
        <f>1.6</f>
        <v>1.6</v>
      </c>
      <c r="E97">
        <f>21460.9</f>
        <v>21460.9</v>
      </c>
      <c r="F97">
        <f>3330362</f>
        <v>3330362</v>
      </c>
      <c r="G97">
        <f>139227.8</f>
        <v>139227.79999999999</v>
      </c>
      <c r="H97">
        <f>68885.8</f>
        <v>68885.8</v>
      </c>
    </row>
    <row r="98" spans="1:8" x14ac:dyDescent="0.25">
      <c r="A98" s="1">
        <v>42338</v>
      </c>
      <c r="B98" t="e">
        <f>NA()</f>
        <v>#N/A</v>
      </c>
      <c r="C98" t="e">
        <f>NA()</f>
        <v>#N/A</v>
      </c>
      <c r="D98">
        <f>1.5</f>
        <v>1.5</v>
      </c>
      <c r="E98">
        <f>21476.8</f>
        <v>21476.799999999999</v>
      </c>
      <c r="F98">
        <f>3438300</f>
        <v>3438300</v>
      </c>
      <c r="G98">
        <f>137395.6</f>
        <v>137395.6</v>
      </c>
      <c r="H98" t="e">
        <f>NA()</f>
        <v>#N/A</v>
      </c>
    </row>
    <row r="99" spans="1:8" x14ac:dyDescent="0.25">
      <c r="A99" s="1">
        <v>42308</v>
      </c>
      <c r="B99" t="e">
        <f>NA()</f>
        <v>#N/A</v>
      </c>
      <c r="C99" t="e">
        <f>NA()</f>
        <v>#N/A</v>
      </c>
      <c r="D99">
        <f>1.3</f>
        <v>1.3</v>
      </c>
      <c r="E99" t="e">
        <f>NA()</f>
        <v>#N/A</v>
      </c>
      <c r="F99">
        <f>3525507</f>
        <v>3525507</v>
      </c>
      <c r="G99">
        <f>136102.1</f>
        <v>136102.1</v>
      </c>
      <c r="H99" t="e">
        <f>NA()</f>
        <v>#N/A</v>
      </c>
    </row>
    <row r="100" spans="1:8" x14ac:dyDescent="0.25">
      <c r="A100" s="1">
        <v>42277</v>
      </c>
      <c r="B100">
        <f>15347.9</f>
        <v>15347.9</v>
      </c>
      <c r="C100">
        <f>17659.8</f>
        <v>17659.8</v>
      </c>
      <c r="D100">
        <f>1.6</f>
        <v>1.6</v>
      </c>
      <c r="E100">
        <f>21387.9</f>
        <v>21387.9</v>
      </c>
      <c r="F100">
        <f>3514120</f>
        <v>3514120</v>
      </c>
      <c r="G100">
        <f>135982.4</f>
        <v>135982.39999999999</v>
      </c>
      <c r="H100">
        <f>49628.5</f>
        <v>49628.5</v>
      </c>
    </row>
    <row r="101" spans="1:8" x14ac:dyDescent="0.25">
      <c r="A101" s="1">
        <v>42247</v>
      </c>
      <c r="B101" t="e">
        <f>NA()</f>
        <v>#N/A</v>
      </c>
      <c r="C101" t="e">
        <f>NA()</f>
        <v>#N/A</v>
      </c>
      <c r="D101">
        <f>2</f>
        <v>2</v>
      </c>
      <c r="E101">
        <f>21258.8</f>
        <v>21258.799999999999</v>
      </c>
      <c r="F101">
        <f>3557400</f>
        <v>3557400</v>
      </c>
      <c r="G101">
        <f>135690.8</f>
        <v>135690.79999999999</v>
      </c>
      <c r="H101" t="e">
        <f>NA()</f>
        <v>#N/A</v>
      </c>
    </row>
    <row r="102" spans="1:8" x14ac:dyDescent="0.25">
      <c r="A102" s="1">
        <v>42216</v>
      </c>
      <c r="B102" t="e">
        <f>NA()</f>
        <v>#N/A</v>
      </c>
      <c r="C102" t="e">
        <f>NA()</f>
        <v>#N/A</v>
      </c>
      <c r="D102">
        <f>1.6</f>
        <v>1.6</v>
      </c>
      <c r="E102">
        <f>21795.4</f>
        <v>21795.4</v>
      </c>
      <c r="F102">
        <f>3651310</f>
        <v>3651310</v>
      </c>
      <c r="G102">
        <f>135321.1</f>
        <v>135321.1</v>
      </c>
      <c r="H102" t="e">
        <f>NA()</f>
        <v>#N/A</v>
      </c>
    </row>
    <row r="103" spans="1:8" x14ac:dyDescent="0.25">
      <c r="A103" s="1">
        <v>42185</v>
      </c>
      <c r="B103">
        <f>14727.5</f>
        <v>14727.5</v>
      </c>
      <c r="C103">
        <f>16855</f>
        <v>16855</v>
      </c>
      <c r="D103">
        <f>1.4</f>
        <v>1.4</v>
      </c>
      <c r="E103">
        <f>21511.3</f>
        <v>21511.3</v>
      </c>
      <c r="F103">
        <f>3690000</f>
        <v>3690000</v>
      </c>
      <c r="G103">
        <f>133337.5</f>
        <v>133337.5</v>
      </c>
      <c r="H103">
        <f>31968.8</f>
        <v>31968.799999999999</v>
      </c>
    </row>
    <row r="104" spans="1:8" x14ac:dyDescent="0.25">
      <c r="A104" s="1">
        <v>42155</v>
      </c>
      <c r="B104" t="e">
        <f>NA()</f>
        <v>#N/A</v>
      </c>
      <c r="C104" t="e">
        <f>NA()</f>
        <v>#N/A</v>
      </c>
      <c r="D104">
        <f>1.2</f>
        <v>1.2</v>
      </c>
      <c r="E104" t="e">
        <f>NA()</f>
        <v>#N/A</v>
      </c>
      <c r="F104">
        <f>3711140</f>
        <v>3711140</v>
      </c>
      <c r="G104">
        <f>130735.8</f>
        <v>130735.8</v>
      </c>
      <c r="H104" t="e">
        <f>NA()</f>
        <v>#N/A</v>
      </c>
    </row>
    <row r="105" spans="1:8" x14ac:dyDescent="0.25">
      <c r="A105" s="1">
        <v>42124</v>
      </c>
      <c r="B105" t="e">
        <f>NA()</f>
        <v>#N/A</v>
      </c>
      <c r="C105" t="e">
        <f>NA()</f>
        <v>#N/A</v>
      </c>
      <c r="D105">
        <f>1.5</f>
        <v>1.5</v>
      </c>
      <c r="E105">
        <f>20658.4</f>
        <v>20658.400000000001</v>
      </c>
      <c r="F105">
        <f>3748140</f>
        <v>3748140</v>
      </c>
      <c r="G105">
        <f>128077.9</f>
        <v>128077.9</v>
      </c>
      <c r="H105" t="e">
        <f>NA()</f>
        <v>#N/A</v>
      </c>
    </row>
    <row r="106" spans="1:8" x14ac:dyDescent="0.25">
      <c r="A106" s="1">
        <v>42094</v>
      </c>
      <c r="B106">
        <f>13288.4</f>
        <v>13288.4</v>
      </c>
      <c r="C106">
        <f>15113.8</f>
        <v>15113.8</v>
      </c>
      <c r="D106">
        <f>1.4</f>
        <v>1.4</v>
      </c>
      <c r="E106">
        <f>20564.9</f>
        <v>20564.900000000001</v>
      </c>
      <c r="F106">
        <f>3730000</f>
        <v>3730000</v>
      </c>
      <c r="G106">
        <f>127533.3</f>
        <v>127533.3</v>
      </c>
      <c r="H106">
        <f>15113.8</f>
        <v>15113.8</v>
      </c>
    </row>
    <row r="107" spans="1:8" x14ac:dyDescent="0.25">
      <c r="A107" s="1">
        <v>42063</v>
      </c>
      <c r="B107" t="e">
        <f>NA()</f>
        <v>#N/A</v>
      </c>
      <c r="C107" t="e">
        <f>NA()</f>
        <v>#N/A</v>
      </c>
      <c r="D107">
        <f>1.4</f>
        <v>1.4</v>
      </c>
      <c r="E107" t="e">
        <f>NA()</f>
        <v>#N/A</v>
      </c>
      <c r="F107">
        <f>3801500</f>
        <v>3801500</v>
      </c>
      <c r="G107">
        <f>125738</f>
        <v>125738</v>
      </c>
      <c r="H107" t="e">
        <f>NA()</f>
        <v>#N/A</v>
      </c>
    </row>
    <row r="108" spans="1:8" x14ac:dyDescent="0.25">
      <c r="A108" s="1">
        <v>42035</v>
      </c>
      <c r="B108" t="e">
        <f>NA()</f>
        <v>#N/A</v>
      </c>
      <c r="C108" t="e">
        <f>NA()</f>
        <v>#N/A</v>
      </c>
      <c r="D108">
        <f>0.8</f>
        <v>0.8</v>
      </c>
      <c r="E108" t="e">
        <f>NA()</f>
        <v>#N/A</v>
      </c>
      <c r="F108">
        <f>3813410</f>
        <v>3813410</v>
      </c>
      <c r="G108">
        <f>124271</f>
        <v>124271</v>
      </c>
      <c r="H108" t="e">
        <f>NA()</f>
        <v>#N/A</v>
      </c>
    </row>
    <row r="109" spans="1:8" x14ac:dyDescent="0.25">
      <c r="A109" s="1">
        <v>42004</v>
      </c>
      <c r="B109">
        <f>15881.6</f>
        <v>15881.6</v>
      </c>
      <c r="C109">
        <f>18082.9</f>
        <v>18082.900000000001</v>
      </c>
      <c r="D109">
        <f>1.5</f>
        <v>1.5</v>
      </c>
      <c r="E109">
        <f>19788.9</f>
        <v>19788.900000000001</v>
      </c>
      <c r="F109">
        <f>3840000</f>
        <v>3840000</v>
      </c>
      <c r="G109">
        <f>122837.5</f>
        <v>122837.5</v>
      </c>
      <c r="H109">
        <f>64356.3</f>
        <v>64356.3</v>
      </c>
    </row>
    <row r="110" spans="1:8" x14ac:dyDescent="0.25">
      <c r="A110" s="1">
        <v>41973</v>
      </c>
      <c r="B110" t="e">
        <f>NA()</f>
        <v>#N/A</v>
      </c>
      <c r="C110" t="e">
        <f>NA()</f>
        <v>#N/A</v>
      </c>
      <c r="D110">
        <f>1.4</f>
        <v>1.4</v>
      </c>
      <c r="E110" t="e">
        <f>NA()</f>
        <v>#N/A</v>
      </c>
      <c r="F110">
        <f>3847350</f>
        <v>3847350</v>
      </c>
      <c r="G110">
        <f>120860.6</f>
        <v>120860.6</v>
      </c>
      <c r="H110" t="e">
        <f>NA()</f>
        <v>#N/A</v>
      </c>
    </row>
    <row r="111" spans="1:8" x14ac:dyDescent="0.25">
      <c r="A111" s="1">
        <v>41943</v>
      </c>
      <c r="B111" t="e">
        <f>NA()</f>
        <v>#N/A</v>
      </c>
      <c r="C111" t="e">
        <f>NA()</f>
        <v>#N/A</v>
      </c>
      <c r="D111">
        <f>1.6</f>
        <v>1.6</v>
      </c>
      <c r="E111">
        <f>19612.7</f>
        <v>19612.7</v>
      </c>
      <c r="F111">
        <f>3852920</f>
        <v>3852920</v>
      </c>
      <c r="G111">
        <f>119923.6</f>
        <v>119923.6</v>
      </c>
      <c r="H111" t="e">
        <f>NA()</f>
        <v>#N/A</v>
      </c>
    </row>
    <row r="112" spans="1:8" x14ac:dyDescent="0.25">
      <c r="A112" s="1">
        <v>41912</v>
      </c>
      <c r="B112">
        <f>14344.8</f>
        <v>14344.8</v>
      </c>
      <c r="C112">
        <f>16548.5</f>
        <v>16548.5</v>
      </c>
      <c r="D112">
        <f>1.6</f>
        <v>1.6</v>
      </c>
      <c r="E112">
        <f>19583.1</f>
        <v>19583.099999999999</v>
      </c>
      <c r="F112">
        <f>3890000</f>
        <v>3890000</v>
      </c>
      <c r="G112">
        <f>120205.1</f>
        <v>120205.1</v>
      </c>
      <c r="H112">
        <f>46273.4</f>
        <v>46273.4</v>
      </c>
    </row>
    <row r="113" spans="1:8" x14ac:dyDescent="0.25">
      <c r="A113" s="1">
        <v>41882</v>
      </c>
      <c r="B113" t="e">
        <f>NA()</f>
        <v>#N/A</v>
      </c>
      <c r="C113" t="e">
        <f>NA()</f>
        <v>#N/A</v>
      </c>
      <c r="D113">
        <f>2</f>
        <v>2</v>
      </c>
      <c r="E113" t="e">
        <f>NA()</f>
        <v>#N/A</v>
      </c>
      <c r="F113">
        <f>3968830</f>
        <v>3968830</v>
      </c>
      <c r="G113">
        <f>119749.9</f>
        <v>119749.9</v>
      </c>
      <c r="H113" t="e">
        <f>NA()</f>
        <v>#N/A</v>
      </c>
    </row>
    <row r="114" spans="1:8" x14ac:dyDescent="0.25">
      <c r="A114" s="1">
        <v>41851</v>
      </c>
      <c r="B114" t="e">
        <f>NA()</f>
        <v>#N/A</v>
      </c>
      <c r="C114" t="e">
        <f>NA()</f>
        <v>#N/A</v>
      </c>
      <c r="D114">
        <f>2.3</f>
        <v>2.2999999999999998</v>
      </c>
      <c r="E114">
        <f>19340.7</f>
        <v>19340.7</v>
      </c>
      <c r="F114">
        <f>3966270</f>
        <v>3966270</v>
      </c>
      <c r="G114">
        <f>119424.9</f>
        <v>119424.9</v>
      </c>
      <c r="H114" t="e">
        <f>NA()</f>
        <v>#N/A</v>
      </c>
    </row>
    <row r="115" spans="1:8" x14ac:dyDescent="0.25">
      <c r="A115" s="1">
        <v>41820</v>
      </c>
      <c r="B115">
        <f>13747.7</f>
        <v>13747.7</v>
      </c>
      <c r="C115">
        <f>15649</f>
        <v>15649</v>
      </c>
      <c r="D115">
        <f>2.3</f>
        <v>2.2999999999999998</v>
      </c>
      <c r="E115">
        <f>19496.3</f>
        <v>19496.3</v>
      </c>
      <c r="F115">
        <f>3990000</f>
        <v>3990000</v>
      </c>
      <c r="G115">
        <f>120958.7</f>
        <v>120958.7</v>
      </c>
      <c r="H115">
        <f>29725</f>
        <v>29725</v>
      </c>
    </row>
    <row r="116" spans="1:8" x14ac:dyDescent="0.25">
      <c r="A116" s="1">
        <v>41790</v>
      </c>
      <c r="B116" t="e">
        <f>NA()</f>
        <v>#N/A</v>
      </c>
      <c r="C116" t="e">
        <f>NA()</f>
        <v>#N/A</v>
      </c>
      <c r="D116">
        <f>2.5</f>
        <v>2.5</v>
      </c>
      <c r="E116" t="e">
        <f>NA()</f>
        <v>#N/A</v>
      </c>
      <c r="F116">
        <f>3983890</f>
        <v>3983890</v>
      </c>
      <c r="G116">
        <f>118229.4</f>
        <v>118229.4</v>
      </c>
      <c r="H116" t="e">
        <f>NA()</f>
        <v>#N/A</v>
      </c>
    </row>
    <row r="117" spans="1:8" x14ac:dyDescent="0.25">
      <c r="A117" s="1">
        <v>41759</v>
      </c>
      <c r="B117" t="e">
        <f>NA()</f>
        <v>#N/A</v>
      </c>
      <c r="C117" t="e">
        <f>NA()</f>
        <v>#N/A</v>
      </c>
      <c r="D117">
        <f>1.8</f>
        <v>1.8</v>
      </c>
      <c r="E117">
        <f>18672.6</f>
        <v>18672.599999999999</v>
      </c>
      <c r="F117">
        <f>3978800</f>
        <v>3978800</v>
      </c>
      <c r="G117">
        <f>116881.3</f>
        <v>116881.3</v>
      </c>
      <c r="H117" t="e">
        <f>NA()</f>
        <v>#N/A</v>
      </c>
    </row>
    <row r="118" spans="1:8" x14ac:dyDescent="0.25">
      <c r="A118" s="1">
        <v>41729</v>
      </c>
      <c r="B118">
        <f>12403.3</f>
        <v>12403.3</v>
      </c>
      <c r="C118">
        <f>14076</f>
        <v>14076</v>
      </c>
      <c r="D118">
        <f>2.4</f>
        <v>2.4</v>
      </c>
      <c r="E118">
        <f>18665.1</f>
        <v>18665.099999999999</v>
      </c>
      <c r="F118">
        <f>3950000</f>
        <v>3950000</v>
      </c>
      <c r="G118">
        <f>116068.7</f>
        <v>116068.7</v>
      </c>
      <c r="H118">
        <f>14076</f>
        <v>14076</v>
      </c>
    </row>
    <row r="119" spans="1:8" x14ac:dyDescent="0.25">
      <c r="A119" s="1">
        <v>41698</v>
      </c>
      <c r="B119" t="e">
        <f>NA()</f>
        <v>#N/A</v>
      </c>
      <c r="C119" t="e">
        <f>NA()</f>
        <v>#N/A</v>
      </c>
      <c r="D119">
        <f>2</f>
        <v>2</v>
      </c>
      <c r="E119">
        <f>18415.2</f>
        <v>18415.2</v>
      </c>
      <c r="F119">
        <f>3913740</f>
        <v>3913740</v>
      </c>
      <c r="G119">
        <f>113176.1</f>
        <v>113176.1</v>
      </c>
      <c r="H119" t="e">
        <f>NA()</f>
        <v>#N/A</v>
      </c>
    </row>
    <row r="120" spans="1:8" x14ac:dyDescent="0.25">
      <c r="A120" s="1">
        <v>41670</v>
      </c>
      <c r="B120" t="e">
        <f>NA()</f>
        <v>#N/A</v>
      </c>
      <c r="C120" t="e">
        <f>NA()</f>
        <v>#N/A</v>
      </c>
      <c r="D120">
        <f>2.5</f>
        <v>2.5</v>
      </c>
      <c r="E120">
        <f>18545.2</f>
        <v>18545.2</v>
      </c>
      <c r="F120">
        <f>3866640</f>
        <v>3866640</v>
      </c>
      <c r="G120">
        <f>112352.1</f>
        <v>112352.1</v>
      </c>
      <c r="H120" t="e">
        <f>NA()</f>
        <v>#N/A</v>
      </c>
    </row>
    <row r="121" spans="1:8" x14ac:dyDescent="0.25">
      <c r="A121" s="1">
        <v>41639</v>
      </c>
      <c r="B121">
        <f>14796.5</f>
        <v>14796.5</v>
      </c>
      <c r="C121">
        <f>16777.2</f>
        <v>16777.2</v>
      </c>
      <c r="D121">
        <f>2.5</f>
        <v>2.5</v>
      </c>
      <c r="E121">
        <f>18282.4</f>
        <v>18282.400000000001</v>
      </c>
      <c r="F121">
        <f>3820000</f>
        <v>3820000</v>
      </c>
      <c r="G121">
        <f>110652.5</f>
        <v>110652.5</v>
      </c>
      <c r="H121">
        <f>59296.3</f>
        <v>59296.3</v>
      </c>
    </row>
    <row r="122" spans="1:8" x14ac:dyDescent="0.25">
      <c r="A122" s="1">
        <v>41608</v>
      </c>
      <c r="B122" t="e">
        <f>NA()</f>
        <v>#N/A</v>
      </c>
      <c r="C122" t="e">
        <f>NA()</f>
        <v>#N/A</v>
      </c>
      <c r="D122">
        <f>3</f>
        <v>3</v>
      </c>
      <c r="E122" t="e">
        <f>NA()</f>
        <v>#N/A</v>
      </c>
      <c r="F122">
        <f>3789450</f>
        <v>3789450</v>
      </c>
      <c r="G122">
        <f>107925.7</f>
        <v>107925.7</v>
      </c>
      <c r="H122" t="e">
        <f>NA()</f>
        <v>#N/A</v>
      </c>
    </row>
    <row r="123" spans="1:8" x14ac:dyDescent="0.25">
      <c r="A123" s="1">
        <v>41578</v>
      </c>
      <c r="B123" t="e">
        <f>NA()</f>
        <v>#N/A</v>
      </c>
      <c r="C123" t="e">
        <f>NA()</f>
        <v>#N/A</v>
      </c>
      <c r="D123">
        <f>3.2</f>
        <v>3.2</v>
      </c>
      <c r="E123">
        <f>17558.8</f>
        <v>17558.8</v>
      </c>
      <c r="F123">
        <f>3736590</f>
        <v>3736590</v>
      </c>
      <c r="G123">
        <f>107024.2</f>
        <v>107024.2</v>
      </c>
      <c r="H123" t="e">
        <f>NA()</f>
        <v>#N/A</v>
      </c>
    </row>
    <row r="124" spans="1:8" x14ac:dyDescent="0.25">
      <c r="A124" s="1">
        <v>41547</v>
      </c>
      <c r="B124">
        <f>13375.2</f>
        <v>13375.2</v>
      </c>
      <c r="C124">
        <f>15222.3</f>
        <v>15222.3</v>
      </c>
      <c r="D124">
        <f>3.1</f>
        <v>3.1</v>
      </c>
      <c r="E124">
        <f>17600.2</f>
        <v>17600.2</v>
      </c>
      <c r="F124">
        <f>3660000</f>
        <v>3660000</v>
      </c>
      <c r="G124">
        <f>107737.9</f>
        <v>107737.9</v>
      </c>
      <c r="H124">
        <f>42519.1</f>
        <v>42519.1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Vitor Rodrigues Silva</cp:lastModifiedBy>
  <dcterms:created xsi:type="dcterms:W3CDTF">2013-04-03T15:49:21Z</dcterms:created>
  <dcterms:modified xsi:type="dcterms:W3CDTF">2023-09-19T01:07:00Z</dcterms:modified>
</cp:coreProperties>
</file>