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6627B65-2343-4F01-B4CF-BA7C06A1EF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definedNames>
    <definedName name="CIQWBGuid" hidden="1">"8d54a6b5-980f-47e2-9bd7-bb482d5f25a7"</definedName>
    <definedName name="CIQWBInfo" hidden="1">"{ ""CIQVersion"":""9.50.2716.4594"" 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3" i="2" l="1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F109" i="2"/>
  <c r="E109" i="2"/>
  <c r="D109" i="2"/>
  <c r="C109" i="2"/>
  <c r="B109" i="2"/>
  <c r="J108" i="2"/>
  <c r="I108" i="2"/>
  <c r="H108" i="2"/>
  <c r="G108" i="2"/>
  <c r="F108" i="2"/>
  <c r="E108" i="2"/>
  <c r="D108" i="2"/>
  <c r="C108" i="2"/>
  <c r="B108" i="2"/>
  <c r="J107" i="2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<sst xmlns="http://schemas.openxmlformats.org/spreadsheetml/2006/main" count="28" uniqueCount="22">
  <si>
    <t>Date</t>
  </si>
  <si>
    <t>CNMS2YOY</t>
  </si>
  <si>
    <t>CNGFOREX</t>
  </si>
  <si>
    <t>CHBGMCI</t>
  </si>
  <si>
    <t>CNFRBAL$</t>
  </si>
  <si>
    <t>CHRCCLIM</t>
  </si>
  <si>
    <t>CNUERATE</t>
  </si>
  <si>
    <t>CHEFTYOY</t>
  </si>
  <si>
    <t>CNCPIYOY</t>
  </si>
  <si>
    <t>CNGDPYOY</t>
  </si>
  <si>
    <t>&lt;NSA %A/A&gt;</t>
  </si>
  <si>
    <t>&lt;NSAZ&gt;</t>
  </si>
  <si>
    <t>&lt;SAZ&gt;</t>
  </si>
  <si>
    <t>M2 Money Supply (yoy %)</t>
  </si>
  <si>
    <t>Official Foreign Exchange Reserves (USD bn)</t>
  </si>
  <si>
    <t>Bloomberg Monetary Conditions Index</t>
  </si>
  <si>
    <t>Trade Balance (USD bn)</t>
  </si>
  <si>
    <t xml:space="preserve">Real Estate Climate  Index </t>
  </si>
  <si>
    <t>Unemployment Rate (%)</t>
  </si>
  <si>
    <t>Industrial Product Price  Index  (yoy %)</t>
  </si>
  <si>
    <t>Consumer Price  Index  (yoy %)</t>
  </si>
  <si>
    <t>Real GDP (yoy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</si>
</sst>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topLeftCell="D1" workbookViewId="0">
      <selection activeCell="H3" sqref="H3"/>
    </sheetView>
  </sheetViews>
  <sheetFormatPr defaultRowHeight="14.4" x14ac:dyDescent="0.3"/>
  <cols>
    <col min="1" max="1" width="16" bestFit="1" customWidth="1"/>
    <col min="2" max="2" width="24.109375" bestFit="1" customWidth="1"/>
    <col min="3" max="3" width="40.88671875" bestFit="1" customWidth="1"/>
    <col min="4" max="4" width="36" bestFit="1" customWidth="1"/>
    <col min="5" max="5" width="21.88671875" bestFit="1" customWidth="1"/>
    <col min="6" max="6" width="24.6640625" bestFit="1" customWidth="1"/>
    <col min="7" max="7" width="23.109375" bestFit="1" customWidth="1"/>
    <col min="8" max="8" width="35.6640625" bestFit="1" customWidth="1"/>
    <col min="9" max="9" width="26.21875" bestFit="1" customWidth="1"/>
    <col min="10" max="10" width="1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 t="s">
        <v>10</v>
      </c>
      <c r="C2" t="s">
        <v>11</v>
      </c>
      <c r="D2" t="s">
        <v>11</v>
      </c>
      <c r="E2" t="s">
        <v>11</v>
      </c>
      <c r="F2" t="s">
        <v>12</v>
      </c>
      <c r="G2" t="s">
        <v>11</v>
      </c>
      <c r="H2" t="s">
        <v>10</v>
      </c>
      <c r="I2" t="s">
        <v>10</v>
      </c>
      <c r="J2" t="s">
        <v>10</v>
      </c>
    </row>
    <row r="3" spans="1:10" x14ac:dyDescent="0.3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3">
      <c r="A4" s="1">
        <v>45169</v>
      </c>
      <c r="B4">
        <f>10.6</f>
        <v>10.6</v>
      </c>
      <c r="C4">
        <f>3160.1</f>
        <v>3160.1</v>
      </c>
      <c r="D4" t="e">
        <f>NA()</f>
        <v>#N/A</v>
      </c>
      <c r="E4">
        <f>68.2</f>
        <v>68.2</v>
      </c>
      <c r="F4">
        <f>93.6</f>
        <v>93.6</v>
      </c>
      <c r="G4" t="e">
        <f>NA()</f>
        <v>#N/A</v>
      </c>
      <c r="H4">
        <f>-3</f>
        <v>-3</v>
      </c>
      <c r="I4">
        <f>0.1</f>
        <v>0.1</v>
      </c>
      <c r="J4" t="e">
        <f>NA()</f>
        <v>#N/A</v>
      </c>
    </row>
    <row r="5" spans="1:10" x14ac:dyDescent="0.3">
      <c r="A5" s="1">
        <v>45138</v>
      </c>
      <c r="B5">
        <f>10.7</f>
        <v>10.7</v>
      </c>
      <c r="C5">
        <f>3204.3</f>
        <v>3204.3</v>
      </c>
      <c r="D5">
        <f>81.2</f>
        <v>81.2</v>
      </c>
      <c r="E5">
        <f>80.4</f>
        <v>80.400000000000006</v>
      </c>
      <c r="F5">
        <f>93.8</f>
        <v>93.8</v>
      </c>
      <c r="G5" t="e">
        <f>NA()</f>
        <v>#N/A</v>
      </c>
      <c r="H5">
        <f>-4.4</f>
        <v>-4.4000000000000004</v>
      </c>
      <c r="I5">
        <f>-0.3</f>
        <v>-0.3</v>
      </c>
      <c r="J5" t="e">
        <f>NA()</f>
        <v>#N/A</v>
      </c>
    </row>
    <row r="6" spans="1:10" x14ac:dyDescent="0.3">
      <c r="A6" s="1">
        <v>45107</v>
      </c>
      <c r="B6">
        <f>11.3</f>
        <v>11.3</v>
      </c>
      <c r="C6">
        <f>3193</f>
        <v>3193</v>
      </c>
      <c r="D6">
        <f>80.6</f>
        <v>80.599999999999994</v>
      </c>
      <c r="E6">
        <f>69.8</f>
        <v>69.8</v>
      </c>
      <c r="F6">
        <f>94</f>
        <v>94</v>
      </c>
      <c r="G6" t="e">
        <f>NA()</f>
        <v>#N/A</v>
      </c>
      <c r="H6">
        <f>-5.4</f>
        <v>-5.4</v>
      </c>
      <c r="I6">
        <f>0</f>
        <v>0</v>
      </c>
      <c r="J6">
        <f>6.3</f>
        <v>6.3</v>
      </c>
    </row>
    <row r="7" spans="1:10" x14ac:dyDescent="0.3">
      <c r="A7" s="1">
        <v>45077</v>
      </c>
      <c r="B7">
        <f>11.6</f>
        <v>11.6</v>
      </c>
      <c r="C7">
        <f>3176.5</f>
        <v>3176.5</v>
      </c>
      <c r="D7">
        <f>79</f>
        <v>79</v>
      </c>
      <c r="E7">
        <f>65.6</f>
        <v>65.599999999999994</v>
      </c>
      <c r="F7">
        <f>94.5</f>
        <v>94.5</v>
      </c>
      <c r="G7" t="e">
        <f>NA()</f>
        <v>#N/A</v>
      </c>
      <c r="H7">
        <f>-4.6</f>
        <v>-4.5999999999999996</v>
      </c>
      <c r="I7">
        <f>0.2</f>
        <v>0.2</v>
      </c>
      <c r="J7" t="e">
        <f>NA()</f>
        <v>#N/A</v>
      </c>
    </row>
    <row r="8" spans="1:10" x14ac:dyDescent="0.3">
      <c r="A8" s="1">
        <v>45046</v>
      </c>
      <c r="B8">
        <f>12.4</f>
        <v>12.4</v>
      </c>
      <c r="C8">
        <f>3204.8</f>
        <v>3204.8</v>
      </c>
      <c r="D8">
        <f>82.7</f>
        <v>82.7</v>
      </c>
      <c r="E8">
        <f>86.5</f>
        <v>86.5</v>
      </c>
      <c r="F8">
        <f>94.7</f>
        <v>94.7</v>
      </c>
      <c r="G8" t="e">
        <f>NA()</f>
        <v>#N/A</v>
      </c>
      <c r="H8">
        <f>-3.6</f>
        <v>-3.6</v>
      </c>
      <c r="I8">
        <f>0.1</f>
        <v>0.1</v>
      </c>
      <c r="J8" t="e">
        <f>NA()</f>
        <v>#N/A</v>
      </c>
    </row>
    <row r="9" spans="1:10" x14ac:dyDescent="0.3">
      <c r="A9" s="1">
        <v>45016</v>
      </c>
      <c r="B9">
        <f>12.7</f>
        <v>12.7</v>
      </c>
      <c r="C9">
        <f>3183.9</f>
        <v>3183.9</v>
      </c>
      <c r="D9">
        <f>85.7</f>
        <v>85.7</v>
      </c>
      <c r="E9">
        <f>78.4</f>
        <v>78.400000000000006</v>
      </c>
      <c r="F9">
        <f>94.7</f>
        <v>94.7</v>
      </c>
      <c r="G9" t="e">
        <f>NA()</f>
        <v>#N/A</v>
      </c>
      <c r="H9">
        <f>-2.5</f>
        <v>-2.5</v>
      </c>
      <c r="I9">
        <f>0.7</f>
        <v>0.7</v>
      </c>
      <c r="J9">
        <f>4.5</f>
        <v>4.5</v>
      </c>
    </row>
    <row r="10" spans="1:10" x14ac:dyDescent="0.3">
      <c r="A10" s="1">
        <v>44985</v>
      </c>
      <c r="B10">
        <f>12.9</f>
        <v>12.9</v>
      </c>
      <c r="C10">
        <f>3133.2</f>
        <v>3133.2</v>
      </c>
      <c r="D10">
        <f>86.3</f>
        <v>86.3</v>
      </c>
      <c r="E10">
        <f>11.8</f>
        <v>11.8</v>
      </c>
      <c r="F10">
        <f>94.6</f>
        <v>94.6</v>
      </c>
      <c r="G10" t="e">
        <f>NA()</f>
        <v>#N/A</v>
      </c>
      <c r="H10">
        <f>-1.4</f>
        <v>-1.4</v>
      </c>
      <c r="I10">
        <f>1</f>
        <v>1</v>
      </c>
      <c r="J10" t="e">
        <f>NA()</f>
        <v>#N/A</v>
      </c>
    </row>
    <row r="11" spans="1:10" x14ac:dyDescent="0.3">
      <c r="A11" s="1">
        <v>44957</v>
      </c>
      <c r="B11">
        <f>12.6</f>
        <v>12.6</v>
      </c>
      <c r="C11">
        <f>3184.5</f>
        <v>3184.5</v>
      </c>
      <c r="D11">
        <f>91.5</f>
        <v>91.5</v>
      </c>
      <c r="E11">
        <f>92.6</f>
        <v>92.6</v>
      </c>
      <c r="F11">
        <f>94.4</f>
        <v>94.4</v>
      </c>
      <c r="G11" t="e">
        <f>NA()</f>
        <v>#N/A</v>
      </c>
      <c r="H11">
        <f>-0.8</f>
        <v>-0.8</v>
      </c>
      <c r="I11">
        <f>2.1</f>
        <v>2.1</v>
      </c>
      <c r="J11" t="e">
        <f>NA()</f>
        <v>#N/A</v>
      </c>
    </row>
    <row r="12" spans="1:10" x14ac:dyDescent="0.3">
      <c r="A12" s="1">
        <v>44926</v>
      </c>
      <c r="B12">
        <f>11.8</f>
        <v>11.8</v>
      </c>
      <c r="C12">
        <f>3127.7</f>
        <v>3127.7</v>
      </c>
      <c r="D12">
        <f>90.3</f>
        <v>90.3</v>
      </c>
      <c r="E12">
        <f>70.6</f>
        <v>70.599999999999994</v>
      </c>
      <c r="F12">
        <f>94.4</f>
        <v>94.4</v>
      </c>
      <c r="G12" t="e">
        <f>NA()</f>
        <v>#N/A</v>
      </c>
      <c r="H12">
        <f>-0.7</f>
        <v>-0.7</v>
      </c>
      <c r="I12">
        <f>1.8</f>
        <v>1.8</v>
      </c>
      <c r="J12">
        <f>2.9</f>
        <v>2.9</v>
      </c>
    </row>
    <row r="13" spans="1:10" x14ac:dyDescent="0.3">
      <c r="A13" s="1">
        <v>44895</v>
      </c>
      <c r="B13">
        <f>12.4</f>
        <v>12.4</v>
      </c>
      <c r="C13">
        <f>3117.5</f>
        <v>3117.5</v>
      </c>
      <c r="D13">
        <f>88.4</f>
        <v>88.4</v>
      </c>
      <c r="E13">
        <f>66.5</f>
        <v>66.5</v>
      </c>
      <c r="F13">
        <f>94.4</f>
        <v>94.4</v>
      </c>
      <c r="G13" t="e">
        <f>NA()</f>
        <v>#N/A</v>
      </c>
      <c r="H13">
        <f>-1.3</f>
        <v>-1.3</v>
      </c>
      <c r="I13">
        <f>1.6</f>
        <v>1.6</v>
      </c>
      <c r="J13" t="e">
        <f>NA()</f>
        <v>#N/A</v>
      </c>
    </row>
    <row r="14" spans="1:10" x14ac:dyDescent="0.3">
      <c r="A14" s="1">
        <v>44865</v>
      </c>
      <c r="B14">
        <f>11.8</f>
        <v>11.8</v>
      </c>
      <c r="C14">
        <f>3052.4</f>
        <v>3052.4</v>
      </c>
      <c r="D14">
        <f>87.5</f>
        <v>87.5</v>
      </c>
      <c r="E14">
        <f>82.3</f>
        <v>82.3</v>
      </c>
      <c r="F14">
        <f>94.7</f>
        <v>94.7</v>
      </c>
      <c r="G14" t="e">
        <f>NA()</f>
        <v>#N/A</v>
      </c>
      <c r="H14">
        <f>-1.3</f>
        <v>-1.3</v>
      </c>
      <c r="I14">
        <f>2.1</f>
        <v>2.1</v>
      </c>
      <c r="J14" t="e">
        <f>NA()</f>
        <v>#N/A</v>
      </c>
    </row>
    <row r="15" spans="1:10" x14ac:dyDescent="0.3">
      <c r="A15" s="1">
        <v>44834</v>
      </c>
      <c r="B15">
        <f>12.1</f>
        <v>12.1</v>
      </c>
      <c r="C15">
        <f>3029</f>
        <v>3029</v>
      </c>
      <c r="D15">
        <f>88.7</f>
        <v>88.7</v>
      </c>
      <c r="E15">
        <f>82.7</f>
        <v>82.7</v>
      </c>
      <c r="F15">
        <f>94.8</f>
        <v>94.8</v>
      </c>
      <c r="G15" t="e">
        <f>NA()</f>
        <v>#N/A</v>
      </c>
      <c r="H15">
        <f>0.9</f>
        <v>0.9</v>
      </c>
      <c r="I15">
        <f>2.8</f>
        <v>2.8</v>
      </c>
      <c r="J15">
        <f>3.9</f>
        <v>3.9</v>
      </c>
    </row>
    <row r="16" spans="1:10" x14ac:dyDescent="0.3">
      <c r="A16" s="1">
        <v>44804</v>
      </c>
      <c r="B16">
        <f>12.2</f>
        <v>12.2</v>
      </c>
      <c r="C16">
        <f>3054.9</f>
        <v>3054.9</v>
      </c>
      <c r="D16">
        <f>84.3</f>
        <v>84.3</v>
      </c>
      <c r="E16">
        <f>78.8</f>
        <v>78.8</v>
      </c>
      <c r="F16">
        <f>95</f>
        <v>95</v>
      </c>
      <c r="G16" t="e">
        <f>NA()</f>
        <v>#N/A</v>
      </c>
      <c r="H16">
        <f>2.3</f>
        <v>2.2999999999999998</v>
      </c>
      <c r="I16">
        <f>2.5</f>
        <v>2.5</v>
      </c>
      <c r="J16" t="e">
        <f>NA()</f>
        <v>#N/A</v>
      </c>
    </row>
    <row r="17" spans="1:10" x14ac:dyDescent="0.3">
      <c r="A17" s="1">
        <v>44773</v>
      </c>
      <c r="B17">
        <f>12</f>
        <v>12</v>
      </c>
      <c r="C17">
        <f>3104.1</f>
        <v>3104.1</v>
      </c>
      <c r="D17">
        <f>83.6</f>
        <v>83.6</v>
      </c>
      <c r="E17">
        <f>99.3</f>
        <v>99.3</v>
      </c>
      <c r="F17">
        <f>95.2</f>
        <v>95.2</v>
      </c>
      <c r="G17" t="e">
        <f>NA()</f>
        <v>#N/A</v>
      </c>
      <c r="H17">
        <f>4.2</f>
        <v>4.2</v>
      </c>
      <c r="I17">
        <f>2.7</f>
        <v>2.7</v>
      </c>
      <c r="J17" t="e">
        <f>NA()</f>
        <v>#N/A</v>
      </c>
    </row>
    <row r="18" spans="1:10" x14ac:dyDescent="0.3">
      <c r="A18" s="1">
        <v>44742</v>
      </c>
      <c r="B18">
        <f>11.4</f>
        <v>11.4</v>
      </c>
      <c r="C18">
        <f>3071.3</f>
        <v>3071.3</v>
      </c>
      <c r="D18">
        <f>84.8</f>
        <v>84.8</v>
      </c>
      <c r="E18">
        <f>94.2</f>
        <v>94.2</v>
      </c>
      <c r="F18">
        <f>95.4</f>
        <v>95.4</v>
      </c>
      <c r="G18" t="e">
        <f>NA()</f>
        <v>#N/A</v>
      </c>
      <c r="H18">
        <f>6.1</f>
        <v>6.1</v>
      </c>
      <c r="I18">
        <f>2.5</f>
        <v>2.5</v>
      </c>
      <c r="J18">
        <f>0.4</f>
        <v>0.4</v>
      </c>
    </row>
    <row r="19" spans="1:10" x14ac:dyDescent="0.3">
      <c r="A19" s="1">
        <v>44712</v>
      </c>
      <c r="B19">
        <f>11.1</f>
        <v>11.1</v>
      </c>
      <c r="C19">
        <f>3127.8</f>
        <v>3127.8</v>
      </c>
      <c r="D19">
        <f>81.3</f>
        <v>81.3</v>
      </c>
      <c r="E19">
        <f>77</f>
        <v>77</v>
      </c>
      <c r="F19">
        <f>95.6</f>
        <v>95.6</v>
      </c>
      <c r="G19" t="e">
        <f>NA()</f>
        <v>#N/A</v>
      </c>
      <c r="H19">
        <f>6.4</f>
        <v>6.4</v>
      </c>
      <c r="I19">
        <f>2.1</f>
        <v>2.1</v>
      </c>
      <c r="J19" t="e">
        <f>NA()</f>
        <v>#N/A</v>
      </c>
    </row>
    <row r="20" spans="1:10" x14ac:dyDescent="0.3">
      <c r="A20" s="1">
        <v>44681</v>
      </c>
      <c r="B20">
        <f>10.5</f>
        <v>10.5</v>
      </c>
      <c r="C20">
        <f>3119.7</f>
        <v>3119.7</v>
      </c>
      <c r="D20">
        <f>75.3</f>
        <v>75.3</v>
      </c>
      <c r="E20">
        <f>48</f>
        <v>48</v>
      </c>
      <c r="F20">
        <f>95.9</f>
        <v>95.9</v>
      </c>
      <c r="G20" t="e">
        <f>NA()</f>
        <v>#N/A</v>
      </c>
      <c r="H20">
        <f>8</f>
        <v>8</v>
      </c>
      <c r="I20">
        <f>2.1</f>
        <v>2.1</v>
      </c>
      <c r="J20" t="e">
        <f>NA()</f>
        <v>#N/A</v>
      </c>
    </row>
    <row r="21" spans="1:10" x14ac:dyDescent="0.3">
      <c r="A21" s="1">
        <v>44651</v>
      </c>
      <c r="B21">
        <f>9.7</f>
        <v>9.6999999999999993</v>
      </c>
      <c r="C21">
        <f>3188</f>
        <v>3188</v>
      </c>
      <c r="D21">
        <f>72.7</f>
        <v>72.7</v>
      </c>
      <c r="E21">
        <f>43.4</f>
        <v>43.4</v>
      </c>
      <c r="F21">
        <f>96.6</f>
        <v>96.6</v>
      </c>
      <c r="G21" t="e">
        <f>NA()</f>
        <v>#N/A</v>
      </c>
      <c r="H21">
        <f>8.3</f>
        <v>8.3000000000000007</v>
      </c>
      <c r="I21">
        <f>1.5</f>
        <v>1.5</v>
      </c>
      <c r="J21">
        <f>4.8</f>
        <v>4.8</v>
      </c>
    </row>
    <row r="22" spans="1:10" x14ac:dyDescent="0.3">
      <c r="A22" s="1">
        <v>44620</v>
      </c>
      <c r="B22">
        <f>9.2</f>
        <v>9.1999999999999993</v>
      </c>
      <c r="C22">
        <f>3213.8</f>
        <v>3213.8</v>
      </c>
      <c r="D22">
        <f>69.3</f>
        <v>69.3</v>
      </c>
      <c r="E22">
        <f>27.4</f>
        <v>27.4</v>
      </c>
      <c r="F22">
        <f>96.9</f>
        <v>96.9</v>
      </c>
      <c r="G22" t="e">
        <f>NA()</f>
        <v>#N/A</v>
      </c>
      <c r="H22">
        <f>8.8</f>
        <v>8.8000000000000007</v>
      </c>
      <c r="I22">
        <f>0.9</f>
        <v>0.9</v>
      </c>
      <c r="J22" t="e">
        <f>NA()</f>
        <v>#N/A</v>
      </c>
    </row>
    <row r="23" spans="1:10" x14ac:dyDescent="0.3">
      <c r="A23" s="1">
        <v>44592</v>
      </c>
      <c r="B23">
        <f>9.8</f>
        <v>9.8000000000000007</v>
      </c>
      <c r="C23">
        <f>3221.6</f>
        <v>3221.6</v>
      </c>
      <c r="D23">
        <f>68.9</f>
        <v>68.900000000000006</v>
      </c>
      <c r="E23">
        <f>81</f>
        <v>81</v>
      </c>
      <c r="F23">
        <f>96.8</f>
        <v>96.8</v>
      </c>
      <c r="G23" t="e">
        <f>NA()</f>
        <v>#N/A</v>
      </c>
      <c r="H23">
        <f>9.1</f>
        <v>9.1</v>
      </c>
      <c r="I23">
        <f>0.9</f>
        <v>0.9</v>
      </c>
      <c r="J23" t="e">
        <f>NA()</f>
        <v>#N/A</v>
      </c>
    </row>
    <row r="24" spans="1:10" x14ac:dyDescent="0.3">
      <c r="A24" s="1">
        <v>44561</v>
      </c>
      <c r="B24">
        <f>9</f>
        <v>9</v>
      </c>
      <c r="C24">
        <f>3250.2</f>
        <v>3250.2</v>
      </c>
      <c r="D24">
        <f>70.9</f>
        <v>70.900000000000006</v>
      </c>
      <c r="E24">
        <f>93.2</f>
        <v>93.2</v>
      </c>
      <c r="F24">
        <f>100.3</f>
        <v>100.3</v>
      </c>
      <c r="G24">
        <f>4</f>
        <v>4</v>
      </c>
      <c r="H24">
        <f>10.3</f>
        <v>10.3</v>
      </c>
      <c r="I24">
        <f>1.5</f>
        <v>1.5</v>
      </c>
      <c r="J24">
        <f>4.3</f>
        <v>4.3</v>
      </c>
    </row>
    <row r="25" spans="1:10" x14ac:dyDescent="0.3">
      <c r="A25" s="1">
        <v>44530</v>
      </c>
      <c r="B25">
        <f>8.5</f>
        <v>8.5</v>
      </c>
      <c r="C25">
        <f>3222.4</f>
        <v>3222.4</v>
      </c>
      <c r="D25">
        <f>78.6</f>
        <v>78.599999999999994</v>
      </c>
      <c r="E25">
        <f>71.3</f>
        <v>71.3</v>
      </c>
      <c r="F25">
        <f>100.5</f>
        <v>100.5</v>
      </c>
      <c r="G25" t="e">
        <f>NA()</f>
        <v>#N/A</v>
      </c>
      <c r="H25">
        <f>12.9</f>
        <v>12.9</v>
      </c>
      <c r="I25">
        <f>2.3</f>
        <v>2.2999999999999998</v>
      </c>
      <c r="J25" t="e">
        <f>NA()</f>
        <v>#N/A</v>
      </c>
    </row>
    <row r="26" spans="1:10" x14ac:dyDescent="0.3">
      <c r="A26" s="1">
        <v>44500</v>
      </c>
      <c r="B26">
        <f>8.7</f>
        <v>8.6999999999999993</v>
      </c>
      <c r="C26">
        <f>3217.6</f>
        <v>3217.6</v>
      </c>
      <c r="D26">
        <f>73.9</f>
        <v>73.900000000000006</v>
      </c>
      <c r="E26">
        <f>84.4</f>
        <v>84.4</v>
      </c>
      <c r="F26">
        <f>100.6</f>
        <v>100.6</v>
      </c>
      <c r="G26" t="e">
        <f>NA()</f>
        <v>#N/A</v>
      </c>
      <c r="H26">
        <f>13.5</f>
        <v>13.5</v>
      </c>
      <c r="I26">
        <f>1.5</f>
        <v>1.5</v>
      </c>
      <c r="J26" t="e">
        <f>NA()</f>
        <v>#N/A</v>
      </c>
    </row>
    <row r="27" spans="1:10" x14ac:dyDescent="0.3">
      <c r="A27" s="1">
        <v>44469</v>
      </c>
      <c r="B27">
        <f>8.3</f>
        <v>8.3000000000000007</v>
      </c>
      <c r="C27">
        <f>3200.6</f>
        <v>3200.6</v>
      </c>
      <c r="D27">
        <f>68.8</f>
        <v>68.8</v>
      </c>
      <c r="E27">
        <f>67.5</f>
        <v>67.5</v>
      </c>
      <c r="F27">
        <f>100.7</f>
        <v>100.7</v>
      </c>
      <c r="G27">
        <f>3.9</f>
        <v>3.9</v>
      </c>
      <c r="H27">
        <f>10.7</f>
        <v>10.7</v>
      </c>
      <c r="I27">
        <f>0.7</f>
        <v>0.7</v>
      </c>
      <c r="J27">
        <f>5.2</f>
        <v>5.2</v>
      </c>
    </row>
    <row r="28" spans="1:10" x14ac:dyDescent="0.3">
      <c r="A28" s="1">
        <v>44439</v>
      </c>
      <c r="B28">
        <f>8.2</f>
        <v>8.1999999999999993</v>
      </c>
      <c r="C28">
        <f>3232.1</f>
        <v>3232.1</v>
      </c>
      <c r="D28">
        <f>67.9</f>
        <v>67.900000000000006</v>
      </c>
      <c r="E28">
        <f>58.4</f>
        <v>58.4</v>
      </c>
      <c r="F28">
        <f>100.8</f>
        <v>100.8</v>
      </c>
      <c r="G28" t="e">
        <f>NA()</f>
        <v>#N/A</v>
      </c>
      <c r="H28">
        <f>9.5</f>
        <v>9.5</v>
      </c>
      <c r="I28">
        <f>0.8</f>
        <v>0.8</v>
      </c>
      <c r="J28" t="e">
        <f>NA()</f>
        <v>#N/A</v>
      </c>
    </row>
    <row r="29" spans="1:10" x14ac:dyDescent="0.3">
      <c r="A29" s="1">
        <v>44408</v>
      </c>
      <c r="B29">
        <f>8.3</f>
        <v>8.3000000000000007</v>
      </c>
      <c r="C29">
        <f>3235.9</f>
        <v>3235.9</v>
      </c>
      <c r="D29">
        <f>69.8</f>
        <v>69.8</v>
      </c>
      <c r="E29">
        <f>54.8</f>
        <v>54.8</v>
      </c>
      <c r="F29">
        <f>101</f>
        <v>101</v>
      </c>
      <c r="G29" t="e">
        <f>NA()</f>
        <v>#N/A</v>
      </c>
      <c r="H29">
        <f>9</f>
        <v>9</v>
      </c>
      <c r="I29">
        <f>1</f>
        <v>1</v>
      </c>
      <c r="J29" t="e">
        <f>NA()</f>
        <v>#N/A</v>
      </c>
    </row>
    <row r="30" spans="1:10" x14ac:dyDescent="0.3">
      <c r="A30" s="1">
        <v>44377</v>
      </c>
      <c r="B30">
        <f>8.6</f>
        <v>8.6</v>
      </c>
      <c r="C30">
        <f>3214</f>
        <v>3214</v>
      </c>
      <c r="D30">
        <f>70.4</f>
        <v>70.400000000000006</v>
      </c>
      <c r="E30">
        <f>49.4</f>
        <v>49.4</v>
      </c>
      <c r="F30">
        <f>101.1</f>
        <v>101.1</v>
      </c>
      <c r="G30">
        <f>3.9</f>
        <v>3.9</v>
      </c>
      <c r="H30">
        <f>8.8</f>
        <v>8.8000000000000007</v>
      </c>
      <c r="I30">
        <f>1.1</f>
        <v>1.1000000000000001</v>
      </c>
      <c r="J30">
        <f>8.3</f>
        <v>8.3000000000000007</v>
      </c>
    </row>
    <row r="31" spans="1:10" x14ac:dyDescent="0.3">
      <c r="A31" s="1">
        <v>44347</v>
      </c>
      <c r="B31">
        <f>8.3</f>
        <v>8.3000000000000007</v>
      </c>
      <c r="C31">
        <f>3221.8</f>
        <v>3221.8</v>
      </c>
      <c r="D31">
        <f>74.1</f>
        <v>74.099999999999994</v>
      </c>
      <c r="E31">
        <f>42.8</f>
        <v>42.8</v>
      </c>
      <c r="F31">
        <f>101.2</f>
        <v>101.2</v>
      </c>
      <c r="G31" t="e">
        <f>NA()</f>
        <v>#N/A</v>
      </c>
      <c r="H31">
        <f>9</f>
        <v>9</v>
      </c>
      <c r="I31">
        <f>1.3</f>
        <v>1.3</v>
      </c>
      <c r="J31" t="e">
        <f>NA()</f>
        <v>#N/A</v>
      </c>
    </row>
    <row r="32" spans="1:10" x14ac:dyDescent="0.3">
      <c r="A32" s="1">
        <v>44316</v>
      </c>
      <c r="B32">
        <f>8.1</f>
        <v>8.1</v>
      </c>
      <c r="C32">
        <f>3198.2</f>
        <v>3198.2</v>
      </c>
      <c r="D32">
        <f>73.6</f>
        <v>73.599999999999994</v>
      </c>
      <c r="E32">
        <f>40.5</f>
        <v>40.5</v>
      </c>
      <c r="F32">
        <f>101.3</f>
        <v>101.3</v>
      </c>
      <c r="G32" t="e">
        <f>NA()</f>
        <v>#N/A</v>
      </c>
      <c r="H32">
        <f>6.8</f>
        <v>6.8</v>
      </c>
      <c r="I32">
        <f>0.9</f>
        <v>0.9</v>
      </c>
      <c r="J32" t="e">
        <f>NA()</f>
        <v>#N/A</v>
      </c>
    </row>
    <row r="33" spans="1:10" x14ac:dyDescent="0.3">
      <c r="A33" s="1">
        <v>44286</v>
      </c>
      <c r="B33">
        <f>9.4</f>
        <v>9.4</v>
      </c>
      <c r="C33">
        <f>3170</f>
        <v>3170</v>
      </c>
      <c r="D33">
        <f>69</f>
        <v>69</v>
      </c>
      <c r="E33">
        <f>11.6</f>
        <v>11.6</v>
      </c>
      <c r="F33">
        <f>101.3</f>
        <v>101.3</v>
      </c>
      <c r="G33">
        <f>3.9</f>
        <v>3.9</v>
      </c>
      <c r="H33">
        <f>4.4</f>
        <v>4.4000000000000004</v>
      </c>
      <c r="I33">
        <f>0.4</f>
        <v>0.4</v>
      </c>
      <c r="J33">
        <f>18.7</f>
        <v>18.7</v>
      </c>
    </row>
    <row r="34" spans="1:10" x14ac:dyDescent="0.3">
      <c r="A34" s="1">
        <v>44255</v>
      </c>
      <c r="B34">
        <f>10.1</f>
        <v>10.1</v>
      </c>
      <c r="C34">
        <f>3205</f>
        <v>3205</v>
      </c>
      <c r="D34">
        <f>64.6</f>
        <v>64.599999999999994</v>
      </c>
      <c r="E34">
        <f>35</f>
        <v>35</v>
      </c>
      <c r="F34">
        <f>101.4</f>
        <v>101.4</v>
      </c>
      <c r="G34" t="e">
        <f>NA()</f>
        <v>#N/A</v>
      </c>
      <c r="H34">
        <f>1.7</f>
        <v>1.7</v>
      </c>
      <c r="I34">
        <f>-0.2</f>
        <v>-0.2</v>
      </c>
      <c r="J34" t="e">
        <f>NA()</f>
        <v>#N/A</v>
      </c>
    </row>
    <row r="35" spans="1:10" x14ac:dyDescent="0.3">
      <c r="A35" s="1">
        <v>44227</v>
      </c>
      <c r="B35">
        <f>9.4</f>
        <v>9.4</v>
      </c>
      <c r="C35">
        <f>3210.7</f>
        <v>3210.7</v>
      </c>
      <c r="D35">
        <f>63.4</f>
        <v>63.4</v>
      </c>
      <c r="E35">
        <f>61.4</f>
        <v>61.4</v>
      </c>
      <c r="F35">
        <f>101.1</f>
        <v>101.1</v>
      </c>
      <c r="G35" t="e">
        <f>NA()</f>
        <v>#N/A</v>
      </c>
      <c r="H35">
        <f>0.3</f>
        <v>0.3</v>
      </c>
      <c r="I35">
        <f>-0.3</f>
        <v>-0.3</v>
      </c>
      <c r="J35" t="e">
        <f>NA()</f>
        <v>#N/A</v>
      </c>
    </row>
    <row r="36" spans="1:10" x14ac:dyDescent="0.3">
      <c r="A36" s="1">
        <v>44196</v>
      </c>
      <c r="B36">
        <f>10.1</f>
        <v>10.1</v>
      </c>
      <c r="C36">
        <f>3216.5</f>
        <v>3216.5</v>
      </c>
      <c r="D36">
        <f>66.4</f>
        <v>66.400000000000006</v>
      </c>
      <c r="E36">
        <f>78.2</f>
        <v>78.2</v>
      </c>
      <c r="F36">
        <f>100.9</f>
        <v>100.9</v>
      </c>
      <c r="G36">
        <f>4.2</f>
        <v>4.2</v>
      </c>
      <c r="H36">
        <f>-0.4</f>
        <v>-0.4</v>
      </c>
      <c r="I36">
        <f>0.2</f>
        <v>0.2</v>
      </c>
      <c r="J36">
        <f>6.4</f>
        <v>6.4</v>
      </c>
    </row>
    <row r="37" spans="1:10" x14ac:dyDescent="0.3">
      <c r="A37" s="1">
        <v>44165</v>
      </c>
      <c r="B37">
        <f>10.7</f>
        <v>10.7</v>
      </c>
      <c r="C37">
        <f>3178.5</f>
        <v>3178.5</v>
      </c>
      <c r="D37">
        <f>61.6</f>
        <v>61.6</v>
      </c>
      <c r="E37">
        <f>75.5</f>
        <v>75.5</v>
      </c>
      <c r="F37">
        <f>100.6</f>
        <v>100.6</v>
      </c>
      <c r="G37" t="e">
        <f>NA()</f>
        <v>#N/A</v>
      </c>
      <c r="H37">
        <f>-1.5</f>
        <v>-1.5</v>
      </c>
      <c r="I37">
        <f>-0.5</f>
        <v>-0.5</v>
      </c>
      <c r="J37" t="e">
        <f>NA()</f>
        <v>#N/A</v>
      </c>
    </row>
    <row r="38" spans="1:10" x14ac:dyDescent="0.3">
      <c r="A38" s="1">
        <v>44135</v>
      </c>
      <c r="B38">
        <f>10.5</f>
        <v>10.5</v>
      </c>
      <c r="C38">
        <f>3128</f>
        <v>3128</v>
      </c>
      <c r="D38">
        <f>68.2</f>
        <v>68.2</v>
      </c>
      <c r="E38">
        <f>58.1</f>
        <v>58.1</v>
      </c>
      <c r="F38">
        <f>100.6</f>
        <v>100.6</v>
      </c>
      <c r="G38" t="e">
        <f>NA()</f>
        <v>#N/A</v>
      </c>
      <c r="H38">
        <f>-2.1</f>
        <v>-2.1</v>
      </c>
      <c r="I38">
        <f>0.5</f>
        <v>0.5</v>
      </c>
      <c r="J38" t="e">
        <f>NA()</f>
        <v>#N/A</v>
      </c>
    </row>
    <row r="39" spans="1:10" x14ac:dyDescent="0.3">
      <c r="A39" s="1">
        <v>44104</v>
      </c>
      <c r="B39">
        <f>10.9</f>
        <v>10.9</v>
      </c>
      <c r="C39">
        <f>3142.6</f>
        <v>3142.6</v>
      </c>
      <c r="D39">
        <f>77.6</f>
        <v>77.599999999999994</v>
      </c>
      <c r="E39">
        <f>36.8</f>
        <v>36.799999999999997</v>
      </c>
      <c r="F39">
        <f>100.5</f>
        <v>100.5</v>
      </c>
      <c r="G39">
        <f>4.2</f>
        <v>4.2</v>
      </c>
      <c r="H39">
        <f>-2.1</f>
        <v>-2.1</v>
      </c>
      <c r="I39">
        <f>1.7</f>
        <v>1.7</v>
      </c>
      <c r="J39">
        <f>4.8</f>
        <v>4.8</v>
      </c>
    </row>
    <row r="40" spans="1:10" x14ac:dyDescent="0.3">
      <c r="A40" s="1">
        <v>44074</v>
      </c>
      <c r="B40">
        <f>10.4</f>
        <v>10.4</v>
      </c>
      <c r="C40">
        <f>3164.6</f>
        <v>3164.6</v>
      </c>
      <c r="D40">
        <f>85.7</f>
        <v>85.7</v>
      </c>
      <c r="E40">
        <f>58.5</f>
        <v>58.5</v>
      </c>
      <c r="F40">
        <f>100.4</f>
        <v>100.4</v>
      </c>
      <c r="G40" t="e">
        <f>NA()</f>
        <v>#N/A</v>
      </c>
      <c r="H40">
        <f>-2</f>
        <v>-2</v>
      </c>
      <c r="I40">
        <f>2.4</f>
        <v>2.4</v>
      </c>
      <c r="J40" t="e">
        <f>NA()</f>
        <v>#N/A</v>
      </c>
    </row>
    <row r="41" spans="1:10" x14ac:dyDescent="0.3">
      <c r="A41" s="1">
        <v>44043</v>
      </c>
      <c r="B41">
        <f>10.7</f>
        <v>10.7</v>
      </c>
      <c r="C41">
        <f>3154.4</f>
        <v>3154.4</v>
      </c>
      <c r="D41">
        <f>90.2</f>
        <v>90.2</v>
      </c>
      <c r="E41">
        <f>61.9</f>
        <v>61.9</v>
      </c>
      <c r="F41">
        <f>100.1</f>
        <v>100.1</v>
      </c>
      <c r="G41" t="e">
        <f>NA()</f>
        <v>#N/A</v>
      </c>
      <c r="H41">
        <f>-2.4</f>
        <v>-2.4</v>
      </c>
      <c r="I41">
        <f>2.7</f>
        <v>2.7</v>
      </c>
      <c r="J41" t="e">
        <f>NA()</f>
        <v>#N/A</v>
      </c>
    </row>
    <row r="42" spans="1:10" x14ac:dyDescent="0.3">
      <c r="A42" s="1">
        <v>44012</v>
      </c>
      <c r="B42">
        <f>11.1</f>
        <v>11.1</v>
      </c>
      <c r="C42">
        <f>3112.3</f>
        <v>3112.3</v>
      </c>
      <c r="D42">
        <f>89</f>
        <v>89</v>
      </c>
      <c r="E42">
        <f>46.3</f>
        <v>46.3</v>
      </c>
      <c r="F42">
        <f>99.9</f>
        <v>99.9</v>
      </c>
      <c r="G42">
        <f>3.8</f>
        <v>3.8</v>
      </c>
      <c r="H42">
        <f>-3</f>
        <v>-3</v>
      </c>
      <c r="I42">
        <f>2.5</f>
        <v>2.5</v>
      </c>
      <c r="J42">
        <f>3.1</f>
        <v>3.1</v>
      </c>
    </row>
    <row r="43" spans="1:10" x14ac:dyDescent="0.3">
      <c r="A43" s="1">
        <v>43982</v>
      </c>
      <c r="B43">
        <f>11.1</f>
        <v>11.1</v>
      </c>
      <c r="C43">
        <f>3101.7</f>
        <v>3101.7</v>
      </c>
      <c r="D43">
        <f>88.7</f>
        <v>88.7</v>
      </c>
      <c r="E43">
        <f>62.6</f>
        <v>62.6</v>
      </c>
      <c r="F43">
        <f>99.5</f>
        <v>99.5</v>
      </c>
      <c r="G43" t="e">
        <f>NA()</f>
        <v>#N/A</v>
      </c>
      <c r="H43">
        <f>-3.7</f>
        <v>-3.7</v>
      </c>
      <c r="I43">
        <f>2.4</f>
        <v>2.4</v>
      </c>
      <c r="J43" t="e">
        <f>NA()</f>
        <v>#N/A</v>
      </c>
    </row>
    <row r="44" spans="1:10" x14ac:dyDescent="0.3">
      <c r="A44" s="1">
        <v>43951</v>
      </c>
      <c r="B44">
        <f>11.1</f>
        <v>11.1</v>
      </c>
      <c r="C44">
        <f>3091.5</f>
        <v>3091.5</v>
      </c>
      <c r="D44">
        <f>95</f>
        <v>95</v>
      </c>
      <c r="E44">
        <f>44.9</f>
        <v>44.9</v>
      </c>
      <c r="F44">
        <f>99</f>
        <v>99</v>
      </c>
      <c r="G44" t="e">
        <f>NA()</f>
        <v>#N/A</v>
      </c>
      <c r="H44">
        <f>-3.1</f>
        <v>-3.1</v>
      </c>
      <c r="I44">
        <f>3.3</f>
        <v>3.3</v>
      </c>
      <c r="J44" t="e">
        <f>NA()</f>
        <v>#N/A</v>
      </c>
    </row>
    <row r="45" spans="1:10" x14ac:dyDescent="0.3">
      <c r="A45" s="1">
        <v>43921</v>
      </c>
      <c r="B45">
        <f>10.1</f>
        <v>10.1</v>
      </c>
      <c r="C45">
        <f>3060.6</f>
        <v>3060.6</v>
      </c>
      <c r="D45">
        <f>101.3</f>
        <v>101.3</v>
      </c>
      <c r="E45">
        <f>19.8</f>
        <v>19.8</v>
      </c>
      <c r="F45">
        <f>98.3</f>
        <v>98.3</v>
      </c>
      <c r="G45">
        <f>3.7</f>
        <v>3.7</v>
      </c>
      <c r="H45">
        <f>-1.5</f>
        <v>-1.5</v>
      </c>
      <c r="I45">
        <f>4.3</f>
        <v>4.3</v>
      </c>
      <c r="J45">
        <f>-6.9</f>
        <v>-6.9</v>
      </c>
    </row>
    <row r="46" spans="1:10" x14ac:dyDescent="0.3">
      <c r="A46" s="1">
        <v>43890</v>
      </c>
      <c r="B46">
        <f>8.8</f>
        <v>8.8000000000000007</v>
      </c>
      <c r="C46">
        <f>3106.7</f>
        <v>3106.7</v>
      </c>
      <c r="D46">
        <f>106.2</f>
        <v>106.2</v>
      </c>
      <c r="E46">
        <f>-62.1</f>
        <v>-62.1</v>
      </c>
      <c r="F46">
        <f>97.5</f>
        <v>97.5</v>
      </c>
      <c r="G46" t="e">
        <f>NA()</f>
        <v>#N/A</v>
      </c>
      <c r="H46">
        <f>-0.4</f>
        <v>-0.4</v>
      </c>
      <c r="I46">
        <f>5.2</f>
        <v>5.2</v>
      </c>
      <c r="J46" t="e">
        <f>NA()</f>
        <v>#N/A</v>
      </c>
    </row>
    <row r="47" spans="1:10" x14ac:dyDescent="0.3">
      <c r="A47" s="1">
        <v>43861</v>
      </c>
      <c r="B47">
        <f>8.4</f>
        <v>8.4</v>
      </c>
      <c r="C47">
        <f>3115.5</f>
        <v>3115.5</v>
      </c>
      <c r="D47">
        <f>106.8</f>
        <v>106.8</v>
      </c>
      <c r="E47">
        <f>54.7</f>
        <v>54.7</v>
      </c>
      <c r="F47">
        <f>100.3</f>
        <v>100.3</v>
      </c>
      <c r="G47" t="e">
        <f>NA()</f>
        <v>#N/A</v>
      </c>
      <c r="H47">
        <f>0.1</f>
        <v>0.1</v>
      </c>
      <c r="I47">
        <f>5.4</f>
        <v>5.4</v>
      </c>
      <c r="J47" t="e">
        <f>NA()</f>
        <v>#N/A</v>
      </c>
    </row>
    <row r="48" spans="1:10" x14ac:dyDescent="0.3">
      <c r="A48" s="1">
        <v>43830</v>
      </c>
      <c r="B48">
        <f>8.7</f>
        <v>8.6999999999999993</v>
      </c>
      <c r="C48">
        <f>3107.9</f>
        <v>3107.9</v>
      </c>
      <c r="D48">
        <f>101.9</f>
        <v>101.9</v>
      </c>
      <c r="E48">
        <f>47.2</f>
        <v>47.2</v>
      </c>
      <c r="F48">
        <f>101.3</f>
        <v>101.3</v>
      </c>
      <c r="G48">
        <f>3.6</f>
        <v>3.6</v>
      </c>
      <c r="H48">
        <f>-0.5</f>
        <v>-0.5</v>
      </c>
      <c r="I48">
        <f>4.5</f>
        <v>4.5</v>
      </c>
      <c r="J48">
        <f>5.8</f>
        <v>5.8</v>
      </c>
    </row>
    <row r="49" spans="1:10" x14ac:dyDescent="0.3">
      <c r="A49" s="1">
        <v>43799</v>
      </c>
      <c r="B49">
        <f>8.2</f>
        <v>8.1999999999999993</v>
      </c>
      <c r="C49">
        <f>3095.6</f>
        <v>3095.6</v>
      </c>
      <c r="D49">
        <f>100.6</f>
        <v>100.6</v>
      </c>
      <c r="E49">
        <f>37.6</f>
        <v>37.6</v>
      </c>
      <c r="F49">
        <f>101.3</f>
        <v>101.3</v>
      </c>
      <c r="G49" t="e">
        <f>NA()</f>
        <v>#N/A</v>
      </c>
      <c r="H49">
        <f>-1.4</f>
        <v>-1.4</v>
      </c>
      <c r="I49">
        <f>4.5</f>
        <v>4.5</v>
      </c>
      <c r="J49" t="e">
        <f>NA()</f>
        <v>#N/A</v>
      </c>
    </row>
    <row r="50" spans="1:10" x14ac:dyDescent="0.3">
      <c r="A50" s="1">
        <v>43769</v>
      </c>
      <c r="B50">
        <f>8.4</f>
        <v>8.4</v>
      </c>
      <c r="C50">
        <f>3105.2</f>
        <v>3105.2</v>
      </c>
      <c r="D50">
        <f>97.1</f>
        <v>97.1</v>
      </c>
      <c r="E50">
        <f>42.5</f>
        <v>42.5</v>
      </c>
      <c r="F50">
        <f>101.3</f>
        <v>101.3</v>
      </c>
      <c r="G50" t="e">
        <f>NA()</f>
        <v>#N/A</v>
      </c>
      <c r="H50">
        <f>-1.6</f>
        <v>-1.6</v>
      </c>
      <c r="I50">
        <f>3.8</f>
        <v>3.8</v>
      </c>
      <c r="J50" t="e">
        <f>NA()</f>
        <v>#N/A</v>
      </c>
    </row>
    <row r="51" spans="1:10" x14ac:dyDescent="0.3">
      <c r="A51" s="1">
        <v>43738</v>
      </c>
      <c r="B51">
        <f>8.4</f>
        <v>8.4</v>
      </c>
      <c r="C51">
        <f>3092.4</f>
        <v>3092.4</v>
      </c>
      <c r="D51">
        <f>93.2</f>
        <v>93.2</v>
      </c>
      <c r="E51">
        <f>39</f>
        <v>39</v>
      </c>
      <c r="F51">
        <f>101.2</f>
        <v>101.2</v>
      </c>
      <c r="G51">
        <f>3.6</f>
        <v>3.6</v>
      </c>
      <c r="H51">
        <f>-1.2</f>
        <v>-1.2</v>
      </c>
      <c r="I51">
        <f>3</f>
        <v>3</v>
      </c>
      <c r="J51">
        <f>5.9</f>
        <v>5.9</v>
      </c>
    </row>
    <row r="52" spans="1:10" x14ac:dyDescent="0.3">
      <c r="A52" s="1">
        <v>43708</v>
      </c>
      <c r="B52">
        <f>8.2</f>
        <v>8.1999999999999993</v>
      </c>
      <c r="C52">
        <f>3107.2</f>
        <v>3107.2</v>
      </c>
      <c r="D52">
        <f>91.1</f>
        <v>91.1</v>
      </c>
      <c r="E52">
        <f>34.6</f>
        <v>34.6</v>
      </c>
      <c r="F52">
        <f>101.1</f>
        <v>101.1</v>
      </c>
      <c r="G52" t="e">
        <f>NA()</f>
        <v>#N/A</v>
      </c>
      <c r="H52">
        <f>-0.8</f>
        <v>-0.8</v>
      </c>
      <c r="I52">
        <f>2.8</f>
        <v>2.8</v>
      </c>
      <c r="J52" t="e">
        <f>NA()</f>
        <v>#N/A</v>
      </c>
    </row>
    <row r="53" spans="1:10" x14ac:dyDescent="0.3">
      <c r="A53" s="1">
        <v>43677</v>
      </c>
      <c r="B53">
        <f>8.1</f>
        <v>8.1</v>
      </c>
      <c r="C53">
        <f>3103.7</f>
        <v>3103.7</v>
      </c>
      <c r="D53">
        <f>90.8</f>
        <v>90.8</v>
      </c>
      <c r="E53">
        <f>44.1</f>
        <v>44.1</v>
      </c>
      <c r="F53">
        <f>101.1</f>
        <v>101.1</v>
      </c>
      <c r="G53" t="e">
        <f>NA()</f>
        <v>#N/A</v>
      </c>
      <c r="H53">
        <f>-0.3</f>
        <v>-0.3</v>
      </c>
      <c r="I53">
        <f>2.8</f>
        <v>2.8</v>
      </c>
      <c r="J53" t="e">
        <f>NA()</f>
        <v>#N/A</v>
      </c>
    </row>
    <row r="54" spans="1:10" x14ac:dyDescent="0.3">
      <c r="A54" s="1">
        <v>43646</v>
      </c>
      <c r="B54">
        <f>8.5</f>
        <v>8.5</v>
      </c>
      <c r="C54">
        <f>3119.2</f>
        <v>3119.2</v>
      </c>
      <c r="D54">
        <f>96.6</f>
        <v>96.6</v>
      </c>
      <c r="E54">
        <f>49.6</f>
        <v>49.6</v>
      </c>
      <c r="F54">
        <f>101.1</f>
        <v>101.1</v>
      </c>
      <c r="G54">
        <f>3.6</f>
        <v>3.6</v>
      </c>
      <c r="H54">
        <f>0</f>
        <v>0</v>
      </c>
      <c r="I54">
        <f>2.7</f>
        <v>2.7</v>
      </c>
      <c r="J54">
        <f>6</f>
        <v>6</v>
      </c>
    </row>
    <row r="55" spans="1:10" x14ac:dyDescent="0.3">
      <c r="A55" s="1">
        <v>43616</v>
      </c>
      <c r="B55">
        <f>8.5</f>
        <v>8.5</v>
      </c>
      <c r="C55">
        <f>3101</f>
        <v>3101</v>
      </c>
      <c r="D55">
        <f>96.6</f>
        <v>96.6</v>
      </c>
      <c r="E55">
        <f>41.3</f>
        <v>41.3</v>
      </c>
      <c r="F55">
        <f>101.1</f>
        <v>101.1</v>
      </c>
      <c r="G55" t="e">
        <f>NA()</f>
        <v>#N/A</v>
      </c>
      <c r="H55">
        <f>0.6</f>
        <v>0.6</v>
      </c>
      <c r="I55">
        <f>2.7</f>
        <v>2.7</v>
      </c>
      <c r="J55" t="e">
        <f>NA()</f>
        <v>#N/A</v>
      </c>
    </row>
    <row r="56" spans="1:10" x14ac:dyDescent="0.3">
      <c r="A56" s="1">
        <v>43585</v>
      </c>
      <c r="B56">
        <f>8.5</f>
        <v>8.5</v>
      </c>
      <c r="C56">
        <f>3095</f>
        <v>3095</v>
      </c>
      <c r="D56">
        <f>92.6</f>
        <v>92.6</v>
      </c>
      <c r="E56">
        <f>13.1</f>
        <v>13.1</v>
      </c>
      <c r="F56">
        <f>101.1</f>
        <v>101.1</v>
      </c>
      <c r="G56" t="e">
        <f>NA()</f>
        <v>#N/A</v>
      </c>
      <c r="H56">
        <f>0.9</f>
        <v>0.9</v>
      </c>
      <c r="I56">
        <f>2.5</f>
        <v>2.5</v>
      </c>
      <c r="J56" t="e">
        <f>NA()</f>
        <v>#N/A</v>
      </c>
    </row>
    <row r="57" spans="1:10" x14ac:dyDescent="0.3">
      <c r="A57" s="1">
        <v>43555</v>
      </c>
      <c r="B57">
        <f>8.6</f>
        <v>8.6</v>
      </c>
      <c r="C57">
        <f>3098.8</f>
        <v>3098.8</v>
      </c>
      <c r="D57">
        <f>90.4</f>
        <v>90.4</v>
      </c>
      <c r="E57">
        <f>31.5</f>
        <v>31.5</v>
      </c>
      <c r="F57">
        <f>101</f>
        <v>101</v>
      </c>
      <c r="G57">
        <f>3.7</f>
        <v>3.7</v>
      </c>
      <c r="H57">
        <f>0.4</f>
        <v>0.4</v>
      </c>
      <c r="I57">
        <f>2.3</f>
        <v>2.2999999999999998</v>
      </c>
      <c r="J57">
        <f>6.3</f>
        <v>6.3</v>
      </c>
    </row>
    <row r="58" spans="1:10" x14ac:dyDescent="0.3">
      <c r="A58" s="1">
        <v>43524</v>
      </c>
      <c r="B58">
        <f>8</f>
        <v>8</v>
      </c>
      <c r="C58">
        <f>3090.2</f>
        <v>3090.2</v>
      </c>
      <c r="D58">
        <f>84.8</f>
        <v>84.8</v>
      </c>
      <c r="E58">
        <f>3</f>
        <v>3</v>
      </c>
      <c r="F58">
        <f>100.8</f>
        <v>100.8</v>
      </c>
      <c r="G58" t="e">
        <f>NA()</f>
        <v>#N/A</v>
      </c>
      <c r="H58">
        <f>0.1</f>
        <v>0.1</v>
      </c>
      <c r="I58">
        <f>1.5</f>
        <v>1.5</v>
      </c>
      <c r="J58" t="e">
        <f>NA()</f>
        <v>#N/A</v>
      </c>
    </row>
    <row r="59" spans="1:10" x14ac:dyDescent="0.3">
      <c r="A59" s="1">
        <v>43496</v>
      </c>
      <c r="B59">
        <f>8.4</f>
        <v>8.4</v>
      </c>
      <c r="C59">
        <f>3087.9</f>
        <v>3087.9</v>
      </c>
      <c r="D59">
        <f>84.2</f>
        <v>84.2</v>
      </c>
      <c r="E59">
        <f>38.4</f>
        <v>38.4</v>
      </c>
      <c r="F59">
        <f>101.1</f>
        <v>101.1</v>
      </c>
      <c r="G59" t="e">
        <f>NA()</f>
        <v>#N/A</v>
      </c>
      <c r="H59">
        <f>0.1</f>
        <v>0.1</v>
      </c>
      <c r="I59">
        <f>1.7</f>
        <v>1.7</v>
      </c>
      <c r="J59" t="e">
        <f>NA()</f>
        <v>#N/A</v>
      </c>
    </row>
    <row r="60" spans="1:10" x14ac:dyDescent="0.3">
      <c r="A60" s="1">
        <v>43465</v>
      </c>
      <c r="B60">
        <f>8.1</f>
        <v>8.1</v>
      </c>
      <c r="C60">
        <f>3072.7</f>
        <v>3072.7</v>
      </c>
      <c r="D60">
        <f>85.2</f>
        <v>85.2</v>
      </c>
      <c r="E60">
        <f>57.1</f>
        <v>57.1</v>
      </c>
      <c r="F60">
        <f>101.9</f>
        <v>101.9</v>
      </c>
      <c r="G60">
        <f>3.8</f>
        <v>3.8</v>
      </c>
      <c r="H60">
        <f>0.9</f>
        <v>0.9</v>
      </c>
      <c r="I60">
        <f>1.9</f>
        <v>1.9</v>
      </c>
      <c r="J60">
        <f>6.5</f>
        <v>6.5</v>
      </c>
    </row>
    <row r="61" spans="1:10" x14ac:dyDescent="0.3">
      <c r="A61" s="1">
        <v>43434</v>
      </c>
      <c r="B61">
        <f>8</f>
        <v>8</v>
      </c>
      <c r="C61">
        <f>3061.7</f>
        <v>3061.7</v>
      </c>
      <c r="D61">
        <f>87.6</f>
        <v>87.6</v>
      </c>
      <c r="E61">
        <f>41.9</f>
        <v>41.9</v>
      </c>
      <c r="F61">
        <f>102</f>
        <v>102</v>
      </c>
      <c r="G61" t="e">
        <f>NA()</f>
        <v>#N/A</v>
      </c>
      <c r="H61">
        <f>2.7</f>
        <v>2.7</v>
      </c>
      <c r="I61">
        <f>2.2</f>
        <v>2.2000000000000002</v>
      </c>
      <c r="J61" t="e">
        <f>NA()</f>
        <v>#N/A</v>
      </c>
    </row>
    <row r="62" spans="1:10" x14ac:dyDescent="0.3">
      <c r="A62" s="1">
        <v>43404</v>
      </c>
      <c r="B62">
        <f>8</f>
        <v>8</v>
      </c>
      <c r="C62">
        <f>3053.1</f>
        <v>3053.1</v>
      </c>
      <c r="D62">
        <f>90.2</f>
        <v>90.2</v>
      </c>
      <c r="E62">
        <f>33.1</f>
        <v>33.1</v>
      </c>
      <c r="F62">
        <f>102</f>
        <v>102</v>
      </c>
      <c r="G62" t="e">
        <f>NA()</f>
        <v>#N/A</v>
      </c>
      <c r="H62">
        <f>3.3</f>
        <v>3.3</v>
      </c>
      <c r="I62">
        <f>2.5</f>
        <v>2.5</v>
      </c>
      <c r="J62" t="e">
        <f>NA()</f>
        <v>#N/A</v>
      </c>
    </row>
    <row r="63" spans="1:10" x14ac:dyDescent="0.3">
      <c r="A63" s="1">
        <v>43373</v>
      </c>
      <c r="B63">
        <f>8.3</f>
        <v>8.3000000000000007</v>
      </c>
      <c r="C63">
        <f>3087</f>
        <v>3087</v>
      </c>
      <c r="D63">
        <f>89</f>
        <v>89</v>
      </c>
      <c r="E63">
        <f>30.4</f>
        <v>30.4</v>
      </c>
      <c r="F63">
        <f>102</f>
        <v>102</v>
      </c>
      <c r="G63">
        <f>3.8</f>
        <v>3.8</v>
      </c>
      <c r="H63">
        <f>3.6</f>
        <v>3.6</v>
      </c>
      <c r="I63">
        <f>2.5</f>
        <v>2.5</v>
      </c>
      <c r="J63">
        <f>6.7</f>
        <v>6.7</v>
      </c>
    </row>
    <row r="64" spans="1:10" x14ac:dyDescent="0.3">
      <c r="A64" s="1">
        <v>43343</v>
      </c>
      <c r="B64">
        <f>8.2</f>
        <v>8.1999999999999993</v>
      </c>
      <c r="C64">
        <f>3109.7</f>
        <v>3109.7</v>
      </c>
      <c r="D64">
        <f>86.5</f>
        <v>86.5</v>
      </c>
      <c r="E64">
        <f>26.3</f>
        <v>26.3</v>
      </c>
      <c r="F64">
        <f>102</f>
        <v>102</v>
      </c>
      <c r="G64" t="e">
        <f>NA()</f>
        <v>#N/A</v>
      </c>
      <c r="H64">
        <f>4.1</f>
        <v>4.0999999999999996</v>
      </c>
      <c r="I64">
        <f>2.3</f>
        <v>2.2999999999999998</v>
      </c>
      <c r="J64" t="e">
        <f>NA()</f>
        <v>#N/A</v>
      </c>
    </row>
    <row r="65" spans="1:10" x14ac:dyDescent="0.3">
      <c r="A65" s="1">
        <v>43312</v>
      </c>
      <c r="B65">
        <f>8.5</f>
        <v>8.5</v>
      </c>
      <c r="C65">
        <f>3117.9</f>
        <v>3117.9</v>
      </c>
      <c r="D65">
        <f>82.3</f>
        <v>82.3</v>
      </c>
      <c r="E65">
        <f>27.4</f>
        <v>27.4</v>
      </c>
      <c r="F65">
        <f>101.9</f>
        <v>101.9</v>
      </c>
      <c r="G65" t="e">
        <f>NA()</f>
        <v>#N/A</v>
      </c>
      <c r="H65">
        <f>4.6</f>
        <v>4.5999999999999996</v>
      </c>
      <c r="I65">
        <f>2.1</f>
        <v>2.1</v>
      </c>
      <c r="J65" t="e">
        <f>NA()</f>
        <v>#N/A</v>
      </c>
    </row>
    <row r="66" spans="1:10" x14ac:dyDescent="0.3">
      <c r="A66" s="1">
        <v>43281</v>
      </c>
      <c r="B66">
        <f>8</f>
        <v>8</v>
      </c>
      <c r="C66">
        <f>3112.1</f>
        <v>3112.1</v>
      </c>
      <c r="D66">
        <f>74.6</f>
        <v>74.599999999999994</v>
      </c>
      <c r="E66">
        <f>40.9</f>
        <v>40.9</v>
      </c>
      <c r="F66">
        <f>101.7</f>
        <v>101.7</v>
      </c>
      <c r="G66">
        <f>3.8</f>
        <v>3.8</v>
      </c>
      <c r="H66">
        <f>4.7</f>
        <v>4.7</v>
      </c>
      <c r="I66">
        <f>1.9</f>
        <v>1.9</v>
      </c>
      <c r="J66">
        <f>6.9</f>
        <v>6.9</v>
      </c>
    </row>
    <row r="67" spans="1:10" x14ac:dyDescent="0.3">
      <c r="A67" s="1">
        <v>43251</v>
      </c>
      <c r="B67">
        <f>8.3</f>
        <v>8.3000000000000007</v>
      </c>
      <c r="C67">
        <f>3110.6</f>
        <v>3110.6</v>
      </c>
      <c r="D67">
        <f>72</f>
        <v>72</v>
      </c>
      <c r="E67">
        <f>23.4</f>
        <v>23.4</v>
      </c>
      <c r="F67">
        <f>101.6</f>
        <v>101.6</v>
      </c>
      <c r="G67" t="e">
        <f>NA()</f>
        <v>#N/A</v>
      </c>
      <c r="H67">
        <f>4.1</f>
        <v>4.0999999999999996</v>
      </c>
      <c r="I67">
        <f>1.8</f>
        <v>1.8</v>
      </c>
      <c r="J67" t="e">
        <f>NA()</f>
        <v>#N/A</v>
      </c>
    </row>
    <row r="68" spans="1:10" x14ac:dyDescent="0.3">
      <c r="A68" s="1">
        <v>43220</v>
      </c>
      <c r="B68">
        <f>8.3</f>
        <v>8.3000000000000007</v>
      </c>
      <c r="C68">
        <f>3124.9</f>
        <v>3124.9</v>
      </c>
      <c r="D68">
        <f>75.1</f>
        <v>75.099999999999994</v>
      </c>
      <c r="E68">
        <f>26.3</f>
        <v>26.3</v>
      </c>
      <c r="F68">
        <f>101.4</f>
        <v>101.4</v>
      </c>
      <c r="G68" t="e">
        <f>NA()</f>
        <v>#N/A</v>
      </c>
      <c r="H68">
        <f>3.4</f>
        <v>3.4</v>
      </c>
      <c r="I68">
        <f>1.8</f>
        <v>1.8</v>
      </c>
      <c r="J68" t="e">
        <f>NA()</f>
        <v>#N/A</v>
      </c>
    </row>
    <row r="69" spans="1:10" x14ac:dyDescent="0.3">
      <c r="A69" s="1">
        <v>43190</v>
      </c>
      <c r="B69">
        <f>8.2</f>
        <v>8.1999999999999993</v>
      </c>
      <c r="C69">
        <f>3142.8</f>
        <v>3142.8</v>
      </c>
      <c r="D69">
        <f>79.7</f>
        <v>79.7</v>
      </c>
      <c r="E69">
        <f>-5.7</f>
        <v>-5.7</v>
      </c>
      <c r="F69">
        <f>101.5</f>
        <v>101.5</v>
      </c>
      <c r="G69">
        <f>3.9</f>
        <v>3.9</v>
      </c>
      <c r="H69">
        <f>3.1</f>
        <v>3.1</v>
      </c>
      <c r="I69">
        <f>2.1</f>
        <v>2.1</v>
      </c>
      <c r="J69">
        <f>6.9</f>
        <v>6.9</v>
      </c>
    </row>
    <row r="70" spans="1:10" x14ac:dyDescent="0.3">
      <c r="A70" s="1">
        <v>43159</v>
      </c>
      <c r="B70">
        <f>8.8</f>
        <v>8.8000000000000007</v>
      </c>
      <c r="C70">
        <f>3134.5</f>
        <v>3134.5</v>
      </c>
      <c r="D70">
        <f>86</f>
        <v>86</v>
      </c>
      <c r="E70">
        <f>32.3</f>
        <v>32.299999999999997</v>
      </c>
      <c r="F70">
        <f>101.7</f>
        <v>101.7</v>
      </c>
      <c r="G70" t="e">
        <f>NA()</f>
        <v>#N/A</v>
      </c>
      <c r="H70">
        <f>3.7</f>
        <v>3.7</v>
      </c>
      <c r="I70">
        <f>2.9</f>
        <v>2.9</v>
      </c>
      <c r="J70" t="e">
        <f>NA()</f>
        <v>#N/A</v>
      </c>
    </row>
    <row r="71" spans="1:10" x14ac:dyDescent="0.3">
      <c r="A71" s="1">
        <v>43131</v>
      </c>
      <c r="B71">
        <f>8.6</f>
        <v>8.6</v>
      </c>
      <c r="C71">
        <f>3161.5</f>
        <v>3161.5</v>
      </c>
      <c r="D71">
        <f>83.5</f>
        <v>83.5</v>
      </c>
      <c r="E71">
        <f>18.4</f>
        <v>18.399999999999999</v>
      </c>
      <c r="F71">
        <f>101.7</f>
        <v>101.7</v>
      </c>
      <c r="G71" t="e">
        <f>NA()</f>
        <v>#N/A</v>
      </c>
      <c r="H71">
        <f>4.3</f>
        <v>4.3</v>
      </c>
      <c r="I71">
        <f>1.5</f>
        <v>1.5</v>
      </c>
      <c r="J71" t="e">
        <f>NA()</f>
        <v>#N/A</v>
      </c>
    </row>
    <row r="72" spans="1:10" x14ac:dyDescent="0.3">
      <c r="A72" s="1">
        <v>43100</v>
      </c>
      <c r="B72">
        <f>8.1</f>
        <v>8.1</v>
      </c>
      <c r="C72">
        <f>3139.9</f>
        <v>3139.9</v>
      </c>
      <c r="D72">
        <f>85.5</f>
        <v>85.5</v>
      </c>
      <c r="E72">
        <f>53.9</f>
        <v>53.9</v>
      </c>
      <c r="F72">
        <f>101.8</f>
        <v>101.8</v>
      </c>
      <c r="G72">
        <f>3.9</f>
        <v>3.9</v>
      </c>
      <c r="H72">
        <f>4.9</f>
        <v>4.9000000000000004</v>
      </c>
      <c r="I72">
        <f>1.8</f>
        <v>1.8</v>
      </c>
      <c r="J72">
        <f>6.8</f>
        <v>6.8</v>
      </c>
    </row>
    <row r="73" spans="1:10" x14ac:dyDescent="0.3">
      <c r="A73" s="1">
        <v>43069</v>
      </c>
      <c r="B73">
        <f>9.1</f>
        <v>9.1</v>
      </c>
      <c r="C73">
        <f>3119.3</f>
        <v>3119.3</v>
      </c>
      <c r="D73">
        <f>85.1</f>
        <v>85.1</v>
      </c>
      <c r="E73">
        <f>38.4</f>
        <v>38.4</v>
      </c>
      <c r="F73">
        <f>101.7</f>
        <v>101.7</v>
      </c>
      <c r="G73" t="e">
        <f>NA()</f>
        <v>#N/A</v>
      </c>
      <c r="H73">
        <f>5.8</f>
        <v>5.8</v>
      </c>
      <c r="I73">
        <f>1.7</f>
        <v>1.7</v>
      </c>
      <c r="J73" t="e">
        <f>NA()</f>
        <v>#N/A</v>
      </c>
    </row>
    <row r="74" spans="1:10" x14ac:dyDescent="0.3">
      <c r="A74" s="1">
        <v>43039</v>
      </c>
      <c r="B74">
        <f>8.9</f>
        <v>8.9</v>
      </c>
      <c r="C74">
        <f>3109.2</f>
        <v>3109.2</v>
      </c>
      <c r="D74">
        <f>84.7</f>
        <v>84.7</v>
      </c>
      <c r="E74">
        <f>36.9</f>
        <v>36.9</v>
      </c>
      <c r="F74">
        <f>101.5</f>
        <v>101.5</v>
      </c>
      <c r="G74" t="e">
        <f>NA()</f>
        <v>#N/A</v>
      </c>
      <c r="H74">
        <f>6.9</f>
        <v>6.9</v>
      </c>
      <c r="I74">
        <f>1.9</f>
        <v>1.9</v>
      </c>
      <c r="J74" t="e">
        <f>NA()</f>
        <v>#N/A</v>
      </c>
    </row>
    <row r="75" spans="1:10" x14ac:dyDescent="0.3">
      <c r="A75" s="1">
        <v>43008</v>
      </c>
      <c r="B75">
        <f>9</f>
        <v>9</v>
      </c>
      <c r="C75">
        <f>3108.5</f>
        <v>3108.5</v>
      </c>
      <c r="D75">
        <f>83.3</f>
        <v>83.3</v>
      </c>
      <c r="E75">
        <f>27.4</f>
        <v>27.4</v>
      </c>
      <c r="F75">
        <f>101.5</f>
        <v>101.5</v>
      </c>
      <c r="G75">
        <f>4</f>
        <v>4</v>
      </c>
      <c r="H75">
        <f>6.9</f>
        <v>6.9</v>
      </c>
      <c r="I75">
        <f>1.6</f>
        <v>1.6</v>
      </c>
      <c r="J75">
        <f>6.9</f>
        <v>6.9</v>
      </c>
    </row>
    <row r="76" spans="1:10" x14ac:dyDescent="0.3">
      <c r="A76" s="1">
        <v>42978</v>
      </c>
      <c r="B76">
        <f>8.6</f>
        <v>8.6</v>
      </c>
      <c r="C76">
        <f>3091.5</f>
        <v>3091.5</v>
      </c>
      <c r="D76">
        <f>86.5</f>
        <v>86.5</v>
      </c>
      <c r="E76">
        <f>40</f>
        <v>40</v>
      </c>
      <c r="F76">
        <f>101.5</f>
        <v>101.5</v>
      </c>
      <c r="G76" t="e">
        <f>NA()</f>
        <v>#N/A</v>
      </c>
      <c r="H76">
        <f>6.3</f>
        <v>6.3</v>
      </c>
      <c r="I76">
        <f>1.8</f>
        <v>1.8</v>
      </c>
      <c r="J76" t="e">
        <f>NA()</f>
        <v>#N/A</v>
      </c>
    </row>
    <row r="77" spans="1:10" x14ac:dyDescent="0.3">
      <c r="A77" s="1">
        <v>42947</v>
      </c>
      <c r="B77">
        <f>8.9</f>
        <v>8.9</v>
      </c>
      <c r="C77">
        <f>3080.7</f>
        <v>3080.7</v>
      </c>
      <c r="D77">
        <f>85.5</f>
        <v>85.5</v>
      </c>
      <c r="E77">
        <f>44.9</f>
        <v>44.9</v>
      </c>
      <c r="F77">
        <f>101.5</f>
        <v>101.5</v>
      </c>
      <c r="G77" t="e">
        <f>NA()</f>
        <v>#N/A</v>
      </c>
      <c r="H77">
        <f>5.5</f>
        <v>5.5</v>
      </c>
      <c r="I77">
        <f>1.4</f>
        <v>1.4</v>
      </c>
      <c r="J77" t="e">
        <f>NA()</f>
        <v>#N/A</v>
      </c>
    </row>
    <row r="78" spans="1:10" x14ac:dyDescent="0.3">
      <c r="A78" s="1">
        <v>42916</v>
      </c>
      <c r="B78">
        <f>9.1</f>
        <v>9.1</v>
      </c>
      <c r="C78">
        <f>3056.8</f>
        <v>3056.8</v>
      </c>
      <c r="D78">
        <f>87.1</f>
        <v>87.1</v>
      </c>
      <c r="E78">
        <f>41.2</f>
        <v>41.2</v>
      </c>
      <c r="F78">
        <f>101.4</f>
        <v>101.4</v>
      </c>
      <c r="G78">
        <f>4</f>
        <v>4</v>
      </c>
      <c r="H78">
        <f>5.5</f>
        <v>5.5</v>
      </c>
      <c r="I78">
        <f>1.5</f>
        <v>1.5</v>
      </c>
      <c r="J78">
        <f>7</f>
        <v>7</v>
      </c>
    </row>
    <row r="79" spans="1:10" x14ac:dyDescent="0.3">
      <c r="A79" s="1">
        <v>42886</v>
      </c>
      <c r="B79">
        <f>9.1</f>
        <v>9.1</v>
      </c>
      <c r="C79">
        <f>3053.6</f>
        <v>3053.6</v>
      </c>
      <c r="D79">
        <f>89.9</f>
        <v>89.9</v>
      </c>
      <c r="E79">
        <f>39.9</f>
        <v>39.9</v>
      </c>
      <c r="F79">
        <f>101.2</f>
        <v>101.2</v>
      </c>
      <c r="G79" t="e">
        <f>NA()</f>
        <v>#N/A</v>
      </c>
      <c r="H79">
        <f>5.5</f>
        <v>5.5</v>
      </c>
      <c r="I79">
        <f>1.5</f>
        <v>1.5</v>
      </c>
      <c r="J79" t="e">
        <f>NA()</f>
        <v>#N/A</v>
      </c>
    </row>
    <row r="80" spans="1:10" x14ac:dyDescent="0.3">
      <c r="A80" s="1">
        <v>42855</v>
      </c>
      <c r="B80">
        <f>9.8</f>
        <v>9.8000000000000007</v>
      </c>
      <c r="C80">
        <f>3029.5</f>
        <v>3029.5</v>
      </c>
      <c r="D80">
        <f>87.4</f>
        <v>87.4</v>
      </c>
      <c r="E80">
        <f>36.5</f>
        <v>36.5</v>
      </c>
      <c r="F80">
        <f>101.2</f>
        <v>101.2</v>
      </c>
      <c r="G80" t="e">
        <f>NA()</f>
        <v>#N/A</v>
      </c>
      <c r="H80">
        <f>6.4</f>
        <v>6.4</v>
      </c>
      <c r="I80">
        <f>1.2</f>
        <v>1.2</v>
      </c>
      <c r="J80" t="e">
        <f>NA()</f>
        <v>#N/A</v>
      </c>
    </row>
    <row r="81" spans="1:10" x14ac:dyDescent="0.3">
      <c r="A81" s="1">
        <v>42825</v>
      </c>
      <c r="B81">
        <f>10.1</f>
        <v>10.1</v>
      </c>
      <c r="C81">
        <f>3009.1</f>
        <v>3009.1</v>
      </c>
      <c r="D81">
        <f>85.4</f>
        <v>85.4</v>
      </c>
      <c r="E81">
        <f>22.7</f>
        <v>22.7</v>
      </c>
      <c r="F81">
        <f>101.1</f>
        <v>101.1</v>
      </c>
      <c r="G81">
        <f>4</f>
        <v>4</v>
      </c>
      <c r="H81">
        <f>7.6</f>
        <v>7.6</v>
      </c>
      <c r="I81">
        <f>0.9</f>
        <v>0.9</v>
      </c>
      <c r="J81">
        <f>7</f>
        <v>7</v>
      </c>
    </row>
    <row r="82" spans="1:10" x14ac:dyDescent="0.3">
      <c r="A82" s="1">
        <v>42794</v>
      </c>
      <c r="B82">
        <f>10.4</f>
        <v>10.4</v>
      </c>
      <c r="C82">
        <f>3005.1</f>
        <v>3005.1</v>
      </c>
      <c r="D82">
        <f>86.6</f>
        <v>86.6</v>
      </c>
      <c r="E82">
        <f>-10.9</f>
        <v>-10.9</v>
      </c>
      <c r="F82">
        <f>100.8</f>
        <v>100.8</v>
      </c>
      <c r="G82" t="e">
        <f>NA()</f>
        <v>#N/A</v>
      </c>
      <c r="H82">
        <f>7.8</f>
        <v>7.8</v>
      </c>
      <c r="I82">
        <f>0.8</f>
        <v>0.8</v>
      </c>
      <c r="J82" t="e">
        <f>NA()</f>
        <v>#N/A</v>
      </c>
    </row>
    <row r="83" spans="1:10" x14ac:dyDescent="0.3">
      <c r="A83" s="1">
        <v>42766</v>
      </c>
      <c r="B83">
        <f>10.7</f>
        <v>10.7</v>
      </c>
      <c r="C83">
        <f>2998.2</f>
        <v>2998.2</v>
      </c>
      <c r="D83">
        <f>96.2</f>
        <v>96.2</v>
      </c>
      <c r="E83">
        <f>48.7</f>
        <v>48.7</v>
      </c>
      <c r="F83">
        <f>100.8</f>
        <v>100.8</v>
      </c>
      <c r="G83" t="e">
        <f>NA()</f>
        <v>#N/A</v>
      </c>
      <c r="H83">
        <f>6.9</f>
        <v>6.9</v>
      </c>
      <c r="I83">
        <f>2.5</f>
        <v>2.5</v>
      </c>
      <c r="J83" t="e">
        <f>NA()</f>
        <v>#N/A</v>
      </c>
    </row>
    <row r="84" spans="1:10" x14ac:dyDescent="0.3">
      <c r="A84" s="1">
        <v>42735</v>
      </c>
      <c r="B84">
        <f>11.3</f>
        <v>11.3</v>
      </c>
      <c r="C84">
        <f>3010.5</f>
        <v>3010.5</v>
      </c>
      <c r="D84">
        <f>96.9</f>
        <v>96.9</v>
      </c>
      <c r="E84">
        <f>39.6</f>
        <v>39.6</v>
      </c>
      <c r="F84">
        <f>101</f>
        <v>101</v>
      </c>
      <c r="G84">
        <f>4</f>
        <v>4</v>
      </c>
      <c r="H84">
        <f>5.5</f>
        <v>5.5</v>
      </c>
      <c r="I84">
        <f>2.1</f>
        <v>2.1</v>
      </c>
      <c r="J84">
        <f>6.9</f>
        <v>6.9</v>
      </c>
    </row>
    <row r="85" spans="1:10" x14ac:dyDescent="0.3">
      <c r="A85" s="1">
        <v>42704</v>
      </c>
      <c r="B85">
        <f>11.4</f>
        <v>11.4</v>
      </c>
      <c r="C85">
        <f>3051.6</f>
        <v>3051.6</v>
      </c>
      <c r="D85">
        <f>99.5</f>
        <v>99.5</v>
      </c>
      <c r="E85">
        <f>43.1</f>
        <v>43.1</v>
      </c>
      <c r="F85">
        <f>101</f>
        <v>101</v>
      </c>
      <c r="G85" t="e">
        <f>NA()</f>
        <v>#N/A</v>
      </c>
      <c r="H85">
        <f>3.3</f>
        <v>3.3</v>
      </c>
      <c r="I85">
        <f>2.3</f>
        <v>2.2999999999999998</v>
      </c>
      <c r="J85" t="e">
        <f>NA()</f>
        <v>#N/A</v>
      </c>
    </row>
    <row r="86" spans="1:10" x14ac:dyDescent="0.3">
      <c r="A86" s="1">
        <v>42674</v>
      </c>
      <c r="B86">
        <f>11.6</f>
        <v>11.6</v>
      </c>
      <c r="C86">
        <f>3120.7</f>
        <v>3120.7</v>
      </c>
      <c r="D86">
        <f>96.5</f>
        <v>96.5</v>
      </c>
      <c r="E86">
        <f>48.2</f>
        <v>48.2</v>
      </c>
      <c r="F86">
        <f>100.8</f>
        <v>100.8</v>
      </c>
      <c r="G86" t="e">
        <f>NA()</f>
        <v>#N/A</v>
      </c>
      <c r="H86">
        <f>1.2</f>
        <v>1.2</v>
      </c>
      <c r="I86">
        <f>2.1</f>
        <v>2.1</v>
      </c>
      <c r="J86" t="e">
        <f>NA()</f>
        <v>#N/A</v>
      </c>
    </row>
    <row r="87" spans="1:10" x14ac:dyDescent="0.3">
      <c r="A87" s="1">
        <v>42643</v>
      </c>
      <c r="B87">
        <f>11.5</f>
        <v>11.5</v>
      </c>
      <c r="C87">
        <f>3166.4</f>
        <v>3166.4</v>
      </c>
      <c r="D87">
        <f>95.7</f>
        <v>95.7</v>
      </c>
      <c r="E87">
        <f>40.4</f>
        <v>40.4</v>
      </c>
      <c r="F87">
        <f>100.5</f>
        <v>100.5</v>
      </c>
      <c r="G87">
        <f>4</f>
        <v>4</v>
      </c>
      <c r="H87">
        <f>0.1</f>
        <v>0.1</v>
      </c>
      <c r="I87">
        <f>1.9</f>
        <v>1.9</v>
      </c>
      <c r="J87">
        <f>6.8</f>
        <v>6.8</v>
      </c>
    </row>
    <row r="88" spans="1:10" x14ac:dyDescent="0.3">
      <c r="A88" s="1">
        <v>42613</v>
      </c>
      <c r="B88">
        <f>11.4</f>
        <v>11.4</v>
      </c>
      <c r="C88">
        <f>3185.2</f>
        <v>3185.2</v>
      </c>
      <c r="D88">
        <f>91.6</f>
        <v>91.6</v>
      </c>
      <c r="E88">
        <f>50.1</f>
        <v>50.1</v>
      </c>
      <c r="F88">
        <f>100.4</f>
        <v>100.4</v>
      </c>
      <c r="G88" t="e">
        <f>NA()</f>
        <v>#N/A</v>
      </c>
      <c r="H88">
        <f>-0.8</f>
        <v>-0.8</v>
      </c>
      <c r="I88">
        <f>1.3</f>
        <v>1.3</v>
      </c>
      <c r="J88" t="e">
        <f>NA()</f>
        <v>#N/A</v>
      </c>
    </row>
    <row r="89" spans="1:10" x14ac:dyDescent="0.3">
      <c r="A89" s="1">
        <v>42582</v>
      </c>
      <c r="B89">
        <f>10.2</f>
        <v>10.199999999999999</v>
      </c>
      <c r="C89">
        <f>3201.1</f>
        <v>3201.1</v>
      </c>
      <c r="D89">
        <f>94.9</f>
        <v>94.9</v>
      </c>
      <c r="E89">
        <f>48.3</f>
        <v>48.3</v>
      </c>
      <c r="F89">
        <f>100.4</f>
        <v>100.4</v>
      </c>
      <c r="G89" t="e">
        <f>NA()</f>
        <v>#N/A</v>
      </c>
      <c r="H89">
        <f>-1.7</f>
        <v>-1.7</v>
      </c>
      <c r="I89">
        <f>1.8</f>
        <v>1.8</v>
      </c>
      <c r="J89" t="e">
        <f>NA()</f>
        <v>#N/A</v>
      </c>
    </row>
    <row r="90" spans="1:10" x14ac:dyDescent="0.3">
      <c r="A90" s="1">
        <v>42551</v>
      </c>
      <c r="B90">
        <f>11.8</f>
        <v>11.8</v>
      </c>
      <c r="C90">
        <f>3205.2</f>
        <v>3205.2</v>
      </c>
      <c r="D90">
        <f>96.3</f>
        <v>96.3</v>
      </c>
      <c r="E90">
        <f>45.3</f>
        <v>45.3</v>
      </c>
      <c r="F90">
        <f>100.9</f>
        <v>100.9</v>
      </c>
      <c r="G90">
        <f>4.1</f>
        <v>4.0999999999999996</v>
      </c>
      <c r="H90">
        <f>-2.6</f>
        <v>-2.6</v>
      </c>
      <c r="I90">
        <f>1.9</f>
        <v>1.9</v>
      </c>
      <c r="J90">
        <f>6.8</f>
        <v>6.8</v>
      </c>
    </row>
    <row r="91" spans="1:10" x14ac:dyDescent="0.3">
      <c r="A91" s="1">
        <v>42521</v>
      </c>
      <c r="B91">
        <f>11.8</f>
        <v>11.8</v>
      </c>
      <c r="C91">
        <f>3191.7</f>
        <v>3191.7</v>
      </c>
      <c r="D91">
        <f>94.1</f>
        <v>94.1</v>
      </c>
      <c r="E91">
        <f>44.8</f>
        <v>44.8</v>
      </c>
      <c r="F91">
        <f>100.6</f>
        <v>100.6</v>
      </c>
      <c r="G91" t="e">
        <f>NA()</f>
        <v>#N/A</v>
      </c>
      <c r="H91">
        <f>-2.8</f>
        <v>-2.8</v>
      </c>
      <c r="I91">
        <f>2</f>
        <v>2</v>
      </c>
      <c r="J91" t="e">
        <f>NA()</f>
        <v>#N/A</v>
      </c>
    </row>
    <row r="92" spans="1:10" x14ac:dyDescent="0.3">
      <c r="A92" s="1">
        <v>42490</v>
      </c>
      <c r="B92">
        <f>12.8</f>
        <v>12.8</v>
      </c>
      <c r="C92">
        <f>3219.7</f>
        <v>3219.7</v>
      </c>
      <c r="D92">
        <f>97</f>
        <v>97</v>
      </c>
      <c r="E92">
        <f>39.9</f>
        <v>39.9</v>
      </c>
      <c r="F92">
        <f>100.6</f>
        <v>100.6</v>
      </c>
      <c r="G92" t="e">
        <f>NA()</f>
        <v>#N/A</v>
      </c>
      <c r="H92">
        <f>-3.4</f>
        <v>-3.4</v>
      </c>
      <c r="I92">
        <f>2.3</f>
        <v>2.2999999999999998</v>
      </c>
      <c r="J92" t="e">
        <f>NA()</f>
        <v>#N/A</v>
      </c>
    </row>
    <row r="93" spans="1:10" x14ac:dyDescent="0.3">
      <c r="A93" s="1">
        <v>42460</v>
      </c>
      <c r="B93">
        <f>13.4</f>
        <v>13.4</v>
      </c>
      <c r="C93">
        <f>3212.6</f>
        <v>3212.6</v>
      </c>
      <c r="D93">
        <f>96.4</f>
        <v>96.4</v>
      </c>
      <c r="E93">
        <f>24.9</f>
        <v>24.9</v>
      </c>
      <c r="F93">
        <f>100.3</f>
        <v>100.3</v>
      </c>
      <c r="G93">
        <f>4</f>
        <v>4</v>
      </c>
      <c r="H93">
        <f>-4.3</f>
        <v>-4.3</v>
      </c>
      <c r="I93">
        <f>2.3</f>
        <v>2.2999999999999998</v>
      </c>
      <c r="J93">
        <f>6.9</f>
        <v>6.9</v>
      </c>
    </row>
    <row r="94" spans="1:10" x14ac:dyDescent="0.3">
      <c r="A94" s="1">
        <v>42429</v>
      </c>
      <c r="B94">
        <f>13.3</f>
        <v>13.3</v>
      </c>
      <c r="C94">
        <f>3202.3</f>
        <v>3202.3</v>
      </c>
      <c r="D94">
        <f>88</f>
        <v>88</v>
      </c>
      <c r="E94">
        <f>28.1</f>
        <v>28.1</v>
      </c>
      <c r="F94">
        <f>99.2</f>
        <v>99.2</v>
      </c>
      <c r="G94" t="e">
        <f>NA()</f>
        <v>#N/A</v>
      </c>
      <c r="H94">
        <f>-4.9</f>
        <v>-4.9000000000000004</v>
      </c>
      <c r="I94">
        <f>2.3</f>
        <v>2.2999999999999998</v>
      </c>
      <c r="J94" t="e">
        <f>NA()</f>
        <v>#N/A</v>
      </c>
    </row>
    <row r="95" spans="1:10" x14ac:dyDescent="0.3">
      <c r="A95" s="1">
        <v>42400</v>
      </c>
      <c r="B95">
        <f>14</f>
        <v>14</v>
      </c>
      <c r="C95">
        <f>3230.9</f>
        <v>3230.9</v>
      </c>
      <c r="D95">
        <f>89.3</f>
        <v>89.3</v>
      </c>
      <c r="E95">
        <f>56.9</f>
        <v>56.9</v>
      </c>
      <c r="F95">
        <f>99.2</f>
        <v>99.2</v>
      </c>
      <c r="G95" t="e">
        <f>NA()</f>
        <v>#N/A</v>
      </c>
      <c r="H95">
        <f>-5.3</f>
        <v>-5.3</v>
      </c>
      <c r="I95">
        <f>1.8</f>
        <v>1.8</v>
      </c>
      <c r="J95" t="e">
        <f>NA()</f>
        <v>#N/A</v>
      </c>
    </row>
    <row r="96" spans="1:10" x14ac:dyDescent="0.3">
      <c r="A96" s="1">
        <v>42369</v>
      </c>
      <c r="B96">
        <f>13.3</f>
        <v>13.3</v>
      </c>
      <c r="C96">
        <f>3330.4</f>
        <v>3330.4</v>
      </c>
      <c r="D96">
        <f>81.3</f>
        <v>81.3</v>
      </c>
      <c r="E96">
        <f>59.6</f>
        <v>59.6</v>
      </c>
      <c r="F96" t="e">
        <f>NA()</f>
        <v>#N/A</v>
      </c>
      <c r="G96">
        <f>4.1</f>
        <v>4.0999999999999996</v>
      </c>
      <c r="H96">
        <f>-5.9</f>
        <v>-5.9</v>
      </c>
      <c r="I96">
        <f>1.6</f>
        <v>1.6</v>
      </c>
      <c r="J96">
        <f>6.9</f>
        <v>6.9</v>
      </c>
    </row>
    <row r="97" spans="1:10" x14ac:dyDescent="0.3">
      <c r="A97" s="1">
        <v>42338</v>
      </c>
      <c r="B97">
        <f>13.7</f>
        <v>13.7</v>
      </c>
      <c r="C97">
        <f>3438.3</f>
        <v>3438.3</v>
      </c>
      <c r="D97">
        <f>79</f>
        <v>79</v>
      </c>
      <c r="E97">
        <f>54</f>
        <v>54</v>
      </c>
      <c r="F97" t="e">
        <f>NA()</f>
        <v>#N/A</v>
      </c>
      <c r="G97" t="e">
        <f>NA()</f>
        <v>#N/A</v>
      </c>
      <c r="H97">
        <f>-5.9</f>
        <v>-5.9</v>
      </c>
      <c r="I97">
        <f>1.5</f>
        <v>1.5</v>
      </c>
      <c r="J97" t="e">
        <f>NA()</f>
        <v>#N/A</v>
      </c>
    </row>
    <row r="98" spans="1:10" x14ac:dyDescent="0.3">
      <c r="A98" s="1">
        <v>42308</v>
      </c>
      <c r="B98">
        <f>13.5</f>
        <v>13.5</v>
      </c>
      <c r="C98">
        <f>3525.5</f>
        <v>3525.5</v>
      </c>
      <c r="D98">
        <f>78.2</f>
        <v>78.2</v>
      </c>
      <c r="E98">
        <f>61.3</f>
        <v>61.3</v>
      </c>
      <c r="F98" t="e">
        <f>NA()</f>
        <v>#N/A</v>
      </c>
      <c r="G98" t="e">
        <f>NA()</f>
        <v>#N/A</v>
      </c>
      <c r="H98">
        <f>-5.9</f>
        <v>-5.9</v>
      </c>
      <c r="I98">
        <f>1.3</f>
        <v>1.3</v>
      </c>
      <c r="J98" t="e">
        <f>NA()</f>
        <v>#N/A</v>
      </c>
    </row>
    <row r="99" spans="1:10" x14ac:dyDescent="0.3">
      <c r="A99" s="1">
        <v>42277</v>
      </c>
      <c r="B99">
        <f>13.1</f>
        <v>13.1</v>
      </c>
      <c r="C99">
        <f>3514.1</f>
        <v>3514.1</v>
      </c>
      <c r="D99">
        <f>74.4</f>
        <v>74.400000000000006</v>
      </c>
      <c r="E99">
        <f>59.6</f>
        <v>59.6</v>
      </c>
      <c r="F99" t="e">
        <f>NA()</f>
        <v>#N/A</v>
      </c>
      <c r="G99">
        <f>4.1</f>
        <v>4.0999999999999996</v>
      </c>
      <c r="H99">
        <f>-5.9</f>
        <v>-5.9</v>
      </c>
      <c r="I99">
        <f>1.6</f>
        <v>1.6</v>
      </c>
      <c r="J99">
        <f>7</f>
        <v>7</v>
      </c>
    </row>
    <row r="100" spans="1:10" x14ac:dyDescent="0.3">
      <c r="A100" s="1">
        <v>42247</v>
      </c>
      <c r="B100">
        <f>13.3</f>
        <v>13.3</v>
      </c>
      <c r="C100">
        <f>3557.4</f>
        <v>3557.4</v>
      </c>
      <c r="D100">
        <f>68.6</f>
        <v>68.599999999999994</v>
      </c>
      <c r="E100">
        <f>59.7</f>
        <v>59.7</v>
      </c>
      <c r="F100" t="e">
        <f>NA()</f>
        <v>#N/A</v>
      </c>
      <c r="G100" t="e">
        <f>NA()</f>
        <v>#N/A</v>
      </c>
      <c r="H100">
        <f>-5.9</f>
        <v>-5.9</v>
      </c>
      <c r="I100">
        <f>2</f>
        <v>2</v>
      </c>
      <c r="J100" t="e">
        <f>NA()</f>
        <v>#N/A</v>
      </c>
    </row>
    <row r="101" spans="1:10" x14ac:dyDescent="0.3">
      <c r="A101" s="1">
        <v>42216</v>
      </c>
      <c r="B101">
        <f>13.3</f>
        <v>13.3</v>
      </c>
      <c r="C101">
        <f>3651.3</f>
        <v>3651.3</v>
      </c>
      <c r="D101">
        <f>64.5</f>
        <v>64.5</v>
      </c>
      <c r="E101">
        <f>41.9</f>
        <v>41.9</v>
      </c>
      <c r="F101" t="e">
        <f>NA()</f>
        <v>#N/A</v>
      </c>
      <c r="G101" t="e">
        <f>NA()</f>
        <v>#N/A</v>
      </c>
      <c r="H101">
        <f>-5.4</f>
        <v>-5.4</v>
      </c>
      <c r="I101">
        <f>1.6</f>
        <v>1.6</v>
      </c>
      <c r="J101" t="e">
        <f>NA()</f>
        <v>#N/A</v>
      </c>
    </row>
    <row r="102" spans="1:10" x14ac:dyDescent="0.3">
      <c r="A102" s="1">
        <v>42185</v>
      </c>
      <c r="B102">
        <f>11.8</f>
        <v>11.8</v>
      </c>
      <c r="C102">
        <f>3693.8</f>
        <v>3693.8</v>
      </c>
      <c r="D102">
        <f>57.5</f>
        <v>57.5</v>
      </c>
      <c r="E102">
        <f>45.2</f>
        <v>45.2</v>
      </c>
      <c r="F102" t="e">
        <f>NA()</f>
        <v>#N/A</v>
      </c>
      <c r="G102">
        <f>4</f>
        <v>4</v>
      </c>
      <c r="H102">
        <f>-4.8</f>
        <v>-4.8</v>
      </c>
      <c r="I102">
        <f>1.4</f>
        <v>1.4</v>
      </c>
      <c r="J102">
        <f>7.1</f>
        <v>7.1</v>
      </c>
    </row>
    <row r="103" spans="1:10" x14ac:dyDescent="0.3">
      <c r="A103" s="1">
        <v>42155</v>
      </c>
      <c r="B103">
        <f>10.8</f>
        <v>10.8</v>
      </c>
      <c r="C103">
        <f>3711.1</f>
        <v>3711.1</v>
      </c>
      <c r="D103">
        <f>59.1</f>
        <v>59.1</v>
      </c>
      <c r="E103">
        <f>57.2</f>
        <v>57.2</v>
      </c>
      <c r="F103" t="e">
        <f>NA()</f>
        <v>#N/A</v>
      </c>
      <c r="G103" t="e">
        <f>NA()</f>
        <v>#N/A</v>
      </c>
      <c r="H103">
        <f>-4.6</f>
        <v>-4.5999999999999996</v>
      </c>
      <c r="I103">
        <f>1.2</f>
        <v>1.2</v>
      </c>
      <c r="J103" t="e">
        <f>NA()</f>
        <v>#N/A</v>
      </c>
    </row>
    <row r="104" spans="1:10" x14ac:dyDescent="0.3">
      <c r="A104" s="1">
        <v>42124</v>
      </c>
      <c r="B104">
        <f>10.1</f>
        <v>10.1</v>
      </c>
      <c r="C104">
        <f>3748.1</f>
        <v>3748.1</v>
      </c>
      <c r="D104">
        <f>57.1</f>
        <v>57.1</v>
      </c>
      <c r="E104">
        <f>33.2</f>
        <v>33.200000000000003</v>
      </c>
      <c r="F104" t="e">
        <f>NA()</f>
        <v>#N/A</v>
      </c>
      <c r="G104" t="e">
        <f>NA()</f>
        <v>#N/A</v>
      </c>
      <c r="H104">
        <f>-4.6</f>
        <v>-4.5999999999999996</v>
      </c>
      <c r="I104">
        <f>1.5</f>
        <v>1.5</v>
      </c>
      <c r="J104" t="e">
        <f>NA()</f>
        <v>#N/A</v>
      </c>
    </row>
    <row r="105" spans="1:10" x14ac:dyDescent="0.3">
      <c r="A105" s="1">
        <v>42094</v>
      </c>
      <c r="B105">
        <f>11.6</f>
        <v>11.6</v>
      </c>
      <c r="C105">
        <f>3730</f>
        <v>3730</v>
      </c>
      <c r="D105">
        <f>58</f>
        <v>58</v>
      </c>
      <c r="E105">
        <f>2.5</f>
        <v>2.5</v>
      </c>
      <c r="F105" t="e">
        <f>NA()</f>
        <v>#N/A</v>
      </c>
      <c r="G105">
        <f>4.1</f>
        <v>4.0999999999999996</v>
      </c>
      <c r="H105">
        <f>-4.6</f>
        <v>-4.5999999999999996</v>
      </c>
      <c r="I105">
        <f>1.4</f>
        <v>1.4</v>
      </c>
      <c r="J105">
        <f>7.1</f>
        <v>7.1</v>
      </c>
    </row>
    <row r="106" spans="1:10" x14ac:dyDescent="0.3">
      <c r="A106" s="1">
        <v>42063</v>
      </c>
      <c r="B106">
        <f>12.5</f>
        <v>12.5</v>
      </c>
      <c r="C106">
        <f>3801.5</f>
        <v>3801.5</v>
      </c>
      <c r="D106">
        <f>63.8</f>
        <v>63.8</v>
      </c>
      <c r="E106">
        <f>60.5</f>
        <v>60.5</v>
      </c>
      <c r="F106" t="e">
        <f>NA()</f>
        <v>#N/A</v>
      </c>
      <c r="G106" t="e">
        <f>NA()</f>
        <v>#N/A</v>
      </c>
      <c r="H106">
        <f>-4.8</f>
        <v>-4.8</v>
      </c>
      <c r="I106">
        <f>1.4</f>
        <v>1.4</v>
      </c>
      <c r="J106" t="e">
        <f>NA()</f>
        <v>#N/A</v>
      </c>
    </row>
    <row r="107" spans="1:10" x14ac:dyDescent="0.3">
      <c r="A107" s="1">
        <v>42035</v>
      </c>
      <c r="B107">
        <f>10.8</f>
        <v>10.8</v>
      </c>
      <c r="C107">
        <f>3813.4</f>
        <v>3813.4</v>
      </c>
      <c r="D107">
        <f>60.2</f>
        <v>60.2</v>
      </c>
      <c r="E107">
        <f>59.3</f>
        <v>59.3</v>
      </c>
      <c r="F107" t="e">
        <f>NA()</f>
        <v>#N/A</v>
      </c>
      <c r="G107" t="e">
        <f>NA()</f>
        <v>#N/A</v>
      </c>
      <c r="H107">
        <f>-4.3</f>
        <v>-4.3</v>
      </c>
      <c r="I107">
        <f>0.8</f>
        <v>0.8</v>
      </c>
      <c r="J107" t="e">
        <f>NA()</f>
        <v>#N/A</v>
      </c>
    </row>
    <row r="108" spans="1:10" x14ac:dyDescent="0.3">
      <c r="A108" s="1">
        <v>42004</v>
      </c>
      <c r="B108">
        <f>12.2</f>
        <v>12.2</v>
      </c>
      <c r="C108">
        <f>3843</f>
        <v>3843</v>
      </c>
      <c r="D108">
        <f>64.5</f>
        <v>64.5</v>
      </c>
      <c r="E108">
        <f>49.9</f>
        <v>49.9</v>
      </c>
      <c r="F108" t="e">
        <f>NA()</f>
        <v>#N/A</v>
      </c>
      <c r="G108">
        <f>4.1</f>
        <v>4.0999999999999996</v>
      </c>
      <c r="H108">
        <f>-3.3</f>
        <v>-3.3</v>
      </c>
      <c r="I108">
        <f>1.5</f>
        <v>1.5</v>
      </c>
      <c r="J108">
        <f>7.3</f>
        <v>7.3</v>
      </c>
    </row>
    <row r="109" spans="1:10" x14ac:dyDescent="0.3">
      <c r="A109" s="1">
        <v>41973</v>
      </c>
      <c r="B109">
        <f>12.3</f>
        <v>12.3</v>
      </c>
      <c r="C109">
        <f>3847.4</f>
        <v>3847.4</v>
      </c>
      <c r="D109">
        <f>63.6</f>
        <v>63.6</v>
      </c>
      <c r="E109">
        <f>54.8</f>
        <v>54.8</v>
      </c>
      <c r="F109" t="e">
        <f>NA()</f>
        <v>#N/A</v>
      </c>
      <c r="G109" t="e">
        <f>NA()</f>
        <v>#N/A</v>
      </c>
      <c r="H109">
        <f>-2.7</f>
        <v>-2.7</v>
      </c>
      <c r="I109">
        <f>1.4</f>
        <v>1.4</v>
      </c>
      <c r="J109" t="e">
        <f>NA()</f>
        <v>#N/A</v>
      </c>
    </row>
    <row r="110" spans="1:10" x14ac:dyDescent="0.3">
      <c r="A110" s="1">
        <v>41943</v>
      </c>
      <c r="B110">
        <f>12.6</f>
        <v>12.6</v>
      </c>
      <c r="C110">
        <f>3852.9</f>
        <v>3852.9</v>
      </c>
      <c r="D110">
        <f>64.7</f>
        <v>64.7</v>
      </c>
      <c r="E110">
        <f>45.7</f>
        <v>45.7</v>
      </c>
      <c r="F110" t="e">
        <f>NA()</f>
        <v>#N/A</v>
      </c>
      <c r="G110" t="e">
        <f>NA()</f>
        <v>#N/A</v>
      </c>
      <c r="H110">
        <f>-2.2</f>
        <v>-2.2000000000000002</v>
      </c>
      <c r="I110">
        <f>1.6</f>
        <v>1.6</v>
      </c>
      <c r="J110" t="e">
        <f>NA()</f>
        <v>#N/A</v>
      </c>
    </row>
    <row r="111" spans="1:10" x14ac:dyDescent="0.3">
      <c r="A111" s="1">
        <v>41912</v>
      </c>
      <c r="B111">
        <f>12.9</f>
        <v>12.9</v>
      </c>
      <c r="C111">
        <f>3887.7</f>
        <v>3887.7</v>
      </c>
      <c r="D111">
        <f>68.6</f>
        <v>68.599999999999994</v>
      </c>
      <c r="E111">
        <f>31.2</f>
        <v>31.2</v>
      </c>
      <c r="F111" t="e">
        <f>NA()</f>
        <v>#N/A</v>
      </c>
      <c r="G111">
        <f>4.1</f>
        <v>4.0999999999999996</v>
      </c>
      <c r="H111">
        <f>-1.8</f>
        <v>-1.8</v>
      </c>
      <c r="I111">
        <f>1.6</f>
        <v>1.6</v>
      </c>
      <c r="J111">
        <f>7.2</f>
        <v>7.2</v>
      </c>
    </row>
    <row r="112" spans="1:10" x14ac:dyDescent="0.3">
      <c r="A112" s="1">
        <v>41882</v>
      </c>
      <c r="B112">
        <f>12.8</f>
        <v>12.8</v>
      </c>
      <c r="C112">
        <f>3968.8</f>
        <v>3968.8</v>
      </c>
      <c r="D112">
        <f>75.4</f>
        <v>75.400000000000006</v>
      </c>
      <c r="E112">
        <f>49.9</f>
        <v>49.9</v>
      </c>
      <c r="F112" t="e">
        <f>NA()</f>
        <v>#N/A</v>
      </c>
      <c r="G112" t="e">
        <f>NA()</f>
        <v>#N/A</v>
      </c>
      <c r="H112">
        <f>-1.2</f>
        <v>-1.2</v>
      </c>
      <c r="I112">
        <f>2</f>
        <v>2</v>
      </c>
      <c r="J112" t="e">
        <f>NA()</f>
        <v>#N/A</v>
      </c>
    </row>
    <row r="113" spans="1:10" x14ac:dyDescent="0.3">
      <c r="A113" s="1">
        <v>41851</v>
      </c>
      <c r="B113">
        <f>13.5</f>
        <v>13.5</v>
      </c>
      <c r="C113">
        <f>3966.3</f>
        <v>3966.3</v>
      </c>
      <c r="D113">
        <f>80.7</f>
        <v>80.7</v>
      </c>
      <c r="E113">
        <f>47.4</f>
        <v>47.4</v>
      </c>
      <c r="F113" t="e">
        <f>NA()</f>
        <v>#N/A</v>
      </c>
      <c r="G113" t="e">
        <f>NA()</f>
        <v>#N/A</v>
      </c>
      <c r="H113">
        <f>-0.9</f>
        <v>-0.9</v>
      </c>
      <c r="I113">
        <f>2.3</f>
        <v>2.2999999999999998</v>
      </c>
      <c r="J113" t="e">
        <f>NA()</f>
        <v>#N/A</v>
      </c>
    </row>
    <row r="114" spans="1:10" x14ac:dyDescent="0.3">
      <c r="A114" s="1">
        <v>41820</v>
      </c>
      <c r="B114">
        <f>14.7</f>
        <v>14.7</v>
      </c>
      <c r="C114">
        <f>3993.2</f>
        <v>3993.2</v>
      </c>
      <c r="D114">
        <f>82.3</f>
        <v>82.3</v>
      </c>
      <c r="E114">
        <f>31.9</f>
        <v>31.9</v>
      </c>
      <c r="F114" t="e">
        <f>NA()</f>
        <v>#N/A</v>
      </c>
      <c r="G114">
        <f>4.1</f>
        <v>4.0999999999999996</v>
      </c>
      <c r="H114">
        <f>-1.1</f>
        <v>-1.1000000000000001</v>
      </c>
      <c r="I114">
        <f>2.3</f>
        <v>2.2999999999999998</v>
      </c>
      <c r="J114">
        <f>7.6</f>
        <v>7.6</v>
      </c>
    </row>
    <row r="115" spans="1:10" x14ac:dyDescent="0.3">
      <c r="A115" s="1">
        <v>41790</v>
      </c>
      <c r="B115">
        <f>13.5</f>
        <v>13.5</v>
      </c>
      <c r="C115">
        <f>3983.9</f>
        <v>3983.9</v>
      </c>
      <c r="D115">
        <f>83.7</f>
        <v>83.7</v>
      </c>
      <c r="E115">
        <f>36.2</f>
        <v>36.200000000000003</v>
      </c>
      <c r="F115" t="e">
        <f>NA()</f>
        <v>#N/A</v>
      </c>
      <c r="G115" t="e">
        <f>NA()</f>
        <v>#N/A</v>
      </c>
      <c r="H115">
        <f>-1.4</f>
        <v>-1.4</v>
      </c>
      <c r="I115">
        <f>2.5</f>
        <v>2.5</v>
      </c>
      <c r="J115" t="e">
        <f>NA()</f>
        <v>#N/A</v>
      </c>
    </row>
    <row r="116" spans="1:10" x14ac:dyDescent="0.3">
      <c r="A116" s="1">
        <v>41759</v>
      </c>
      <c r="B116">
        <f>13.2</f>
        <v>13.2</v>
      </c>
      <c r="C116">
        <f>3978.8</f>
        <v>3978.8</v>
      </c>
      <c r="D116">
        <f>75.4</f>
        <v>75.400000000000006</v>
      </c>
      <c r="E116">
        <f>18.7</f>
        <v>18.7</v>
      </c>
      <c r="F116" t="e">
        <f>NA()</f>
        <v>#N/A</v>
      </c>
      <c r="G116" t="e">
        <f>NA()</f>
        <v>#N/A</v>
      </c>
      <c r="H116">
        <f>-2</f>
        <v>-2</v>
      </c>
      <c r="I116">
        <f>1.8</f>
        <v>1.8</v>
      </c>
      <c r="J116" t="e">
        <f>NA()</f>
        <v>#N/A</v>
      </c>
    </row>
    <row r="117" spans="1:10" x14ac:dyDescent="0.3">
      <c r="A117" s="1">
        <v>41729</v>
      </c>
      <c r="B117">
        <f>12.1</f>
        <v>12.1</v>
      </c>
      <c r="C117">
        <f>3948.1</f>
        <v>3948.1</v>
      </c>
      <c r="D117">
        <f>75.9</f>
        <v>75.900000000000006</v>
      </c>
      <c r="E117">
        <f>8</f>
        <v>8</v>
      </c>
      <c r="F117" t="e">
        <f>NA()</f>
        <v>#N/A</v>
      </c>
      <c r="G117">
        <f>4.1</f>
        <v>4.0999999999999996</v>
      </c>
      <c r="H117">
        <f>-2.3</f>
        <v>-2.2999999999999998</v>
      </c>
      <c r="I117">
        <f>2.4</f>
        <v>2.4</v>
      </c>
      <c r="J117">
        <f>7.5</f>
        <v>7.5</v>
      </c>
    </row>
    <row r="118" spans="1:10" x14ac:dyDescent="0.3">
      <c r="A118" s="1">
        <v>41698</v>
      </c>
      <c r="B118">
        <f>13.3</f>
        <v>13.3</v>
      </c>
      <c r="C118">
        <f>3913.7</f>
        <v>3913.7</v>
      </c>
      <c r="D118">
        <f>68.5</f>
        <v>68.5</v>
      </c>
      <c r="E118">
        <f>-22.6</f>
        <v>-22.6</v>
      </c>
      <c r="F118" t="e">
        <f>NA()</f>
        <v>#N/A</v>
      </c>
      <c r="G118" t="e">
        <f>NA()</f>
        <v>#N/A</v>
      </c>
      <c r="H118">
        <f>-2</f>
        <v>-2</v>
      </c>
      <c r="I118">
        <f>2</f>
        <v>2</v>
      </c>
      <c r="J118" t="e">
        <f>NA()</f>
        <v>#N/A</v>
      </c>
    </row>
    <row r="119" spans="1:10" x14ac:dyDescent="0.3">
      <c r="A119" s="1">
        <v>41670</v>
      </c>
      <c r="B119">
        <f>13.2</f>
        <v>13.2</v>
      </c>
      <c r="C119">
        <f>3866.6</f>
        <v>3866.6</v>
      </c>
      <c r="D119">
        <f>69.7</f>
        <v>69.7</v>
      </c>
      <c r="E119">
        <f>32</f>
        <v>32</v>
      </c>
      <c r="F119" t="e">
        <f>NA()</f>
        <v>#N/A</v>
      </c>
      <c r="G119" t="e">
        <f>NA()</f>
        <v>#N/A</v>
      </c>
      <c r="H119">
        <f>-1.6</f>
        <v>-1.6</v>
      </c>
      <c r="I119">
        <f>2.5</f>
        <v>2.5</v>
      </c>
      <c r="J119" t="e">
        <f>NA()</f>
        <v>#N/A</v>
      </c>
    </row>
    <row r="120" spans="1:10" x14ac:dyDescent="0.3">
      <c r="A120" s="1">
        <v>41639</v>
      </c>
      <c r="B120">
        <f>13.6</f>
        <v>13.6</v>
      </c>
      <c r="C120">
        <f>3821.3</f>
        <v>3821.3</v>
      </c>
      <c r="D120">
        <f>69.8</f>
        <v>69.8</v>
      </c>
      <c r="E120">
        <f>25.2</f>
        <v>25.2</v>
      </c>
      <c r="F120" t="e">
        <f>NA()</f>
        <v>#N/A</v>
      </c>
      <c r="G120">
        <f>4.1</f>
        <v>4.0999999999999996</v>
      </c>
      <c r="H120">
        <f>-1.4</f>
        <v>-1.4</v>
      </c>
      <c r="I120">
        <f>2.5</f>
        <v>2.5</v>
      </c>
      <c r="J120">
        <f>7.7</f>
        <v>7.7</v>
      </c>
    </row>
    <row r="121" spans="1:10" x14ac:dyDescent="0.3">
      <c r="A121" s="1">
        <v>41608</v>
      </c>
      <c r="B121">
        <f>14.2</f>
        <v>14.2</v>
      </c>
      <c r="C121">
        <f>3789.5</f>
        <v>3789.5</v>
      </c>
      <c r="D121">
        <f>74.9</f>
        <v>74.900000000000006</v>
      </c>
      <c r="E121">
        <f>33.8</f>
        <v>33.799999999999997</v>
      </c>
      <c r="F121" t="e">
        <f>NA()</f>
        <v>#N/A</v>
      </c>
      <c r="G121" t="e">
        <f>NA()</f>
        <v>#N/A</v>
      </c>
      <c r="H121">
        <f>-1.4</f>
        <v>-1.4</v>
      </c>
      <c r="I121">
        <f>3</f>
        <v>3</v>
      </c>
      <c r="J121" t="e">
        <f>NA()</f>
        <v>#N/A</v>
      </c>
    </row>
    <row r="122" spans="1:10" x14ac:dyDescent="0.3">
      <c r="A122" s="1">
        <v>41578</v>
      </c>
      <c r="B122">
        <f>14.3</f>
        <v>14.3</v>
      </c>
      <c r="C122">
        <f>3736.6</f>
        <v>3736.6</v>
      </c>
      <c r="D122">
        <f>75.8</f>
        <v>75.8</v>
      </c>
      <c r="E122">
        <f>31</f>
        <v>31</v>
      </c>
      <c r="F122" t="e">
        <f>NA()</f>
        <v>#N/A</v>
      </c>
      <c r="G122" t="e">
        <f>NA()</f>
        <v>#N/A</v>
      </c>
      <c r="H122">
        <f>-1.5</f>
        <v>-1.5</v>
      </c>
      <c r="I122">
        <f>3.2</f>
        <v>3.2</v>
      </c>
      <c r="J122" t="e">
        <f>NA()</f>
        <v>#N/A</v>
      </c>
    </row>
    <row r="123" spans="1:10" x14ac:dyDescent="0.3">
      <c r="A123" s="1">
        <v>41547</v>
      </c>
      <c r="B123">
        <f>14.2</f>
        <v>14.2</v>
      </c>
      <c r="C123">
        <f>3662.7</f>
        <v>3662.7</v>
      </c>
      <c r="D123">
        <f>73</f>
        <v>73</v>
      </c>
      <c r="E123">
        <f>14.8</f>
        <v>14.8</v>
      </c>
      <c r="F123" t="e">
        <f>NA()</f>
        <v>#N/A</v>
      </c>
      <c r="G123">
        <f>4</f>
        <v>4</v>
      </c>
      <c r="H123">
        <f>-1.3</f>
        <v>-1.3</v>
      </c>
      <c r="I123">
        <f>3.1</f>
        <v>3.1</v>
      </c>
      <c r="J123">
        <f>7.9</f>
        <v>7.9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Júlio César Ballen Mugnol</cp:lastModifiedBy>
  <dcterms:created xsi:type="dcterms:W3CDTF">2013-04-03T15:49:21Z</dcterms:created>
  <dcterms:modified xsi:type="dcterms:W3CDTF">2023-09-21T10:58:59Z</dcterms:modified>
</cp:coreProperties>
</file>