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4f78791bd2de569/CAREeEEeeRrrR/TUNTUN SEKURITAS/"/>
    </mc:Choice>
  </mc:AlternateContent>
  <xr:revisionPtr revIDLastSave="1434" documentId="8_{832E9DB4-9865-45D6-862F-5B99D62A366C}" xr6:coauthVersionLast="47" xr6:coauthVersionMax="47" xr10:uidLastSave="{A3A45A26-7F6F-44A7-B8B1-14E26B0B8E43}"/>
  <bookViews>
    <workbookView xWindow="-108" yWindow="-108" windowWidth="23256" windowHeight="13896" activeTab="1" xr2:uid="{00000000-000D-0000-FFFF-FFFF00000000}"/>
  </bookViews>
  <sheets>
    <sheet name="Free Cash Flow" sheetId="2" r:id="rId1"/>
    <sheet name="DCF" sheetId="5" r:id="rId2"/>
    <sheet name="Evaluation Sheet" sheetId="11" r:id="rId3"/>
    <sheet name="Fixed Assets" sheetId="3" r:id="rId4"/>
    <sheet name="Net Working Capital" sheetId="4" r:id="rId5"/>
    <sheet name="WACC" sheetId="6" r:id="rId6"/>
    <sheet name="Income Statement" sheetId="8" r:id="rId7"/>
    <sheet name="Balance Sheet" sheetId="9" r:id="rId8"/>
    <sheet name="Cash Flow Statemen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6" i="3" l="1"/>
  <c r="D6" i="3"/>
  <c r="E6" i="3"/>
  <c r="E4" i="3" s="1"/>
  <c r="C16" i="2"/>
  <c r="F25" i="2"/>
  <c r="F9" i="4"/>
  <c r="E9" i="4"/>
  <c r="D9" i="4"/>
  <c r="F10" i="4"/>
  <c r="E10" i="4"/>
  <c r="D10" i="4"/>
  <c r="F11" i="4"/>
  <c r="E11" i="4"/>
  <c r="D11" i="4"/>
  <c r="C11" i="4"/>
  <c r="C12" i="4" s="1"/>
  <c r="C10" i="4"/>
  <c r="C9" i="4"/>
  <c r="F7" i="4"/>
  <c r="E7" i="4"/>
  <c r="D7" i="4"/>
  <c r="C19" i="2" s="1"/>
  <c r="F6" i="4"/>
  <c r="E6" i="4"/>
  <c r="D6" i="4"/>
  <c r="F5" i="4"/>
  <c r="E5" i="4"/>
  <c r="D5" i="4"/>
  <c r="F4" i="4"/>
  <c r="E4" i="4"/>
  <c r="D4" i="4"/>
  <c r="C7" i="4"/>
  <c r="C6" i="4"/>
  <c r="C5" i="4"/>
  <c r="C4" i="4"/>
  <c r="C16" i="6"/>
  <c r="C3" i="6"/>
  <c r="C8" i="6" s="1"/>
  <c r="D4" i="3"/>
  <c r="E5" i="11"/>
  <c r="F5" i="11"/>
  <c r="G5" i="11" s="1"/>
  <c r="H5" i="11" s="1"/>
  <c r="C18" i="5"/>
  <c r="C16" i="5"/>
  <c r="C13" i="6"/>
  <c r="C6" i="6"/>
  <c r="G5" i="2"/>
  <c r="H5" i="2" s="1"/>
  <c r="I5" i="2" s="1"/>
  <c r="J5" i="2" s="1"/>
  <c r="F5" i="2"/>
  <c r="F4" i="2"/>
  <c r="F8" i="2" s="1"/>
  <c r="F9" i="2" s="1"/>
  <c r="G25" i="2"/>
  <c r="H25" i="2" s="1"/>
  <c r="I25" i="2" s="1"/>
  <c r="J25" i="2" s="1"/>
  <c r="C25" i="2"/>
  <c r="E28" i="2"/>
  <c r="D28" i="2"/>
  <c r="C28" i="2"/>
  <c r="E19" i="2"/>
  <c r="D19" i="2"/>
  <c r="D16" i="2"/>
  <c r="F18" i="4"/>
  <c r="E18" i="4"/>
  <c r="D18" i="4"/>
  <c r="F17" i="4"/>
  <c r="E17" i="4"/>
  <c r="D17" i="4"/>
  <c r="C18" i="4"/>
  <c r="C17" i="4"/>
  <c r="C21" i="8"/>
  <c r="C25" i="8"/>
  <c r="C22" i="8"/>
  <c r="C15" i="8"/>
  <c r="C14" i="8"/>
  <c r="C8" i="8"/>
  <c r="C7" i="8"/>
  <c r="C4" i="8"/>
  <c r="K16" i="4"/>
  <c r="J16" i="4"/>
  <c r="I16" i="4"/>
  <c r="H16" i="4"/>
  <c r="G16" i="4"/>
  <c r="F16" i="4"/>
  <c r="E16" i="4"/>
  <c r="D16" i="4"/>
  <c r="C16" i="4"/>
  <c r="J10" i="3"/>
  <c r="I10" i="3"/>
  <c r="H10" i="3"/>
  <c r="G10" i="3"/>
  <c r="F10" i="3"/>
  <c r="E7" i="3"/>
  <c r="D7" i="3"/>
  <c r="C7" i="3"/>
  <c r="C40" i="9"/>
  <c r="C48" i="9" s="1"/>
  <c r="C49" i="9" s="1"/>
  <c r="C39" i="9"/>
  <c r="C32" i="9"/>
  <c r="C19" i="9"/>
  <c r="C20" i="9"/>
  <c r="C13" i="9"/>
  <c r="C3" i="9"/>
  <c r="D5" i="3"/>
  <c r="E5" i="3"/>
  <c r="E10" i="3"/>
  <c r="D10" i="3"/>
  <c r="C10" i="3"/>
  <c r="E11" i="2"/>
  <c r="E15" i="2" s="1"/>
  <c r="D11" i="2"/>
  <c r="D15" i="2" s="1"/>
  <c r="C11" i="2"/>
  <c r="C5" i="3" s="1"/>
  <c r="E16" i="2" l="1"/>
  <c r="C4" i="3"/>
  <c r="C13" i="4"/>
  <c r="G4" i="2"/>
  <c r="F6" i="2"/>
  <c r="F10" i="2" s="1"/>
  <c r="I5" i="11"/>
  <c r="C15" i="2"/>
  <c r="H4" i="2" l="1"/>
  <c r="G6" i="2"/>
  <c r="G8" i="2"/>
  <c r="G9" i="2" s="1"/>
  <c r="G10" i="2" l="1"/>
  <c r="H8" i="2"/>
  <c r="H9" i="2" s="1"/>
  <c r="I4" i="2"/>
  <c r="H6" i="2"/>
  <c r="H10" i="2" s="1"/>
  <c r="E8" i="2"/>
  <c r="E9" i="2" s="1"/>
  <c r="D8" i="2"/>
  <c r="D9" i="2" s="1"/>
  <c r="C8" i="2"/>
  <c r="C9" i="2" s="1"/>
  <c r="F8" i="8"/>
  <c r="F13" i="8"/>
  <c r="E8" i="8"/>
  <c r="D8" i="8"/>
  <c r="E13" i="8"/>
  <c r="D13" i="8"/>
  <c r="E5" i="2"/>
  <c r="D5" i="2"/>
  <c r="C5" i="2"/>
  <c r="E38" i="10"/>
  <c r="D38" i="10"/>
  <c r="C38" i="10"/>
  <c r="D35" i="10"/>
  <c r="C35" i="10"/>
  <c r="E35" i="10"/>
  <c r="E34" i="10"/>
  <c r="D34" i="10"/>
  <c r="C34" i="10"/>
  <c r="E21" i="10"/>
  <c r="D21" i="10"/>
  <c r="C21" i="10"/>
  <c r="E13" i="10"/>
  <c r="D13" i="10"/>
  <c r="C13" i="10"/>
  <c r="E7" i="10"/>
  <c r="D7" i="10"/>
  <c r="C7" i="10"/>
  <c r="F40" i="9"/>
  <c r="F48" i="9" s="1"/>
  <c r="E40" i="9"/>
  <c r="E48" i="9" s="1"/>
  <c r="D40" i="9"/>
  <c r="D48" i="9" s="1"/>
  <c r="D49" i="9" s="1"/>
  <c r="F32" i="9"/>
  <c r="E32" i="9"/>
  <c r="D32" i="9"/>
  <c r="D39" i="9" s="1"/>
  <c r="E20" i="9"/>
  <c r="D20" i="9"/>
  <c r="F20" i="9"/>
  <c r="F13" i="9"/>
  <c r="E13" i="9"/>
  <c r="D13" i="9"/>
  <c r="F3" i="9"/>
  <c r="E3" i="9"/>
  <c r="D3" i="9"/>
  <c r="D22" i="8"/>
  <c r="C13" i="2" s="1"/>
  <c r="D15" i="8"/>
  <c r="D4" i="8"/>
  <c r="D7" i="8" s="1"/>
  <c r="F22" i="8"/>
  <c r="E13" i="2" s="1"/>
  <c r="E22" i="8"/>
  <c r="D13" i="2" s="1"/>
  <c r="F15" i="8"/>
  <c r="E15" i="8"/>
  <c r="F4" i="8"/>
  <c r="F7" i="8" s="1"/>
  <c r="E4" i="8"/>
  <c r="E7" i="8" s="1"/>
  <c r="C17" i="5"/>
  <c r="C26" i="4"/>
  <c r="C25" i="4"/>
  <c r="C24" i="4"/>
  <c r="C21" i="4"/>
  <c r="F4" i="3"/>
  <c r="J24" i="2"/>
  <c r="I24" i="2"/>
  <c r="H24" i="2"/>
  <c r="G24" i="2"/>
  <c r="F24" i="2"/>
  <c r="E24" i="2"/>
  <c r="D24" i="2"/>
  <c r="C24" i="2"/>
  <c r="B24" i="2"/>
  <c r="G17" i="4"/>
  <c r="I6" i="2" l="1"/>
  <c r="I8" i="2"/>
  <c r="I9" i="2" s="1"/>
  <c r="J4" i="2"/>
  <c r="E19" i="9"/>
  <c r="F19" i="9"/>
  <c r="F39" i="9"/>
  <c r="F49" i="9" s="1"/>
  <c r="E39" i="9"/>
  <c r="E49" i="9" s="1"/>
  <c r="E4" i="2"/>
  <c r="D4" i="2"/>
  <c r="D27" i="2" s="1"/>
  <c r="E14" i="8"/>
  <c r="F14" i="8"/>
  <c r="C4" i="2"/>
  <c r="C27" i="2" s="1"/>
  <c r="D19" i="9"/>
  <c r="E21" i="4"/>
  <c r="C9" i="6"/>
  <c r="C11" i="3"/>
  <c r="D11" i="3"/>
  <c r="D22" i="4"/>
  <c r="C15" i="6"/>
  <c r="C22" i="4"/>
  <c r="C20" i="4"/>
  <c r="D14" i="8"/>
  <c r="D21" i="8" s="1"/>
  <c r="D25" i="8" s="1"/>
  <c r="E22" i="4"/>
  <c r="E25" i="2"/>
  <c r="D21" i="4"/>
  <c r="E11" i="3"/>
  <c r="J6" i="2" l="1"/>
  <c r="J8" i="2"/>
  <c r="J9" i="2" s="1"/>
  <c r="I10" i="2"/>
  <c r="E6" i="2"/>
  <c r="E10" i="2" s="1"/>
  <c r="E12" i="2" s="1"/>
  <c r="E14" i="2" s="1"/>
  <c r="C6" i="2"/>
  <c r="C10" i="2" s="1"/>
  <c r="C12" i="2" s="1"/>
  <c r="C14" i="2" s="1"/>
  <c r="E27" i="2"/>
  <c r="D6" i="2"/>
  <c r="D10" i="2" s="1"/>
  <c r="D12" i="2" s="1"/>
  <c r="D14" i="2" s="1"/>
  <c r="E25" i="4"/>
  <c r="F28" i="2"/>
  <c r="G28" i="2" s="1"/>
  <c r="H28" i="2" s="1"/>
  <c r="I28" i="2" s="1"/>
  <c r="J28" i="2" s="1"/>
  <c r="E24" i="4"/>
  <c r="D25" i="4"/>
  <c r="D25" i="2"/>
  <c r="F11" i="3"/>
  <c r="G11" i="3" s="1"/>
  <c r="H11" i="3" s="1"/>
  <c r="I11" i="3" s="1"/>
  <c r="J11" i="3" s="1"/>
  <c r="C18" i="6"/>
  <c r="C12" i="5" s="1"/>
  <c r="F27" i="2"/>
  <c r="G27" i="2" s="1"/>
  <c r="H27" i="2" s="1"/>
  <c r="I27" i="2" s="1"/>
  <c r="J27" i="2" s="1"/>
  <c r="F22" i="4"/>
  <c r="G22" i="4" s="1"/>
  <c r="F21" i="4"/>
  <c r="G21" i="4" s="1"/>
  <c r="F25" i="4"/>
  <c r="F20" i="4"/>
  <c r="F24" i="4"/>
  <c r="H17" i="4"/>
  <c r="D12" i="3"/>
  <c r="C12" i="3"/>
  <c r="F15" i="5" l="1"/>
  <c r="F14" i="5" s="1"/>
  <c r="F13" i="5" s="1"/>
  <c r="K6" i="5"/>
  <c r="J6" i="5"/>
  <c r="I6" i="5"/>
  <c r="H6" i="5"/>
  <c r="G6" i="5"/>
  <c r="H22" i="4"/>
  <c r="G9" i="4"/>
  <c r="H21" i="4"/>
  <c r="H5" i="4" s="1"/>
  <c r="G5" i="4"/>
  <c r="J10" i="2"/>
  <c r="G25" i="4"/>
  <c r="G10" i="4" s="1"/>
  <c r="D24" i="4"/>
  <c r="G24" i="4" s="1"/>
  <c r="D20" i="4"/>
  <c r="E20" i="4"/>
  <c r="C29" i="2"/>
  <c r="D29" i="2"/>
  <c r="F5" i="3"/>
  <c r="F11" i="2" s="1"/>
  <c r="H18" i="4"/>
  <c r="E12" i="3"/>
  <c r="F12" i="3" s="1"/>
  <c r="G18" i="4"/>
  <c r="I17" i="4"/>
  <c r="I21" i="4"/>
  <c r="I5" i="4" s="1"/>
  <c r="J18" i="4"/>
  <c r="I18" i="4"/>
  <c r="E29" i="2"/>
  <c r="J17" i="4"/>
  <c r="F16" i="5" l="1"/>
  <c r="F17" i="5" s="1"/>
  <c r="H25" i="4"/>
  <c r="I25" i="4" s="1"/>
  <c r="J25" i="4" s="1"/>
  <c r="H10" i="4"/>
  <c r="I22" i="4"/>
  <c r="H9" i="4"/>
  <c r="H24" i="4"/>
  <c r="I24" i="4" s="1"/>
  <c r="J24" i="4" s="1"/>
  <c r="J10" i="4"/>
  <c r="I10" i="4"/>
  <c r="F15" i="2"/>
  <c r="F12" i="2"/>
  <c r="G20" i="4"/>
  <c r="G12" i="3"/>
  <c r="H12" i="3" s="1"/>
  <c r="I12" i="3" s="1"/>
  <c r="J12" i="3" s="1"/>
  <c r="F6" i="3"/>
  <c r="J21" i="4"/>
  <c r="J5" i="4" s="1"/>
  <c r="K24" i="4"/>
  <c r="K25" i="4"/>
  <c r="K17" i="4"/>
  <c r="K18" i="4"/>
  <c r="I9" i="4" l="1"/>
  <c r="J22" i="4"/>
  <c r="H20" i="4"/>
  <c r="G4" i="4"/>
  <c r="G6" i="4" s="1"/>
  <c r="G7" i="4" s="1"/>
  <c r="F19" i="2"/>
  <c r="K10" i="4"/>
  <c r="F13" i="2"/>
  <c r="F14" i="2" s="1"/>
  <c r="F7" i="3"/>
  <c r="G4" i="3" s="1"/>
  <c r="F16" i="2"/>
  <c r="K21" i="4"/>
  <c r="K5" i="4" s="1"/>
  <c r="J9" i="4" l="1"/>
  <c r="K22" i="4"/>
  <c r="K9" i="4" s="1"/>
  <c r="I20" i="4"/>
  <c r="H4" i="4"/>
  <c r="H6" i="4" s="1"/>
  <c r="H7" i="4" s="1"/>
  <c r="G19" i="2" s="1"/>
  <c r="G5" i="3"/>
  <c r="G11" i="2" s="1"/>
  <c r="G6" i="3"/>
  <c r="J20" i="4" l="1"/>
  <c r="I4" i="4"/>
  <c r="I6" i="4" s="1"/>
  <c r="I7" i="4" s="1"/>
  <c r="H19" i="2" s="1"/>
  <c r="G16" i="2"/>
  <c r="G7" i="3"/>
  <c r="H4" i="3" s="1"/>
  <c r="G15" i="2"/>
  <c r="G12" i="2"/>
  <c r="J4" i="4" l="1"/>
  <c r="J6" i="4" s="1"/>
  <c r="J7" i="4" s="1"/>
  <c r="I19" i="2" s="1"/>
  <c r="K20" i="4"/>
  <c r="K4" i="4" s="1"/>
  <c r="G13" i="2"/>
  <c r="G14" i="2" s="1"/>
  <c r="H6" i="3"/>
  <c r="H5" i="3"/>
  <c r="H11" i="2" s="1"/>
  <c r="K6" i="4" l="1"/>
  <c r="K7" i="4" s="1"/>
  <c r="J19" i="2" s="1"/>
  <c r="H15" i="2"/>
  <c r="H12" i="2"/>
  <c r="H16" i="2"/>
  <c r="H7" i="3"/>
  <c r="I4" i="3" s="1"/>
  <c r="I6" i="3" l="1"/>
  <c r="I16" i="2" s="1"/>
  <c r="I5" i="3"/>
  <c r="I11" i="2" s="1"/>
  <c r="H13" i="2"/>
  <c r="H14" i="2" s="1"/>
  <c r="I15" i="2" l="1"/>
  <c r="I12" i="2"/>
  <c r="I7" i="3"/>
  <c r="J4" i="3" s="1"/>
  <c r="I13" i="2" l="1"/>
  <c r="I14" i="2" s="1"/>
  <c r="J5" i="3"/>
  <c r="J11" i="2" s="1"/>
  <c r="J6" i="3"/>
  <c r="E21" i="8"/>
  <c r="E25" i="8" s="1"/>
  <c r="F21" i="8"/>
  <c r="F25" i="8" s="1"/>
  <c r="J16" i="2" l="1"/>
  <c r="J7" i="3"/>
  <c r="J15" i="2"/>
  <c r="J12" i="2"/>
  <c r="J13" i="2" l="1"/>
  <c r="J14" i="2" s="1"/>
  <c r="F26" i="4" l="1"/>
  <c r="E26" i="4"/>
  <c r="E12" i="4"/>
  <c r="E13" i="4" s="1"/>
  <c r="D18" i="2" s="1"/>
  <c r="F12" i="4"/>
  <c r="F13" i="4" s="1"/>
  <c r="D12" i="4"/>
  <c r="C20" i="2" s="1"/>
  <c r="D26" i="4"/>
  <c r="E20" i="2" l="1"/>
  <c r="D20" i="2"/>
  <c r="G26" i="4"/>
  <c r="G11" i="4" s="1"/>
  <c r="G12" i="4" s="1"/>
  <c r="E18" i="2"/>
  <c r="E17" i="2"/>
  <c r="E21" i="2" s="1"/>
  <c r="F4" i="5" s="1"/>
  <c r="D13" i="4"/>
  <c r="H26" i="4" l="1"/>
  <c r="C18" i="2"/>
  <c r="C17" i="2"/>
  <c r="C21" i="2" s="1"/>
  <c r="D4" i="5" s="1"/>
  <c r="D17" i="2"/>
  <c r="D21" i="2" s="1"/>
  <c r="E4" i="5" s="1"/>
  <c r="I26" i="4"/>
  <c r="H11" i="4"/>
  <c r="H12" i="4" s="1"/>
  <c r="F20" i="2"/>
  <c r="G13" i="4"/>
  <c r="F18" i="2" s="1"/>
  <c r="F17" i="2" s="1"/>
  <c r="F21" i="2" s="1"/>
  <c r="G4" i="5" s="1"/>
  <c r="G7" i="5" s="1"/>
  <c r="G20" i="2" l="1"/>
  <c r="H13" i="4"/>
  <c r="G18" i="2" s="1"/>
  <c r="G17" i="2" s="1"/>
  <c r="G21" i="2" s="1"/>
  <c r="H4" i="5" s="1"/>
  <c r="H7" i="5" s="1"/>
  <c r="I11" i="4"/>
  <c r="I12" i="4" s="1"/>
  <c r="J26" i="4"/>
  <c r="J11" i="4" l="1"/>
  <c r="J12" i="4" s="1"/>
  <c r="K26" i="4"/>
  <c r="K11" i="4" s="1"/>
  <c r="K12" i="4" s="1"/>
  <c r="I13" i="4"/>
  <c r="H18" i="2" s="1"/>
  <c r="H17" i="2" s="1"/>
  <c r="H21" i="2" s="1"/>
  <c r="I4" i="5" s="1"/>
  <c r="I7" i="5" s="1"/>
  <c r="H20" i="2"/>
  <c r="K13" i="4" l="1"/>
  <c r="J18" i="2" s="1"/>
  <c r="J20" i="2"/>
  <c r="J13" i="4"/>
  <c r="I18" i="2" s="1"/>
  <c r="I17" i="2" s="1"/>
  <c r="I21" i="2" s="1"/>
  <c r="J4" i="5" s="1"/>
  <c r="J7" i="5" s="1"/>
  <c r="I20" i="2"/>
  <c r="J17" i="2" l="1"/>
  <c r="J21" i="2" s="1"/>
  <c r="K4" i="5" s="1"/>
  <c r="K7" i="5" s="1"/>
  <c r="C10" i="5" l="1"/>
  <c r="I12" i="5" l="1"/>
  <c r="C13" i="5"/>
  <c r="C14" i="5" l="1"/>
  <c r="C15" i="5" s="1"/>
  <c r="C19" i="5" s="1"/>
  <c r="C21" i="5" s="1"/>
  <c r="J12" i="5"/>
  <c r="K12" i="5" s="1"/>
  <c r="H12" i="5"/>
  <c r="G12" i="5" s="1"/>
  <c r="C4" i="11" l="1"/>
  <c r="F4" i="11" s="1"/>
  <c r="G4" i="11" s="1"/>
  <c r="F12" i="5"/>
  <c r="E4" i="11" l="1"/>
  <c r="H4" i="11"/>
  <c r="I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Akmal Farouqi</author>
  </authors>
  <commentList>
    <comment ref="C5" authorId="0" shapeId="0" xr:uid="{3FA17549-20A5-4216-BC6D-4909F101D1FE}">
      <text>
        <r>
          <rPr>
            <b/>
            <sz val="9"/>
            <color indexed="81"/>
            <rFont val="Tahoma"/>
            <family val="2"/>
          </rPr>
          <t>Muhammad Akmal Farouqi:</t>
        </r>
        <r>
          <rPr>
            <sz val="9"/>
            <color indexed="81"/>
            <rFont val="Tahoma"/>
            <family val="2"/>
          </rPr>
          <t xml:space="preserve">
As of 02/01/2025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Akmal Farouqi</author>
  </authors>
  <commentList>
    <comment ref="C14" authorId="0" shapeId="0" xr:uid="{60812F66-9C20-4BA3-8209-C4695F45D897}">
      <text>
        <r>
          <rPr>
            <b/>
            <sz val="9"/>
            <color indexed="81"/>
            <rFont val="Tahoma"/>
            <family val="2"/>
          </rPr>
          <t>Muhammad Akmal Farouqi:</t>
        </r>
        <r>
          <rPr>
            <sz val="9"/>
            <color indexed="81"/>
            <rFont val="Tahoma"/>
            <family val="2"/>
          </rPr>
          <t xml:space="preserve">
https://pages.stern.nyu.edu/~adamodar/New_Home_Page/dataarchived.html#industry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<sst xmlns="http://schemas.openxmlformats.org/spreadsheetml/2006/main" count="239" uniqueCount="213">
  <si>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</si>
  <si>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</si>
  <si>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</si>
  <si>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</si>
  <si>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</si>
  <si>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</si>
  <si>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</si>
  <si>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</si>
  <si>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</si>
  <si>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</si>
  <si>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</si>
  <si>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</si>
  <si>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</si>
  <si>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</si>
  <si>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</si>
  <si>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</si>
  <si>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</si>
  <si>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</si>
  <si>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</si>
  <si>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</si>
  <si>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</si>
  <si>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</si>
  <si>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</si>
  <si>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</si>
  <si>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</si>
  <si>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</si>
  <si>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</si>
  <si>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</si>
  <si>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</si>
  <si>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</si>
  <si>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</si>
  <si>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</si>
  <si>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Other Current Assets</t>
  </si>
  <si>
    <t>Accounts Payable</t>
  </si>
  <si>
    <t>Other 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</si>
  <si>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</si>
  <si>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</si>
  <si>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</si>
  <si>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</si>
  <si>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</si>
  <si>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</si>
  <si>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</si>
  <si>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</si>
  <si>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</si>
  <si>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</si>
  <si>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</si>
  <si>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</si>
  <si>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</si>
  <si>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</si>
  <si>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</si>
  <si>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</si>
  <si>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</si>
  <si>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</si>
  <si>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</si>
  <si>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Implied Share Price</t>
  </si>
  <si>
    <t>Weighted Average Cost of Capital (WACC)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</si>
  <si>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</si>
  <si>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</si>
  <si>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</si>
  <si>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</si>
  <si>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</si>
  <si>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</si>
  <si>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</si>
  <si>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</si>
  <si>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</si>
  <si>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</si>
  <si>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REVENUE</t>
  </si>
  <si>
    <t>Total revenue</t>
  </si>
  <si>
    <t>OPERATING EXPENSES</t>
  </si>
  <si>
    <t>OTHER INCOME (EXPENSE)</t>
  </si>
  <si>
    <t>INCOME BEFORE INCOME TAXES</t>
  </si>
  <si>
    <t>TOTAL ASSETS</t>
  </si>
  <si>
    <t>Additional paid-in capital</t>
  </si>
  <si>
    <t>Retained earnings</t>
  </si>
  <si>
    <t>TOTAL LIABILITIES AND EQUITY</t>
  </si>
  <si>
    <t>Consolidated Statements Of Cash Flows - USD ($) $ in Millions</t>
  </si>
  <si>
    <t>CASH FLOWS FROM OPERATING ACTIVITIES</t>
  </si>
  <si>
    <t>Net Cash Provided by (Used in) Operating Activities</t>
  </si>
  <si>
    <t>CASH FLOWS FROM INVESTING ACTIVITIES</t>
  </si>
  <si>
    <t>CASH FLOWS FROM FINANCING ACTIVITIES</t>
  </si>
  <si>
    <t>Net Cash Provided by (Used in) Financing Activities</t>
  </si>
  <si>
    <t>Interest paid</t>
  </si>
  <si>
    <t>♣</t>
  </si>
  <si>
    <t>Notes</t>
  </si>
  <si>
    <t>Net Sales</t>
  </si>
  <si>
    <t>Cost of Goods Sold</t>
  </si>
  <si>
    <t>Interest Income</t>
  </si>
  <si>
    <t>Operating Profit</t>
  </si>
  <si>
    <t>Gain on Sale of Property, Plant and Equipmenet</t>
  </si>
  <si>
    <t>Interest Expense</t>
  </si>
  <si>
    <t>Others - net</t>
  </si>
  <si>
    <t>Gain on foreign exchange - net</t>
  </si>
  <si>
    <t>Earnings Before Tax</t>
  </si>
  <si>
    <t>OPERATING INCOME</t>
  </si>
  <si>
    <t>TAX EXPENSE (BENEFIT)</t>
  </si>
  <si>
    <t>Current Tax</t>
  </si>
  <si>
    <t>Deferred Tax</t>
  </si>
  <si>
    <t>PROFIT FOR THE YEAR</t>
  </si>
  <si>
    <t>COST OF GOODSS SOLD</t>
  </si>
  <si>
    <t>GROSS PROFIT</t>
  </si>
  <si>
    <t>Cash and Cash Equivalents</t>
  </si>
  <si>
    <t>Other Accounts Receivable</t>
  </si>
  <si>
    <t>Inventories</t>
  </si>
  <si>
    <t>Advances for Purchases</t>
  </si>
  <si>
    <t>Prepaid Taxes</t>
  </si>
  <si>
    <t>Prepaid Expenses</t>
  </si>
  <si>
    <t>Trade Accounts Receivable - Related Parties</t>
  </si>
  <si>
    <t>Trade Accounts Receivable - Third Parties</t>
  </si>
  <si>
    <t>Pajak dibayar dimuka</t>
  </si>
  <si>
    <t>Biaya dibayar dimuka</t>
  </si>
  <si>
    <t>Investment in securities</t>
  </si>
  <si>
    <t>TOTAL CURRENT ASSETS</t>
  </si>
  <si>
    <t>TOTAL NONCURRENT ASSETS</t>
  </si>
  <si>
    <t>Deferred tax Assets</t>
  </si>
  <si>
    <t>Property, plant and equipment - net (of accumulated depreciation</t>
  </si>
  <si>
    <t>Aset pajak tangguhan</t>
  </si>
  <si>
    <t>Aset tetap</t>
  </si>
  <si>
    <t>Right-of-use assets</t>
  </si>
  <si>
    <t>Aset hak guna</t>
  </si>
  <si>
    <t>Advances for purchase of property and equipment</t>
  </si>
  <si>
    <t>Guarantee deposits</t>
  </si>
  <si>
    <t>Uang Jaminan</t>
  </si>
  <si>
    <t>Uang muka pembelian aset tetap</t>
  </si>
  <si>
    <t>TOTAL CURRENT LIABILITIES</t>
  </si>
  <si>
    <t>Short-term bank loans</t>
  </si>
  <si>
    <t>Trade accounts payable - Related parties</t>
  </si>
  <si>
    <t>Trade accounts payable - Third parties</t>
  </si>
  <si>
    <t>Other Accounts Payable</t>
  </si>
  <si>
    <t>Advances received</t>
  </si>
  <si>
    <t>Taxes payable</t>
  </si>
  <si>
    <t>Accrued expenses</t>
  </si>
  <si>
    <t>Current portion of long term liabilities:</t>
  </si>
  <si>
    <t>Bank loans</t>
  </si>
  <si>
    <t>Lease liabilities</t>
  </si>
  <si>
    <t>Bond payable</t>
  </si>
  <si>
    <t>TOTAL NONCURRENT LIABILITIES</t>
  </si>
  <si>
    <t>Deferred tax liabilities</t>
  </si>
  <si>
    <t>Bonds payable</t>
  </si>
  <si>
    <t>Long-term employee benefits liability</t>
  </si>
  <si>
    <t>Long-term liabilities - not of current portion:</t>
  </si>
  <si>
    <t>TOTAL LIABILITIES</t>
  </si>
  <si>
    <t>TOTAL EQUITY</t>
  </si>
  <si>
    <t>Equity Attributable to Owners of the Parent Company</t>
  </si>
  <si>
    <t>Capital Stock</t>
  </si>
  <si>
    <t>Saldo laba</t>
  </si>
  <si>
    <t>Appropriated</t>
  </si>
  <si>
    <t>Unappropriated</t>
  </si>
  <si>
    <t>Ditentukan penggunaannya</t>
  </si>
  <si>
    <t>Belum ditentukan penggunaannya</t>
  </si>
  <si>
    <t>Exchange differences on translation of a foreign subsidiary</t>
  </si>
  <si>
    <t>NON-CONTROLLING INTERESTS</t>
  </si>
  <si>
    <t>Consolidated Balance Sheets - IDR</t>
  </si>
  <si>
    <t>Consolidated Statements Of Income - IDR</t>
  </si>
  <si>
    <t>Cash received from customers andd others</t>
  </si>
  <si>
    <t>Cash paid to suppliers, contractors, employees, and others</t>
  </si>
  <si>
    <t>Net cash generated from operations</t>
  </si>
  <si>
    <t>Tax refund</t>
  </si>
  <si>
    <t>Income tax paid</t>
  </si>
  <si>
    <t>Final tax paid</t>
  </si>
  <si>
    <t>Acquisitions of property, plant and equipment</t>
  </si>
  <si>
    <t>Proceeds from (payment for) for investment in securities</t>
  </si>
  <si>
    <t>Cash paid for advance purchase of property and equipment</t>
  </si>
  <si>
    <t>Decrease (increase) in guarantee deposits</t>
  </si>
  <si>
    <t>interest received</t>
  </si>
  <si>
    <t>proceeds from sale of property, plant and equipment</t>
  </si>
  <si>
    <t>Net Cash Used in Investing Activities</t>
  </si>
  <si>
    <t>Proceeds from:</t>
  </si>
  <si>
    <t>Long-term bank loans</t>
  </si>
  <si>
    <t>Long-term employee benefits paid</t>
  </si>
  <si>
    <t>Issuance of bonds</t>
  </si>
  <si>
    <t>Payments of:</t>
  </si>
  <si>
    <t>Dividends</t>
  </si>
  <si>
    <t>Company</t>
  </si>
  <si>
    <t>Subsidiary</t>
  </si>
  <si>
    <t>Redemption of bonds</t>
  </si>
  <si>
    <t>NET INCREASE IN CASH AND CASH EQUIVALENTS</t>
  </si>
  <si>
    <t>Cash and Cash Equivalents At the Beginning of the Year</t>
  </si>
  <si>
    <t>Effects of foregin exchange rate changes</t>
  </si>
  <si>
    <t>Amortization of right-of-use assets</t>
  </si>
  <si>
    <t>Depreciation</t>
  </si>
  <si>
    <t>Administrative (Others)</t>
  </si>
  <si>
    <t>General and Administrative Expenses</t>
  </si>
  <si>
    <t>Selling Expenses</t>
  </si>
  <si>
    <t>Accrued Expenses as a % of Revenue</t>
  </si>
  <si>
    <t>Debt (IDR)</t>
  </si>
  <si>
    <t>Equity (IDR)</t>
  </si>
  <si>
    <t>Govt Bond Yield: 10-Yr (CEIC) 18-07-2025</t>
  </si>
  <si>
    <t>Damodoran's Avg Levered Beta for Emergin Markets</t>
  </si>
  <si>
    <t>E/D Ratio</t>
  </si>
  <si>
    <t>Diluted Shares Outstanding</t>
  </si>
  <si>
    <t>P/E</t>
  </si>
  <si>
    <t>EV/Sales</t>
  </si>
  <si>
    <t>EV</t>
  </si>
  <si>
    <t>Implied Share</t>
  </si>
  <si>
    <t>Current Share</t>
  </si>
  <si>
    <t>Price</t>
  </si>
  <si>
    <t>EPS (AR 2024)</t>
  </si>
  <si>
    <t>Market Cap.</t>
  </si>
  <si>
    <t>EV/EBITDA</t>
  </si>
  <si>
    <t>Gordon Growth Perpetual Model</t>
  </si>
  <si>
    <t>Stated on the Annual Report</t>
  </si>
  <si>
    <t>MVD</t>
  </si>
  <si>
    <t>MVE</t>
  </si>
  <si>
    <t>Average Annual Growth Rate July 2020-2025</t>
  </si>
  <si>
    <t>CAPM =Rf + beta*(EM-Rf)</t>
  </si>
  <si>
    <t>D/E Ratio</t>
  </si>
  <si>
    <t>Non-Cash Current Assets</t>
  </si>
  <si>
    <t>Non-Cash Current Liabilities</t>
  </si>
  <si>
    <t>Non-Cash Net Working Capital</t>
  </si>
  <si>
    <t>(-) Change in NCNWC</t>
  </si>
  <si>
    <t>NCNWC</t>
  </si>
  <si>
    <t>Discount Factor</t>
  </si>
  <si>
    <t>Property, plant and equipment (Depreciation)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</si>
</sst>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  <numFmt numFmtId="170" formatCode="0.0000000000000000%"/>
    <numFmt numFmtId="171" formatCode="_-* #,##0_-;\-* #,##0_-;_-* &quot;-&quot;??_-;_-@_-"/>
    <numFmt numFmtId="172" formatCode="0.00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16">
    <xf numFmtId="0" fontId="0" fillId="0" borderId="0" xfId="0"/>
    <xf numFmtId="0" fontId="4" fillId="0" borderId="0" xfId="0" applyFont="1"/>
    <xf numFmtId="0" fontId="6" fillId="3" borderId="1" xfId="0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/>
    <xf numFmtId="165" fontId="4" fillId="2" borderId="2" xfId="0" applyNumberFormat="1" applyFont="1" applyFill="1" applyBorder="1"/>
    <xf numFmtId="0" fontId="7" fillId="0" borderId="0" xfId="0" applyFont="1"/>
    <xf numFmtId="166" fontId="4" fillId="0" borderId="0" xfId="0" applyNumberFormat="1" applyFont="1"/>
    <xf numFmtId="0" fontId="4" fillId="0" borderId="3" xfId="0" applyFont="1" applyBorder="1"/>
    <xf numFmtId="166" fontId="4" fillId="0" borderId="3" xfId="0" applyNumberFormat="1" applyFont="1" applyBorder="1"/>
    <xf numFmtId="0" fontId="5" fillId="0" borderId="0" xfId="0" applyFont="1"/>
    <xf numFmtId="166" fontId="5" fillId="0" borderId="0" xfId="0" applyNumberFormat="1" applyFont="1"/>
    <xf numFmtId="0" fontId="4" fillId="0" borderId="0" xfId="0" applyFont="1" applyAlignment="1">
      <alignment horizontal="left"/>
    </xf>
    <xf numFmtId="0" fontId="5" fillId="4" borderId="4" xfId="0" applyFont="1" applyFill="1" applyBorder="1"/>
    <xf numFmtId="166" fontId="5" fillId="4" borderId="4" xfId="0" applyNumberFormat="1" applyFont="1" applyFill="1" applyBorder="1"/>
    <xf numFmtId="0" fontId="4" fillId="5" borderId="1" xfId="0" applyFont="1" applyFill="1" applyBorder="1"/>
    <xf numFmtId="167" fontId="4" fillId="5" borderId="1" xfId="0" applyNumberFormat="1" applyFont="1" applyFill="1" applyBorder="1"/>
    <xf numFmtId="3" fontId="4" fillId="0" borderId="0" xfId="0" applyNumberFormat="1" applyFont="1"/>
    <xf numFmtId="0" fontId="5" fillId="0" borderId="5" xfId="0" applyFont="1" applyBorder="1"/>
    <xf numFmtId="3" fontId="5" fillId="0" borderId="5" xfId="0" applyNumberFormat="1" applyFont="1" applyBorder="1"/>
    <xf numFmtId="167" fontId="4" fillId="0" borderId="0" xfId="0" applyNumberFormat="1" applyFont="1"/>
    <xf numFmtId="3" fontId="4" fillId="5" borderId="1" xfId="0" applyNumberFormat="1" applyFont="1" applyFill="1" applyBorder="1"/>
    <xf numFmtId="168" fontId="4" fillId="5" borderId="1" xfId="0" applyNumberFormat="1" applyFont="1" applyFill="1" applyBorder="1"/>
    <xf numFmtId="4" fontId="4" fillId="0" borderId="0" xfId="0" applyNumberFormat="1" applyFont="1"/>
    <xf numFmtId="10" fontId="4" fillId="2" borderId="1" xfId="0" applyNumberFormat="1" applyFont="1" applyFill="1" applyBorder="1"/>
    <xf numFmtId="4" fontId="4" fillId="2" borderId="1" xfId="0" applyNumberFormat="1" applyFont="1" applyFill="1" applyBorder="1"/>
    <xf numFmtId="4" fontId="6" fillId="3" borderId="1" xfId="0" applyNumberFormat="1" applyFont="1" applyFill="1" applyBorder="1"/>
    <xf numFmtId="0" fontId="4" fillId="0" borderId="5" xfId="0" applyFont="1" applyBorder="1"/>
    <xf numFmtId="3" fontId="4" fillId="0" borderId="5" xfId="0" applyNumberFormat="1" applyFont="1" applyBorder="1"/>
    <xf numFmtId="2" fontId="9" fillId="0" borderId="0" xfId="0" applyNumberFormat="1" applyFont="1"/>
    <xf numFmtId="4" fontId="5" fillId="4" borderId="4" xfId="0" applyNumberFormat="1" applyFont="1" applyFill="1" applyBorder="1"/>
    <xf numFmtId="167" fontId="9" fillId="0" borderId="0" xfId="0" applyNumberFormat="1" applyFont="1"/>
    <xf numFmtId="167" fontId="5" fillId="0" borderId="5" xfId="0" applyNumberFormat="1" applyFont="1" applyBorder="1"/>
    <xf numFmtId="167" fontId="5" fillId="0" borderId="0" xfId="0" applyNumberFormat="1" applyFont="1"/>
    <xf numFmtId="167" fontId="5" fillId="4" borderId="4" xfId="0" applyNumberFormat="1" applyFont="1" applyFill="1" applyBorder="1"/>
    <xf numFmtId="169" fontId="4" fillId="0" borderId="0" xfId="0" applyNumberFormat="1" applyFont="1"/>
    <xf numFmtId="167" fontId="3" fillId="5" borderId="1" xfId="0" applyNumberFormat="1" applyFont="1" applyFill="1" applyBorder="1"/>
    <xf numFmtId="167" fontId="3" fillId="0" borderId="0" xfId="0" applyNumberFormat="1" applyFont="1"/>
    <xf numFmtId="170" fontId="3" fillId="0" borderId="0" xfId="0" applyNumberFormat="1" applyFont="1"/>
    <xf numFmtId="0" fontId="8" fillId="0" borderId="7" xfId="0" applyFont="1" applyBorder="1"/>
    <xf numFmtId="0" fontId="8" fillId="0" borderId="11" xfId="0" applyFont="1" applyBorder="1"/>
    <xf numFmtId="0" fontId="2" fillId="0" borderId="0" xfId="0" applyFont="1"/>
    <xf numFmtId="0" fontId="11" fillId="0" borderId="0" xfId="0" applyFont="1"/>
    <xf numFmtId="44" fontId="0" fillId="0" borderId="0" xfId="2" applyFont="1"/>
    <xf numFmtId="44" fontId="4" fillId="0" borderId="0" xfId="2" applyFont="1"/>
    <xf numFmtId="44" fontId="0" fillId="0" borderId="0" xfId="0" applyNumberFormat="1"/>
    <xf numFmtId="3" fontId="3" fillId="0" borderId="0" xfId="0" applyNumberFormat="1" applyFont="1"/>
    <xf numFmtId="166" fontId="11" fillId="0" borderId="0" xfId="0" applyNumberFormat="1" applyFont="1"/>
    <xf numFmtId="166" fontId="0" fillId="0" borderId="0" xfId="2" applyNumberFormat="1" applyFont="1"/>
    <xf numFmtId="166" fontId="0" fillId="0" borderId="0" xfId="0" applyNumberFormat="1"/>
    <xf numFmtId="166" fontId="4" fillId="0" borderId="0" xfId="2" applyNumberFormat="1" applyFont="1"/>
    <xf numFmtId="0" fontId="11" fillId="6" borderId="0" xfId="0" applyFont="1" applyFill="1"/>
    <xf numFmtId="0" fontId="0" fillId="6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6" borderId="0" xfId="0" applyFont="1" applyFill="1" applyAlignment="1">
      <alignment wrapText="1"/>
    </xf>
    <xf numFmtId="3" fontId="4" fillId="6" borderId="0" xfId="0" applyNumberFormat="1" applyFont="1" applyFill="1"/>
    <xf numFmtId="0" fontId="12" fillId="0" borderId="0" xfId="0" applyFont="1" applyAlignment="1">
      <alignment wrapText="1"/>
    </xf>
    <xf numFmtId="0" fontId="2" fillId="0" borderId="0" xfId="0" applyFont="1" applyAlignment="1">
      <alignment horizontal="left" wrapText="1" indent="1"/>
    </xf>
    <xf numFmtId="0" fontId="12" fillId="0" borderId="0" xfId="0" applyFont="1"/>
    <xf numFmtId="0" fontId="2" fillId="0" borderId="0" xfId="0" applyFont="1" applyAlignment="1">
      <alignment horizontal="left" indent="1"/>
    </xf>
    <xf numFmtId="0" fontId="14" fillId="0" borderId="0" xfId="0" applyFont="1"/>
    <xf numFmtId="0" fontId="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0" fontId="11" fillId="6" borderId="0" xfId="0" applyFont="1" applyFill="1" applyAlignment="1">
      <alignment horizontal="left"/>
    </xf>
    <xf numFmtId="0" fontId="3" fillId="5" borderId="1" xfId="0" applyFont="1" applyFill="1" applyBorder="1"/>
    <xf numFmtId="3" fontId="0" fillId="0" borderId="0" xfId="0" applyNumberFormat="1"/>
    <xf numFmtId="0" fontId="11" fillId="0" borderId="12" xfId="0" applyFont="1" applyBorder="1"/>
    <xf numFmtId="3" fontId="11" fillId="0" borderId="12" xfId="0" applyNumberFormat="1" applyFont="1" applyBorder="1"/>
    <xf numFmtId="10" fontId="4" fillId="5" borderId="1" xfId="3" applyNumberFormat="1" applyFont="1" applyFill="1" applyBorder="1"/>
    <xf numFmtId="166" fontId="12" fillId="0" borderId="0" xfId="2" applyNumberFormat="1" applyFont="1"/>
    <xf numFmtId="166" fontId="2" fillId="0" borderId="0" xfId="2" applyNumberFormat="1" applyFont="1"/>
    <xf numFmtId="166" fontId="14" fillId="0" borderId="0" xfId="2" applyNumberFormat="1" applyFont="1"/>
    <xf numFmtId="166" fontId="11" fillId="6" borderId="0" xfId="2" applyNumberFormat="1" applyFont="1" applyFill="1"/>
    <xf numFmtId="166" fontId="2" fillId="0" borderId="0" xfId="2" applyNumberFormat="1" applyFont="1" applyAlignment="1">
      <alignment horizontal="left" indent="1"/>
    </xf>
    <xf numFmtId="166" fontId="13" fillId="0" borderId="0" xfId="2" applyNumberFormat="1" applyFont="1"/>
    <xf numFmtId="166" fontId="5" fillId="6" borderId="0" xfId="2" applyNumberFormat="1" applyFont="1" applyFill="1"/>
    <xf numFmtId="166" fontId="2" fillId="0" borderId="0" xfId="2" applyNumberFormat="1" applyFont="1" applyAlignment="1">
      <alignment wrapText="1"/>
    </xf>
    <xf numFmtId="166" fontId="5" fillId="6" borderId="0" xfId="0" applyNumberFormat="1" applyFont="1" applyFill="1"/>
    <xf numFmtId="166" fontId="11" fillId="6" borderId="0" xfId="0" applyNumberFormat="1" applyFont="1" applyFill="1"/>
    <xf numFmtId="166" fontId="12" fillId="0" borderId="0" xfId="0" applyNumberFormat="1" applyFont="1"/>
    <xf numFmtId="166" fontId="7" fillId="0" borderId="0" xfId="2" applyNumberFormat="1" applyFont="1"/>
    <xf numFmtId="166" fontId="7" fillId="0" borderId="0" xfId="0" applyNumberFormat="1" applyFont="1"/>
    <xf numFmtId="166" fontId="12" fillId="6" borderId="0" xfId="2" applyNumberFormat="1" applyFont="1" applyFill="1"/>
    <xf numFmtId="0" fontId="6" fillId="3" borderId="6" xfId="0" applyFont="1" applyFill="1" applyBorder="1"/>
    <xf numFmtId="0" fontId="3" fillId="0" borderId="0" xfId="0" applyFont="1"/>
    <xf numFmtId="43" fontId="9" fillId="0" borderId="0" xfId="1" applyFont="1"/>
    <xf numFmtId="10" fontId="9" fillId="0" borderId="0" xfId="0" applyNumberFormat="1" applyFont="1"/>
    <xf numFmtId="0" fontId="0" fillId="0" borderId="11" xfId="0" applyBorder="1"/>
    <xf numFmtId="0" fontId="2" fillId="0" borderId="11" xfId="0" applyFont="1" applyBorder="1"/>
    <xf numFmtId="43" fontId="0" fillId="0" borderId="11" xfId="1" applyFont="1" applyBorder="1"/>
    <xf numFmtId="43" fontId="0" fillId="0" borderId="11" xfId="0" applyNumberFormat="1" applyBorder="1"/>
    <xf numFmtId="4" fontId="0" fillId="0" borderId="11" xfId="0" applyNumberFormat="1" applyBorder="1"/>
    <xf numFmtId="0" fontId="0" fillId="7" borderId="13" xfId="0" applyFill="1" applyBorder="1"/>
    <xf numFmtId="171" fontId="0" fillId="0" borderId="11" xfId="0" applyNumberFormat="1" applyBorder="1"/>
    <xf numFmtId="171" fontId="0" fillId="0" borderId="11" xfId="1" applyNumberFormat="1" applyFont="1" applyBorder="1"/>
    <xf numFmtId="0" fontId="11" fillId="7" borderId="13" xfId="0" applyFont="1" applyFill="1" applyBorder="1" applyAlignment="1">
      <alignment horizontal="center"/>
    </xf>
    <xf numFmtId="43" fontId="11" fillId="7" borderId="13" xfId="0" applyNumberFormat="1" applyFont="1" applyFill="1" applyBorder="1" applyAlignment="1">
      <alignment horizontal="center"/>
    </xf>
    <xf numFmtId="4" fontId="0" fillId="0" borderId="11" xfId="1" applyNumberFormat="1" applyFont="1" applyBorder="1"/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/>
    <xf numFmtId="43" fontId="0" fillId="0" borderId="0" xfId="1" applyFont="1"/>
    <xf numFmtId="0" fontId="3" fillId="0" borderId="0" xfId="0" applyFont="1" applyAlignment="1">
      <alignment horizontal="left"/>
    </xf>
    <xf numFmtId="172" fontId="7" fillId="0" borderId="0" xfId="0" applyNumberFormat="1" applyFont="1"/>
    <xf numFmtId="0" fontId="6" fillId="3" borderId="6" xfId="0" applyFont="1" applyFill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6" fillId="3" borderId="9" xfId="0" applyFont="1" applyFill="1" applyBorder="1" applyAlignment="1">
      <alignment horizontal="center" vertical="center" textRotation="90"/>
    </xf>
    <xf numFmtId="0" fontId="8" fillId="0" borderId="10" xfId="0" applyFont="1" applyBorder="1"/>
    <xf numFmtId="0" fontId="8" fillId="0" borderId="11" xfId="0" applyFont="1" applyBorder="1"/>
    <xf numFmtId="2" fontId="0" fillId="0" borderId="11" xfId="1" applyNumberFormat="1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showGridLines="0" topLeftCell="E2" zoomScale="121" workbookViewId="0">
      <selection activeCell="H19" sqref="H19"/>
    </sheetView>
  </sheetViews>
  <sheetFormatPr defaultColWidth="14.44140625" defaultRowHeight="15" customHeight="1" x14ac:dyDescent="0.3"/>
  <cols>
    <col min="1" max="1" width="8.88671875" customWidth="1"/>
    <col min="2" max="2" width="50" bestFit="1" customWidth="1"/>
    <col min="3" max="4" width="22.33203125" bestFit="1" customWidth="1"/>
    <col min="5" max="5" width="22" bestFit="1" customWidth="1"/>
    <col min="6" max="6" width="23.21875" bestFit="1" customWidth="1"/>
    <col min="7" max="10" width="23.77734375" bestFit="1" customWidth="1"/>
    <col min="11" max="26" width="8.88671875" customWidth="1"/>
  </cols>
  <sheetData>
    <row r="1" spans="2:12" ht="14.25" customHeight="1" x14ac:dyDescent="0.3">
      <c r="L1" s="6" t="s">
        <v>82</v>
      </c>
    </row>
    <row r="2" spans="2:12" ht="14.25" customHeigh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2" ht="14.25" customHeight="1" x14ac:dyDescent="0.3">
      <c r="B3" s="3" t="s">
        <v>1</v>
      </c>
      <c r="C3" s="4">
        <v>44926</v>
      </c>
      <c r="D3" s="4">
        <v>45291</v>
      </c>
      <c r="E3" s="4">
        <v>45657</v>
      </c>
      <c r="F3" s="5">
        <v>46022</v>
      </c>
      <c r="G3" s="5">
        <v>46387</v>
      </c>
      <c r="H3" s="5">
        <v>46752</v>
      </c>
      <c r="I3" s="5">
        <v>47118</v>
      </c>
      <c r="J3" s="5">
        <v>47483</v>
      </c>
    </row>
    <row r="4" spans="2:12" ht="14.25" customHeight="1" x14ac:dyDescent="0.3">
      <c r="B4" s="6" t="s">
        <v>2</v>
      </c>
      <c r="C4" s="7">
        <f>'Income Statement'!D4</f>
        <v>30669405967404</v>
      </c>
      <c r="D4" s="7">
        <f>'Income Statement'!E4</f>
        <v>31485008185525</v>
      </c>
      <c r="E4" s="7">
        <f>'Income Statement'!F4</f>
        <v>36072949285930</v>
      </c>
      <c r="F4" s="7">
        <f>E4*(1+F25)</f>
        <v>39336275637996.031</v>
      </c>
      <c r="G4" s="7">
        <f t="shared" ref="G4:J4" si="0">F4*(1+G25)</f>
        <v>42894817632001.336</v>
      </c>
      <c r="H4" s="7">
        <f t="shared" si="0"/>
        <v>46775281844562.266</v>
      </c>
      <c r="I4" s="7">
        <f t="shared" si="0"/>
        <v>51006790853120.469</v>
      </c>
      <c r="J4" s="7">
        <f t="shared" si="0"/>
        <v>55621101798586.523</v>
      </c>
    </row>
    <row r="5" spans="2:12" ht="14.25" customHeight="1" x14ac:dyDescent="0.3">
      <c r="B5" s="8" t="s">
        <v>3</v>
      </c>
      <c r="C5" s="9">
        <f>'Income Statement'!D6</f>
        <v>23829982628480</v>
      </c>
      <c r="D5" s="9">
        <f>'Income Statement'!E6</f>
        <v>23077230426842</v>
      </c>
      <c r="E5" s="9">
        <f>'Income Statement'!F6</f>
        <v>27770649971673</v>
      </c>
      <c r="F5" s="9">
        <f>E5*F27</f>
        <v>21103856699664.672</v>
      </c>
      <c r="G5" s="9">
        <f t="shared" ref="G5:J5" si="1">F5*G27</f>
        <v>16037534881404.529</v>
      </c>
      <c r="H5" s="9">
        <f t="shared" si="1"/>
        <v>12187465482380.469</v>
      </c>
      <c r="I5" s="9">
        <f t="shared" si="1"/>
        <v>9261667455915.5879</v>
      </c>
      <c r="J5" s="9">
        <f t="shared" si="1"/>
        <v>7038254523713.4551</v>
      </c>
    </row>
    <row r="6" spans="2:12" ht="14.25" customHeight="1" x14ac:dyDescent="0.3">
      <c r="B6" s="10" t="s">
        <v>4</v>
      </c>
      <c r="C6" s="11">
        <f>C4-C5</f>
        <v>6839423338924</v>
      </c>
      <c r="D6" s="11">
        <f t="shared" ref="D6:F6" si="2">D4-D5</f>
        <v>8407777758683</v>
      </c>
      <c r="E6" s="11">
        <f t="shared" si="2"/>
        <v>8302299314257</v>
      </c>
      <c r="F6" s="11">
        <f t="shared" si="2"/>
        <v>18232418938331.359</v>
      </c>
      <c r="G6" s="11">
        <f t="shared" ref="G6" si="3">G4-G5</f>
        <v>26857282750596.805</v>
      </c>
      <c r="H6" s="11">
        <f t="shared" ref="H6" si="4">H4-H5</f>
        <v>34587816362181.797</v>
      </c>
      <c r="I6" s="11">
        <f t="shared" ref="I6" si="5">I4-I5</f>
        <v>41745123397204.883</v>
      </c>
      <c r="J6" s="11">
        <f t="shared" ref="J6" si="6">J4-J5</f>
        <v>48582847274873.07</v>
      </c>
    </row>
    <row r="7" spans="2:12" ht="14.25" customHeight="1" x14ac:dyDescent="0.3">
      <c r="B7" s="6" t="s">
        <v>5</v>
      </c>
      <c r="F7" s="7"/>
      <c r="G7" s="7"/>
      <c r="H7" s="7"/>
      <c r="I7" s="7"/>
      <c r="J7" s="7"/>
    </row>
    <row r="8" spans="2:12" ht="14.25" customHeight="1" x14ac:dyDescent="0.3">
      <c r="B8" s="6" t="s">
        <v>6</v>
      </c>
      <c r="C8" s="7">
        <f>SUM('Income Statement'!D9,'Income Statement'!D13)</f>
        <v>4282124560788</v>
      </c>
      <c r="D8" s="7">
        <f>SUM('Income Statement'!E9,'Income Statement'!E13)</f>
        <v>3986859124411</v>
      </c>
      <c r="E8" s="7">
        <f>SUM('Income Statement'!F9,'Income Statement'!F13)</f>
        <v>4253575495646</v>
      </c>
      <c r="F8" s="7">
        <f>F4*F28</f>
        <v>5037209144728.9297</v>
      </c>
      <c r="G8" s="7">
        <f t="shared" ref="G8:J8" si="7">G4*G28</f>
        <v>5492898453982.9824</v>
      </c>
      <c r="H8" s="7">
        <f t="shared" si="7"/>
        <v>5989811532312.7607</v>
      </c>
      <c r="I8" s="7">
        <f t="shared" si="7"/>
        <v>6531677673125.6309</v>
      </c>
      <c r="J8" s="7">
        <f t="shared" si="7"/>
        <v>7122563539012.5654</v>
      </c>
    </row>
    <row r="9" spans="2:12" ht="14.25" customHeight="1" x14ac:dyDescent="0.3">
      <c r="B9" s="8" t="s">
        <v>7</v>
      </c>
      <c r="C9" s="9">
        <f>SUM(C7:C8)</f>
        <v>4282124560788</v>
      </c>
      <c r="D9" s="9">
        <f t="shared" ref="D9:F9" si="8">SUM(D7:D8)</f>
        <v>3986859124411</v>
      </c>
      <c r="E9" s="9">
        <f t="shared" si="8"/>
        <v>4253575495646</v>
      </c>
      <c r="F9" s="9">
        <f t="shared" si="8"/>
        <v>5037209144728.9297</v>
      </c>
      <c r="G9" s="9">
        <f t="shared" ref="G9" si="9">SUM(G7:G8)</f>
        <v>5492898453982.9824</v>
      </c>
      <c r="H9" s="9">
        <f t="shared" ref="H9" si="10">SUM(H7:H8)</f>
        <v>5989811532312.7607</v>
      </c>
      <c r="I9" s="9">
        <f t="shared" ref="I9" si="11">SUM(I7:I8)</f>
        <v>6531677673125.6309</v>
      </c>
      <c r="J9" s="9">
        <f t="shared" ref="J9" si="12">SUM(J7:J8)</f>
        <v>7122563539012.5654</v>
      </c>
    </row>
    <row r="10" spans="2:12" ht="14.25" customHeight="1" x14ac:dyDescent="0.3">
      <c r="B10" s="10" t="s">
        <v>8</v>
      </c>
      <c r="C10" s="11">
        <f>C6-C9</f>
        <v>2557298778136</v>
      </c>
      <c r="D10" s="11">
        <f t="shared" ref="D10:F10" si="13">D6-D9</f>
        <v>4420918634272</v>
      </c>
      <c r="E10" s="11">
        <f t="shared" si="13"/>
        <v>4048723818611</v>
      </c>
      <c r="F10" s="11">
        <f t="shared" si="13"/>
        <v>13195209793602.43</v>
      </c>
      <c r="G10" s="11">
        <f t="shared" ref="G10" si="14">G6-G9</f>
        <v>21364384296613.82</v>
      </c>
      <c r="H10" s="11">
        <f t="shared" ref="H10" si="15">H6-H9</f>
        <v>28598004829869.035</v>
      </c>
      <c r="I10" s="11">
        <f t="shared" ref="I10" si="16">I6-I9</f>
        <v>35213445724079.25</v>
      </c>
      <c r="J10" s="11">
        <f t="shared" ref="J10" si="17">J6-J9</f>
        <v>41460283735860.508</v>
      </c>
    </row>
    <row r="11" spans="2:12" ht="14.25" customHeight="1" x14ac:dyDescent="0.3">
      <c r="B11" s="8" t="s">
        <v>9</v>
      </c>
      <c r="C11" s="9">
        <f>SUM('Income Statement'!D11:D12)</f>
        <v>124184136435</v>
      </c>
      <c r="D11" s="9">
        <f>SUM('Income Statement'!E11:E12)</f>
        <v>121443287072</v>
      </c>
      <c r="E11" s="9">
        <f>SUM('Income Statement'!F11:F12)</f>
        <v>133359046493</v>
      </c>
      <c r="F11" s="9">
        <f>'Fixed Assets'!F5</f>
        <v>193644291418.96497</v>
      </c>
      <c r="G11" s="9">
        <f>'Fixed Assets'!G5</f>
        <v>247951387860.89929</v>
      </c>
      <c r="H11" s="9">
        <f>'Fixed Assets'!H5</f>
        <v>317488784676.48413</v>
      </c>
      <c r="I11" s="9">
        <f>'Fixed Assets'!I5</f>
        <v>406527784599.04889</v>
      </c>
      <c r="J11" s="9">
        <f>'Fixed Assets'!J5</f>
        <v>520537567396.00391</v>
      </c>
    </row>
    <row r="12" spans="2:12" ht="14.25" customHeight="1" x14ac:dyDescent="0.3">
      <c r="B12" s="10" t="s">
        <v>10</v>
      </c>
      <c r="C12" s="11">
        <f>C10-C11</f>
        <v>2433114641701</v>
      </c>
      <c r="D12" s="11">
        <f t="shared" ref="D12:E12" si="18">D10-D11</f>
        <v>4299475347200</v>
      </c>
      <c r="E12" s="11">
        <f t="shared" si="18"/>
        <v>3915364772118</v>
      </c>
      <c r="F12" s="11">
        <f>F10-F11</f>
        <v>13001565502183.465</v>
      </c>
      <c r="G12" s="11">
        <f t="shared" ref="G12:J12" si="19">G10-G11</f>
        <v>21116432908752.922</v>
      </c>
      <c r="H12" s="11">
        <f t="shared" si="19"/>
        <v>28280516045192.551</v>
      </c>
      <c r="I12" s="11">
        <f t="shared" si="19"/>
        <v>34806917939480.199</v>
      </c>
      <c r="J12" s="11">
        <f t="shared" si="19"/>
        <v>40939746168464.5</v>
      </c>
    </row>
    <row r="13" spans="2:12" ht="14.25" customHeight="1" x14ac:dyDescent="0.3">
      <c r="B13" s="8" t="s">
        <v>11</v>
      </c>
      <c r="C13" s="9">
        <f>'Income Statement'!D22</f>
        <v>535992979785</v>
      </c>
      <c r="D13" s="9">
        <f>'Income Statement'!E22</f>
        <v>848843741591</v>
      </c>
      <c r="E13" s="9">
        <f>'Income Statement'!F22</f>
        <v>813426817929</v>
      </c>
      <c r="F13" s="9">
        <f>F12*F29</f>
        <v>2730328755458.5273</v>
      </c>
      <c r="G13" s="9">
        <f t="shared" ref="G13:J13" si="20">G12*G29</f>
        <v>4434450910838.1133</v>
      </c>
      <c r="H13" s="9">
        <f t="shared" si="20"/>
        <v>5938908369490.4355</v>
      </c>
      <c r="I13" s="9">
        <f t="shared" si="20"/>
        <v>7309452767290.8418</v>
      </c>
      <c r="J13" s="9">
        <f t="shared" si="20"/>
        <v>8597346695377.5449</v>
      </c>
    </row>
    <row r="14" spans="2:12" ht="14.25" customHeight="1" x14ac:dyDescent="0.3">
      <c r="B14" s="10" t="s">
        <v>12</v>
      </c>
      <c r="C14" s="11">
        <f>C12-C13</f>
        <v>1897121661916</v>
      </c>
      <c r="D14" s="11">
        <f t="shared" ref="D14:E14" si="21">D12-D13</f>
        <v>3450631605609</v>
      </c>
      <c r="E14" s="11">
        <f t="shared" si="21"/>
        <v>3101937954189</v>
      </c>
      <c r="F14" s="11">
        <f>F12-F13</f>
        <v>10271236746724.938</v>
      </c>
      <c r="G14" s="11">
        <f t="shared" ref="G14:J14" si="22">G12-G13</f>
        <v>16681981997914.809</v>
      </c>
      <c r="H14" s="11">
        <f t="shared" si="22"/>
        <v>22341607675702.117</v>
      </c>
      <c r="I14" s="11">
        <f t="shared" si="22"/>
        <v>27497465172189.359</v>
      </c>
      <c r="J14" s="11">
        <f t="shared" si="22"/>
        <v>32342399473086.953</v>
      </c>
    </row>
    <row r="15" spans="2:12" ht="14.25" customHeight="1" x14ac:dyDescent="0.3">
      <c r="B15" s="6" t="s">
        <v>13</v>
      </c>
      <c r="C15" s="7">
        <f>C11</f>
        <v>124184136435</v>
      </c>
      <c r="D15" s="7">
        <f t="shared" ref="D15:F15" si="23">D11</f>
        <v>121443287072</v>
      </c>
      <c r="E15" s="7">
        <f t="shared" si="23"/>
        <v>133359046493</v>
      </c>
      <c r="F15" s="7">
        <f t="shared" si="23"/>
        <v>193644291418.96497</v>
      </c>
      <c r="G15" s="7">
        <f t="shared" ref="G15:J15" si="24">G11</f>
        <v>247951387860.89929</v>
      </c>
      <c r="H15" s="7">
        <f t="shared" si="24"/>
        <v>317488784676.48413</v>
      </c>
      <c r="I15" s="7">
        <f t="shared" si="24"/>
        <v>406527784599.04889</v>
      </c>
      <c r="J15" s="7">
        <f t="shared" si="24"/>
        <v>520537567396.00391</v>
      </c>
    </row>
    <row r="16" spans="2:12" ht="14.25" customHeight="1" x14ac:dyDescent="0.3">
      <c r="B16" s="6" t="s">
        <v>14</v>
      </c>
      <c r="C16" s="7">
        <f>'Fixed Assets'!C6</f>
        <v>1144360064992</v>
      </c>
      <c r="D16" s="7">
        <f>'Fixed Assets'!D6</f>
        <v>2367363532569</v>
      </c>
      <c r="E16" s="7">
        <f>'Fixed Assets'!E6</f>
        <v>2271442718203</v>
      </c>
      <c r="F16" s="7">
        <f>'Fixed Assets'!F6</f>
        <v>2911661988910.375</v>
      </c>
      <c r="G16" s="7">
        <f>'Fixed Assets'!G6</f>
        <v>3728230901318.7261</v>
      </c>
      <c r="H16" s="7">
        <f>'Fixed Assets'!H6</f>
        <v>4773804688348.9717</v>
      </c>
      <c r="I16" s="7">
        <f>'Fixed Assets'!I6</f>
        <v>6112607240726.9004</v>
      </c>
      <c r="J16" s="7">
        <f>'Fixed Assets'!J6</f>
        <v>7826873891715.3564</v>
      </c>
    </row>
    <row r="17" spans="2:10" ht="14.25" customHeight="1" x14ac:dyDescent="0.3">
      <c r="B17" s="105" t="s">
        <v>209</v>
      </c>
      <c r="C17" s="7">
        <f>'Net Working Capital'!D13-'Net Working Capital'!C13</f>
        <v>920183944884</v>
      </c>
      <c r="D17" s="7">
        <f>'Net Working Capital'!E13-'Net Working Capital'!D13</f>
        <v>-1129193671536</v>
      </c>
      <c r="E17" s="7">
        <f>'Net Working Capital'!F13-'Net Working Capital'!E13</f>
        <v>4143271368256</v>
      </c>
      <c r="F17" s="7">
        <f>F18-'Net Working Capital'!F13</f>
        <v>-2432360205954.0039</v>
      </c>
      <c r="G17" s="7">
        <f>G18-'Net Working Capital'!G13</f>
        <v>209542109264.87695</v>
      </c>
      <c r="H17" s="7">
        <f>H18-'Net Working Capital'!H13</f>
        <v>373853402053.98438</v>
      </c>
      <c r="I17" s="7">
        <f>I18-'Net Working Capital'!I13</f>
        <v>518134206214.13477</v>
      </c>
      <c r="J17" s="7">
        <f>J18-'Net Working Capital'!J13</f>
        <v>648949543540.21484</v>
      </c>
    </row>
    <row r="18" spans="2:10" ht="14.25" customHeight="1" x14ac:dyDescent="0.3">
      <c r="B18" s="107" t="s">
        <v>210</v>
      </c>
      <c r="C18" s="7">
        <f>'Net Working Capital'!D13</f>
        <v>8427566451716</v>
      </c>
      <c r="D18" s="7">
        <f>'Net Working Capital'!E13</f>
        <v>7298372780180</v>
      </c>
      <c r="E18" s="7">
        <f>'Net Working Capital'!F13</f>
        <v>11441644148436</v>
      </c>
      <c r="F18" s="7">
        <f>'Net Working Capital'!G13</f>
        <v>9009283942481.9961</v>
      </c>
      <c r="G18" s="7">
        <f>'Net Working Capital'!H13</f>
        <v>9218826051746.873</v>
      </c>
      <c r="H18" s="7">
        <f>'Net Working Capital'!I13</f>
        <v>9592679453800.8574</v>
      </c>
      <c r="I18" s="7">
        <f>'Net Working Capital'!J13</f>
        <v>10110813660014.992</v>
      </c>
      <c r="J18" s="7">
        <f>'Net Working Capital'!K13</f>
        <v>10759763203555.207</v>
      </c>
    </row>
    <row r="19" spans="2:10" ht="14.25" customHeight="1" x14ac:dyDescent="0.3">
      <c r="B19" s="12" t="s">
        <v>15</v>
      </c>
      <c r="C19" s="7">
        <f>'Net Working Capital'!D7</f>
        <v>11434750249053</v>
      </c>
      <c r="D19" s="7">
        <f>'Net Working Capital'!E7</f>
        <v>10582183720175</v>
      </c>
      <c r="E19" s="7">
        <f>'Net Working Capital'!F7</f>
        <v>14999465893592</v>
      </c>
      <c r="F19" s="7">
        <f>'Net Working Capital'!G7</f>
        <v>12082893087488.969</v>
      </c>
      <c r="G19" s="7">
        <f>'Net Working Capital'!H7</f>
        <v>11967539183273</v>
      </c>
      <c r="H19" s="7">
        <f>'Net Working Capital'!I7</f>
        <v>12131852611230.242</v>
      </c>
      <c r="I19" s="7">
        <f>'Net Working Capital'!J7</f>
        <v>12531489515258.404</v>
      </c>
      <c r="J19" s="7">
        <f>'Net Working Capital'!K7</f>
        <v>13134813622384.408</v>
      </c>
    </row>
    <row r="20" spans="2:10" ht="14.25" customHeight="1" x14ac:dyDescent="0.3">
      <c r="B20" s="12" t="s">
        <v>16</v>
      </c>
      <c r="C20" s="7">
        <f>'Net Working Capital'!D12</f>
        <v>3007183797337</v>
      </c>
      <c r="D20" s="7">
        <f>'Net Working Capital'!E12</f>
        <v>3283810939995</v>
      </c>
      <c r="E20" s="7">
        <f>'Net Working Capital'!F12</f>
        <v>3557821745156</v>
      </c>
      <c r="F20" s="7">
        <f>'Net Working Capital'!G12</f>
        <v>3073609145006.9736</v>
      </c>
      <c r="G20" s="7">
        <f>'Net Working Capital'!H12</f>
        <v>2748713131526.127</v>
      </c>
      <c r="H20" s="7">
        <f>'Net Working Capital'!I12</f>
        <v>2539173157429.3848</v>
      </c>
      <c r="I20" s="7">
        <f>'Net Working Capital'!J12</f>
        <v>2420675855243.4126</v>
      </c>
      <c r="J20" s="7">
        <f>'Net Working Capital'!K12</f>
        <v>2375050418829.2021</v>
      </c>
    </row>
    <row r="21" spans="2:10" ht="14.25" customHeight="1" x14ac:dyDescent="0.3">
      <c r="B21" s="13" t="s">
        <v>17</v>
      </c>
      <c r="C21" s="14">
        <f>C14+C15-C16-C17</f>
        <v>-43238211525</v>
      </c>
      <c r="D21" s="14">
        <f t="shared" ref="D21:J21" si="25">D14+D15-D16-D17</f>
        <v>2333905031648</v>
      </c>
      <c r="E21" s="14">
        <f t="shared" si="25"/>
        <v>-3179417085777</v>
      </c>
      <c r="F21" s="14">
        <f t="shared" si="25"/>
        <v>9985579255187.5313</v>
      </c>
      <c r="G21" s="14">
        <f t="shared" si="25"/>
        <v>12992160375192.104</v>
      </c>
      <c r="H21" s="14">
        <f t="shared" si="25"/>
        <v>17511438369975.645</v>
      </c>
      <c r="I21" s="14">
        <f t="shared" si="25"/>
        <v>21273251509847.375</v>
      </c>
      <c r="J21" s="14">
        <f t="shared" si="25"/>
        <v>24387113605227.387</v>
      </c>
    </row>
    <row r="22" spans="2:10" ht="14.25" customHeight="1" x14ac:dyDescent="0.3"/>
    <row r="23" spans="2:10" ht="14.25" customHeight="1" x14ac:dyDescent="0.3">
      <c r="B23" s="2" t="s">
        <v>18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3">
      <c r="B24" s="3" t="str">
        <f t="shared" ref="B24:J24" si="26">B3</f>
        <v>Fiscal Year</v>
      </c>
      <c r="C24" s="4">
        <f t="shared" si="26"/>
        <v>44926</v>
      </c>
      <c r="D24" s="4">
        <f t="shared" si="26"/>
        <v>45291</v>
      </c>
      <c r="E24" s="4">
        <f t="shared" si="26"/>
        <v>45657</v>
      </c>
      <c r="F24" s="5">
        <f t="shared" si="26"/>
        <v>46022</v>
      </c>
      <c r="G24" s="5">
        <f t="shared" si="26"/>
        <v>46387</v>
      </c>
      <c r="H24" s="5">
        <f t="shared" si="26"/>
        <v>46752</v>
      </c>
      <c r="I24" s="5">
        <f t="shared" si="26"/>
        <v>47118</v>
      </c>
      <c r="J24" s="5">
        <f t="shared" si="26"/>
        <v>47483</v>
      </c>
    </row>
    <row r="25" spans="2:10" ht="14.25" customHeight="1" x14ac:dyDescent="0.3">
      <c r="B25" s="15" t="s">
        <v>19</v>
      </c>
      <c r="C25" s="72">
        <f>('Net Working Capital'!D17/'Net Working Capital'!C17)-1</f>
        <v>9.9082293770729857E-2</v>
      </c>
      <c r="D25" s="16">
        <f t="shared" ref="D25:E25" si="27">D4/C4-1</f>
        <v>2.6593349052402182E-2</v>
      </c>
      <c r="E25" s="16">
        <f t="shared" si="27"/>
        <v>0.14571827561138351</v>
      </c>
      <c r="F25" s="16">
        <f>AVERAGE(C25:E25)</f>
        <v>9.0464639478171849E-2</v>
      </c>
      <c r="G25" s="16">
        <f>F25</f>
        <v>9.0464639478171849E-2</v>
      </c>
      <c r="H25" s="16">
        <f t="shared" ref="H25:J25" si="28">G25</f>
        <v>9.0464639478171849E-2</v>
      </c>
      <c r="I25" s="16">
        <f t="shared" si="28"/>
        <v>9.0464639478171849E-2</v>
      </c>
      <c r="J25" s="16">
        <f t="shared" si="28"/>
        <v>9.0464639478171849E-2</v>
      </c>
    </row>
    <row r="26" spans="2:10" ht="14.25" customHeight="1" x14ac:dyDescent="0.3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3">
      <c r="B27" s="15" t="s">
        <v>20</v>
      </c>
      <c r="C27" s="16">
        <f t="shared" ref="C27:E27" si="29">C5/C4</f>
        <v>0.77699524580968204</v>
      </c>
      <c r="D27" s="16">
        <f t="shared" si="29"/>
        <v>0.73295932752692072</v>
      </c>
      <c r="E27" s="16">
        <f t="shared" si="29"/>
        <v>0.76984694962285072</v>
      </c>
      <c r="F27" s="16">
        <f t="shared" ref="F27:F28" si="30">AVERAGE(C27:E27)</f>
        <v>0.75993384098648453</v>
      </c>
      <c r="G27" s="16">
        <f t="shared" ref="G27:J27" si="31">F27</f>
        <v>0.75993384098648453</v>
      </c>
      <c r="H27" s="16">
        <f t="shared" si="31"/>
        <v>0.75993384098648453</v>
      </c>
      <c r="I27" s="16">
        <f t="shared" si="31"/>
        <v>0.75993384098648453</v>
      </c>
      <c r="J27" s="16">
        <f t="shared" si="31"/>
        <v>0.75993384098648453</v>
      </c>
    </row>
    <row r="28" spans="2:10" ht="14.25" customHeight="1" x14ac:dyDescent="0.3">
      <c r="B28" s="15" t="s">
        <v>21</v>
      </c>
      <c r="C28" s="16">
        <f>C8/C4</f>
        <v>0.13962202480671193</v>
      </c>
      <c r="D28" s="16">
        <f t="shared" ref="D28:E28" si="32">D8/D4</f>
        <v>0.12662722210261101</v>
      </c>
      <c r="E28" s="16">
        <f t="shared" si="32"/>
        <v>0.1179159336801185</v>
      </c>
      <c r="F28" s="16">
        <f t="shared" si="30"/>
        <v>0.12805506019648047</v>
      </c>
      <c r="G28" s="16">
        <f t="shared" ref="G28:J28" si="33">F28</f>
        <v>0.12805506019648047</v>
      </c>
      <c r="H28" s="16">
        <f t="shared" si="33"/>
        <v>0.12805506019648047</v>
      </c>
      <c r="I28" s="16">
        <f t="shared" si="33"/>
        <v>0.12805506019648047</v>
      </c>
      <c r="J28" s="16">
        <f t="shared" si="33"/>
        <v>0.12805506019648047</v>
      </c>
    </row>
    <row r="29" spans="2:10" ht="14.25" customHeight="1" x14ac:dyDescent="0.3">
      <c r="B29" s="15" t="s">
        <v>22</v>
      </c>
      <c r="C29" s="16">
        <f t="shared" ref="C29:E29" si="34">C13/C12</f>
        <v>0.22029088584592349</v>
      </c>
      <c r="D29" s="16">
        <f t="shared" si="34"/>
        <v>0.19742961013692123</v>
      </c>
      <c r="E29" s="16">
        <f t="shared" si="34"/>
        <v>0.20775249951717276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3"/>
    <row r="31" spans="2:10" ht="14.25" customHeight="1" x14ac:dyDescent="0.3"/>
    <row r="32" spans="2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tabSelected="1" zoomScale="101" workbookViewId="0">
      <selection activeCell="C13" sqref="C13"/>
    </sheetView>
  </sheetViews>
  <sheetFormatPr defaultColWidth="14.44140625" defaultRowHeight="15" customHeight="1" x14ac:dyDescent="0.3"/>
  <cols>
    <col min="1" max="1" width="8.88671875" customWidth="1"/>
    <col min="2" max="2" width="29.33203125" bestFit="1" customWidth="1"/>
    <col min="3" max="3" width="21.5546875" bestFit="1" customWidth="1"/>
    <col min="4" max="4" width="16" bestFit="1" customWidth="1"/>
    <col min="5" max="5" width="17.5546875" bestFit="1" customWidth="1"/>
    <col min="6" max="6" width="18.21875" bestFit="1" customWidth="1"/>
    <col min="7" max="11" width="18.77734375" bestFit="1" customWidth="1"/>
    <col min="12" max="26" width="8.88671875" customWidth="1"/>
  </cols>
  <sheetData>
    <row r="1" spans="2:11" ht="14.25" customHeight="1" x14ac:dyDescent="0.3"/>
    <row r="2" spans="2:11" ht="14.25" customHeight="1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3">
      <c r="B3" s="3" t="s">
        <v>1</v>
      </c>
      <c r="C3" s="4"/>
      <c r="D3" s="4">
        <v>44926</v>
      </c>
      <c r="E3" s="4">
        <v>45291</v>
      </c>
      <c r="F3" s="4">
        <v>45657</v>
      </c>
      <c r="G3" s="5">
        <v>46022</v>
      </c>
      <c r="H3" s="5">
        <v>46387</v>
      </c>
      <c r="I3" s="5">
        <v>46752</v>
      </c>
      <c r="J3" s="5">
        <v>47118</v>
      </c>
      <c r="K3" s="5">
        <v>47483</v>
      </c>
    </row>
    <row r="4" spans="2:11" ht="14.25" customHeight="1" x14ac:dyDescent="0.3">
      <c r="B4" s="6" t="s">
        <v>17</v>
      </c>
      <c r="C4" s="17"/>
      <c r="D4" s="17">
        <f>'Free Cash Flow'!C21</f>
        <v>-43238211525</v>
      </c>
      <c r="E4" s="17">
        <f>'Free Cash Flow'!D21</f>
        <v>2333905031648</v>
      </c>
      <c r="F4" s="17">
        <f>'Free Cash Flow'!E21</f>
        <v>-3179417085777</v>
      </c>
      <c r="G4" s="17">
        <f>'Free Cash Flow'!F21</f>
        <v>9985579255187.5313</v>
      </c>
      <c r="H4" s="17">
        <f>'Free Cash Flow'!G21</f>
        <v>12992160375192.104</v>
      </c>
      <c r="I4" s="17">
        <f>'Free Cash Flow'!H21</f>
        <v>17511438369975.645</v>
      </c>
      <c r="J4" s="17">
        <f>'Free Cash Flow'!I21</f>
        <v>21273251509847.375</v>
      </c>
      <c r="K4" s="17">
        <f>'Free Cash Flow'!J21</f>
        <v>24387113605227.387</v>
      </c>
    </row>
    <row r="5" spans="2:11" ht="14.25" customHeight="1" x14ac:dyDescent="0.3">
      <c r="B5" s="6" t="s">
        <v>40</v>
      </c>
      <c r="G5" s="6">
        <v>1</v>
      </c>
      <c r="H5" s="6">
        <v>2</v>
      </c>
      <c r="I5" s="6">
        <v>3</v>
      </c>
      <c r="J5" s="6">
        <v>4</v>
      </c>
      <c r="K5" s="6">
        <v>5</v>
      </c>
    </row>
    <row r="6" spans="2:11" ht="14.25" customHeight="1" x14ac:dyDescent="0.3">
      <c r="B6" s="105" t="s">
        <v>211</v>
      </c>
      <c r="G6" s="108">
        <f>1/(1+$C$12)^G5</f>
        <v>0.93327511739633739</v>
      </c>
      <c r="H6" s="108">
        <f t="shared" ref="H6:K6" si="0">1/(1+$C$12)^H5</f>
        <v>0.8710024447511473</v>
      </c>
      <c r="I6" s="108">
        <f t="shared" si="0"/>
        <v>0.81288490887762388</v>
      </c>
      <c r="J6" s="108">
        <f t="shared" si="0"/>
        <v>0.75864525876247546</v>
      </c>
      <c r="K6" s="108">
        <f t="shared" si="0"/>
        <v>0.70802474293372408</v>
      </c>
    </row>
    <row r="7" spans="2:11" ht="14.25" customHeight="1" x14ac:dyDescent="0.3">
      <c r="B7" s="18" t="s">
        <v>41</v>
      </c>
      <c r="C7" s="18"/>
      <c r="D7" s="18"/>
      <c r="E7" s="18"/>
      <c r="F7" s="18"/>
      <c r="G7" s="19">
        <f>G4*G6</f>
        <v>9319292651655.5742</v>
      </c>
      <c r="H7" s="19">
        <f t="shared" ref="H7:K7" si="1">H4*H6</f>
        <v>11316203449391.305</v>
      </c>
      <c r="I7" s="19">
        <f t="shared" si="1"/>
        <v>14234783983693.777</v>
      </c>
      <c r="J7" s="19">
        <f t="shared" si="1"/>
        <v>16138851396407.383</v>
      </c>
      <c r="K7" s="19">
        <f t="shared" si="1"/>
        <v>17266679841236.646</v>
      </c>
    </row>
    <row r="8" spans="2:11" ht="14.25" customHeight="1" x14ac:dyDescent="0.3"/>
    <row r="9" spans="2:11" ht="14.25" customHeight="1" x14ac:dyDescent="0.3">
      <c r="B9" s="109" t="s">
        <v>42</v>
      </c>
      <c r="C9" s="110"/>
      <c r="E9" s="109" t="s">
        <v>43</v>
      </c>
      <c r="F9" s="111"/>
      <c r="G9" s="111"/>
      <c r="H9" s="111"/>
      <c r="I9" s="111"/>
      <c r="J9" s="111"/>
      <c r="K9" s="110"/>
    </row>
    <row r="10" spans="2:11" ht="14.25" customHeight="1" x14ac:dyDescent="0.3">
      <c r="B10" s="1" t="s">
        <v>44</v>
      </c>
      <c r="C10" s="17">
        <f>SUM(G7:K7)</f>
        <v>68275811322384.688</v>
      </c>
    </row>
    <row r="11" spans="2:11" ht="14.25" customHeight="1" x14ac:dyDescent="0.3">
      <c r="B11" s="1" t="s">
        <v>45</v>
      </c>
      <c r="C11" s="90">
        <v>4.1949339808966049E-2</v>
      </c>
      <c r="D11" s="41"/>
      <c r="E11" s="1"/>
      <c r="F11" s="1"/>
      <c r="G11" s="109" t="s">
        <v>45</v>
      </c>
      <c r="H11" s="111"/>
      <c r="I11" s="111"/>
      <c r="J11" s="111"/>
      <c r="K11" s="110"/>
    </row>
    <row r="12" spans="2:11" ht="14.4" x14ac:dyDescent="0.3">
      <c r="B12" s="1" t="s">
        <v>46</v>
      </c>
      <c r="C12" s="20">
        <f>WACC!C18</f>
        <v>7.1495405116781124E-2</v>
      </c>
      <c r="E12" s="1"/>
      <c r="F12" s="23">
        <f>C21</f>
        <v>30125.231969186516</v>
      </c>
      <c r="G12" s="24">
        <f t="shared" ref="G12" si="2">H12-0.5%</f>
        <v>3.1949339808966054E-2</v>
      </c>
      <c r="H12" s="24">
        <f>I12-0.5%</f>
        <v>3.6949339808966052E-2</v>
      </c>
      <c r="I12" s="24">
        <f>C11</f>
        <v>4.1949339808966049E-2</v>
      </c>
      <c r="J12" s="24">
        <f>I12+0.5%</f>
        <v>4.6949339808966047E-2</v>
      </c>
      <c r="K12" s="24">
        <f>J12+0.5%</f>
        <v>5.1949339808966044E-2</v>
      </c>
    </row>
    <row r="13" spans="2:11" ht="28.8" x14ac:dyDescent="0.3">
      <c r="B13" s="102" t="s">
        <v>47</v>
      </c>
      <c r="C13" s="103">
        <f>(K4*(1+C11))/(C12-C11)</f>
        <v>860017625226457</v>
      </c>
      <c r="D13" s="104" t="s">
        <v>199</v>
      </c>
      <c r="E13" s="112" t="s">
        <v>46</v>
      </c>
      <c r="F13" s="24">
        <f t="shared" ref="F13" si="3">F14-0.5%</f>
        <v>6.1495405116781122E-2</v>
      </c>
      <c r="G13" s="23">
        <f t="dataTable" ref="G13:K17" dt2D="1" dtr="1" r1="C11" r2="C12" ca="1"/>
        <v>31254.842299831369</v>
      </c>
      <c r="H13" s="23">
        <v>27046.479772828214</v>
      </c>
      <c r="I13" s="23">
        <v>27046.479772828214</v>
      </c>
      <c r="J13" s="23">
        <v>31254.842299831369</v>
      </c>
      <c r="K13" s="23">
        <v>46130.712650953603</v>
      </c>
    </row>
    <row r="14" spans="2:11" ht="14.4" x14ac:dyDescent="0.3">
      <c r="B14" s="1" t="s">
        <v>48</v>
      </c>
      <c r="C14" s="17">
        <f>C13*K6</f>
        <v>608913758019434.13</v>
      </c>
      <c r="E14" s="113"/>
      <c r="F14" s="24">
        <f>F15-0.5%</f>
        <v>6.649540511678112E-2</v>
      </c>
      <c r="G14" s="23">
        <v>37875.466125982901</v>
      </c>
      <c r="H14" s="25">
        <v>31839.707368652842</v>
      </c>
      <c r="I14" s="25">
        <v>31839.707368652842</v>
      </c>
      <c r="J14" s="25">
        <v>37875.466125982901</v>
      </c>
      <c r="K14" s="23">
        <v>62395.213377561493</v>
      </c>
    </row>
    <row r="15" spans="2:11" ht="14.25" customHeight="1" x14ac:dyDescent="0.3">
      <c r="B15" s="1" t="s">
        <v>49</v>
      </c>
      <c r="C15" s="17">
        <f>C14+C10</f>
        <v>677189569341818.75</v>
      </c>
      <c r="E15" s="113"/>
      <c r="F15" s="24">
        <f>DCF!C12</f>
        <v>7.1495405116781124E-2</v>
      </c>
      <c r="G15" s="23">
        <v>37875.466125982901</v>
      </c>
      <c r="H15" s="25">
        <v>31839.707368652842</v>
      </c>
      <c r="I15" s="26">
        <v>31839.707368652842</v>
      </c>
      <c r="J15" s="25">
        <v>37875.466125982901</v>
      </c>
      <c r="K15" s="23">
        <v>62395.213377561493</v>
      </c>
    </row>
    <row r="16" spans="2:11" ht="14.25" customHeight="1" x14ac:dyDescent="0.3">
      <c r="B16" s="12" t="s">
        <v>50</v>
      </c>
      <c r="C16" s="17">
        <f>'Balance Sheet'!F4</f>
        <v>4601449023397</v>
      </c>
      <c r="E16" s="113"/>
      <c r="F16" s="24">
        <f>F15+0.5%</f>
        <v>7.6495405116781129E-2</v>
      </c>
      <c r="G16" s="23">
        <v>31254.842299831369</v>
      </c>
      <c r="H16" s="25">
        <v>27046.479772828214</v>
      </c>
      <c r="I16" s="25">
        <v>27046.479772828214</v>
      </c>
      <c r="J16" s="25">
        <v>31254.842299831369</v>
      </c>
      <c r="K16" s="23">
        <v>46130.712650953603</v>
      </c>
    </row>
    <row r="17" spans="2:11" ht="14.25" customHeight="1" x14ac:dyDescent="0.3">
      <c r="B17" s="12" t="s">
        <v>51</v>
      </c>
      <c r="C17" s="17">
        <f>WACC!C4</f>
        <v>7948138934378</v>
      </c>
      <c r="E17" s="114"/>
      <c r="F17" s="24">
        <f>F16+0.5%</f>
        <v>8.1495405116781133E-2</v>
      </c>
      <c r="G17" s="23">
        <v>23043.333873004212</v>
      </c>
      <c r="H17" s="23">
        <v>20694.728870438645</v>
      </c>
      <c r="I17" s="23">
        <v>20694.728870438645</v>
      </c>
      <c r="J17" s="23">
        <v>23043.333873004212</v>
      </c>
      <c r="K17" s="23">
        <v>30125.231969186516</v>
      </c>
    </row>
    <row r="18" spans="2:11" ht="14.25" customHeight="1" x14ac:dyDescent="0.3">
      <c r="B18" s="12" t="s">
        <v>52</v>
      </c>
      <c r="C18" s="17">
        <f>'Balance Sheet'!F47</f>
        <v>281863685826</v>
      </c>
    </row>
    <row r="19" spans="2:11" ht="14.25" customHeight="1" x14ac:dyDescent="0.3">
      <c r="B19" s="27" t="s">
        <v>53</v>
      </c>
      <c r="C19" s="28">
        <f>C15+C16-C17-C18</f>
        <v>673561015745011.75</v>
      </c>
    </row>
    <row r="20" spans="2:11" ht="14.25" customHeight="1" x14ac:dyDescent="0.3">
      <c r="B20" s="88" t="s">
        <v>189</v>
      </c>
      <c r="C20" s="89">
        <v>22358699725</v>
      </c>
    </row>
    <row r="21" spans="2:11" ht="14.25" customHeight="1" x14ac:dyDescent="0.3">
      <c r="B21" s="13" t="s">
        <v>54</v>
      </c>
      <c r="C21" s="30">
        <f>C19/C20</f>
        <v>30125.231969186516</v>
      </c>
    </row>
    <row r="22" spans="2:11" ht="14.25" customHeight="1" x14ac:dyDescent="0.3"/>
    <row r="23" spans="2:11" ht="14.25" customHeight="1" x14ac:dyDescent="0.3"/>
    <row r="24" spans="2:11" ht="14.25" customHeight="1" x14ac:dyDescent="0.3"/>
    <row r="25" spans="2:11" ht="14.25" customHeight="1" x14ac:dyDescent="0.3"/>
    <row r="26" spans="2:11" ht="14.25" customHeight="1" x14ac:dyDescent="0.3"/>
    <row r="27" spans="2:11" ht="14.25" customHeight="1" x14ac:dyDescent="0.3"/>
    <row r="28" spans="2:11" ht="14.25" customHeight="1" x14ac:dyDescent="0.3"/>
    <row r="29" spans="2:11" ht="14.25" customHeight="1" x14ac:dyDescent="0.3"/>
    <row r="30" spans="2:11" ht="14.25" customHeight="1" x14ac:dyDescent="0.3"/>
    <row r="31" spans="2:11" ht="14.25" customHeight="1" x14ac:dyDescent="0.3"/>
    <row r="32" spans="2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3D73-AF2F-4C73-B5D4-7801B4DC9FA9}">
  <dimension ref="A2:I5"/>
  <sheetViews>
    <sheetView showGridLines="0" zoomScale="108" workbookViewId="0">
      <selection activeCell="F5" sqref="F5"/>
    </sheetView>
  </sheetViews>
  <sheetFormatPr defaultRowHeight="14.4" x14ac:dyDescent="0.3"/>
  <cols>
    <col min="1" max="1" width="8.88671875" style="91"/>
    <col min="2" max="2" width="12.88671875" style="91" bestFit="1" customWidth="1"/>
    <col min="3" max="3" width="9.109375" style="91" bestFit="1" customWidth="1"/>
    <col min="4" max="4" width="12.77734375" style="91" bestFit="1" customWidth="1"/>
    <col min="5" max="5" width="7.88671875" style="91" bestFit="1" customWidth="1"/>
    <col min="6" max="7" width="19.88671875" style="91" bestFit="1" customWidth="1"/>
    <col min="8" max="8" width="8.44140625" style="91" bestFit="1" customWidth="1"/>
    <col min="9" max="9" width="10.44140625" style="91" bestFit="1" customWidth="1"/>
    <col min="10" max="16384" width="8.88671875" style="91"/>
  </cols>
  <sheetData>
    <row r="2" spans="1:9" x14ac:dyDescent="0.3">
      <c r="A2" s="40"/>
    </row>
    <row r="3" spans="1:9" x14ac:dyDescent="0.3">
      <c r="B3" s="96"/>
      <c r="C3" s="99" t="s">
        <v>195</v>
      </c>
      <c r="D3" s="99" t="s">
        <v>196</v>
      </c>
      <c r="E3" s="100" t="s">
        <v>190</v>
      </c>
      <c r="F3" s="99" t="s">
        <v>197</v>
      </c>
      <c r="G3" s="99" t="s">
        <v>192</v>
      </c>
      <c r="H3" s="99" t="s">
        <v>191</v>
      </c>
      <c r="I3" s="99" t="s">
        <v>198</v>
      </c>
    </row>
    <row r="4" spans="1:9" x14ac:dyDescent="0.3">
      <c r="B4" s="92" t="s">
        <v>193</v>
      </c>
      <c r="C4" s="95">
        <f>DCF!C21</f>
        <v>30125.231969186516</v>
      </c>
      <c r="D4" s="115">
        <v>143</v>
      </c>
      <c r="E4" s="94">
        <f>C4/D4</f>
        <v>210.66595782647914</v>
      </c>
      <c r="F4" s="97">
        <f>C4*DCF!C20</f>
        <v>673561015745011.75</v>
      </c>
      <c r="G4" s="97">
        <f>F4+WACC!$C$4</f>
        <v>681509154679389.75</v>
      </c>
      <c r="H4" s="94">
        <f>G4/'Income Statement'!$F$4</f>
        <v>18.892526620916122</v>
      </c>
      <c r="I4" s="94">
        <f>G4/'Free Cash Flow'!$E$10</f>
        <v>168.32690625788248</v>
      </c>
    </row>
    <row r="5" spans="1:9" x14ac:dyDescent="0.3">
      <c r="B5" s="92" t="s">
        <v>194</v>
      </c>
      <c r="C5" s="101">
        <v>2780</v>
      </c>
      <c r="D5" s="115"/>
      <c r="E5" s="93">
        <f>C5/D4</f>
        <v>19.44055944055944</v>
      </c>
      <c r="F5" s="98">
        <f>C5*DCF!C20</f>
        <v>62157185235500</v>
      </c>
      <c r="G5" s="97">
        <f>F5+WACC!$C$4</f>
        <v>70105324169878</v>
      </c>
      <c r="H5" s="94">
        <f>G5/'Income Statement'!$F$4</f>
        <v>1.9434320053564926</v>
      </c>
      <c r="I5" s="94">
        <f>G5/'Free Cash Flow'!$E$10</f>
        <v>17.315412784547281</v>
      </c>
    </row>
  </sheetData>
  <mergeCells count="1">
    <mergeCell ref="D4:D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E6" sqref="C6:E6"/>
    </sheetView>
  </sheetViews>
  <sheetFormatPr defaultColWidth="14.44140625" defaultRowHeight="15" customHeight="1" x14ac:dyDescent="0.3"/>
  <cols>
    <col min="1" max="1" width="8.88671875" customWidth="1"/>
    <col min="2" max="2" width="18.6640625" bestFit="1" customWidth="1"/>
    <col min="3" max="4" width="16.33203125" bestFit="1" customWidth="1"/>
    <col min="5" max="5" width="16.5546875" bestFit="1" customWidth="1"/>
    <col min="6" max="10" width="17.44140625" bestFit="1" customWidth="1"/>
    <col min="11" max="26" width="8.88671875" customWidth="1"/>
  </cols>
  <sheetData>
    <row r="1" spans="2:10" ht="14.25" customHeight="1" x14ac:dyDescent="0.3"/>
    <row r="2" spans="2:10" ht="14.25" customHeight="1" x14ac:dyDescent="0.3">
      <c r="B2" s="2" t="s">
        <v>23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3">
      <c r="B3" s="3" t="s">
        <v>1</v>
      </c>
      <c r="C3" s="4">
        <v>44926</v>
      </c>
      <c r="D3" s="4">
        <v>45291</v>
      </c>
      <c r="E3" s="4">
        <v>45657</v>
      </c>
      <c r="F3" s="5">
        <v>46022</v>
      </c>
      <c r="G3" s="5">
        <v>46387</v>
      </c>
      <c r="H3" s="5">
        <v>46752</v>
      </c>
      <c r="I3" s="5">
        <v>47118</v>
      </c>
      <c r="J3" s="5">
        <v>47483</v>
      </c>
    </row>
    <row r="4" spans="2:10" ht="14.25" customHeight="1" x14ac:dyDescent="0.3">
      <c r="B4" s="6" t="s">
        <v>24</v>
      </c>
      <c r="C4" s="17">
        <f>C7-C6+C5</f>
        <v>5705118195672</v>
      </c>
      <c r="D4" s="17">
        <f t="shared" ref="D4:E4" si="0">D7-D6+D5</f>
        <v>5918548089973</v>
      </c>
      <c r="E4" s="17">
        <f t="shared" si="0"/>
        <v>7553625986487</v>
      </c>
      <c r="F4" s="17">
        <f>E7</f>
        <v>9691709658197</v>
      </c>
      <c r="G4" s="17">
        <f t="shared" ref="G4:J4" si="1">F7</f>
        <v>12409727355688.41</v>
      </c>
      <c r="H4" s="17">
        <f t="shared" si="1"/>
        <v>15890006869146.236</v>
      </c>
      <c r="I4" s="17">
        <f t="shared" si="1"/>
        <v>20346322772818.723</v>
      </c>
      <c r="J4" s="17">
        <f t="shared" si="1"/>
        <v>26052402228946.574</v>
      </c>
    </row>
    <row r="5" spans="2:10" ht="14.25" customHeight="1" x14ac:dyDescent="0.3">
      <c r="B5" s="6" t="s">
        <v>25</v>
      </c>
      <c r="C5" s="17">
        <f>'Free Cash Flow'!C11</f>
        <v>124184136435</v>
      </c>
      <c r="D5" s="17">
        <f>'Free Cash Flow'!D11</f>
        <v>121443287072</v>
      </c>
      <c r="E5" s="17">
        <f>'Free Cash Flow'!E11</f>
        <v>133359046493</v>
      </c>
      <c r="F5" s="17">
        <f>F4*F11</f>
        <v>193644291418.96497</v>
      </c>
      <c r="G5" s="17">
        <f t="shared" ref="G5:J5" si="2">G4*G11</f>
        <v>247951387860.89929</v>
      </c>
      <c r="H5" s="17">
        <f t="shared" si="2"/>
        <v>317488784676.48413</v>
      </c>
      <c r="I5" s="17">
        <f t="shared" si="2"/>
        <v>406527784599.04889</v>
      </c>
      <c r="J5" s="17">
        <f t="shared" si="2"/>
        <v>520537567396.00391</v>
      </c>
    </row>
    <row r="6" spans="2:10" ht="14.25" customHeight="1" x14ac:dyDescent="0.3">
      <c r="B6" s="6" t="s">
        <v>26</v>
      </c>
      <c r="C6" s="17">
        <f>SUM('Balance Sheet'!D15,'Balance Sheet'!D52)-SUM('Balance Sheet'!C15,'Balance Sheet'!C52)+'Income Statement'!D12</f>
        <v>1144360064992</v>
      </c>
      <c r="D6" s="17">
        <f>SUM('Balance Sheet'!E15,'Balance Sheet'!E52)-SUM('Balance Sheet'!D15,'Balance Sheet'!D52)+'Income Statement'!E12</f>
        <v>2367363532569</v>
      </c>
      <c r="E6" s="17">
        <f>SUM('Balance Sheet'!F15,'Balance Sheet'!F52)-SUM('Balance Sheet'!E15,'Balance Sheet'!E52)+'Income Statement'!F12</f>
        <v>2271442718203</v>
      </c>
      <c r="F6" s="17">
        <f>F4*F12</f>
        <v>2911661988910.375</v>
      </c>
      <c r="G6" s="17">
        <f t="shared" ref="G6:J6" si="3">G4*G12</f>
        <v>3728230901318.7261</v>
      </c>
      <c r="H6" s="17">
        <f t="shared" si="3"/>
        <v>4773804688348.9717</v>
      </c>
      <c r="I6" s="17">
        <f t="shared" si="3"/>
        <v>6112607240726.9004</v>
      </c>
      <c r="J6" s="17">
        <f t="shared" si="3"/>
        <v>7826873891715.3564</v>
      </c>
    </row>
    <row r="7" spans="2:10" ht="14.25" customHeight="1" x14ac:dyDescent="0.3">
      <c r="B7" s="18" t="s">
        <v>27</v>
      </c>
      <c r="C7" s="19">
        <f>SUM('Balance Sheet'!D15:D16)</f>
        <v>6725294124229</v>
      </c>
      <c r="D7" s="19">
        <f>SUM('Balance Sheet'!E15:E16)</f>
        <v>8164468335470</v>
      </c>
      <c r="E7" s="19">
        <f>SUM('Balance Sheet'!F15:F16)</f>
        <v>9691709658197</v>
      </c>
      <c r="F7" s="19">
        <f>F4+(F6-F5)</f>
        <v>12409727355688.41</v>
      </c>
      <c r="G7" s="19">
        <f t="shared" ref="G7:J7" si="4">G4+(G6-G5)</f>
        <v>15890006869146.236</v>
      </c>
      <c r="H7" s="19">
        <f t="shared" si="4"/>
        <v>20346322772818.723</v>
      </c>
      <c r="I7" s="19">
        <f t="shared" si="4"/>
        <v>26052402228946.574</v>
      </c>
      <c r="J7" s="19">
        <f t="shared" si="4"/>
        <v>33358738553265.926</v>
      </c>
    </row>
    <row r="8" spans="2:10" ht="14.25" customHeight="1" x14ac:dyDescent="0.3">
      <c r="E8" s="17"/>
    </row>
    <row r="9" spans="2:10" ht="14.25" customHeight="1" x14ac:dyDescent="0.3">
      <c r="B9" s="2" t="s">
        <v>18</v>
      </c>
      <c r="C9" s="2"/>
      <c r="D9" s="2"/>
      <c r="E9" s="2"/>
      <c r="F9" s="2"/>
      <c r="G9" s="2"/>
      <c r="H9" s="2"/>
      <c r="I9" s="2"/>
      <c r="J9" s="2"/>
    </row>
    <row r="10" spans="2:10" ht="14.25" customHeight="1" x14ac:dyDescent="0.3">
      <c r="B10" s="3" t="s">
        <v>1</v>
      </c>
      <c r="C10" s="4">
        <f>C3</f>
        <v>44926</v>
      </c>
      <c r="D10" s="4">
        <f t="shared" ref="D10:E10" si="5">D3</f>
        <v>45291</v>
      </c>
      <c r="E10" s="4">
        <f t="shared" si="5"/>
        <v>45657</v>
      </c>
      <c r="F10" s="5">
        <f>F3</f>
        <v>46022</v>
      </c>
      <c r="G10" s="5">
        <f t="shared" ref="G10:J10" si="6">G3</f>
        <v>46387</v>
      </c>
      <c r="H10" s="5">
        <f t="shared" si="6"/>
        <v>46752</v>
      </c>
      <c r="I10" s="5">
        <f t="shared" si="6"/>
        <v>47118</v>
      </c>
      <c r="J10" s="5">
        <f t="shared" si="6"/>
        <v>47483</v>
      </c>
    </row>
    <row r="11" spans="2:10" ht="14.25" customHeight="1" x14ac:dyDescent="0.3">
      <c r="B11" s="15" t="s">
        <v>28</v>
      </c>
      <c r="C11" s="16">
        <f t="shared" ref="C11:E11" si="7">C5/C4</f>
        <v>2.1767145250243581E-2</v>
      </c>
      <c r="D11" s="16">
        <f t="shared" si="7"/>
        <v>2.0519101175801042E-2</v>
      </c>
      <c r="E11" s="16">
        <f t="shared" si="7"/>
        <v>1.7654970835406944E-2</v>
      </c>
      <c r="F11" s="16">
        <f>AVERAGE(C11:E11)</f>
        <v>1.9980405753817189E-2</v>
      </c>
      <c r="G11" s="16">
        <f t="shared" ref="G11:J11" si="8">F11</f>
        <v>1.9980405753817189E-2</v>
      </c>
      <c r="H11" s="16">
        <f t="shared" si="8"/>
        <v>1.9980405753817189E-2</v>
      </c>
      <c r="I11" s="16">
        <f t="shared" si="8"/>
        <v>1.9980405753817189E-2</v>
      </c>
      <c r="J11" s="16">
        <f t="shared" si="8"/>
        <v>1.9980405753817189E-2</v>
      </c>
    </row>
    <row r="12" spans="2:10" ht="14.25" customHeight="1" x14ac:dyDescent="0.3">
      <c r="B12" s="15" t="s">
        <v>29</v>
      </c>
      <c r="C12" s="16">
        <f t="shared" ref="C12:E12" si="9">C6/C4</f>
        <v>0.20058481274938897</v>
      </c>
      <c r="D12" s="16">
        <f t="shared" si="9"/>
        <v>0.39999058833022</v>
      </c>
      <c r="E12" s="16">
        <f t="shared" si="9"/>
        <v>0.30070892075759109</v>
      </c>
      <c r="F12" s="16">
        <f>AVERAGE(C12:E12)</f>
        <v>0.30042810727906666</v>
      </c>
      <c r="G12" s="16">
        <f t="shared" ref="G12:J12" si="10">F12</f>
        <v>0.30042810727906666</v>
      </c>
      <c r="H12" s="16">
        <f t="shared" si="10"/>
        <v>0.30042810727906666</v>
      </c>
      <c r="I12" s="16">
        <f t="shared" si="10"/>
        <v>0.30042810727906666</v>
      </c>
      <c r="J12" s="16">
        <f t="shared" si="10"/>
        <v>0.30042810727906666</v>
      </c>
    </row>
    <row r="13" spans="2:10" ht="14.25" customHeight="1" x14ac:dyDescent="0.3">
      <c r="C13" s="20"/>
      <c r="D13" s="20"/>
      <c r="E13" s="20"/>
      <c r="F13" s="20"/>
      <c r="G13" s="20"/>
      <c r="H13" s="20"/>
      <c r="I13" s="20"/>
      <c r="J13" s="20"/>
    </row>
    <row r="14" spans="2:10" ht="14.25" customHeight="1" x14ac:dyDescent="0.3">
      <c r="C14" s="20"/>
      <c r="D14" s="20"/>
      <c r="E14" s="20"/>
      <c r="F14" s="20"/>
      <c r="G14" s="20"/>
      <c r="H14" s="20"/>
      <c r="I14" s="20"/>
      <c r="J14" s="20"/>
    </row>
    <row r="15" spans="2:10" ht="14.25" customHeight="1" x14ac:dyDescent="0.3">
      <c r="C15" s="20"/>
      <c r="D15" s="20"/>
      <c r="E15" s="20"/>
      <c r="F15" s="20"/>
      <c r="G15" s="20"/>
      <c r="H15" s="20"/>
      <c r="I15" s="20"/>
      <c r="J15" s="20"/>
    </row>
    <row r="16" spans="2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996"/>
  <sheetViews>
    <sheetView showGridLines="0" zoomScale="82" workbookViewId="0">
      <selection activeCell="G13" sqref="G13"/>
    </sheetView>
  </sheetViews>
  <sheetFormatPr defaultColWidth="14.44140625" defaultRowHeight="15" customHeight="1" x14ac:dyDescent="0.3"/>
  <cols>
    <col min="1" max="1" width="8.88671875" customWidth="1"/>
    <col min="2" max="2" width="39.5546875" bestFit="1" customWidth="1"/>
    <col min="3" max="11" width="19" bestFit="1" customWidth="1"/>
    <col min="12" max="26" width="8.88671875" customWidth="1"/>
  </cols>
  <sheetData>
    <row r="1" spans="2:11" ht="14.25" customHeight="1" x14ac:dyDescent="0.3"/>
    <row r="2" spans="2:11" ht="14.25" customHeight="1" x14ac:dyDescent="0.3">
      <c r="B2" s="2" t="s">
        <v>30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3">
      <c r="B3" s="3" t="s">
        <v>1</v>
      </c>
      <c r="C3" s="4">
        <v>44561</v>
      </c>
      <c r="D3" s="4">
        <v>44926</v>
      </c>
      <c r="E3" s="4">
        <v>45291</v>
      </c>
      <c r="F3" s="4">
        <v>45657</v>
      </c>
      <c r="G3" s="5">
        <v>46022</v>
      </c>
      <c r="H3" s="5">
        <v>46387</v>
      </c>
      <c r="I3" s="5">
        <v>46752</v>
      </c>
      <c r="J3" s="5">
        <v>47118</v>
      </c>
      <c r="K3" s="5">
        <v>47483</v>
      </c>
    </row>
    <row r="4" spans="2:11" ht="14.25" customHeight="1" x14ac:dyDescent="0.3">
      <c r="B4" s="6" t="s">
        <v>31</v>
      </c>
      <c r="C4" s="17">
        <f>SUM('Balance Sheet'!C6:C8)</f>
        <v>6079369030833</v>
      </c>
      <c r="D4" s="17">
        <f>SUM('Balance Sheet'!D6:D8)</f>
        <v>6604769097906</v>
      </c>
      <c r="E4" s="17">
        <f>SUM('Balance Sheet'!E6:E8)</f>
        <v>6196960891395</v>
      </c>
      <c r="F4" s="17">
        <f>SUM('Balance Sheet'!F6:F8)</f>
        <v>7252464110452</v>
      </c>
      <c r="G4" s="17">
        <f>G17*G20/360</f>
        <v>8172987793838.2656</v>
      </c>
      <c r="H4" s="17">
        <f t="shared" ref="H4:K4" si="0">H17*H20/360</f>
        <v>8912354188067.3438</v>
      </c>
      <c r="I4" s="17">
        <f t="shared" si="0"/>
        <v>9718607096592.6309</v>
      </c>
      <c r="J4" s="17">
        <f t="shared" si="0"/>
        <v>10597797383815.887</v>
      </c>
      <c r="K4" s="17">
        <f t="shared" si="0"/>
        <v>11556523303405.502</v>
      </c>
    </row>
    <row r="5" spans="2:11" ht="14.25" customHeight="1" x14ac:dyDescent="0.3">
      <c r="B5" s="41" t="s">
        <v>102</v>
      </c>
      <c r="C5" s="17">
        <f>'Balance Sheet'!C9</f>
        <v>3034214212009</v>
      </c>
      <c r="D5" s="17">
        <f>'Balance Sheet'!D9</f>
        <v>3870496137257</v>
      </c>
      <c r="E5" s="17">
        <f>'Balance Sheet'!E9</f>
        <v>3556864426525</v>
      </c>
      <c r="F5" s="17">
        <f>'Balance Sheet'!F9</f>
        <v>6437101615270</v>
      </c>
      <c r="G5" s="17">
        <f>G21*G18/360</f>
        <v>3656023816066.0957</v>
      </c>
      <c r="H5" s="17">
        <f t="shared" ref="H5:K5" si="1">H21*H18/360</f>
        <v>2778336221281.1729</v>
      </c>
      <c r="I5" s="17">
        <f t="shared" si="1"/>
        <v>2111351716190.0771</v>
      </c>
      <c r="J5" s="17">
        <f t="shared" si="1"/>
        <v>1604487619357.7312</v>
      </c>
      <c r="K5" s="17">
        <f t="shared" si="1"/>
        <v>1219304439393.7813</v>
      </c>
    </row>
    <row r="6" spans="2:11" ht="14.25" customHeight="1" x14ac:dyDescent="0.3">
      <c r="B6" s="6" t="s">
        <v>32</v>
      </c>
      <c r="C6" s="17">
        <f>SUM('Balance Sheet'!C10:C12)</f>
        <v>846820463870</v>
      </c>
      <c r="D6" s="17">
        <f>SUM('Balance Sheet'!D10:D12)</f>
        <v>959485013890</v>
      </c>
      <c r="E6" s="17">
        <f>SUM('Balance Sheet'!E10:E12)</f>
        <v>828358402255</v>
      </c>
      <c r="F6" s="17">
        <f>SUM('Balance Sheet'!F10:F12)</f>
        <v>1309900167870</v>
      </c>
      <c r="G6" s="17">
        <f>G4*G24</f>
        <v>253881477584.60651</v>
      </c>
      <c r="H6" s="17">
        <f t="shared" ref="H6:K6" si="2">H4*H24</f>
        <v>276848773924.48352</v>
      </c>
      <c r="I6" s="17">
        <f t="shared" si="2"/>
        <v>301893798447.53583</v>
      </c>
      <c r="J6" s="17">
        <f t="shared" si="2"/>
        <v>329204512084.78802</v>
      </c>
      <c r="K6" s="17">
        <f t="shared" si="2"/>
        <v>358985879585.12579</v>
      </c>
    </row>
    <row r="7" spans="2:11" ht="14.25" customHeight="1" x14ac:dyDescent="0.3">
      <c r="B7" s="18" t="s">
        <v>206</v>
      </c>
      <c r="C7" s="19">
        <f>SUM(C4:C6)</f>
        <v>9960403706712</v>
      </c>
      <c r="D7" s="19">
        <f t="shared" ref="D7:F7" si="3">SUM(D4:D6)</f>
        <v>11434750249053</v>
      </c>
      <c r="E7" s="19">
        <f t="shared" si="3"/>
        <v>10582183720175</v>
      </c>
      <c r="F7" s="19">
        <f t="shared" si="3"/>
        <v>14999465893592</v>
      </c>
      <c r="G7" s="19">
        <f>SUM(G4:G6)</f>
        <v>12082893087488.969</v>
      </c>
      <c r="H7" s="19">
        <f t="shared" ref="H7:K7" si="4">SUM(H4:H6)</f>
        <v>11967539183273</v>
      </c>
      <c r="I7" s="19">
        <f t="shared" si="4"/>
        <v>12131852611230.242</v>
      </c>
      <c r="J7" s="19">
        <f t="shared" si="4"/>
        <v>12531489515258.404</v>
      </c>
      <c r="K7" s="19">
        <f t="shared" si="4"/>
        <v>13134813622384.408</v>
      </c>
    </row>
    <row r="8" spans="2:11" ht="14.25" customHeight="1" x14ac:dyDescent="0.3">
      <c r="C8" s="69"/>
    </row>
    <row r="9" spans="2:11" ht="14.25" customHeight="1" x14ac:dyDescent="0.3">
      <c r="B9" s="6" t="s">
        <v>33</v>
      </c>
      <c r="C9" s="17">
        <f>SUM('Balance Sheet'!C22:C24)</f>
        <v>2009147565167</v>
      </c>
      <c r="D9" s="17">
        <f>SUM('Balance Sheet'!D22:D24)</f>
        <v>1743358174824</v>
      </c>
      <c r="E9" s="17">
        <f>SUM('Balance Sheet'!E22:E24)</f>
        <v>1969229650560</v>
      </c>
      <c r="F9" s="17">
        <f>SUM('Balance Sheet'!F22:F24)</f>
        <v>2541170364807</v>
      </c>
      <c r="G9" s="17">
        <f>G18*G22/360</f>
        <v>1824183886742.6423</v>
      </c>
      <c r="H9" s="17">
        <f t="shared" ref="H9:K9" si="5">H18*H22/360</f>
        <v>1386259067717.9907</v>
      </c>
      <c r="I9" s="17">
        <f t="shared" si="5"/>
        <v>1053465177933.2756</v>
      </c>
      <c r="J9" s="17">
        <f t="shared" si="5"/>
        <v>800563839012.3446</v>
      </c>
      <c r="K9" s="17">
        <f t="shared" si="5"/>
        <v>608375553135.53674</v>
      </c>
    </row>
    <row r="10" spans="2:11" ht="14.25" customHeight="1" x14ac:dyDescent="0.3">
      <c r="B10" s="56" t="s">
        <v>130</v>
      </c>
      <c r="C10" s="17">
        <f>'Balance Sheet'!C27</f>
        <v>325827795215</v>
      </c>
      <c r="D10" s="17">
        <f>'Balance Sheet'!D27</f>
        <v>685327213150</v>
      </c>
      <c r="E10" s="17">
        <f>'Balance Sheet'!E27</f>
        <v>750268983125</v>
      </c>
      <c r="F10" s="17">
        <f>'Balance Sheet'!F27</f>
        <v>534484934688</v>
      </c>
      <c r="G10" s="17">
        <f>G17*G25</f>
        <v>714625285612.43823</v>
      </c>
      <c r="H10" s="17">
        <f t="shared" ref="H10:K10" si="6">H17*H25</f>
        <v>779273604437.35303</v>
      </c>
      <c r="I10" s="17">
        <f t="shared" si="6"/>
        <v>849770310117.63367</v>
      </c>
      <c r="J10" s="17">
        <f t="shared" si="6"/>
        <v>926644474861.67969</v>
      </c>
      <c r="K10" s="17">
        <f t="shared" si="6"/>
        <v>1010473033204.4813</v>
      </c>
    </row>
    <row r="11" spans="2:11" ht="14.25" customHeight="1" x14ac:dyDescent="0.3">
      <c r="B11" s="6" t="s">
        <v>34</v>
      </c>
      <c r="C11" s="17">
        <f>SUM('Balance Sheet'!C25,'Balance Sheet'!C26,'Balance Sheet'!C30)</f>
        <v>118045839498</v>
      </c>
      <c r="D11" s="17">
        <f>SUM('Balance Sheet'!D25,'Balance Sheet'!D26,'Balance Sheet'!D30)</f>
        <v>578498409363</v>
      </c>
      <c r="E11" s="17">
        <f>SUM('Balance Sheet'!E25,'Balance Sheet'!E26,'Balance Sheet'!E30)</f>
        <v>564312306310</v>
      </c>
      <c r="F11" s="17">
        <f>SUM('Balance Sheet'!F25,'Balance Sheet'!F26,'Balance Sheet'!F30)</f>
        <v>482166445661</v>
      </c>
      <c r="G11" s="17">
        <f>G17*G26</f>
        <v>534799972651.89331</v>
      </c>
      <c r="H11" s="17">
        <f t="shared" ref="H11:K11" si="7">H17*H26</f>
        <v>583180459370.78296</v>
      </c>
      <c r="I11" s="17">
        <f t="shared" si="7"/>
        <v>635937669378.47559</v>
      </c>
      <c r="J11" s="17">
        <f t="shared" si="7"/>
        <v>693467541369.38818</v>
      </c>
      <c r="K11" s="17">
        <f t="shared" si="7"/>
        <v>756201832489.18408</v>
      </c>
    </row>
    <row r="12" spans="2:11" ht="14.25" customHeight="1" x14ac:dyDescent="0.3">
      <c r="B12" s="18" t="s">
        <v>207</v>
      </c>
      <c r="C12" s="19">
        <f>SUM(C9:C11)</f>
        <v>2453021199880</v>
      </c>
      <c r="D12" s="19">
        <f t="shared" ref="D12:F12" si="8">SUM(D9:D11)</f>
        <v>3007183797337</v>
      </c>
      <c r="E12" s="19">
        <f t="shared" si="8"/>
        <v>3283810939995</v>
      </c>
      <c r="F12" s="19">
        <f t="shared" si="8"/>
        <v>3557821745156</v>
      </c>
      <c r="G12" s="19">
        <f>SUM(G9:G11)</f>
        <v>3073609145006.9736</v>
      </c>
      <c r="H12" s="19">
        <f t="shared" ref="H12:K12" si="9">SUM(H9:H11)</f>
        <v>2748713131526.127</v>
      </c>
      <c r="I12" s="19">
        <f t="shared" si="9"/>
        <v>2539173157429.3848</v>
      </c>
      <c r="J12" s="19">
        <f t="shared" si="9"/>
        <v>2420675855243.4126</v>
      </c>
      <c r="K12" s="19">
        <f t="shared" si="9"/>
        <v>2375050418829.2021</v>
      </c>
    </row>
    <row r="13" spans="2:11" ht="14.25" customHeight="1" x14ac:dyDescent="0.3">
      <c r="B13" s="70" t="s">
        <v>208</v>
      </c>
      <c r="C13" s="71">
        <f>C7-C12</f>
        <v>7507382506832</v>
      </c>
      <c r="D13" s="71">
        <f t="shared" ref="D13:G13" si="10">D7-D12</f>
        <v>8427566451716</v>
      </c>
      <c r="E13" s="71">
        <f t="shared" si="10"/>
        <v>7298372780180</v>
      </c>
      <c r="F13" s="71">
        <f t="shared" si="10"/>
        <v>11441644148436</v>
      </c>
      <c r="G13" s="71">
        <f t="shared" si="10"/>
        <v>9009283942481.9961</v>
      </c>
      <c r="H13" s="71">
        <f t="shared" ref="H13" si="11">H7-H12</f>
        <v>9218826051746.873</v>
      </c>
      <c r="I13" s="71">
        <f t="shared" ref="I13" si="12">I7-I12</f>
        <v>9592679453800.8574</v>
      </c>
      <c r="J13" s="71">
        <f t="shared" ref="J13" si="13">J7-J12</f>
        <v>10110813660014.992</v>
      </c>
      <c r="K13" s="71">
        <f t="shared" ref="K13" si="14">K7-K12</f>
        <v>10759763203555.207</v>
      </c>
    </row>
    <row r="14" spans="2:11" ht="14.25" customHeight="1" x14ac:dyDescent="0.3"/>
    <row r="15" spans="2:11" ht="14.25" customHeight="1" x14ac:dyDescent="0.3"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3">
      <c r="B16" s="3" t="s">
        <v>1</v>
      </c>
      <c r="C16" s="4">
        <f t="shared" ref="C16:K16" si="15">C3</f>
        <v>44561</v>
      </c>
      <c r="D16" s="4">
        <f t="shared" si="15"/>
        <v>44926</v>
      </c>
      <c r="E16" s="4">
        <f t="shared" si="15"/>
        <v>45291</v>
      </c>
      <c r="F16" s="4">
        <f t="shared" si="15"/>
        <v>45657</v>
      </c>
      <c r="G16" s="5">
        <f t="shared" si="15"/>
        <v>46022</v>
      </c>
      <c r="H16" s="5">
        <f t="shared" si="15"/>
        <v>46387</v>
      </c>
      <c r="I16" s="5">
        <f t="shared" si="15"/>
        <v>46752</v>
      </c>
      <c r="J16" s="5">
        <f t="shared" si="15"/>
        <v>47118</v>
      </c>
      <c r="K16" s="5">
        <f t="shared" si="15"/>
        <v>47483</v>
      </c>
    </row>
    <row r="17" spans="2:11" ht="14.25" customHeight="1" x14ac:dyDescent="0.3">
      <c r="B17" s="15" t="s">
        <v>2</v>
      </c>
      <c r="C17" s="21">
        <f>'Income Statement'!C5</f>
        <v>27904558322183</v>
      </c>
      <c r="D17" s="21">
        <f>'Income Statement'!D5</f>
        <v>30669405967404</v>
      </c>
      <c r="E17" s="21">
        <f>'Income Statement'!E5</f>
        <v>31485008185525</v>
      </c>
      <c r="F17" s="21">
        <f>'Income Statement'!F5</f>
        <v>36072949285930</v>
      </c>
      <c r="G17" s="21">
        <f>'Free Cash Flow'!F4</f>
        <v>39336275637996.031</v>
      </c>
      <c r="H17" s="21">
        <f>'Free Cash Flow'!G4</f>
        <v>42894817632001.336</v>
      </c>
      <c r="I17" s="21">
        <f>'Free Cash Flow'!H4</f>
        <v>46775281844562.266</v>
      </c>
      <c r="J17" s="21">
        <f>'Free Cash Flow'!I4</f>
        <v>51006790853120.469</v>
      </c>
      <c r="K17" s="21">
        <f>'Free Cash Flow'!J4</f>
        <v>55621101798586.523</v>
      </c>
    </row>
    <row r="18" spans="2:11" ht="14.25" customHeight="1" x14ac:dyDescent="0.3">
      <c r="B18" s="15" t="s">
        <v>3</v>
      </c>
      <c r="C18" s="21">
        <f>'Income Statement'!C6</f>
        <v>20981574813780</v>
      </c>
      <c r="D18" s="21">
        <f>'Income Statement'!D6</f>
        <v>23829982628480</v>
      </c>
      <c r="E18" s="21">
        <f>'Income Statement'!E6</f>
        <v>23077230426842</v>
      </c>
      <c r="F18" s="21">
        <f>'Income Statement'!F6</f>
        <v>27770649971673</v>
      </c>
      <c r="G18" s="21">
        <f>'Free Cash Flow'!F5</f>
        <v>21103856699664.672</v>
      </c>
      <c r="H18" s="21">
        <f>'Free Cash Flow'!G5</f>
        <v>16037534881404.529</v>
      </c>
      <c r="I18" s="21">
        <f>'Free Cash Flow'!H5</f>
        <v>12187465482380.469</v>
      </c>
      <c r="J18" s="21">
        <f>'Free Cash Flow'!I5</f>
        <v>9261667455915.5879</v>
      </c>
      <c r="K18" s="21">
        <f>'Free Cash Flow'!J5</f>
        <v>7038254523713.4551</v>
      </c>
    </row>
    <row r="19" spans="2:11" ht="14.25" customHeight="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2:11" ht="14.25" customHeight="1" x14ac:dyDescent="0.3">
      <c r="B20" s="15" t="s">
        <v>35</v>
      </c>
      <c r="C20" s="22">
        <f t="shared" ref="C20:F21" si="16">C4/C17*360</f>
        <v>78.430657308058969</v>
      </c>
      <c r="D20" s="22">
        <f t="shared" si="16"/>
        <v>77.527320802145326</v>
      </c>
      <c r="E20" s="22">
        <f t="shared" si="16"/>
        <v>70.85613279045748</v>
      </c>
      <c r="F20" s="22">
        <f t="shared" si="16"/>
        <v>72.377976612549347</v>
      </c>
      <c r="G20" s="22">
        <f>AVERAGE(C20:F20)</f>
        <v>74.798021878302777</v>
      </c>
      <c r="H20" s="22">
        <f>G20</f>
        <v>74.798021878302777</v>
      </c>
      <c r="I20" s="22">
        <f t="shared" ref="I20:K20" si="17">H20</f>
        <v>74.798021878302777</v>
      </c>
      <c r="J20" s="22">
        <f t="shared" si="17"/>
        <v>74.798021878302777</v>
      </c>
      <c r="K20" s="22">
        <f t="shared" si="17"/>
        <v>74.798021878302777</v>
      </c>
    </row>
    <row r="21" spans="2:11" ht="14.25" customHeight="1" x14ac:dyDescent="0.3">
      <c r="B21" s="15" t="s">
        <v>36</v>
      </c>
      <c r="C21" s="22">
        <f t="shared" si="16"/>
        <v>52.060778374264004</v>
      </c>
      <c r="D21" s="22">
        <f t="shared" si="16"/>
        <v>58.471658630050662</v>
      </c>
      <c r="E21" s="22">
        <f t="shared" si="16"/>
        <v>55.486346059084958</v>
      </c>
      <c r="F21" s="22">
        <f t="shared" si="16"/>
        <v>83.446249326572541</v>
      </c>
      <c r="G21" s="22">
        <f t="shared" ref="G21:G22" si="18">AVERAGE(C21:F21)</f>
        <v>62.366258097493038</v>
      </c>
      <c r="H21" s="22">
        <f>G21</f>
        <v>62.366258097493038</v>
      </c>
      <c r="I21" s="22">
        <f t="shared" ref="I21:K21" si="19">H21</f>
        <v>62.366258097493038</v>
      </c>
      <c r="J21" s="22">
        <f t="shared" si="19"/>
        <v>62.366258097493038</v>
      </c>
      <c r="K21" s="22">
        <f t="shared" si="19"/>
        <v>62.366258097493038</v>
      </c>
    </row>
    <row r="22" spans="2:11" ht="14.25" customHeight="1" x14ac:dyDescent="0.3">
      <c r="B22" s="15" t="s">
        <v>37</v>
      </c>
      <c r="C22" s="22">
        <f>C9/C18*360</f>
        <v>34.472775751088292</v>
      </c>
      <c r="D22" s="22">
        <f>D9/D18*360</f>
        <v>26.336945046135444</v>
      </c>
      <c r="E22" s="22">
        <f>E9/E18*360</f>
        <v>30.719573410205467</v>
      </c>
      <c r="F22" s="22">
        <f>F9/F18*360</f>
        <v>32.942020884050919</v>
      </c>
      <c r="G22" s="22">
        <f t="shared" si="18"/>
        <v>31.11782877287003</v>
      </c>
      <c r="H22" s="22">
        <f>G22</f>
        <v>31.11782877287003</v>
      </c>
      <c r="I22" s="22">
        <f t="shared" ref="I22:K22" si="20">H22</f>
        <v>31.11782877287003</v>
      </c>
      <c r="J22" s="22">
        <f t="shared" si="20"/>
        <v>31.11782877287003</v>
      </c>
      <c r="K22" s="22">
        <f t="shared" si="20"/>
        <v>31.11782877287003</v>
      </c>
    </row>
    <row r="23" spans="2:11" ht="14.25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 ht="14.25" customHeight="1" x14ac:dyDescent="0.3">
      <c r="B24" s="15" t="s">
        <v>38</v>
      </c>
      <c r="C24" s="36">
        <f>C6/C$17</f>
        <v>3.0347029832642498E-2</v>
      </c>
      <c r="D24" s="36">
        <f>D6/D$17</f>
        <v>3.1284760288795878E-2</v>
      </c>
      <c r="E24" s="36">
        <f>E6/E$17</f>
        <v>2.6309613685786864E-2</v>
      </c>
      <c r="F24" s="36">
        <f>F6/F$17</f>
        <v>3.6312533180671125E-2</v>
      </c>
      <c r="G24" s="16">
        <f>AVERAGE(C24:F24)</f>
        <v>3.1063484246974093E-2</v>
      </c>
      <c r="H24" s="16">
        <f>G24</f>
        <v>3.1063484246974093E-2</v>
      </c>
      <c r="I24" s="16">
        <f t="shared" ref="I24:K24" si="21">H24</f>
        <v>3.1063484246974093E-2</v>
      </c>
      <c r="J24" s="16">
        <f t="shared" si="21"/>
        <v>3.1063484246974093E-2</v>
      </c>
      <c r="K24" s="16">
        <f t="shared" si="21"/>
        <v>3.1063484246974093E-2</v>
      </c>
    </row>
    <row r="25" spans="2:11" ht="14.25" customHeight="1" x14ac:dyDescent="0.3">
      <c r="B25" s="68" t="s">
        <v>183</v>
      </c>
      <c r="C25" s="16">
        <f t="shared" ref="C25:F26" si="22">C10/C$17</f>
        <v>1.1676507882799206E-2</v>
      </c>
      <c r="D25" s="16">
        <f t="shared" si="22"/>
        <v>2.2345630491779924E-2</v>
      </c>
      <c r="E25" s="16">
        <f t="shared" si="22"/>
        <v>2.3829404099374847E-2</v>
      </c>
      <c r="F25" s="16">
        <f t="shared" si="22"/>
        <v>1.4816779477925085E-2</v>
      </c>
      <c r="G25" s="16">
        <f t="shared" ref="G25:G26" si="23">AVERAGE(C25:F25)</f>
        <v>1.8167080487969767E-2</v>
      </c>
      <c r="H25" s="16">
        <f t="shared" ref="H25:K26" si="24">G25</f>
        <v>1.8167080487969767E-2</v>
      </c>
      <c r="I25" s="16">
        <f t="shared" si="24"/>
        <v>1.8167080487969767E-2</v>
      </c>
      <c r="J25" s="16">
        <f t="shared" si="24"/>
        <v>1.8167080487969767E-2</v>
      </c>
      <c r="K25" s="16">
        <f t="shared" si="24"/>
        <v>1.8167080487969767E-2</v>
      </c>
    </row>
    <row r="26" spans="2:11" ht="14.25" customHeight="1" x14ac:dyDescent="0.3">
      <c r="B26" s="15" t="s">
        <v>39</v>
      </c>
      <c r="C26" s="16">
        <f t="shared" si="22"/>
        <v>4.2303425173427067E-3</v>
      </c>
      <c r="D26" s="16">
        <f t="shared" si="22"/>
        <v>1.8862393682415584E-2</v>
      </c>
      <c r="E26" s="16">
        <f t="shared" si="22"/>
        <v>1.7923206593588831E-2</v>
      </c>
      <c r="F26" s="16">
        <f t="shared" si="22"/>
        <v>1.3366427065309728E-2</v>
      </c>
      <c r="G26" s="16">
        <f t="shared" si="23"/>
        <v>1.3595592464664213E-2</v>
      </c>
      <c r="H26" s="16">
        <f t="shared" si="24"/>
        <v>1.3595592464664213E-2</v>
      </c>
      <c r="I26" s="16">
        <f t="shared" si="24"/>
        <v>1.3595592464664213E-2</v>
      </c>
      <c r="J26" s="16">
        <f t="shared" si="24"/>
        <v>1.3595592464664213E-2</v>
      </c>
      <c r="K26" s="16">
        <f t="shared" si="24"/>
        <v>1.3595592464664213E-2</v>
      </c>
    </row>
    <row r="27" spans="2:11" ht="14.25" customHeight="1" x14ac:dyDescent="0.3"/>
    <row r="28" spans="2:11" ht="14.25" customHeight="1" x14ac:dyDescent="0.3"/>
    <row r="29" spans="2:11" ht="14.25" customHeight="1" x14ac:dyDescent="0.3"/>
    <row r="30" spans="2:11" ht="14.25" customHeight="1" x14ac:dyDescent="0.3"/>
    <row r="31" spans="2:11" ht="14.25" customHeight="1" x14ac:dyDescent="0.3"/>
    <row r="32" spans="2:11" ht="14.25" customHeight="1" x14ac:dyDescent="0.3">
      <c r="D32" s="69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000"/>
  <sheetViews>
    <sheetView showGridLines="0" topLeftCell="B1" zoomScale="102" workbookViewId="0">
      <selection activeCell="C18" sqref="C18"/>
    </sheetView>
  </sheetViews>
  <sheetFormatPr defaultColWidth="14.44140625" defaultRowHeight="15" customHeight="1" x14ac:dyDescent="0.3"/>
  <cols>
    <col min="1" max="1" width="8.88671875" customWidth="1"/>
    <col min="2" max="2" width="37.109375" customWidth="1"/>
    <col min="3" max="3" width="25" bestFit="1" customWidth="1"/>
    <col min="4" max="4" width="28.33203125" customWidth="1"/>
    <col min="5" max="26" width="8.88671875" customWidth="1"/>
  </cols>
  <sheetData>
    <row r="1" spans="2:5" ht="14.25" customHeight="1" x14ac:dyDescent="0.3"/>
    <row r="2" spans="2:5" ht="14.25" customHeight="1" x14ac:dyDescent="0.3">
      <c r="B2" s="109" t="s">
        <v>55</v>
      </c>
      <c r="C2" s="110"/>
      <c r="D2" s="87" t="s">
        <v>83</v>
      </c>
      <c r="E2" s="39"/>
    </row>
    <row r="3" spans="2:5" ht="14.25" customHeight="1" x14ac:dyDescent="0.3">
      <c r="B3" s="88" t="s">
        <v>185</v>
      </c>
      <c r="C3" s="74">
        <f>DCF!C20*'Evaluation Sheet'!C5</f>
        <v>62157185235500</v>
      </c>
      <c r="D3" s="105" t="s">
        <v>202</v>
      </c>
    </row>
    <row r="4" spans="2:5" ht="14.25" customHeight="1" x14ac:dyDescent="0.3">
      <c r="B4" s="88" t="s">
        <v>184</v>
      </c>
      <c r="C4" s="106">
        <v>7948138934378</v>
      </c>
      <c r="D4" s="105" t="s">
        <v>201</v>
      </c>
    </row>
    <row r="5" spans="2:5" ht="14.25" customHeight="1" x14ac:dyDescent="0.3">
      <c r="B5" s="1"/>
      <c r="C5" s="44"/>
    </row>
    <row r="6" spans="2:5" ht="14.25" customHeight="1" x14ac:dyDescent="0.3">
      <c r="B6" s="1" t="s">
        <v>56</v>
      </c>
      <c r="C6" s="33">
        <f>-'Income Statement'!F19/C4</f>
        <v>5.3496237769813805E-2</v>
      </c>
    </row>
    <row r="7" spans="2:5" ht="14.25" customHeight="1" x14ac:dyDescent="0.3">
      <c r="B7" s="1" t="s">
        <v>57</v>
      </c>
      <c r="C7" s="31">
        <v>0.22</v>
      </c>
      <c r="D7" s="105" t="s">
        <v>200</v>
      </c>
    </row>
    <row r="8" spans="2:5" ht="14.25" customHeight="1" x14ac:dyDescent="0.3">
      <c r="B8" s="1" t="s">
        <v>58</v>
      </c>
      <c r="C8" s="20">
        <f>C4/C3</f>
        <v>0.1278716033273424</v>
      </c>
      <c r="D8" s="105" t="s">
        <v>205</v>
      </c>
    </row>
    <row r="9" spans="2:5" ht="14.25" customHeight="1" x14ac:dyDescent="0.3">
      <c r="B9" s="18" t="s">
        <v>59</v>
      </c>
      <c r="C9" s="32">
        <f>C6*(1-C7)</f>
        <v>4.1727065460454772E-2</v>
      </c>
    </row>
    <row r="10" spans="2:5" ht="14.25" customHeight="1" x14ac:dyDescent="0.3">
      <c r="B10" s="10"/>
      <c r="C10" s="33"/>
    </row>
    <row r="11" spans="2:5" ht="14.25" customHeight="1" x14ac:dyDescent="0.3">
      <c r="B11" s="1" t="s">
        <v>60</v>
      </c>
      <c r="C11" s="31">
        <v>6.6299999999999998E-2</v>
      </c>
      <c r="D11" s="41" t="s">
        <v>186</v>
      </c>
    </row>
    <row r="12" spans="2:5" ht="14.25" customHeight="1" x14ac:dyDescent="0.3">
      <c r="B12" s="1" t="s">
        <v>61</v>
      </c>
      <c r="C12" s="31">
        <v>7.6841190929660297E-2</v>
      </c>
      <c r="D12" s="105" t="s">
        <v>203</v>
      </c>
    </row>
    <row r="13" spans="2:5" ht="14.25" customHeight="1" x14ac:dyDescent="0.3">
      <c r="B13" s="1" t="s">
        <v>62</v>
      </c>
      <c r="C13" s="20">
        <f>C12-C11</f>
        <v>1.0541190929660299E-2</v>
      </c>
    </row>
    <row r="14" spans="2:5" ht="14.25" customHeight="1" x14ac:dyDescent="0.3">
      <c r="B14" s="1" t="s">
        <v>63</v>
      </c>
      <c r="C14" s="29">
        <v>0.78925095977573956</v>
      </c>
      <c r="D14" s="41" t="s">
        <v>187</v>
      </c>
    </row>
    <row r="15" spans="2:5" ht="14.25" customHeight="1" x14ac:dyDescent="0.3">
      <c r="B15" s="1" t="s">
        <v>64</v>
      </c>
      <c r="C15" s="37">
        <f>C3/SUM(C3:C4)</f>
        <v>0.88662574449954457</v>
      </c>
      <c r="D15" s="41" t="s">
        <v>188</v>
      </c>
    </row>
    <row r="16" spans="2:5" ht="14.25" customHeight="1" x14ac:dyDescent="0.3">
      <c r="B16" s="18" t="s">
        <v>65</v>
      </c>
      <c r="C16" s="32">
        <f>C11+C14*(C13)</f>
        <v>7.4619645058413703E-2</v>
      </c>
      <c r="D16" s="105" t="s">
        <v>204</v>
      </c>
    </row>
    <row r="17" spans="2:3" ht="14.25" customHeight="1" x14ac:dyDescent="0.3">
      <c r="B17" s="1"/>
      <c r="C17" s="38"/>
    </row>
    <row r="18" spans="2:3" ht="14.25" customHeight="1" x14ac:dyDescent="0.3">
      <c r="B18" s="13" t="s">
        <v>46</v>
      </c>
      <c r="C18" s="34">
        <f>(C9*C8)+(C16*C15)</f>
        <v>7.1495405116781124E-2</v>
      </c>
    </row>
    <row r="19" spans="2:3" ht="14.25" customHeight="1" x14ac:dyDescent="0.3"/>
    <row r="20" spans="2:3" ht="14.25" customHeight="1" x14ac:dyDescent="0.3"/>
    <row r="21" spans="2:3" ht="14.25" customHeight="1" x14ac:dyDescent="0.3"/>
    <row r="22" spans="2:3" ht="14.25" customHeight="1" x14ac:dyDescent="0.3"/>
    <row r="23" spans="2:3" ht="14.25" customHeight="1" x14ac:dyDescent="0.3"/>
    <row r="24" spans="2:3" ht="14.25" customHeight="1" x14ac:dyDescent="0.3"/>
    <row r="25" spans="2:3" ht="14.25" customHeight="1" x14ac:dyDescent="0.3"/>
    <row r="26" spans="2:3" ht="14.25" customHeight="1" x14ac:dyDescent="0.3"/>
    <row r="27" spans="2:3" ht="14.25" customHeight="1" x14ac:dyDescent="0.3"/>
    <row r="28" spans="2:3" ht="14.25" customHeight="1" x14ac:dyDescent="0.3"/>
    <row r="29" spans="2:3" ht="14.25" customHeight="1" x14ac:dyDescent="0.3"/>
    <row r="30" spans="2:3" ht="14.25" customHeight="1" x14ac:dyDescent="0.3"/>
    <row r="31" spans="2:3" ht="14.25" customHeight="1" x14ac:dyDescent="0.3"/>
    <row r="32" spans="2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2"/>
  <sheetViews>
    <sheetView topLeftCell="B1" workbookViewId="0">
      <selection activeCell="F6" sqref="F6"/>
    </sheetView>
  </sheetViews>
  <sheetFormatPr defaultColWidth="14.44140625" defaultRowHeight="15" customHeight="1" x14ac:dyDescent="0.3"/>
  <cols>
    <col min="1" max="1" width="8.88671875" customWidth="1"/>
    <col min="2" max="2" width="52.33203125" bestFit="1" customWidth="1"/>
    <col min="3" max="3" width="18.77734375" bestFit="1" customWidth="1"/>
    <col min="4" max="4" width="18.77734375" style="45" bestFit="1" customWidth="1"/>
    <col min="5" max="6" width="18.77734375" style="43" bestFit="1" customWidth="1"/>
    <col min="7" max="7" width="25.6640625" bestFit="1" customWidth="1"/>
    <col min="8" max="27" width="8.88671875" customWidth="1"/>
  </cols>
  <sheetData>
    <row r="1" spans="2:8" ht="14.25" customHeight="1" x14ac:dyDescent="0.3">
      <c r="D1"/>
      <c r="E1"/>
      <c r="F1"/>
    </row>
    <row r="2" spans="2:8" ht="14.25" customHeight="1" x14ac:dyDescent="0.3">
      <c r="D2"/>
      <c r="E2"/>
      <c r="F2"/>
    </row>
    <row r="3" spans="2:8" ht="14.25" customHeight="1" x14ac:dyDescent="0.3">
      <c r="B3" s="61" t="s">
        <v>152</v>
      </c>
      <c r="C3" s="53">
        <v>2021</v>
      </c>
      <c r="D3" s="53">
        <v>2022</v>
      </c>
      <c r="E3" s="53">
        <v>2023</v>
      </c>
      <c r="F3" s="53">
        <v>2024</v>
      </c>
      <c r="G3" s="53" t="s">
        <v>83</v>
      </c>
    </row>
    <row r="4" spans="2:8" ht="14.25" customHeight="1" x14ac:dyDescent="0.3">
      <c r="B4" s="61" t="s">
        <v>66</v>
      </c>
      <c r="C4" s="73">
        <f t="shared" ref="C4:D4" si="0">C5</f>
        <v>27904558322183</v>
      </c>
      <c r="D4" s="73">
        <f t="shared" si="0"/>
        <v>30669405967404</v>
      </c>
      <c r="E4" s="73">
        <f>E5</f>
        <v>31485008185525</v>
      </c>
      <c r="F4" s="73">
        <f t="shared" ref="F4" si="1">F5</f>
        <v>36072949285930</v>
      </c>
    </row>
    <row r="5" spans="2:8" ht="14.25" customHeight="1" x14ac:dyDescent="0.3">
      <c r="B5" s="6" t="s">
        <v>67</v>
      </c>
      <c r="C5" s="74">
        <v>27904558322183</v>
      </c>
      <c r="D5" s="74">
        <v>30669405967404</v>
      </c>
      <c r="E5" s="48">
        <v>31485008185525</v>
      </c>
      <c r="F5" s="48">
        <v>36072949285930</v>
      </c>
      <c r="G5" t="s">
        <v>84</v>
      </c>
    </row>
    <row r="6" spans="2:8" ht="14.25" customHeight="1" x14ac:dyDescent="0.3">
      <c r="B6" s="61" t="s">
        <v>98</v>
      </c>
      <c r="C6" s="74">
        <v>20981574813780</v>
      </c>
      <c r="D6" s="75">
        <v>23829982628480</v>
      </c>
      <c r="E6" s="75">
        <v>23077230426842</v>
      </c>
      <c r="F6" s="75">
        <v>27770649971673</v>
      </c>
      <c r="G6" t="s">
        <v>85</v>
      </c>
    </row>
    <row r="7" spans="2:8" ht="14.25" customHeight="1" x14ac:dyDescent="0.3">
      <c r="B7" s="51" t="s">
        <v>99</v>
      </c>
      <c r="C7" s="76">
        <f t="shared" ref="C7:D7" si="2">C4-C6</f>
        <v>6922983508403</v>
      </c>
      <c r="D7" s="76">
        <f t="shared" si="2"/>
        <v>6839423338924</v>
      </c>
      <c r="E7" s="76">
        <f>E4-E6</f>
        <v>8407777758683</v>
      </c>
      <c r="F7" s="76">
        <f t="shared" ref="F7" si="3">F4-F6</f>
        <v>8302299314257</v>
      </c>
      <c r="G7" s="51"/>
    </row>
    <row r="8" spans="2:8" ht="14.25" customHeight="1" x14ac:dyDescent="0.3">
      <c r="B8" s="61" t="s">
        <v>68</v>
      </c>
      <c r="C8" s="73">
        <f>SUM(C9,C10)</f>
        <v>5150667594248</v>
      </c>
      <c r="D8" s="73">
        <f>SUM(D9,D10)</f>
        <v>4406308697223</v>
      </c>
      <c r="E8" s="73">
        <f t="shared" ref="E8:F8" si="4">SUM(E9,E10)</f>
        <v>4108302411483</v>
      </c>
      <c r="F8" s="73">
        <f t="shared" si="4"/>
        <v>4386934542139</v>
      </c>
      <c r="H8" s="35"/>
    </row>
    <row r="9" spans="2:8" ht="14.25" customHeight="1" x14ac:dyDescent="0.3">
      <c r="B9" s="63" t="s">
        <v>182</v>
      </c>
      <c r="C9" s="74">
        <v>4539447007003</v>
      </c>
      <c r="D9" s="74">
        <v>3708573358051</v>
      </c>
      <c r="E9" s="74">
        <v>3357800596307</v>
      </c>
      <c r="F9" s="74">
        <v>3529023051904</v>
      </c>
      <c r="G9" s="43"/>
      <c r="H9" s="43"/>
    </row>
    <row r="10" spans="2:8" ht="14.25" customHeight="1" x14ac:dyDescent="0.3">
      <c r="B10" s="63" t="s">
        <v>181</v>
      </c>
      <c r="C10" s="74">
        <v>611220587245</v>
      </c>
      <c r="D10" s="74">
        <v>697735339172</v>
      </c>
      <c r="E10" s="74">
        <v>750501815176</v>
      </c>
      <c r="F10" s="74">
        <v>857911490235</v>
      </c>
      <c r="G10" s="43"/>
      <c r="H10" s="43"/>
    </row>
    <row r="11" spans="2:8" ht="14.25" customHeight="1" x14ac:dyDescent="0.3">
      <c r="B11" s="62" t="s">
        <v>178</v>
      </c>
      <c r="C11" s="77"/>
      <c r="D11" s="74">
        <v>79685547557</v>
      </c>
      <c r="E11" s="74">
        <v>80607592258</v>
      </c>
      <c r="F11" s="74">
        <v>88305956069</v>
      </c>
      <c r="G11" s="43"/>
      <c r="H11" s="43"/>
    </row>
    <row r="12" spans="2:8" ht="14.25" customHeight="1" x14ac:dyDescent="0.3">
      <c r="B12" s="62" t="s">
        <v>179</v>
      </c>
      <c r="C12" s="77"/>
      <c r="D12" s="74">
        <v>44498588878</v>
      </c>
      <c r="E12" s="74">
        <v>40835694814</v>
      </c>
      <c r="F12" s="74">
        <v>45053090424</v>
      </c>
      <c r="G12" s="43"/>
      <c r="H12" s="43"/>
    </row>
    <row r="13" spans="2:8" ht="14.25" customHeight="1" x14ac:dyDescent="0.3">
      <c r="B13" s="62" t="s">
        <v>180</v>
      </c>
      <c r="C13" s="77"/>
      <c r="D13" s="48">
        <f>D10-SUM(D11:D12)</f>
        <v>573551202737</v>
      </c>
      <c r="E13" s="48">
        <f t="shared" ref="E13" si="5">E10-SUM(E11:E12)</f>
        <v>629058528104</v>
      </c>
      <c r="F13" s="48">
        <f>F10-SUM(F11:F12)</f>
        <v>724552443742</v>
      </c>
      <c r="G13" s="43"/>
      <c r="H13" s="43"/>
    </row>
    <row r="14" spans="2:8" ht="14.25" customHeight="1" x14ac:dyDescent="0.3">
      <c r="B14" s="51" t="s">
        <v>93</v>
      </c>
      <c r="C14" s="76">
        <f>C7-C8</f>
        <v>1772315914155</v>
      </c>
      <c r="D14" s="76">
        <f>D7-D8</f>
        <v>2433114641701</v>
      </c>
      <c r="E14" s="76">
        <f>E7-E8</f>
        <v>4299475347200</v>
      </c>
      <c r="F14" s="76">
        <f>F7-F8</f>
        <v>3915364772118</v>
      </c>
      <c r="G14" s="51" t="s">
        <v>87</v>
      </c>
    </row>
    <row r="15" spans="2:8" ht="14.25" customHeight="1" x14ac:dyDescent="0.3">
      <c r="B15" s="61" t="s">
        <v>69</v>
      </c>
      <c r="C15" s="78">
        <f t="shared" ref="C15:D15" si="6">SUM(C16:C20)</f>
        <v>-222667357469</v>
      </c>
      <c r="D15" s="78">
        <f t="shared" si="6"/>
        <v>72942876233</v>
      </c>
      <c r="E15" s="78">
        <f>SUM(E16:E20)</f>
        <v>-205759514388</v>
      </c>
      <c r="F15" s="78">
        <f t="shared" ref="F15" si="7">SUM(F16:F20)</f>
        <v>-34270278782</v>
      </c>
      <c r="G15" s="42"/>
    </row>
    <row r="16" spans="2:8" ht="14.25" customHeight="1" x14ac:dyDescent="0.3">
      <c r="B16" s="41" t="s">
        <v>86</v>
      </c>
      <c r="C16" s="74">
        <v>23187158296</v>
      </c>
      <c r="D16" s="74">
        <v>30708263481</v>
      </c>
      <c r="E16" s="48">
        <v>84751267929</v>
      </c>
      <c r="F16" s="48">
        <v>151062730611</v>
      </c>
      <c r="G16" t="s">
        <v>86</v>
      </c>
    </row>
    <row r="17" spans="2:7" ht="14.25" customHeight="1" x14ac:dyDescent="0.3">
      <c r="B17" s="41" t="s">
        <v>91</v>
      </c>
      <c r="C17" s="74">
        <v>46625744255</v>
      </c>
      <c r="D17" s="74">
        <v>360307461940</v>
      </c>
      <c r="E17" s="74">
        <v>-147035541801</v>
      </c>
      <c r="F17" s="74">
        <v>148594906404</v>
      </c>
    </row>
    <row r="18" spans="2:7" ht="14.25" customHeight="1" x14ac:dyDescent="0.3">
      <c r="B18" s="41" t="s">
        <v>88</v>
      </c>
      <c r="C18" s="74">
        <v>2475359330</v>
      </c>
      <c r="D18" s="74">
        <v>2070990244</v>
      </c>
      <c r="E18" s="74">
        <v>7904770310</v>
      </c>
      <c r="F18" s="74">
        <v>17495370982</v>
      </c>
    </row>
    <row r="19" spans="2:7" ht="14.25" customHeight="1" x14ac:dyDescent="0.3">
      <c r="B19" s="41" t="s">
        <v>89</v>
      </c>
      <c r="C19" s="74">
        <v>-320535214640</v>
      </c>
      <c r="D19" s="74">
        <v>-389182677897</v>
      </c>
      <c r="E19" s="74">
        <v>-302577139458</v>
      </c>
      <c r="F19" s="74">
        <v>-425195530261</v>
      </c>
    </row>
    <row r="20" spans="2:7" ht="14.25" customHeight="1" x14ac:dyDescent="0.3">
      <c r="B20" s="41" t="s">
        <v>90</v>
      </c>
      <c r="C20" s="74">
        <v>25579595290</v>
      </c>
      <c r="D20" s="74">
        <v>69038838465</v>
      </c>
      <c r="E20" s="74">
        <v>151197128632</v>
      </c>
      <c r="F20" s="74">
        <v>73772243482</v>
      </c>
    </row>
    <row r="21" spans="2:7" ht="14.25" customHeight="1" x14ac:dyDescent="0.3">
      <c r="B21" s="51" t="s">
        <v>70</v>
      </c>
      <c r="C21" s="76">
        <f>SUM(C14:C15)</f>
        <v>1549648556686</v>
      </c>
      <c r="D21" s="76">
        <f>SUM(D14:D15)</f>
        <v>2506057517934</v>
      </c>
      <c r="E21" s="76">
        <f>SUM(E14:E15)</f>
        <v>4093715832812</v>
      </c>
      <c r="F21" s="76">
        <f>SUM(F14:F15)</f>
        <v>3881094493336</v>
      </c>
      <c r="G21" s="51" t="s">
        <v>92</v>
      </c>
    </row>
    <row r="22" spans="2:7" ht="14.25" customHeight="1" x14ac:dyDescent="0.3">
      <c r="B22" s="61" t="s">
        <v>94</v>
      </c>
      <c r="C22" s="73">
        <f t="shared" ref="C22:D22" si="8">SUM(C23:C24)</f>
        <v>338595908733</v>
      </c>
      <c r="D22" s="73">
        <f t="shared" si="8"/>
        <v>535992979785</v>
      </c>
      <c r="E22" s="73">
        <f>SUM(E23:E24)</f>
        <v>848843741591</v>
      </c>
      <c r="F22" s="73">
        <f t="shared" ref="F22" si="9">SUM(F23:F24)</f>
        <v>813426817929</v>
      </c>
    </row>
    <row r="23" spans="2:7" ht="14.25" customHeight="1" x14ac:dyDescent="0.3">
      <c r="B23" s="41" t="s">
        <v>95</v>
      </c>
      <c r="C23" s="74">
        <v>296373748136</v>
      </c>
      <c r="D23" s="74">
        <v>521483045980</v>
      </c>
      <c r="E23" s="74">
        <v>872973436829</v>
      </c>
      <c r="F23" s="74">
        <v>803012591565</v>
      </c>
    </row>
    <row r="24" spans="2:7" ht="14.25" customHeight="1" x14ac:dyDescent="0.3">
      <c r="B24" s="41" t="s">
        <v>96</v>
      </c>
      <c r="C24" s="74">
        <v>42222160597</v>
      </c>
      <c r="D24" s="74">
        <v>14509933805</v>
      </c>
      <c r="E24" s="74">
        <v>-24129695238</v>
      </c>
      <c r="F24" s="74">
        <v>10414226364</v>
      </c>
    </row>
    <row r="25" spans="2:7" ht="14.25" customHeight="1" x14ac:dyDescent="0.3">
      <c r="B25" s="51" t="s">
        <v>97</v>
      </c>
      <c r="C25" s="79">
        <f t="shared" ref="C25:D25" si="10">C21-C22</f>
        <v>1211052647953</v>
      </c>
      <c r="D25" s="79">
        <f t="shared" si="10"/>
        <v>1970064538149</v>
      </c>
      <c r="E25" s="79">
        <f>E21-E22</f>
        <v>3244872091221</v>
      </c>
      <c r="F25" s="79">
        <f t="shared" ref="F25" si="11">F21-F22</f>
        <v>3067667675407</v>
      </c>
      <c r="G25" s="51"/>
    </row>
    <row r="26" spans="2:7" ht="14.25" customHeight="1" x14ac:dyDescent="0.3"/>
    <row r="27" spans="2:7" ht="14.25" customHeight="1" x14ac:dyDescent="0.3"/>
    <row r="28" spans="2:7" ht="14.25" customHeight="1" x14ac:dyDescent="0.3"/>
    <row r="29" spans="2:7" ht="14.25" customHeight="1" x14ac:dyDescent="0.3"/>
    <row r="30" spans="2:7" ht="14.25" customHeight="1" x14ac:dyDescent="0.3"/>
    <row r="31" spans="2:7" ht="14.25" customHeight="1" x14ac:dyDescent="0.3"/>
    <row r="32" spans="2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54"/>
  <sheetViews>
    <sheetView topLeftCell="A12" zoomScale="97" workbookViewId="0">
      <pane xSplit="2" topLeftCell="D1" activePane="topRight" state="frozen"/>
      <selection pane="topRight" activeCell="B53" sqref="B53"/>
    </sheetView>
  </sheetViews>
  <sheetFormatPr defaultColWidth="14.44140625" defaultRowHeight="14.4" x14ac:dyDescent="0.3"/>
  <cols>
    <col min="1" max="1" width="8.88671875" customWidth="1"/>
    <col min="2" max="2" width="46.109375" style="54" bestFit="1" customWidth="1"/>
    <col min="3" max="3" width="19.33203125" style="54" bestFit="1" customWidth="1"/>
    <col min="4" max="6" width="19.33203125" bestFit="1" customWidth="1"/>
    <col min="7" max="7" width="11.5546875" customWidth="1"/>
    <col min="8" max="8" width="18.109375" bestFit="1" customWidth="1"/>
    <col min="9" max="27" width="8.88671875" customWidth="1"/>
  </cols>
  <sheetData>
    <row r="2" spans="2:8" x14ac:dyDescent="0.3">
      <c r="B2" s="56" t="s">
        <v>151</v>
      </c>
      <c r="C2" s="53">
        <v>2021</v>
      </c>
      <c r="D2" s="53">
        <v>2022</v>
      </c>
      <c r="E2" s="53">
        <v>2023</v>
      </c>
      <c r="F2" s="53">
        <v>2024</v>
      </c>
      <c r="G2" s="53" t="s">
        <v>83</v>
      </c>
    </row>
    <row r="3" spans="2:8" x14ac:dyDescent="0.3">
      <c r="B3" s="59" t="s">
        <v>111</v>
      </c>
      <c r="C3" s="73">
        <f>SUM(C4:C12)</f>
        <v>12969783874643</v>
      </c>
      <c r="D3" s="73">
        <f>SUM(D4:D12)</f>
        <v>14772623976128</v>
      </c>
      <c r="E3" s="73">
        <f t="shared" ref="E3:F3" si="0">SUM(E4:E12)</f>
        <v>14738922387529</v>
      </c>
      <c r="F3" s="73">
        <f t="shared" si="0"/>
        <v>19600914916989</v>
      </c>
    </row>
    <row r="4" spans="2:8" x14ac:dyDescent="0.3">
      <c r="B4" s="56" t="s">
        <v>100</v>
      </c>
      <c r="C4" s="74">
        <v>3009380167931</v>
      </c>
      <c r="D4" s="74">
        <v>3262074784511</v>
      </c>
      <c r="E4" s="74">
        <v>4156738667354</v>
      </c>
      <c r="F4" s="74">
        <v>4601449023397</v>
      </c>
      <c r="G4" s="17"/>
    </row>
    <row r="5" spans="2:8" x14ac:dyDescent="0.3">
      <c r="B5" s="56" t="s">
        <v>110</v>
      </c>
      <c r="C5" s="80"/>
      <c r="D5" s="74">
        <v>75798942564</v>
      </c>
      <c r="E5" s="48"/>
      <c r="F5" s="48"/>
    </row>
    <row r="6" spans="2:8" x14ac:dyDescent="0.3">
      <c r="B6" s="56" t="s">
        <v>106</v>
      </c>
      <c r="C6" s="74">
        <v>5552851482405</v>
      </c>
      <c r="D6" s="74">
        <v>6135528728699</v>
      </c>
      <c r="E6" s="74">
        <v>5848243953678</v>
      </c>
      <c r="F6" s="74">
        <v>6732073568928</v>
      </c>
      <c r="G6" s="17"/>
      <c r="H6" s="49"/>
    </row>
    <row r="7" spans="2:8" x14ac:dyDescent="0.3">
      <c r="B7" s="56" t="s">
        <v>107</v>
      </c>
      <c r="C7" s="74">
        <v>358952306318</v>
      </c>
      <c r="D7" s="74">
        <v>353876660824</v>
      </c>
      <c r="E7" s="74">
        <v>250189161535</v>
      </c>
      <c r="F7" s="74">
        <v>402141744744</v>
      </c>
      <c r="G7" s="17"/>
    </row>
    <row r="8" spans="2:8" x14ac:dyDescent="0.3">
      <c r="B8" s="56" t="s">
        <v>101</v>
      </c>
      <c r="C8" s="74">
        <v>167565242110</v>
      </c>
      <c r="D8" s="74">
        <v>115363708383</v>
      </c>
      <c r="E8" s="74">
        <v>98527776182</v>
      </c>
      <c r="F8" s="74">
        <v>118248796780</v>
      </c>
      <c r="G8" s="17"/>
    </row>
    <row r="9" spans="2:8" x14ac:dyDescent="0.3">
      <c r="B9" s="56" t="s">
        <v>102</v>
      </c>
      <c r="C9" s="74">
        <v>3034214212009</v>
      </c>
      <c r="D9" s="74">
        <v>3870496137257</v>
      </c>
      <c r="E9" s="74">
        <v>3556864426525</v>
      </c>
      <c r="F9" s="74">
        <v>6437101615270</v>
      </c>
      <c r="G9" s="17"/>
    </row>
    <row r="10" spans="2:8" x14ac:dyDescent="0.3">
      <c r="B10" s="56" t="s">
        <v>103</v>
      </c>
      <c r="C10" s="74">
        <v>176080401607</v>
      </c>
      <c r="D10" s="74">
        <v>302131345685</v>
      </c>
      <c r="E10" s="74">
        <v>314374995704</v>
      </c>
      <c r="F10" s="74">
        <v>639795506859</v>
      </c>
      <c r="G10" s="17"/>
    </row>
    <row r="11" spans="2:8" x14ac:dyDescent="0.3">
      <c r="B11" s="56" t="s">
        <v>104</v>
      </c>
      <c r="C11" s="74">
        <v>641949307687</v>
      </c>
      <c r="D11" s="74">
        <v>634975643345</v>
      </c>
      <c r="E11" s="74">
        <v>482036426350</v>
      </c>
      <c r="F11" s="74">
        <v>638791575070</v>
      </c>
      <c r="G11" s="46" t="s">
        <v>108</v>
      </c>
    </row>
    <row r="12" spans="2:8" x14ac:dyDescent="0.3">
      <c r="B12" s="56" t="s">
        <v>105</v>
      </c>
      <c r="C12" s="74">
        <v>28790754576</v>
      </c>
      <c r="D12" s="74">
        <v>22378024860</v>
      </c>
      <c r="E12" s="74">
        <v>31946980201</v>
      </c>
      <c r="F12" s="74">
        <v>31313085941</v>
      </c>
      <c r="G12" s="46" t="s">
        <v>109</v>
      </c>
    </row>
    <row r="13" spans="2:8" x14ac:dyDescent="0.3">
      <c r="B13" s="59" t="s">
        <v>112</v>
      </c>
      <c r="C13" s="78">
        <f>SUM(C14:C18)</f>
        <v>6947869390885</v>
      </c>
      <c r="D13" s="78">
        <f>SUM(D14:D18)</f>
        <v>7503536719283</v>
      </c>
      <c r="E13" s="78">
        <f t="shared" ref="E13:F13" si="1">SUM(E14:E18)</f>
        <v>9131482574943</v>
      </c>
      <c r="F13" s="78">
        <f t="shared" si="1"/>
        <v>10127867016768</v>
      </c>
      <c r="G13" s="17"/>
    </row>
    <row r="14" spans="2:8" x14ac:dyDescent="0.3">
      <c r="B14" s="56" t="s">
        <v>113</v>
      </c>
      <c r="C14" s="74">
        <v>50345713262</v>
      </c>
      <c r="D14" s="74">
        <v>32707246426</v>
      </c>
      <c r="E14" s="74">
        <v>51556446752</v>
      </c>
      <c r="F14" s="74">
        <v>22710331019</v>
      </c>
      <c r="G14" s="46" t="s">
        <v>115</v>
      </c>
    </row>
    <row r="15" spans="2:8" ht="28.8" x14ac:dyDescent="0.3">
      <c r="B15" s="56" t="s">
        <v>114</v>
      </c>
      <c r="C15" s="80">
        <v>6376788515278</v>
      </c>
      <c r="D15" s="74">
        <v>6644507001686</v>
      </c>
      <c r="E15" s="74">
        <v>8159841794537</v>
      </c>
      <c r="F15" s="74">
        <v>9497884976569</v>
      </c>
      <c r="G15" s="46" t="s">
        <v>116</v>
      </c>
    </row>
    <row r="16" spans="2:8" x14ac:dyDescent="0.3">
      <c r="B16" s="56" t="s">
        <v>117</v>
      </c>
      <c r="C16" s="74">
        <v>160222590217</v>
      </c>
      <c r="D16" s="74">
        <v>80787122543</v>
      </c>
      <c r="E16" s="74">
        <v>4626540933</v>
      </c>
      <c r="F16" s="74">
        <v>193824681628</v>
      </c>
      <c r="G16" s="46" t="s">
        <v>118</v>
      </c>
    </row>
    <row r="17" spans="2:7" x14ac:dyDescent="0.3">
      <c r="B17" s="56" t="s">
        <v>119</v>
      </c>
      <c r="C17" s="74">
        <v>318471230686</v>
      </c>
      <c r="D17" s="74">
        <v>704295962071</v>
      </c>
      <c r="E17" s="74">
        <v>872161016043</v>
      </c>
      <c r="F17" s="74">
        <v>367504375008</v>
      </c>
      <c r="G17" s="46" t="s">
        <v>122</v>
      </c>
    </row>
    <row r="18" spans="2:7" x14ac:dyDescent="0.3">
      <c r="B18" s="56" t="s">
        <v>120</v>
      </c>
      <c r="C18" s="74">
        <v>42041341442</v>
      </c>
      <c r="D18" s="74">
        <v>41239386557</v>
      </c>
      <c r="E18" s="74">
        <v>43296776678</v>
      </c>
      <c r="F18" s="74">
        <v>45942652544</v>
      </c>
      <c r="G18" s="46" t="s">
        <v>121</v>
      </c>
    </row>
    <row r="19" spans="2:7" x14ac:dyDescent="0.3">
      <c r="B19" s="57" t="s">
        <v>71</v>
      </c>
      <c r="C19" s="79">
        <f>SUM(C13,C3)</f>
        <v>19917653265528</v>
      </c>
      <c r="D19" s="81">
        <f>SUM(D13,D3)</f>
        <v>22276160695411</v>
      </c>
      <c r="E19" s="81">
        <f t="shared" ref="E19:F19" si="2">SUM(E13,E3)</f>
        <v>23870404962472</v>
      </c>
      <c r="F19" s="81">
        <f t="shared" si="2"/>
        <v>29728781933757</v>
      </c>
      <c r="G19" s="58"/>
    </row>
    <row r="20" spans="2:7" x14ac:dyDescent="0.3">
      <c r="B20" s="59" t="s">
        <v>123</v>
      </c>
      <c r="C20" s="78">
        <f t="shared" ref="C20:E20" si="3">SUM(C21:C31)</f>
        <v>5570773468770</v>
      </c>
      <c r="D20" s="78">
        <f t="shared" si="3"/>
        <v>5636627301308</v>
      </c>
      <c r="E20" s="78">
        <f t="shared" si="3"/>
        <v>4013200501414</v>
      </c>
      <c r="F20" s="78">
        <f>SUM(F21:F31)</f>
        <v>7383110635195</v>
      </c>
      <c r="G20" s="17"/>
    </row>
    <row r="21" spans="2:7" x14ac:dyDescent="0.3">
      <c r="B21" s="56" t="s">
        <v>124</v>
      </c>
      <c r="C21" s="74">
        <v>795000000000</v>
      </c>
      <c r="D21" s="74">
        <v>1028750990000</v>
      </c>
      <c r="E21" s="74">
        <v>85000000000</v>
      </c>
      <c r="F21" s="74">
        <v>2745000000000</v>
      </c>
      <c r="G21" s="17"/>
    </row>
    <row r="22" spans="2:7" x14ac:dyDescent="0.3">
      <c r="B22" s="56" t="s">
        <v>125</v>
      </c>
      <c r="C22" s="74">
        <v>97816084609</v>
      </c>
      <c r="D22" s="74">
        <v>82371087484</v>
      </c>
      <c r="E22" s="74">
        <v>109415027985</v>
      </c>
      <c r="F22" s="74">
        <v>60586015177</v>
      </c>
      <c r="G22" s="17"/>
    </row>
    <row r="23" spans="2:7" x14ac:dyDescent="0.3">
      <c r="B23" s="56" t="s">
        <v>126</v>
      </c>
      <c r="C23" s="74">
        <v>1680128443647</v>
      </c>
      <c r="D23" s="74">
        <v>1576147984797</v>
      </c>
      <c r="E23" s="74">
        <v>1785245057218</v>
      </c>
      <c r="F23" s="74">
        <v>2380272688394</v>
      </c>
      <c r="G23" s="17"/>
    </row>
    <row r="24" spans="2:7" x14ac:dyDescent="0.3">
      <c r="B24" s="56" t="s">
        <v>127</v>
      </c>
      <c r="C24" s="74">
        <v>231203036911</v>
      </c>
      <c r="D24" s="74">
        <v>84839102543</v>
      </c>
      <c r="E24" s="74">
        <v>74569565357</v>
      </c>
      <c r="F24" s="74">
        <v>100311661236</v>
      </c>
      <c r="G24" s="17"/>
    </row>
    <row r="25" spans="2:7" x14ac:dyDescent="0.3">
      <c r="B25" s="56" t="s">
        <v>128</v>
      </c>
      <c r="C25" s="80"/>
      <c r="D25" s="74">
        <v>272176839856</v>
      </c>
      <c r="E25" s="74">
        <v>93681689279</v>
      </c>
      <c r="F25" s="74">
        <v>187297633195</v>
      </c>
      <c r="G25" s="17"/>
    </row>
    <row r="26" spans="2:7" x14ac:dyDescent="0.3">
      <c r="B26" s="56" t="s">
        <v>129</v>
      </c>
      <c r="C26" s="74">
        <v>26615483990</v>
      </c>
      <c r="D26" s="74">
        <v>217422227950</v>
      </c>
      <c r="E26" s="74">
        <v>465942717971</v>
      </c>
      <c r="F26" s="74">
        <v>203959832885</v>
      </c>
      <c r="G26" s="17"/>
    </row>
    <row r="27" spans="2:7" x14ac:dyDescent="0.3">
      <c r="B27" s="56" t="s">
        <v>130</v>
      </c>
      <c r="C27" s="74">
        <v>325827795215</v>
      </c>
      <c r="D27" s="74">
        <v>685327213150</v>
      </c>
      <c r="E27" s="74">
        <v>750268983125</v>
      </c>
      <c r="F27" s="74">
        <v>534484934688</v>
      </c>
      <c r="G27" s="17"/>
    </row>
    <row r="28" spans="2:7" x14ac:dyDescent="0.3">
      <c r="B28" s="56" t="s">
        <v>131</v>
      </c>
      <c r="C28" s="80"/>
      <c r="D28" s="50"/>
      <c r="E28" s="50"/>
      <c r="F28" s="50"/>
      <c r="G28" s="17"/>
    </row>
    <row r="29" spans="2:7" x14ac:dyDescent="0.3">
      <c r="B29" s="60" t="s">
        <v>132</v>
      </c>
      <c r="C29" s="74">
        <v>1273204542128</v>
      </c>
      <c r="D29" s="74">
        <v>1092802460415</v>
      </c>
      <c r="E29" s="74">
        <v>644389561419</v>
      </c>
      <c r="F29" s="74">
        <v>785537961372</v>
      </c>
      <c r="G29" s="17"/>
    </row>
    <row r="30" spans="2:7" x14ac:dyDescent="0.3">
      <c r="B30" s="60" t="s">
        <v>133</v>
      </c>
      <c r="C30" s="74">
        <v>91430355508</v>
      </c>
      <c r="D30" s="74">
        <v>88899341557</v>
      </c>
      <c r="E30" s="74">
        <v>4687899060</v>
      </c>
      <c r="F30" s="74">
        <v>90908979581</v>
      </c>
      <c r="G30" s="17"/>
    </row>
    <row r="31" spans="2:7" x14ac:dyDescent="0.3">
      <c r="B31" s="60" t="s">
        <v>134</v>
      </c>
      <c r="C31" s="74">
        <v>1049547726762</v>
      </c>
      <c r="D31" s="74">
        <v>507890053556</v>
      </c>
      <c r="E31" s="50">
        <v>0</v>
      </c>
      <c r="F31" s="74">
        <v>294750928667</v>
      </c>
      <c r="G31" s="17"/>
    </row>
    <row r="32" spans="2:7" x14ac:dyDescent="0.3">
      <c r="B32" s="59" t="s">
        <v>135</v>
      </c>
      <c r="C32" s="78">
        <f>SUM(C33:C38)</f>
        <v>2986848400623</v>
      </c>
      <c r="D32" s="78">
        <f>SUM(D33:D38)</f>
        <v>3804839303588</v>
      </c>
      <c r="E32" s="78">
        <f t="shared" ref="E32:F32" si="4">SUM(E33:E38)</f>
        <v>4575115274322</v>
      </c>
      <c r="F32" s="78">
        <f t="shared" si="4"/>
        <v>5243242963992</v>
      </c>
      <c r="G32" s="17"/>
    </row>
    <row r="33" spans="2:7" x14ac:dyDescent="0.3">
      <c r="B33" s="56" t="s">
        <v>136</v>
      </c>
      <c r="C33" s="74">
        <v>28104502479</v>
      </c>
      <c r="D33" s="74">
        <v>33750818942</v>
      </c>
      <c r="E33" s="74">
        <v>30365251561</v>
      </c>
      <c r="F33" s="74">
        <v>14290930389</v>
      </c>
      <c r="G33" s="17"/>
    </row>
    <row r="34" spans="2:7" x14ac:dyDescent="0.3">
      <c r="B34" s="56" t="s">
        <v>139</v>
      </c>
      <c r="C34" s="80"/>
      <c r="D34" s="50"/>
      <c r="E34" s="50"/>
      <c r="F34" s="50"/>
      <c r="G34" s="17"/>
    </row>
    <row r="35" spans="2:7" x14ac:dyDescent="0.3">
      <c r="B35" s="60" t="s">
        <v>132</v>
      </c>
      <c r="C35" s="74">
        <v>1004213366942</v>
      </c>
      <c r="D35" s="74">
        <v>983145381513</v>
      </c>
      <c r="E35" s="74">
        <v>1703883498124</v>
      </c>
      <c r="F35" s="74">
        <v>2089978791134</v>
      </c>
      <c r="G35" s="17"/>
    </row>
    <row r="36" spans="2:7" x14ac:dyDescent="0.3">
      <c r="B36" s="60" t="s">
        <v>133</v>
      </c>
      <c r="C36" s="74">
        <v>79536036170</v>
      </c>
      <c r="D36" s="48"/>
      <c r="E36" s="48"/>
      <c r="F36" s="74">
        <v>109394948531</v>
      </c>
      <c r="G36" s="17"/>
    </row>
    <row r="37" spans="2:7" x14ac:dyDescent="0.3">
      <c r="B37" s="60" t="s">
        <v>137</v>
      </c>
      <c r="C37" s="74">
        <v>841002159986</v>
      </c>
      <c r="D37" s="74">
        <v>1827689626148</v>
      </c>
      <c r="E37" s="74">
        <v>1829449117872</v>
      </c>
      <c r="F37" s="74">
        <v>2032871253205</v>
      </c>
      <c r="G37" s="17"/>
    </row>
    <row r="38" spans="2:7" x14ac:dyDescent="0.3">
      <c r="B38" s="56" t="s">
        <v>138</v>
      </c>
      <c r="C38" s="74">
        <v>1033992335046</v>
      </c>
      <c r="D38" s="74">
        <v>960253476985</v>
      </c>
      <c r="E38" s="74">
        <v>1011417406765</v>
      </c>
      <c r="F38" s="74">
        <v>996707040733</v>
      </c>
    </row>
    <row r="39" spans="2:7" x14ac:dyDescent="0.3">
      <c r="B39" s="57" t="s">
        <v>140</v>
      </c>
      <c r="C39" s="79">
        <f>SUM(C32,C20)</f>
        <v>8557621869393</v>
      </c>
      <c r="D39" s="81">
        <f>SUM(D32,D20)</f>
        <v>9441466604896</v>
      </c>
      <c r="E39" s="81">
        <f t="shared" ref="E39:F39" si="5">SUM(E32,E20)</f>
        <v>8588315775736</v>
      </c>
      <c r="F39" s="81">
        <f t="shared" si="5"/>
        <v>12626353599187</v>
      </c>
      <c r="G39" s="58"/>
    </row>
    <row r="40" spans="2:7" ht="28.8" x14ac:dyDescent="0.3">
      <c r="B40" s="59" t="s">
        <v>142</v>
      </c>
      <c r="C40" s="73">
        <f>SUM(C41:C46)</f>
        <v>11118707150388</v>
      </c>
      <c r="D40" s="73">
        <f>SUM(D41:D46)</f>
        <v>12628400600637</v>
      </c>
      <c r="E40" s="73">
        <f t="shared" ref="E40:F40" si="6">SUM(E41:E46)</f>
        <v>15039487611663</v>
      </c>
      <c r="F40" s="73">
        <f t="shared" si="6"/>
        <v>16820564648744</v>
      </c>
    </row>
    <row r="41" spans="2:7" x14ac:dyDescent="0.3">
      <c r="B41" s="56" t="s">
        <v>143</v>
      </c>
      <c r="C41" s="74">
        <v>447173994500</v>
      </c>
      <c r="D41" s="74">
        <v>447173994500</v>
      </c>
      <c r="E41" s="74">
        <v>447173994500</v>
      </c>
      <c r="F41" s="74">
        <v>447173994500</v>
      </c>
    </row>
    <row r="42" spans="2:7" x14ac:dyDescent="0.3">
      <c r="B42" s="56" t="s">
        <v>72</v>
      </c>
      <c r="C42" s="74">
        <v>330005500</v>
      </c>
      <c r="D42" s="74">
        <v>330005500</v>
      </c>
      <c r="E42" s="74">
        <v>330005500</v>
      </c>
      <c r="F42" s="74">
        <v>330005500</v>
      </c>
    </row>
    <row r="43" spans="2:7" x14ac:dyDescent="0.3">
      <c r="B43" s="56" t="s">
        <v>73</v>
      </c>
      <c r="C43" s="80"/>
      <c r="D43" s="48"/>
      <c r="E43" s="48"/>
      <c r="F43" s="48"/>
      <c r="G43" s="41" t="s">
        <v>144</v>
      </c>
    </row>
    <row r="44" spans="2:7" x14ac:dyDescent="0.3">
      <c r="B44" s="60" t="s">
        <v>145</v>
      </c>
      <c r="C44" s="74">
        <v>49000000000</v>
      </c>
      <c r="D44" s="74">
        <v>51000000000</v>
      </c>
      <c r="E44" s="74">
        <v>53000000000</v>
      </c>
      <c r="F44" s="74">
        <v>55000000000</v>
      </c>
      <c r="G44" s="41" t="s">
        <v>147</v>
      </c>
    </row>
    <row r="45" spans="2:7" x14ac:dyDescent="0.3">
      <c r="B45" s="60" t="s">
        <v>146</v>
      </c>
      <c r="C45" s="74">
        <v>10634916958291</v>
      </c>
      <c r="D45" s="74">
        <v>12136012917053</v>
      </c>
      <c r="E45" s="74">
        <v>14552037812134</v>
      </c>
      <c r="F45" s="74">
        <v>16328892792792</v>
      </c>
      <c r="G45" s="41" t="s">
        <v>148</v>
      </c>
    </row>
    <row r="46" spans="2:7" ht="28.8" x14ac:dyDescent="0.3">
      <c r="B46" s="56" t="s">
        <v>149</v>
      </c>
      <c r="C46" s="74">
        <v>-12713807903</v>
      </c>
      <c r="D46" s="74">
        <v>-6116316416</v>
      </c>
      <c r="E46" s="74">
        <v>-13054200471</v>
      </c>
      <c r="F46" s="74">
        <v>-10832144048</v>
      </c>
    </row>
    <row r="47" spans="2:7" x14ac:dyDescent="0.3">
      <c r="B47" s="59" t="s">
        <v>150</v>
      </c>
      <c r="C47" s="74">
        <v>241324245747</v>
      </c>
      <c r="D47" s="73">
        <v>206293489878</v>
      </c>
      <c r="E47" s="73">
        <v>242601575073</v>
      </c>
      <c r="F47" s="73">
        <v>281863685826</v>
      </c>
    </row>
    <row r="48" spans="2:7" x14ac:dyDescent="0.3">
      <c r="B48" s="57" t="s">
        <v>141</v>
      </c>
      <c r="C48" s="76">
        <f>SUM(C47,C40)</f>
        <v>11360031396135</v>
      </c>
      <c r="D48" s="82">
        <f>SUM(D47,D40)</f>
        <v>12834694090515</v>
      </c>
      <c r="E48" s="82">
        <f t="shared" ref="E48:F48" si="7">SUM(E47,E40)</f>
        <v>15282089186736</v>
      </c>
      <c r="F48" s="82">
        <f t="shared" si="7"/>
        <v>17102428334570</v>
      </c>
      <c r="G48" s="52"/>
    </row>
    <row r="49" spans="2:7" x14ac:dyDescent="0.3">
      <c r="B49" s="57" t="s">
        <v>74</v>
      </c>
      <c r="C49" s="76">
        <f>SUM(C48,C39)</f>
        <v>19917653265528</v>
      </c>
      <c r="D49" s="82">
        <f>SUM(D48,D39)</f>
        <v>22276160695411</v>
      </c>
      <c r="E49" s="82">
        <f t="shared" ref="E49:F49" si="8">SUM(E48,E39)</f>
        <v>23870404962472</v>
      </c>
      <c r="F49" s="82">
        <f t="shared" si="8"/>
        <v>29728781933757</v>
      </c>
      <c r="G49" s="51"/>
    </row>
    <row r="52" spans="2:7" x14ac:dyDescent="0.3">
      <c r="B52" s="59" t="s">
        <v>212</v>
      </c>
      <c r="C52" s="83">
        <v>6399975298761</v>
      </c>
      <c r="D52" s="83">
        <v>7232118288467</v>
      </c>
      <c r="E52" s="83">
        <v>8043311333371</v>
      </c>
      <c r="F52" s="83">
        <v>8931657779118</v>
      </c>
    </row>
    <row r="53" spans="2:7" x14ac:dyDescent="0.3">
      <c r="B53" s="55"/>
      <c r="C53" s="55"/>
    </row>
    <row r="54" spans="2:7" x14ac:dyDescent="0.3">
      <c r="B54" s="55"/>
      <c r="C54" s="55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1000"/>
  <sheetViews>
    <sheetView zoomScale="63" workbookViewId="0">
      <selection activeCell="D19" sqref="D19"/>
    </sheetView>
  </sheetViews>
  <sheetFormatPr defaultColWidth="14.44140625" defaultRowHeight="15" customHeight="1" x14ac:dyDescent="0.3"/>
  <cols>
    <col min="1" max="1" width="8.88671875" customWidth="1"/>
    <col min="2" max="2" width="62.88671875" bestFit="1" customWidth="1"/>
    <col min="3" max="5" width="19.88671875" bestFit="1" customWidth="1"/>
    <col min="6" max="6" width="6.33203125" bestFit="1" customWidth="1"/>
    <col min="7" max="26" width="8.88671875" customWidth="1"/>
  </cols>
  <sheetData>
    <row r="1" spans="2:7" ht="14.25" customHeight="1" x14ac:dyDescent="0.3"/>
    <row r="2" spans="2:7" ht="14.25" customHeight="1" x14ac:dyDescent="0.3">
      <c r="B2" s="6" t="s">
        <v>75</v>
      </c>
    </row>
    <row r="3" spans="2:7" ht="14.25" customHeight="1" x14ac:dyDescent="0.3">
      <c r="C3" s="42">
        <v>2022</v>
      </c>
      <c r="D3" s="42">
        <v>2023</v>
      </c>
      <c r="E3" s="42">
        <v>2024</v>
      </c>
      <c r="F3" s="42" t="s">
        <v>83</v>
      </c>
    </row>
    <row r="4" spans="2:7" ht="14.25" customHeight="1" x14ac:dyDescent="0.3">
      <c r="B4" s="42" t="s">
        <v>76</v>
      </c>
      <c r="C4" s="49"/>
      <c r="D4" s="49"/>
      <c r="E4" s="49"/>
    </row>
    <row r="5" spans="2:7" ht="14.25" customHeight="1" x14ac:dyDescent="0.3">
      <c r="B5" s="62" t="s">
        <v>153</v>
      </c>
      <c r="C5" s="74">
        <v>29519519535689</v>
      </c>
      <c r="D5" s="74">
        <v>31896213560339</v>
      </c>
      <c r="E5" s="74">
        <v>35017446066877</v>
      </c>
    </row>
    <row r="6" spans="2:7" ht="14.25" customHeight="1" x14ac:dyDescent="0.3">
      <c r="B6" s="62" t="s">
        <v>154</v>
      </c>
      <c r="C6" s="74">
        <v>-27675687658432</v>
      </c>
      <c r="D6" s="74">
        <v>-26142798907994</v>
      </c>
      <c r="E6" s="74">
        <v>-34428843780363</v>
      </c>
    </row>
    <row r="7" spans="2:7" ht="14.25" customHeight="1" x14ac:dyDescent="0.3">
      <c r="B7" s="42" t="s">
        <v>155</v>
      </c>
      <c r="C7" s="47">
        <f>SUM(C5:C6)</f>
        <v>1843831877257</v>
      </c>
      <c r="D7" s="47">
        <f>SUM(D5:D6)</f>
        <v>5753414652345</v>
      </c>
      <c r="E7" s="47">
        <f>SUM(E5:E6)</f>
        <v>588602286514</v>
      </c>
      <c r="G7" s="41"/>
    </row>
    <row r="8" spans="2:7" ht="14.25" customHeight="1" x14ac:dyDescent="0.3">
      <c r="B8" s="62" t="s">
        <v>156</v>
      </c>
      <c r="C8" s="74">
        <v>624486364640</v>
      </c>
      <c r="D8" s="74">
        <v>474266252912</v>
      </c>
      <c r="E8" s="74">
        <v>563110927660</v>
      </c>
    </row>
    <row r="9" spans="2:7" ht="14.25" customHeight="1" x14ac:dyDescent="0.3">
      <c r="B9" s="62" t="s">
        <v>157</v>
      </c>
      <c r="C9" s="74">
        <v>-382067996657</v>
      </c>
      <c r="D9" s="74">
        <v>-590728069871</v>
      </c>
      <c r="E9" s="74">
        <v>-1058127452659</v>
      </c>
    </row>
    <row r="10" spans="2:7" ht="14.25" customHeight="1" x14ac:dyDescent="0.3">
      <c r="B10" s="62" t="s">
        <v>81</v>
      </c>
      <c r="C10" s="74">
        <v>-396061583172</v>
      </c>
      <c r="D10" s="74">
        <v>-310804898933</v>
      </c>
      <c r="E10" s="74">
        <v>-412591173375</v>
      </c>
    </row>
    <row r="11" spans="2:7" ht="14.25" customHeight="1" x14ac:dyDescent="0.3">
      <c r="B11" s="62" t="s">
        <v>168</v>
      </c>
      <c r="C11" s="74">
        <v>-70218183882</v>
      </c>
      <c r="D11" s="74">
        <v>-66566106757</v>
      </c>
      <c r="E11" s="74">
        <v>-143954245052</v>
      </c>
    </row>
    <row r="12" spans="2:7" ht="14.25" customHeight="1" x14ac:dyDescent="0.3">
      <c r="B12" s="62" t="s">
        <v>158</v>
      </c>
      <c r="C12" s="74">
        <v>-399840000</v>
      </c>
      <c r="D12" s="74">
        <v>-399840000</v>
      </c>
      <c r="E12" s="74">
        <v>-399840000</v>
      </c>
    </row>
    <row r="13" spans="2:7" ht="14.25" customHeight="1" x14ac:dyDescent="0.3">
      <c r="B13" s="61" t="s">
        <v>77</v>
      </c>
      <c r="C13" s="83">
        <f>SUM(C7:C12)</f>
        <v>1619570638186</v>
      </c>
      <c r="D13" s="83">
        <f t="shared" ref="D13:E13" si="0">SUM(D7:D12)</f>
        <v>5259181989696</v>
      </c>
      <c r="E13" s="83">
        <f t="shared" si="0"/>
        <v>-463359496912</v>
      </c>
    </row>
    <row r="14" spans="2:7" ht="14.25" customHeight="1" x14ac:dyDescent="0.3">
      <c r="B14" s="42" t="s">
        <v>78</v>
      </c>
      <c r="C14" s="49"/>
      <c r="D14" s="49"/>
      <c r="E14" s="49"/>
    </row>
    <row r="15" spans="2:7" ht="14.25" customHeight="1" x14ac:dyDescent="0.3">
      <c r="B15" s="62" t="s">
        <v>159</v>
      </c>
      <c r="C15" s="74">
        <v>-804918815873</v>
      </c>
      <c r="D15" s="74">
        <v>-1653568063139</v>
      </c>
      <c r="E15" s="74">
        <v>-1441968955467</v>
      </c>
      <c r="G15" s="41"/>
    </row>
    <row r="16" spans="2:7" ht="14.25" customHeight="1" x14ac:dyDescent="0.3">
      <c r="B16" s="62" t="s">
        <v>160</v>
      </c>
      <c r="C16" s="74">
        <v>-75851945448</v>
      </c>
      <c r="D16" s="74">
        <v>72401774258</v>
      </c>
      <c r="E16" s="84">
        <v>0</v>
      </c>
    </row>
    <row r="17" spans="2:5" ht="14.25" customHeight="1" x14ac:dyDescent="0.3">
      <c r="B17" s="62" t="s">
        <v>161</v>
      </c>
      <c r="C17" s="74">
        <v>-704295962071</v>
      </c>
      <c r="D17" s="74">
        <v>-872161016043</v>
      </c>
      <c r="E17" s="74">
        <v>-367504375008</v>
      </c>
    </row>
    <row r="18" spans="2:5" ht="14.25" customHeight="1" x14ac:dyDescent="0.3">
      <c r="B18" s="62" t="s">
        <v>162</v>
      </c>
      <c r="C18" s="74">
        <v>801954883</v>
      </c>
      <c r="D18" s="74">
        <v>-2057390122</v>
      </c>
      <c r="E18" s="74">
        <v>-2645875866</v>
      </c>
    </row>
    <row r="19" spans="2:5" ht="14.25" customHeight="1" x14ac:dyDescent="0.3">
      <c r="B19" s="62" t="s">
        <v>163</v>
      </c>
      <c r="C19" s="74">
        <v>30708263481</v>
      </c>
      <c r="D19" s="74">
        <v>84751267929</v>
      </c>
      <c r="E19" s="74">
        <v>151062730611</v>
      </c>
    </row>
    <row r="20" spans="2:5" ht="14.25" customHeight="1" x14ac:dyDescent="0.3">
      <c r="B20" s="62" t="s">
        <v>164</v>
      </c>
      <c r="C20" s="74">
        <v>6993080241</v>
      </c>
      <c r="D20" s="74">
        <v>11176185217</v>
      </c>
      <c r="E20" s="74">
        <v>32193696444</v>
      </c>
    </row>
    <row r="21" spans="2:5" ht="14.25" customHeight="1" x14ac:dyDescent="0.3">
      <c r="B21" s="65" t="s">
        <v>165</v>
      </c>
      <c r="C21" s="73">
        <f>SUM(C15:C20)</f>
        <v>-1546563424787</v>
      </c>
      <c r="D21" s="73">
        <f t="shared" ref="D21:E21" si="1">SUM(D15:D20)</f>
        <v>-2359457241900</v>
      </c>
      <c r="E21" s="73">
        <f t="shared" si="1"/>
        <v>-1628862779286</v>
      </c>
    </row>
    <row r="22" spans="2:5" ht="14.25" customHeight="1" x14ac:dyDescent="0.3">
      <c r="B22" s="42" t="s">
        <v>79</v>
      </c>
      <c r="C22" s="84"/>
      <c r="D22" s="84"/>
      <c r="E22" s="85"/>
    </row>
    <row r="23" spans="2:5" ht="14.25" customHeight="1" x14ac:dyDescent="0.3">
      <c r="B23" s="64" t="s">
        <v>166</v>
      </c>
      <c r="C23" s="84"/>
      <c r="D23" s="84"/>
      <c r="E23" s="85"/>
    </row>
    <row r="24" spans="2:5" ht="14.25" customHeight="1" x14ac:dyDescent="0.3">
      <c r="B24" s="62" t="s">
        <v>124</v>
      </c>
      <c r="C24" s="74">
        <v>3868750990000</v>
      </c>
      <c r="D24" s="74">
        <v>1350000000000</v>
      </c>
      <c r="E24" s="74">
        <v>6840000000000</v>
      </c>
    </row>
    <row r="25" spans="2:5" ht="14.25" customHeight="1" x14ac:dyDescent="0.3">
      <c r="B25" s="62" t="s">
        <v>167</v>
      </c>
      <c r="C25" s="74">
        <v>1826251000000</v>
      </c>
      <c r="D25" s="74">
        <v>1570085500000</v>
      </c>
      <c r="E25" s="74">
        <v>2084830000000</v>
      </c>
    </row>
    <row r="26" spans="2:5" ht="14.25" customHeight="1" x14ac:dyDescent="0.3">
      <c r="B26" s="62" t="s">
        <v>169</v>
      </c>
      <c r="C26" s="74">
        <v>1500000000000</v>
      </c>
      <c r="D26" s="84">
        <v>0</v>
      </c>
      <c r="E26" s="74">
        <v>500000000000</v>
      </c>
    </row>
    <row r="27" spans="2:5" ht="14.25" customHeight="1" x14ac:dyDescent="0.3">
      <c r="B27" s="64" t="s">
        <v>170</v>
      </c>
      <c r="C27" s="84"/>
      <c r="D27" s="84"/>
      <c r="E27" s="84"/>
    </row>
    <row r="28" spans="2:5" ht="14.25" customHeight="1" x14ac:dyDescent="0.3">
      <c r="B28" s="62" t="s">
        <v>124</v>
      </c>
      <c r="C28" s="74">
        <v>-3635000000000</v>
      </c>
      <c r="D28" s="74">
        <v>-2293750990000</v>
      </c>
      <c r="E28" s="74">
        <v>-4180000000000</v>
      </c>
    </row>
    <row r="29" spans="2:5" ht="14.25" customHeight="1" x14ac:dyDescent="0.3">
      <c r="B29" s="62" t="s">
        <v>167</v>
      </c>
      <c r="C29" s="74">
        <v>-2026124542131</v>
      </c>
      <c r="D29" s="74">
        <v>-1297055311361</v>
      </c>
      <c r="E29" s="74">
        <v>-1558533540346</v>
      </c>
    </row>
    <row r="30" spans="2:5" ht="14.25" customHeight="1" x14ac:dyDescent="0.3">
      <c r="B30" s="62" t="s">
        <v>171</v>
      </c>
      <c r="C30" s="84"/>
      <c r="D30" s="84"/>
      <c r="E30" s="84"/>
    </row>
    <row r="31" spans="2:5" ht="14.25" customHeight="1" x14ac:dyDescent="0.3">
      <c r="B31" s="66" t="s">
        <v>172</v>
      </c>
      <c r="C31" s="74">
        <v>-469532694225</v>
      </c>
      <c r="D31" s="74">
        <v>-782554490375</v>
      </c>
      <c r="E31" s="74">
        <v>-1229728484875</v>
      </c>
    </row>
    <row r="32" spans="2:5" ht="14.25" customHeight="1" x14ac:dyDescent="0.3">
      <c r="B32" s="66" t="s">
        <v>173</v>
      </c>
      <c r="C32" s="74">
        <v>-63568812500</v>
      </c>
      <c r="D32" s="74">
        <v>-14703000000</v>
      </c>
      <c r="E32" s="74">
        <v>-28180750000</v>
      </c>
    </row>
    <row r="33" spans="2:5" ht="14.25" customHeight="1" x14ac:dyDescent="0.3">
      <c r="B33" s="66" t="s">
        <v>174</v>
      </c>
      <c r="C33" s="74">
        <v>-1050000000000</v>
      </c>
      <c r="D33" s="74">
        <v>-508000000000</v>
      </c>
      <c r="E33" s="84">
        <v>0</v>
      </c>
    </row>
    <row r="34" spans="2:5" ht="14.25" customHeight="1" x14ac:dyDescent="0.3">
      <c r="B34" s="65" t="s">
        <v>80</v>
      </c>
      <c r="C34" s="83">
        <f>SUM(C24:C33)</f>
        <v>-49224058856</v>
      </c>
      <c r="D34" s="83">
        <f t="shared" ref="D34:E34" si="2">SUM(D24:D33)</f>
        <v>-1975978291736</v>
      </c>
      <c r="E34" s="83">
        <f t="shared" si="2"/>
        <v>2428387224779</v>
      </c>
    </row>
    <row r="35" spans="2:5" ht="14.25" customHeight="1" x14ac:dyDescent="0.3">
      <c r="B35" s="51" t="s">
        <v>175</v>
      </c>
      <c r="C35" s="82">
        <f t="shared" ref="C35:D35" si="3">SUM(C34,C21,C13)</f>
        <v>23783154543</v>
      </c>
      <c r="D35" s="82">
        <f t="shared" si="3"/>
        <v>923746456060</v>
      </c>
      <c r="E35" s="82">
        <f>SUM(E34,E21,E13)</f>
        <v>336164948581</v>
      </c>
    </row>
    <row r="36" spans="2:5" ht="14.25" customHeight="1" x14ac:dyDescent="0.3">
      <c r="B36" s="65" t="s">
        <v>176</v>
      </c>
      <c r="C36" s="73">
        <v>3009380167931</v>
      </c>
      <c r="D36" s="73">
        <v>3262074784511</v>
      </c>
      <c r="E36" s="73">
        <v>4156738667354</v>
      </c>
    </row>
    <row r="37" spans="2:5" ht="14.25" customHeight="1" x14ac:dyDescent="0.3">
      <c r="B37" s="64" t="s">
        <v>177</v>
      </c>
      <c r="C37" s="74">
        <v>228911462037</v>
      </c>
      <c r="D37" s="74">
        <v>-29082573217</v>
      </c>
      <c r="E37" s="74">
        <v>108545407462</v>
      </c>
    </row>
    <row r="38" spans="2:5" ht="14.25" customHeight="1" x14ac:dyDescent="0.3">
      <c r="B38" s="67" t="s">
        <v>176</v>
      </c>
      <c r="C38" s="86">
        <f>SUM(C35:C37)</f>
        <v>3262074784511</v>
      </c>
      <c r="D38" s="86">
        <f t="shared" ref="D38:E38" si="4">SUM(D35:D37)</f>
        <v>4156738667354</v>
      </c>
      <c r="E38" s="86">
        <f t="shared" si="4"/>
        <v>4601449023397</v>
      </c>
    </row>
    <row r="39" spans="2:5" ht="14.25" customHeight="1" x14ac:dyDescent="0.3">
      <c r="B39" s="6"/>
      <c r="C39" s="6"/>
      <c r="D39" s="6"/>
      <c r="E39" s="6"/>
    </row>
    <row r="40" spans="2:5" ht="14.25" customHeight="1" x14ac:dyDescent="0.3">
      <c r="B40" s="6"/>
      <c r="C40" s="6"/>
      <c r="D40" s="6"/>
      <c r="E40" s="6"/>
    </row>
    <row r="41" spans="2:5" ht="14.25" customHeight="1" x14ac:dyDescent="0.3">
      <c r="B41" s="6"/>
    </row>
    <row r="42" spans="2:5" ht="14.25" customHeight="1" x14ac:dyDescent="0.3">
      <c r="B42" s="6"/>
      <c r="C42" s="6"/>
      <c r="D42" s="6"/>
      <c r="E42" s="6"/>
    </row>
    <row r="43" spans="2:5" ht="14.25" customHeight="1" x14ac:dyDescent="0.3">
      <c r="B43" s="6"/>
    </row>
    <row r="44" spans="2:5" ht="14.25" customHeight="1" x14ac:dyDescent="0.3">
      <c r="B44" s="6"/>
    </row>
    <row r="45" spans="2:5" ht="14.25" customHeight="1" x14ac:dyDescent="0.3"/>
    <row r="46" spans="2:5" ht="14.25" customHeight="1" x14ac:dyDescent="0.3"/>
    <row r="47" spans="2:5" ht="14.25" customHeight="1" x14ac:dyDescent="0.3"/>
    <row r="48" spans="2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DCF</vt:lpstr>
      <vt:lpstr>Evaluation Sheet</vt:lpstr>
      <vt:lpstr>Fixed Assets</vt:lpstr>
      <vt:lpstr>Net Working Capital</vt:lpstr>
      <vt:lpstr>WACC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Muhammad Akmal Farouqi</cp:lastModifiedBy>
  <dcterms:created xsi:type="dcterms:W3CDTF">2022-06-25T16:24:49Z</dcterms:created>
  <dcterms:modified xsi:type="dcterms:W3CDTF">2025-07-26T07:09:18Z</dcterms:modified>
</cp:coreProperties>
</file>