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8" windowWidth="15132" windowHeight="8136" activeTab="1"/>
  </bookViews>
  <sheets>
    <sheet name="جدول داده ها" sheetId="2" r:id="rId1"/>
    <sheet name="جدول حقوق ودستمزد" sheetId="1" r:id="rId2"/>
    <sheet name="فیش حقوقی " sheetId="3" r:id="rId3"/>
  </sheets>
  <definedNames>
    <definedName name="_xlnm.Print_Area" localSheetId="2">'فیش حقوقی '!$A$4:$K$37</definedName>
  </definedNames>
  <calcPr calcId="125725"/>
</workbook>
</file>

<file path=xl/calcChain.xml><?xml version="1.0" encoding="utf-8"?>
<calcChain xmlns="http://schemas.openxmlformats.org/spreadsheetml/2006/main">
  <c r="F7" i="1"/>
  <c r="D28" i="3" s="1"/>
  <c r="H7" i="1"/>
  <c r="J7"/>
  <c r="K7"/>
  <c r="D33" i="3" s="1"/>
  <c r="M7" i="1"/>
  <c r="D35" i="3" s="1"/>
  <c r="F8" i="1"/>
  <c r="H8"/>
  <c r="J8"/>
  <c r="K8"/>
  <c r="M8"/>
  <c r="F9"/>
  <c r="H9"/>
  <c r="J9"/>
  <c r="K9"/>
  <c r="M9"/>
  <c r="F10"/>
  <c r="H10"/>
  <c r="J10"/>
  <c r="K10"/>
  <c r="M10"/>
  <c r="F11"/>
  <c r="H11"/>
  <c r="J11"/>
  <c r="K11"/>
  <c r="M11"/>
  <c r="F12"/>
  <c r="H12"/>
  <c r="J12"/>
  <c r="K12"/>
  <c r="M12"/>
  <c r="F13"/>
  <c r="H13"/>
  <c r="J13"/>
  <c r="K13"/>
  <c r="M13"/>
  <c r="F14"/>
  <c r="H14"/>
  <c r="J14"/>
  <c r="K14"/>
  <c r="M14"/>
  <c r="F15"/>
  <c r="H15"/>
  <c r="J15"/>
  <c r="K15"/>
  <c r="M15"/>
  <c r="F16"/>
  <c r="H16"/>
  <c r="J16"/>
  <c r="K16"/>
  <c r="M16"/>
  <c r="F17"/>
  <c r="H17"/>
  <c r="J17"/>
  <c r="K17"/>
  <c r="M17"/>
  <c r="F18"/>
  <c r="H18"/>
  <c r="J18"/>
  <c r="K18"/>
  <c r="M18"/>
  <c r="F19"/>
  <c r="H19"/>
  <c r="J19"/>
  <c r="K19"/>
  <c r="M19"/>
  <c r="F20"/>
  <c r="H20"/>
  <c r="J20"/>
  <c r="K20"/>
  <c r="M20"/>
  <c r="F21"/>
  <c r="H21"/>
  <c r="J21"/>
  <c r="K21"/>
  <c r="M21"/>
  <c r="F22"/>
  <c r="H22"/>
  <c r="J22"/>
  <c r="K22"/>
  <c r="M22"/>
  <c r="F23"/>
  <c r="H23"/>
  <c r="J23"/>
  <c r="K23"/>
  <c r="M23"/>
  <c r="F24"/>
  <c r="H24"/>
  <c r="J24"/>
  <c r="K24"/>
  <c r="M24"/>
  <c r="F25"/>
  <c r="H25"/>
  <c r="J25"/>
  <c r="K25"/>
  <c r="L25"/>
  <c r="M25"/>
  <c r="M6"/>
  <c r="K6"/>
  <c r="J6"/>
  <c r="D14" i="3" s="1"/>
  <c r="H6" i="1"/>
  <c r="D12" i="3" s="1"/>
  <c r="F6" i="1"/>
  <c r="D10" i="3" s="1"/>
  <c r="E6" i="1"/>
  <c r="D6"/>
  <c r="D7" i="3" s="1"/>
  <c r="C6" i="1"/>
  <c r="B6"/>
  <c r="J1"/>
  <c r="I18" i="2"/>
  <c r="I21" i="1" s="1"/>
  <c r="M18" i="2"/>
  <c r="L21" i="1" s="1"/>
  <c r="I19" i="2"/>
  <c r="I22" i="1" s="1"/>
  <c r="M19" i="2"/>
  <c r="L22" i="1" s="1"/>
  <c r="I20" i="2"/>
  <c r="I23" i="1" s="1"/>
  <c r="M20" i="2"/>
  <c r="L23" i="1" s="1"/>
  <c r="I21" i="2"/>
  <c r="I24" i="1" s="1"/>
  <c r="M21" i="2"/>
  <c r="L24" i="1" s="1"/>
  <c r="I22" i="2"/>
  <c r="I25" i="1" s="1"/>
  <c r="M22" i="2"/>
  <c r="D32" i="3"/>
  <c r="D30"/>
  <c r="D27"/>
  <c r="E7" i="1"/>
  <c r="G7" s="1"/>
  <c r="B22" i="3"/>
  <c r="B4"/>
  <c r="D9"/>
  <c r="R7" i="1"/>
  <c r="I25" i="3" s="1"/>
  <c r="R8" i="1"/>
  <c r="R9"/>
  <c r="R10"/>
  <c r="R11"/>
  <c r="R12"/>
  <c r="R13"/>
  <c r="R14"/>
  <c r="R15"/>
  <c r="R16"/>
  <c r="R17"/>
  <c r="R18"/>
  <c r="R19"/>
  <c r="R20"/>
  <c r="R21"/>
  <c r="R22"/>
  <c r="R23"/>
  <c r="R24"/>
  <c r="R25"/>
  <c r="R6"/>
  <c r="I7" i="3" s="1"/>
  <c r="D17"/>
  <c r="M4" i="2"/>
  <c r="L7" i="1" s="1"/>
  <c r="M5" i="2"/>
  <c r="L8" i="1" s="1"/>
  <c r="M6" i="2"/>
  <c r="L9" i="1" s="1"/>
  <c r="M7" i="2"/>
  <c r="L10" i="1" s="1"/>
  <c r="M8" i="2"/>
  <c r="L11" i="1" s="1"/>
  <c r="M9" i="2"/>
  <c r="L12" i="1" s="1"/>
  <c r="M10" i="2"/>
  <c r="L13" i="1" s="1"/>
  <c r="M11" i="2"/>
  <c r="L14" i="1" s="1"/>
  <c r="M12" i="2"/>
  <c r="L15" i="1" s="1"/>
  <c r="M13" i="2"/>
  <c r="L16" i="1" s="1"/>
  <c r="M14" i="2"/>
  <c r="L17" i="1" s="1"/>
  <c r="M15" i="2"/>
  <c r="L18" i="1" s="1"/>
  <c r="M16" i="2"/>
  <c r="L19" i="1" s="1"/>
  <c r="M17" i="2"/>
  <c r="L20" i="1" s="1"/>
  <c r="M3" i="2"/>
  <c r="D15" i="3"/>
  <c r="I3" i="2"/>
  <c r="I4"/>
  <c r="I5"/>
  <c r="I8" i="1" s="1"/>
  <c r="I6" i="2"/>
  <c r="I9" i="1" s="1"/>
  <c r="I7" i="2"/>
  <c r="I10" i="1" s="1"/>
  <c r="I8" i="2"/>
  <c r="I11" i="1" s="1"/>
  <c r="I9" i="2"/>
  <c r="I12" i="1" s="1"/>
  <c r="I10" i="2"/>
  <c r="I13" i="1" s="1"/>
  <c r="I11" i="2"/>
  <c r="I14" i="1" s="1"/>
  <c r="I12" i="2"/>
  <c r="I15" i="1" s="1"/>
  <c r="I13" i="2"/>
  <c r="I16" i="1" s="1"/>
  <c r="I14" i="2"/>
  <c r="I17" i="1" s="1"/>
  <c r="I15" i="2"/>
  <c r="I18" i="1" s="1"/>
  <c r="I16" i="2"/>
  <c r="I19" i="1" s="1"/>
  <c r="I17" i="2"/>
  <c r="I20" i="1" s="1"/>
  <c r="E8"/>
  <c r="G8" s="1"/>
  <c r="E9"/>
  <c r="G9" s="1"/>
  <c r="E10"/>
  <c r="E11"/>
  <c r="E12"/>
  <c r="G12" s="1"/>
  <c r="E13"/>
  <c r="G13" s="1"/>
  <c r="E14"/>
  <c r="E15"/>
  <c r="E16"/>
  <c r="G16" s="1"/>
  <c r="E17"/>
  <c r="G17" s="1"/>
  <c r="E18"/>
  <c r="E19"/>
  <c r="E20"/>
  <c r="G20" s="1"/>
  <c r="E21"/>
  <c r="G21" s="1"/>
  <c r="E22"/>
  <c r="E23"/>
  <c r="E24"/>
  <c r="G24" s="1"/>
  <c r="E25"/>
  <c r="G25" s="1"/>
  <c r="D8" i="3"/>
  <c r="D7" i="1"/>
  <c r="D25" i="3" s="1"/>
  <c r="D8" i="1"/>
  <c r="D9"/>
  <c r="D10"/>
  <c r="D11"/>
  <c r="D12"/>
  <c r="D13"/>
  <c r="D14"/>
  <c r="D15"/>
  <c r="D16"/>
  <c r="D17"/>
  <c r="D18"/>
  <c r="D19"/>
  <c r="D20"/>
  <c r="D21"/>
  <c r="D22"/>
  <c r="D23"/>
  <c r="D24"/>
  <c r="D2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M26" l="1"/>
  <c r="G22"/>
  <c r="G18"/>
  <c r="N18" s="1"/>
  <c r="Q18" s="1"/>
  <c r="U18" s="1"/>
  <c r="G14"/>
  <c r="G10"/>
  <c r="P10" s="1"/>
  <c r="G23"/>
  <c r="G19"/>
  <c r="N19" s="1"/>
  <c r="Q19" s="1"/>
  <c r="G15"/>
  <c r="G11"/>
  <c r="P11" s="1"/>
  <c r="K26"/>
  <c r="D22" i="3"/>
  <c r="D26"/>
  <c r="J26" i="1"/>
  <c r="I6"/>
  <c r="D13" i="3" s="1"/>
  <c r="H26" i="1"/>
  <c r="L6"/>
  <c r="L26" s="1"/>
  <c r="I7"/>
  <c r="D31" i="3" s="1"/>
  <c r="D34"/>
  <c r="P25" i="1"/>
  <c r="N25"/>
  <c r="Q25" s="1"/>
  <c r="P24"/>
  <c r="N24"/>
  <c r="Q24" s="1"/>
  <c r="P23"/>
  <c r="N23"/>
  <c r="Q23" s="1"/>
  <c r="P22"/>
  <c r="N22"/>
  <c r="Q22" s="1"/>
  <c r="P21"/>
  <c r="N21"/>
  <c r="Q21" s="1"/>
  <c r="P20"/>
  <c r="N20"/>
  <c r="Q20" s="1"/>
  <c r="P19"/>
  <c r="P17"/>
  <c r="N17"/>
  <c r="N16"/>
  <c r="Q16" s="1"/>
  <c r="P16"/>
  <c r="N15"/>
  <c r="Q15" s="1"/>
  <c r="P15"/>
  <c r="N14"/>
  <c r="P14"/>
  <c r="N13"/>
  <c r="Q13" s="1"/>
  <c r="P13"/>
  <c r="N12"/>
  <c r="Q12" s="1"/>
  <c r="P12"/>
  <c r="N11"/>
  <c r="Q11" s="1"/>
  <c r="N10"/>
  <c r="Q10" s="1"/>
  <c r="N9"/>
  <c r="P9"/>
  <c r="N8"/>
  <c r="Q8" s="1"/>
  <c r="P8"/>
  <c r="D29" i="3"/>
  <c r="O25" i="1"/>
  <c r="T25" s="1"/>
  <c r="O24"/>
  <c r="T24" s="1"/>
  <c r="O23"/>
  <c r="T23" s="1"/>
  <c r="O22"/>
  <c r="T22" s="1"/>
  <c r="O21"/>
  <c r="T21" s="1"/>
  <c r="O20"/>
  <c r="T20" s="1"/>
  <c r="O18"/>
  <c r="T18" s="1"/>
  <c r="O17"/>
  <c r="T17" s="1"/>
  <c r="O16"/>
  <c r="T16" s="1"/>
  <c r="O15"/>
  <c r="T15" s="1"/>
  <c r="O14"/>
  <c r="T14" s="1"/>
  <c r="O13"/>
  <c r="O12"/>
  <c r="O10"/>
  <c r="O9"/>
  <c r="O8"/>
  <c r="O7"/>
  <c r="G6"/>
  <c r="N6" s="1"/>
  <c r="R26"/>
  <c r="F26"/>
  <c r="S25"/>
  <c r="S21"/>
  <c r="S17"/>
  <c r="Q17"/>
  <c r="U17" s="1"/>
  <c r="Q14"/>
  <c r="U14" s="1"/>
  <c r="V14" s="1"/>
  <c r="Q9"/>
  <c r="D4" i="3"/>
  <c r="V18" i="1" l="1"/>
  <c r="V17"/>
  <c r="P18"/>
  <c r="S16"/>
  <c r="O11"/>
  <c r="T11" s="1"/>
  <c r="U11" s="1"/>
  <c r="V11" s="1"/>
  <c r="O19"/>
  <c r="T19" s="1"/>
  <c r="U19" s="1"/>
  <c r="V19" s="1"/>
  <c r="S20"/>
  <c r="S23"/>
  <c r="S15"/>
  <c r="U15"/>
  <c r="V15" s="1"/>
  <c r="U16"/>
  <c r="V16" s="1"/>
  <c r="D16" i="3"/>
  <c r="U20" i="1"/>
  <c r="V20" s="1"/>
  <c r="S24"/>
  <c r="Q6"/>
  <c r="Q26" s="1"/>
  <c r="P6"/>
  <c r="N7"/>
  <c r="Q7" s="1"/>
  <c r="I26" i="3" s="1"/>
  <c r="D36"/>
  <c r="S14" i="1"/>
  <c r="S18"/>
  <c r="S22"/>
  <c r="P7"/>
  <c r="I26"/>
  <c r="G26"/>
  <c r="D11" i="3"/>
  <c r="T7" i="1"/>
  <c r="I27" i="3" s="1"/>
  <c r="S7" i="1"/>
  <c r="T8"/>
  <c r="S8"/>
  <c r="T9"/>
  <c r="U9" s="1"/>
  <c r="V9" s="1"/>
  <c r="S9"/>
  <c r="T10"/>
  <c r="U10" s="1"/>
  <c r="V10" s="1"/>
  <c r="S10"/>
  <c r="S11"/>
  <c r="T12"/>
  <c r="U12" s="1"/>
  <c r="V12" s="1"/>
  <c r="S12"/>
  <c r="T13"/>
  <c r="S13"/>
  <c r="U8"/>
  <c r="V8" s="1"/>
  <c r="U13"/>
  <c r="V13" s="1"/>
  <c r="O6"/>
  <c r="O26" s="1"/>
  <c r="U21"/>
  <c r="V21" s="1"/>
  <c r="U22"/>
  <c r="V22" s="1"/>
  <c r="U23"/>
  <c r="V23" s="1"/>
  <c r="U24"/>
  <c r="V24" s="1"/>
  <c r="U25"/>
  <c r="V25" s="1"/>
  <c r="I29" i="3"/>
  <c r="I32" s="1"/>
  <c r="S19" i="1" l="1"/>
  <c r="I8" i="3"/>
  <c r="D18"/>
  <c r="N26" i="1"/>
  <c r="U7"/>
  <c r="V7" s="1"/>
  <c r="P26"/>
  <c r="S6"/>
  <c r="S26" s="1"/>
  <c r="T6"/>
  <c r="U6" s="1"/>
  <c r="U26" l="1"/>
  <c r="V6"/>
  <c r="V26" s="1"/>
  <c r="T26"/>
  <c r="I9" i="3"/>
  <c r="I11" s="1"/>
  <c r="I14" s="1"/>
</calcChain>
</file>

<file path=xl/comments1.xml><?xml version="1.0" encoding="utf-8"?>
<comments xmlns="http://schemas.openxmlformats.org/spreadsheetml/2006/main">
  <authors>
    <author>pasargad</author>
  </authors>
  <commentList>
    <comment ref="L2" authorId="0">
      <text>
        <r>
          <rPr>
            <b/>
            <sz val="8"/>
            <color indexed="81"/>
            <rFont val="Tahoma"/>
            <family val="2"/>
          </rPr>
          <t>حق ماموریت از پرداخت مالیات معاف می باشد</t>
        </r>
      </text>
    </comment>
    <comment ref="C6" authorId="0">
      <text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pasargad</author>
  </authors>
  <commentList>
    <comment ref="N4" authorId="0">
      <text>
        <r>
          <rPr>
            <b/>
            <i/>
            <sz val="10"/>
            <color indexed="10"/>
            <rFont val="Myriad Web Pro Condensed"/>
            <family val="2"/>
          </rPr>
          <t xml:space="preserve">     نکته : حق  ماموریت   مشمول درآمد مالیات نمی باشد</t>
        </r>
        <r>
          <rPr>
            <b/>
            <i/>
            <sz val="10"/>
            <color indexed="10"/>
            <rFont val="Calibri"/>
            <family val="2"/>
            <scheme val="minor"/>
          </rPr>
          <t xml:space="preserve">     </t>
        </r>
      </text>
    </comment>
    <comment ref="O4" authorId="0">
      <text>
        <r>
          <rPr>
            <b/>
            <sz val="10"/>
            <color indexed="12"/>
            <rFont val="Calibri"/>
            <family val="2"/>
            <scheme val="minor"/>
          </rPr>
          <t>نکته : حق اولاد وحق ماموریت  و حق بن و خوار بارمشمول درآمد بیمه نمی باشد</t>
        </r>
        <r>
          <rPr>
            <sz val="8"/>
            <color indexed="81"/>
            <rFont val="Calibri"/>
            <family val="2"/>
            <scheme val="minor"/>
          </rPr>
          <t xml:space="preserve">
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حق ماموریت از پرداخت مالیات معاف می باشد</t>
        </r>
      </text>
    </comment>
    <comment ref="S5" authorId="0">
      <text>
        <r>
          <rPr>
            <sz val="8"/>
            <color indexed="81"/>
            <rFont val="Tahoma"/>
            <family val="2"/>
          </rPr>
          <t xml:space="preserve">(بیمه 23 % مشمول بیمه )
 حق  بن و خوار بارحق اولاد وحق ماموریت مشمول درآمد بیمه نمی باشد
</t>
        </r>
      </text>
    </comment>
    <comment ref="T5" authorId="0">
      <text>
        <r>
          <rPr>
            <sz val="8"/>
            <color indexed="81"/>
            <rFont val="Tahoma"/>
            <family val="2"/>
          </rPr>
          <t xml:space="preserve">(بیمه 7%  --  مشمول بیمه  حق اولاد و حق بن وخوار بارو حق ماموریت مشمول درآمد بیمه نمی باشد
</t>
        </r>
      </text>
    </comment>
  </commentList>
</comments>
</file>

<file path=xl/sharedStrings.xml><?xml version="1.0" encoding="utf-8"?>
<sst xmlns="http://schemas.openxmlformats.org/spreadsheetml/2006/main" count="134" uniqueCount="93">
  <si>
    <t>نام</t>
  </si>
  <si>
    <t xml:space="preserve">نام خانوادگی </t>
  </si>
  <si>
    <t xml:space="preserve">کد پرسنلی </t>
  </si>
  <si>
    <t xml:space="preserve">حقوق پایه </t>
  </si>
  <si>
    <t xml:space="preserve">حق مسکن </t>
  </si>
  <si>
    <t xml:space="preserve">حق اولاد </t>
  </si>
  <si>
    <t xml:space="preserve">مشخصات پرسنلی </t>
  </si>
  <si>
    <t xml:space="preserve">اضافه کاری </t>
  </si>
  <si>
    <t>ساعات کارکرد</t>
  </si>
  <si>
    <t xml:space="preserve">عادی </t>
  </si>
  <si>
    <t xml:space="preserve">اضافه کار </t>
  </si>
  <si>
    <t>پــــــــــرداخــــــــــتــــــــــها</t>
  </si>
  <si>
    <t xml:space="preserve">سایر مزایا </t>
  </si>
  <si>
    <t>کـــــــــــــــــــســـــــــــــور</t>
  </si>
  <si>
    <t>بیمه سهم کارمند</t>
  </si>
  <si>
    <t xml:space="preserve">بیمه سهم کارفرما </t>
  </si>
  <si>
    <t>مالیات متعلق</t>
  </si>
  <si>
    <t xml:space="preserve">مساعده </t>
  </si>
  <si>
    <t>جمع پرداختها</t>
  </si>
  <si>
    <t xml:space="preserve">جــمــع کســــــــور </t>
  </si>
  <si>
    <t xml:space="preserve">خـــالــص پـــرداخــتــــی </t>
  </si>
  <si>
    <t xml:space="preserve">امین </t>
  </si>
  <si>
    <t>فرشید</t>
  </si>
  <si>
    <t xml:space="preserve">بهرام </t>
  </si>
  <si>
    <t xml:space="preserve">بهمن </t>
  </si>
  <si>
    <t xml:space="preserve">حسین </t>
  </si>
  <si>
    <t>محمد</t>
  </si>
  <si>
    <t xml:space="preserve">جعفر </t>
  </si>
  <si>
    <t>کوروش</t>
  </si>
  <si>
    <t>داریوش</t>
  </si>
  <si>
    <t xml:space="preserve">حسن </t>
  </si>
  <si>
    <t xml:space="preserve">حیدر پور </t>
  </si>
  <si>
    <t>میدانی</t>
  </si>
  <si>
    <t>صمدیان</t>
  </si>
  <si>
    <t>نیکنام</t>
  </si>
  <si>
    <t>باقری نژاد</t>
  </si>
  <si>
    <t>مقدم</t>
  </si>
  <si>
    <t xml:space="preserve">ابراهیمی </t>
  </si>
  <si>
    <t>امین</t>
  </si>
  <si>
    <t xml:space="preserve">یعقوبی </t>
  </si>
  <si>
    <t>بزرگ</t>
  </si>
  <si>
    <t xml:space="preserve">ایرانی </t>
  </si>
  <si>
    <t xml:space="preserve">محمد </t>
  </si>
  <si>
    <t xml:space="preserve">کاظم </t>
  </si>
  <si>
    <t xml:space="preserve">روح الهی </t>
  </si>
  <si>
    <t>طهماسبی</t>
  </si>
  <si>
    <t>فلاح</t>
  </si>
  <si>
    <t>کشاورز</t>
  </si>
  <si>
    <t xml:space="preserve">حق جذب </t>
  </si>
  <si>
    <t>حق ماموریت</t>
  </si>
  <si>
    <t>مشمول مالیات</t>
  </si>
  <si>
    <t xml:space="preserve">ساعات کارکرد فروردین </t>
  </si>
  <si>
    <t xml:space="preserve">تعداد اولاد </t>
  </si>
  <si>
    <t>روزهای ماموریت</t>
  </si>
  <si>
    <t>حق اولاد</t>
  </si>
  <si>
    <t xml:space="preserve">ساعت کارکرد عادی </t>
  </si>
  <si>
    <t xml:space="preserve">جــمــع حــــقــوق و مــزایـــا </t>
  </si>
  <si>
    <t>جمع کـــــســـــــور</t>
  </si>
  <si>
    <t xml:space="preserve">شــرکت نــمـــونه </t>
  </si>
  <si>
    <t xml:space="preserve">ساعت کارکرد اضافه کاری  </t>
  </si>
  <si>
    <t xml:space="preserve">روزهای ماموریت </t>
  </si>
  <si>
    <t xml:space="preserve">مبلغ اضافه کاری </t>
  </si>
  <si>
    <t>بن وخواربار</t>
  </si>
  <si>
    <t>حق جذب</t>
  </si>
  <si>
    <t>سایر مزایا</t>
  </si>
  <si>
    <t xml:space="preserve">حق ماموریت </t>
  </si>
  <si>
    <t>پـــــرداخــتــهـــا</t>
  </si>
  <si>
    <t>کــــــــــــــــــــــسور</t>
  </si>
  <si>
    <t>مــــســــــــاعده</t>
  </si>
  <si>
    <t xml:space="preserve">ما لیات متعلق </t>
  </si>
  <si>
    <t xml:space="preserve">سایر کسور </t>
  </si>
  <si>
    <t>خــــالـص پــرداخـتی</t>
  </si>
  <si>
    <t>مساعده</t>
  </si>
  <si>
    <t>بن و خواروبار</t>
  </si>
  <si>
    <t xml:space="preserve">بن وخواروبار </t>
  </si>
  <si>
    <t xml:space="preserve">بیژن </t>
  </si>
  <si>
    <t>فرشاد</t>
  </si>
  <si>
    <t xml:space="preserve"> بیات </t>
  </si>
  <si>
    <t xml:space="preserve">محمد رضا </t>
  </si>
  <si>
    <t xml:space="preserve">امیر </t>
  </si>
  <si>
    <t>خلیلی</t>
  </si>
  <si>
    <t xml:space="preserve">نیکزاد </t>
  </si>
  <si>
    <t>حسن نیا</t>
  </si>
  <si>
    <t>حامد</t>
  </si>
  <si>
    <t>مرتضی</t>
  </si>
  <si>
    <t>محمود</t>
  </si>
  <si>
    <t>پــــــــــــــــــــــــــــــــر داخـــتــها</t>
  </si>
  <si>
    <t xml:space="preserve">کسور </t>
  </si>
  <si>
    <t>جدول داده ها</t>
  </si>
  <si>
    <t>فیش حقوقی</t>
  </si>
  <si>
    <t>جدول حقوق ودستمزد</t>
  </si>
  <si>
    <t xml:space="preserve">درآمد مشمول بیمه </t>
  </si>
  <si>
    <t>جـــــــــمـــــــــع  کـــــل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</si>
</sst>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charset val="178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0"/>
      <color indexed="10"/>
      <name val="Arial"/>
      <family val="2"/>
      <charset val="186"/>
    </font>
    <font>
      <b/>
      <i/>
      <sz val="14"/>
      <name val="Arial"/>
      <family val="2"/>
      <charset val="186"/>
    </font>
    <font>
      <b/>
      <sz val="18"/>
      <color theme="5"/>
      <name val="Arial"/>
      <family val="2"/>
      <charset val="186"/>
    </font>
    <font>
      <b/>
      <i/>
      <sz val="14"/>
      <color rgb="FFFF0000"/>
      <name val="Calibri"/>
      <family val="2"/>
      <scheme val="minor"/>
    </font>
    <font>
      <b/>
      <sz val="16"/>
      <name val="Arial"/>
      <family val="2"/>
      <charset val="186"/>
    </font>
    <font>
      <b/>
      <i/>
      <sz val="14"/>
      <color theme="9" tint="-0.499984740745262"/>
      <name val="Arial"/>
      <family val="2"/>
      <charset val="186"/>
    </font>
    <font>
      <b/>
      <i/>
      <sz val="12"/>
      <color theme="9" tint="-0.499984740745262"/>
      <name val="Arial"/>
      <family val="2"/>
      <charset val="186"/>
    </font>
    <font>
      <sz val="11"/>
      <color rgb="FFC00000"/>
      <name val="Calibri"/>
      <family val="2"/>
      <charset val="178"/>
      <scheme val="minor"/>
    </font>
    <font>
      <sz val="11"/>
      <color theme="3"/>
      <name val="Calibri"/>
      <family val="2"/>
      <charset val="178"/>
      <scheme val="minor"/>
    </font>
    <font>
      <b/>
      <i/>
      <sz val="16"/>
      <color indexed="10"/>
      <name val="Arial"/>
      <family val="2"/>
    </font>
    <font>
      <b/>
      <i/>
      <sz val="16"/>
      <name val="Arial"/>
      <family val="2"/>
    </font>
    <font>
      <b/>
      <u val="double"/>
      <sz val="22"/>
      <color theme="3"/>
      <name val="Arial"/>
      <family val="2"/>
      <charset val="186"/>
    </font>
    <font>
      <b/>
      <i/>
      <sz val="14"/>
      <color rgb="FFFF0000"/>
      <name val="Arial"/>
      <family val="2"/>
      <charset val="186"/>
    </font>
    <font>
      <b/>
      <sz val="18"/>
      <color indexed="10"/>
      <name val="Arial"/>
      <family val="2"/>
      <charset val="186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0"/>
      <name val="Calibri"/>
      <family val="2"/>
      <scheme val="minor"/>
    </font>
    <font>
      <b/>
      <i/>
      <sz val="12"/>
      <name val="Arial"/>
      <family val="2"/>
      <charset val="186"/>
    </font>
    <font>
      <u/>
      <sz val="11"/>
      <color theme="10"/>
      <name val="Arial"/>
      <family val="2"/>
      <charset val="178"/>
    </font>
    <font>
      <b/>
      <i/>
      <u/>
      <sz val="12"/>
      <color rgb="FFFF0000"/>
      <name val="Arial"/>
      <family val="2"/>
      <charset val="178"/>
    </font>
    <font>
      <b/>
      <i/>
      <u/>
      <sz val="12"/>
      <color theme="10"/>
      <name val="Arial"/>
      <family val="2"/>
      <charset val="178"/>
    </font>
    <font>
      <b/>
      <u/>
      <sz val="11"/>
      <color rgb="FFFF0000"/>
      <name val="Arial"/>
      <family val="2"/>
    </font>
    <font>
      <b/>
      <u/>
      <sz val="11"/>
      <color rgb="FF00B050"/>
      <name val="Arial"/>
      <family val="2"/>
    </font>
    <font>
      <b/>
      <i/>
      <u/>
      <sz val="12"/>
      <color rgb="FF00B050"/>
      <name val="Arial"/>
      <family val="2"/>
      <charset val="178"/>
    </font>
    <font>
      <sz val="8"/>
      <color indexed="8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i/>
      <sz val="10"/>
      <color indexed="10"/>
      <name val="Calibri"/>
      <family val="2"/>
      <scheme val="minor"/>
    </font>
    <font>
      <b/>
      <i/>
      <sz val="10"/>
      <color indexed="10"/>
      <name val="Myriad Web Pro Condensed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CC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8" tint="0.59999389629810485"/>
        </stop>
      </gradientFill>
    </fill>
  </fills>
  <borders count="6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indexed="9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9" xfId="0" applyBorder="1"/>
    <xf numFmtId="0" fontId="0" fillId="0" borderId="31" xfId="0" applyBorder="1"/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left" vertical="center"/>
    </xf>
    <xf numFmtId="0" fontId="14" fillId="11" borderId="4" xfId="0" applyFont="1" applyFill="1" applyBorder="1" applyAlignment="1">
      <alignment vertical="center"/>
    </xf>
    <xf numFmtId="0" fontId="27" fillId="10" borderId="12" xfId="0" applyFont="1" applyFill="1" applyBorder="1" applyAlignment="1">
      <alignment horizontal="left" vertical="center"/>
    </xf>
    <xf numFmtId="0" fontId="27" fillId="10" borderId="4" xfId="0" applyFont="1" applyFill="1" applyBorder="1" applyAlignment="1">
      <alignment vertical="center"/>
    </xf>
    <xf numFmtId="0" fontId="2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0" fillId="0" borderId="57" xfId="0" applyBorder="1"/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3" fontId="2" fillId="6" borderId="54" xfId="0" applyNumberFormat="1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33" fillId="0" borderId="0" xfId="1" applyFont="1" applyAlignment="1" applyProtection="1">
      <alignment horizontal="center" vertical="center"/>
    </xf>
    <xf numFmtId="0" fontId="30" fillId="0" borderId="0" xfId="1" applyFont="1" applyAlignment="1" applyProtection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9" fillId="0" borderId="0" xfId="1" applyFont="1" applyAlignment="1" applyProtection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0" fillId="0" borderId="34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3" fontId="1" fillId="6" borderId="12" xfId="0" applyNumberFormat="1" applyFont="1" applyFill="1" applyBorder="1" applyAlignment="1">
      <alignment horizontal="center" vertical="center"/>
    </xf>
    <xf numFmtId="3" fontId="1" fillId="6" borderId="3" xfId="0" applyNumberFormat="1" applyFont="1" applyFill="1" applyBorder="1" applyAlignment="1">
      <alignment horizontal="center" vertical="center"/>
    </xf>
    <xf numFmtId="3" fontId="1" fillId="6" borderId="4" xfId="0" applyNumberFormat="1" applyFont="1" applyFill="1" applyBorder="1" applyAlignment="1">
      <alignment horizontal="center" vertical="center"/>
    </xf>
    <xf numFmtId="3" fontId="2" fillId="6" borderId="55" xfId="0" applyNumberFormat="1" applyFont="1" applyFill="1" applyBorder="1" applyAlignment="1">
      <alignment horizontal="center" vertical="center"/>
    </xf>
    <xf numFmtId="3" fontId="2" fillId="6" borderId="56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4" fillId="6" borderId="6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3" fontId="12" fillId="0" borderId="18" xfId="0" applyNumberFormat="1" applyFont="1" applyBorder="1" applyAlignment="1">
      <alignment horizontal="center" vertical="center"/>
    </xf>
    <xf numFmtId="3" fontId="12" fillId="0" borderId="19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3" fontId="12" fillId="0" borderId="39" xfId="0" applyNumberFormat="1" applyFont="1" applyBorder="1" applyAlignment="1">
      <alignment horizontal="center" vertical="center"/>
    </xf>
    <xf numFmtId="3" fontId="12" fillId="0" borderId="40" xfId="0" applyNumberFormat="1" applyFont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3" fontId="12" fillId="0" borderId="15" xfId="0" applyNumberFormat="1" applyFont="1" applyBorder="1" applyAlignment="1">
      <alignment horizontal="center" vertical="center"/>
    </xf>
    <xf numFmtId="3" fontId="12" fillId="0" borderId="16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0" fillId="11" borderId="12" xfId="0" applyFont="1" applyFill="1" applyBorder="1" applyAlignment="1">
      <alignment horizontal="right" vertical="center"/>
    </xf>
    <xf numFmtId="0" fontId="20" fillId="11" borderId="3" xfId="0" applyFont="1" applyFill="1" applyBorder="1" applyAlignment="1">
      <alignment horizontal="right" vertical="center"/>
    </xf>
    <xf numFmtId="0" fontId="20" fillId="11" borderId="13" xfId="0" applyFont="1" applyFill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3" fontId="12" fillId="0" borderId="15" xfId="0" applyNumberFormat="1" applyFont="1" applyBorder="1" applyAlignment="1">
      <alignment horizontal="right" vertical="center"/>
    </xf>
    <xf numFmtId="3" fontId="12" fillId="0" borderId="16" xfId="0" applyNumberFormat="1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3" fontId="17" fillId="8" borderId="20" xfId="0" applyNumberFormat="1" applyFont="1" applyFill="1" applyBorder="1" applyAlignment="1">
      <alignment horizontal="center" vertical="center"/>
    </xf>
    <xf numFmtId="3" fontId="17" fillId="8" borderId="21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3" fontId="19" fillId="9" borderId="43" xfId="0" applyNumberFormat="1" applyFont="1" applyFill="1" applyBorder="1" applyAlignment="1">
      <alignment horizontal="center" vertical="center"/>
    </xf>
    <xf numFmtId="3" fontId="19" fillId="9" borderId="44" xfId="0" applyNumberFormat="1" applyFont="1" applyFill="1" applyBorder="1" applyAlignment="1">
      <alignment horizontal="center" vertical="center"/>
    </xf>
    <xf numFmtId="3" fontId="19" fillId="9" borderId="45" xfId="0" applyNumberFormat="1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right" vertical="center"/>
    </xf>
    <xf numFmtId="0" fontId="20" fillId="10" borderId="3" xfId="0" applyFont="1" applyFill="1" applyBorder="1" applyAlignment="1">
      <alignment horizontal="right" vertical="center"/>
    </xf>
    <xf numFmtId="0" fontId="20" fillId="10" borderId="13" xfId="0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2" fillId="9" borderId="47" xfId="0" applyFont="1" applyFill="1" applyBorder="1" applyAlignment="1">
      <alignment horizontal="center" vertical="center"/>
    </xf>
    <xf numFmtId="0" fontId="12" fillId="9" borderId="43" xfId="0" applyFont="1" applyFill="1" applyBorder="1" applyAlignment="1">
      <alignment horizontal="center" vertical="center"/>
    </xf>
    <xf numFmtId="0" fontId="12" fillId="9" borderId="48" xfId="0" applyFont="1" applyFill="1" applyBorder="1" applyAlignment="1">
      <alignment horizontal="center" vertical="center"/>
    </xf>
    <xf numFmtId="0" fontId="12" fillId="9" borderId="44" xfId="0" applyFont="1" applyFill="1" applyBorder="1" applyAlignment="1">
      <alignment horizontal="center" vertical="center"/>
    </xf>
    <xf numFmtId="0" fontId="12" fillId="9" borderId="49" xfId="0" applyFont="1" applyFill="1" applyBorder="1" applyAlignment="1">
      <alignment horizontal="center" vertical="center"/>
    </xf>
    <xf numFmtId="0" fontId="12" fillId="9" borderId="45" xfId="0" applyFont="1" applyFill="1" applyBorder="1" applyAlignment="1">
      <alignment horizontal="center" vertical="center"/>
    </xf>
    <xf numFmtId="3" fontId="12" fillId="0" borderId="37" xfId="0" applyNumberFormat="1" applyFont="1" applyBorder="1" applyAlignment="1">
      <alignment horizontal="center" vertical="center"/>
    </xf>
    <xf numFmtId="3" fontId="12" fillId="0" borderId="38" xfId="0" applyNumberFormat="1" applyFont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3" fontId="18" fillId="0" borderId="35" xfId="0" applyNumberFormat="1" applyFont="1" applyBorder="1" applyAlignment="1">
      <alignment horizontal="center" vertical="center"/>
    </xf>
    <xf numFmtId="3" fontId="18" fillId="0" borderId="36" xfId="0" applyNumberFormat="1" applyFont="1" applyBorder="1" applyAlignment="1">
      <alignment horizontal="center" vertical="center"/>
    </xf>
    <xf numFmtId="3" fontId="18" fillId="0" borderId="18" xfId="0" applyNumberFormat="1" applyFont="1" applyBorder="1" applyAlignment="1">
      <alignment horizontal="center" vertical="center"/>
    </xf>
    <xf numFmtId="3" fontId="18" fillId="0" borderId="19" xfId="0" applyNumberFormat="1" applyFont="1" applyBorder="1" applyAlignment="1">
      <alignment horizontal="center" vertical="center"/>
    </xf>
    <xf numFmtId="3" fontId="18" fillId="0" borderId="25" xfId="0" applyNumberFormat="1" applyFont="1" applyBorder="1" applyAlignment="1">
      <alignment horizontal="center" vertical="center"/>
    </xf>
    <xf numFmtId="3" fontId="18" fillId="0" borderId="42" xfId="0" applyNumberFormat="1" applyFont="1" applyBorder="1" applyAlignment="1">
      <alignment horizontal="center" vertical="center"/>
    </xf>
    <xf numFmtId="3" fontId="12" fillId="0" borderId="18" xfId="0" applyNumberFormat="1" applyFont="1" applyBorder="1" applyAlignment="1">
      <alignment horizontal="right" vertical="center"/>
    </xf>
    <xf numFmtId="0" fontId="31" fillId="0" borderId="0" xfId="1" applyFont="1" applyAlignment="1" applyProtection="1">
      <alignment horizontal="center" vertical="center"/>
    </xf>
    <xf numFmtId="0" fontId="32" fillId="0" borderId="0" xfId="1" applyFont="1" applyAlignment="1" applyProtection="1">
      <alignment horizontal="center" vertical="center"/>
    </xf>
    <xf numFmtId="3" fontId="19" fillId="0" borderId="18" xfId="0" applyNumberFormat="1" applyFont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center" vertical="center"/>
    </xf>
    <xf numFmtId="3" fontId="19" fillId="0" borderId="21" xfId="0" applyNumberFormat="1" applyFont="1" applyBorder="1" applyAlignment="1">
      <alignment horizontal="center" vertical="center"/>
    </xf>
    <xf numFmtId="3" fontId="21" fillId="8" borderId="27" xfId="0" applyNumberFormat="1" applyFont="1" applyFill="1" applyBorder="1" applyAlignment="1">
      <alignment horizontal="center" vertical="center"/>
    </xf>
    <xf numFmtId="3" fontId="21" fillId="8" borderId="2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  <color rgb="FFFFCCFF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O25"/>
  <sheetViews>
    <sheetView rightToLeft="1" workbookViewId="0">
      <selection activeCell="F17" sqref="F17"/>
    </sheetView>
  </sheetViews>
  <sheetFormatPr defaultRowHeight="14.4"/>
  <cols>
    <col min="6" max="6" width="9.88671875" bestFit="1" customWidth="1"/>
    <col min="7" max="8" width="7.44140625" bestFit="1" customWidth="1"/>
    <col min="9" max="9" width="7.44140625" customWidth="1"/>
    <col min="10" max="10" width="7.44140625" bestFit="1" customWidth="1"/>
    <col min="11" max="11" width="12.5546875" bestFit="1" customWidth="1"/>
    <col min="12" max="12" width="7.109375" customWidth="1"/>
    <col min="13" max="13" width="8.88671875" bestFit="1" customWidth="1"/>
    <col min="14" max="14" width="7.44140625" bestFit="1" customWidth="1"/>
  </cols>
  <sheetData>
    <row r="1" spans="1:15" ht="16.8" thickTop="1" thickBot="1">
      <c r="A1" s="45" t="s">
        <v>6</v>
      </c>
      <c r="B1" s="46"/>
      <c r="C1" s="47"/>
      <c r="D1" s="48" t="s">
        <v>51</v>
      </c>
      <c r="E1" s="47"/>
      <c r="F1" s="49" t="s">
        <v>86</v>
      </c>
      <c r="G1" s="49"/>
      <c r="H1" s="49"/>
      <c r="I1" s="49"/>
      <c r="J1" s="49"/>
      <c r="K1" s="49"/>
      <c r="L1" s="49"/>
      <c r="M1" s="49"/>
      <c r="N1" s="49"/>
      <c r="O1" s="22" t="s">
        <v>87</v>
      </c>
    </row>
    <row r="2" spans="1:15" ht="43.8" thickTop="1">
      <c r="A2" s="8" t="s">
        <v>2</v>
      </c>
      <c r="B2" s="9" t="s">
        <v>0</v>
      </c>
      <c r="C2" s="9" t="s">
        <v>1</v>
      </c>
      <c r="D2" s="9" t="s">
        <v>9</v>
      </c>
      <c r="E2" s="9" t="s">
        <v>10</v>
      </c>
      <c r="F2" s="9" t="s">
        <v>3</v>
      </c>
      <c r="G2" s="9" t="s">
        <v>4</v>
      </c>
      <c r="H2" s="9" t="s">
        <v>52</v>
      </c>
      <c r="I2" s="9" t="s">
        <v>54</v>
      </c>
      <c r="J2" s="9" t="s">
        <v>74</v>
      </c>
      <c r="K2" s="9" t="s">
        <v>48</v>
      </c>
      <c r="L2" s="9" t="s">
        <v>53</v>
      </c>
      <c r="M2" s="9" t="s">
        <v>49</v>
      </c>
      <c r="N2" s="9" t="s">
        <v>12</v>
      </c>
      <c r="O2" s="10" t="s">
        <v>72</v>
      </c>
    </row>
    <row r="3" spans="1:15">
      <c r="A3" s="11">
        <v>1</v>
      </c>
      <c r="B3" s="12" t="s">
        <v>21</v>
      </c>
      <c r="C3" s="12" t="s">
        <v>31</v>
      </c>
      <c r="D3" s="12">
        <v>185</v>
      </c>
      <c r="E3" s="12">
        <v>20</v>
      </c>
      <c r="F3" s="13">
        <v>4500000</v>
      </c>
      <c r="G3" s="13">
        <v>300000</v>
      </c>
      <c r="H3" s="13">
        <v>1</v>
      </c>
      <c r="I3" s="13">
        <f>IF(H3&lt;=2,H3*220000,440000)</f>
        <v>220000</v>
      </c>
      <c r="J3" s="13">
        <v>100000</v>
      </c>
      <c r="K3" s="13">
        <v>500000</v>
      </c>
      <c r="L3" s="13">
        <v>10</v>
      </c>
      <c r="M3" s="13">
        <f>L3*100000</f>
        <v>1000000</v>
      </c>
      <c r="N3" s="13"/>
      <c r="O3" s="14"/>
    </row>
    <row r="4" spans="1:15">
      <c r="A4" s="11">
        <v>2</v>
      </c>
      <c r="B4" s="12" t="s">
        <v>22</v>
      </c>
      <c r="C4" s="12" t="s">
        <v>32</v>
      </c>
      <c r="D4" s="12">
        <v>185</v>
      </c>
      <c r="E4" s="12">
        <v>21</v>
      </c>
      <c r="F4" s="13">
        <v>3500000</v>
      </c>
      <c r="G4" s="13">
        <v>300000</v>
      </c>
      <c r="H4" s="13">
        <v>2</v>
      </c>
      <c r="I4" s="13">
        <f t="shared" ref="I4:I22" si="0">IF(H4&lt;=2,H4*220000,440000)</f>
        <v>440000</v>
      </c>
      <c r="J4" s="13">
        <v>100000</v>
      </c>
      <c r="K4" s="13">
        <v>550000</v>
      </c>
      <c r="L4" s="13">
        <v>5</v>
      </c>
      <c r="M4" s="13">
        <f t="shared" ref="M4:M22" si="1">L4*100000</f>
        <v>500000</v>
      </c>
      <c r="N4" s="13"/>
      <c r="O4" s="14"/>
    </row>
    <row r="5" spans="1:15">
      <c r="A5" s="11">
        <v>3</v>
      </c>
      <c r="B5" s="12" t="s">
        <v>23</v>
      </c>
      <c r="C5" s="15" t="s">
        <v>33</v>
      </c>
      <c r="D5" s="12">
        <v>185</v>
      </c>
      <c r="E5" s="12">
        <v>15</v>
      </c>
      <c r="F5" s="13">
        <v>2500000</v>
      </c>
      <c r="G5" s="13">
        <v>300000</v>
      </c>
      <c r="H5" s="13">
        <v>1</v>
      </c>
      <c r="I5" s="13">
        <f t="shared" si="0"/>
        <v>220000</v>
      </c>
      <c r="J5" s="13">
        <v>100000</v>
      </c>
      <c r="K5" s="13">
        <v>200000</v>
      </c>
      <c r="L5" s="13">
        <v>0</v>
      </c>
      <c r="M5" s="13">
        <f t="shared" si="1"/>
        <v>0</v>
      </c>
      <c r="N5" s="13"/>
      <c r="O5" s="14"/>
    </row>
    <row r="6" spans="1:15">
      <c r="A6" s="11">
        <v>4</v>
      </c>
      <c r="B6" s="15" t="s">
        <v>75</v>
      </c>
      <c r="C6" s="15" t="s">
        <v>35</v>
      </c>
      <c r="D6" s="12">
        <v>185</v>
      </c>
      <c r="E6" s="12">
        <v>6</v>
      </c>
      <c r="F6" s="13">
        <v>4000000</v>
      </c>
      <c r="G6" s="13">
        <v>300000</v>
      </c>
      <c r="H6" s="13">
        <v>0</v>
      </c>
      <c r="I6" s="13">
        <f t="shared" si="0"/>
        <v>0</v>
      </c>
      <c r="J6" s="13">
        <v>100000</v>
      </c>
      <c r="K6" s="13">
        <v>0</v>
      </c>
      <c r="L6" s="13">
        <v>0</v>
      </c>
      <c r="M6" s="13">
        <f t="shared" si="1"/>
        <v>0</v>
      </c>
      <c r="N6" s="13"/>
      <c r="O6" s="14"/>
    </row>
    <row r="7" spans="1:15">
      <c r="A7" s="11">
        <v>5</v>
      </c>
      <c r="B7" s="15" t="s">
        <v>76</v>
      </c>
      <c r="C7" s="15" t="s">
        <v>77</v>
      </c>
      <c r="D7" s="12">
        <v>185</v>
      </c>
      <c r="E7" s="12">
        <v>8</v>
      </c>
      <c r="F7" s="13">
        <v>3000000</v>
      </c>
      <c r="G7" s="13">
        <v>300000</v>
      </c>
      <c r="H7" s="13">
        <v>3</v>
      </c>
      <c r="I7" s="13">
        <f t="shared" si="0"/>
        <v>440000</v>
      </c>
      <c r="J7" s="13">
        <v>100000</v>
      </c>
      <c r="K7" s="13">
        <v>0</v>
      </c>
      <c r="L7" s="13">
        <v>0</v>
      </c>
      <c r="M7" s="13">
        <f t="shared" si="1"/>
        <v>0</v>
      </c>
      <c r="N7" s="13"/>
      <c r="O7" s="14"/>
    </row>
    <row r="8" spans="1:15">
      <c r="A8" s="11">
        <v>6</v>
      </c>
      <c r="B8" s="15" t="s">
        <v>42</v>
      </c>
      <c r="C8" s="15" t="s">
        <v>36</v>
      </c>
      <c r="D8" s="12">
        <v>185</v>
      </c>
      <c r="E8" s="12">
        <v>14</v>
      </c>
      <c r="F8" s="13">
        <v>2196000</v>
      </c>
      <c r="G8" s="13">
        <v>300000</v>
      </c>
      <c r="H8" s="13">
        <v>2</v>
      </c>
      <c r="I8" s="13">
        <f t="shared" si="0"/>
        <v>440000</v>
      </c>
      <c r="J8" s="13">
        <v>100000</v>
      </c>
      <c r="K8" s="13">
        <v>0</v>
      </c>
      <c r="L8" s="13">
        <v>0</v>
      </c>
      <c r="M8" s="13">
        <f t="shared" si="1"/>
        <v>0</v>
      </c>
      <c r="N8" s="13"/>
      <c r="O8" s="14"/>
    </row>
    <row r="9" spans="1:15">
      <c r="A9" s="11">
        <v>7</v>
      </c>
      <c r="B9" s="15" t="s">
        <v>78</v>
      </c>
      <c r="C9" s="15" t="s">
        <v>34</v>
      </c>
      <c r="D9" s="12">
        <v>185</v>
      </c>
      <c r="E9" s="12">
        <v>18</v>
      </c>
      <c r="F9" s="13">
        <v>3900000</v>
      </c>
      <c r="G9" s="13">
        <v>300000</v>
      </c>
      <c r="H9" s="13">
        <v>0</v>
      </c>
      <c r="I9" s="13">
        <f t="shared" si="0"/>
        <v>0</v>
      </c>
      <c r="J9" s="13">
        <v>100000</v>
      </c>
      <c r="K9" s="13">
        <v>0</v>
      </c>
      <c r="L9" s="13">
        <v>0</v>
      </c>
      <c r="M9" s="13">
        <f t="shared" si="1"/>
        <v>0</v>
      </c>
      <c r="N9" s="13"/>
      <c r="O9" s="14"/>
    </row>
    <row r="10" spans="1:15">
      <c r="A10" s="11">
        <v>8</v>
      </c>
      <c r="B10" s="15" t="s">
        <v>79</v>
      </c>
      <c r="C10" s="15" t="s">
        <v>80</v>
      </c>
      <c r="D10" s="12">
        <v>185</v>
      </c>
      <c r="E10" s="12">
        <v>10</v>
      </c>
      <c r="F10" s="13">
        <v>2500000</v>
      </c>
      <c r="G10" s="13">
        <v>300000</v>
      </c>
      <c r="H10" s="13">
        <v>0</v>
      </c>
      <c r="I10" s="13">
        <f t="shared" si="0"/>
        <v>0</v>
      </c>
      <c r="J10" s="13">
        <v>100000</v>
      </c>
      <c r="K10" s="13">
        <v>300000</v>
      </c>
      <c r="L10" s="13">
        <v>0</v>
      </c>
      <c r="M10" s="13">
        <f t="shared" si="1"/>
        <v>0</v>
      </c>
      <c r="N10" s="13"/>
      <c r="O10" s="14"/>
    </row>
    <row r="11" spans="1:15">
      <c r="A11" s="11">
        <v>9</v>
      </c>
      <c r="B11" s="15" t="s">
        <v>28</v>
      </c>
      <c r="C11" s="15" t="s">
        <v>40</v>
      </c>
      <c r="D11" s="12">
        <v>185</v>
      </c>
      <c r="E11" s="12">
        <v>12</v>
      </c>
      <c r="F11" s="13">
        <v>3000000</v>
      </c>
      <c r="G11" s="13">
        <v>300000</v>
      </c>
      <c r="H11" s="13">
        <v>0</v>
      </c>
      <c r="I11" s="13">
        <f t="shared" si="0"/>
        <v>0</v>
      </c>
      <c r="J11" s="13">
        <v>100000</v>
      </c>
      <c r="K11" s="13">
        <v>350000</v>
      </c>
      <c r="L11" s="13">
        <v>0</v>
      </c>
      <c r="M11" s="13">
        <f t="shared" si="1"/>
        <v>0</v>
      </c>
      <c r="N11" s="13"/>
      <c r="O11" s="14"/>
    </row>
    <row r="12" spans="1:15">
      <c r="A12" s="11">
        <v>10</v>
      </c>
      <c r="B12" s="15" t="s">
        <v>29</v>
      </c>
      <c r="C12" s="15" t="s">
        <v>41</v>
      </c>
      <c r="D12" s="12">
        <v>185</v>
      </c>
      <c r="E12" s="12">
        <v>11</v>
      </c>
      <c r="F12" s="13">
        <v>3350000</v>
      </c>
      <c r="G12" s="13">
        <v>300000</v>
      </c>
      <c r="H12" s="13">
        <v>0</v>
      </c>
      <c r="I12" s="13">
        <f t="shared" si="0"/>
        <v>0</v>
      </c>
      <c r="J12" s="13">
        <v>100000</v>
      </c>
      <c r="K12" s="13">
        <v>450000</v>
      </c>
      <c r="L12" s="13">
        <v>0</v>
      </c>
      <c r="M12" s="13">
        <f t="shared" si="1"/>
        <v>0</v>
      </c>
      <c r="N12" s="13"/>
      <c r="O12" s="14"/>
    </row>
    <row r="13" spans="1:15">
      <c r="A13" s="11">
        <v>11</v>
      </c>
      <c r="B13" s="15" t="s">
        <v>24</v>
      </c>
      <c r="C13" s="15" t="s">
        <v>36</v>
      </c>
      <c r="D13" s="12">
        <v>185</v>
      </c>
      <c r="E13" s="12">
        <v>3</v>
      </c>
      <c r="F13" s="13">
        <v>4260000</v>
      </c>
      <c r="G13" s="13">
        <v>300000</v>
      </c>
      <c r="H13" s="13">
        <v>1</v>
      </c>
      <c r="I13" s="13">
        <f t="shared" si="0"/>
        <v>220000</v>
      </c>
      <c r="J13" s="13">
        <v>100000</v>
      </c>
      <c r="K13" s="13">
        <v>0</v>
      </c>
      <c r="L13" s="13">
        <v>0</v>
      </c>
      <c r="M13" s="13">
        <f t="shared" si="1"/>
        <v>0</v>
      </c>
      <c r="N13" s="13"/>
      <c r="O13" s="14"/>
    </row>
    <row r="14" spans="1:15">
      <c r="A14" s="11">
        <v>12</v>
      </c>
      <c r="B14" s="15" t="s">
        <v>25</v>
      </c>
      <c r="C14" s="15" t="s">
        <v>37</v>
      </c>
      <c r="D14" s="12">
        <v>185</v>
      </c>
      <c r="E14" s="12">
        <v>22</v>
      </c>
      <c r="F14" s="13">
        <v>3566000</v>
      </c>
      <c r="G14" s="13">
        <v>300000</v>
      </c>
      <c r="H14" s="13">
        <v>2</v>
      </c>
      <c r="I14" s="13">
        <f t="shared" si="0"/>
        <v>440000</v>
      </c>
      <c r="J14" s="13">
        <v>100000</v>
      </c>
      <c r="K14" s="13">
        <v>0</v>
      </c>
      <c r="L14" s="13">
        <v>0</v>
      </c>
      <c r="M14" s="13">
        <f t="shared" si="1"/>
        <v>0</v>
      </c>
      <c r="N14" s="13"/>
      <c r="O14" s="14"/>
    </row>
    <row r="15" spans="1:15">
      <c r="A15" s="11">
        <v>13</v>
      </c>
      <c r="B15" s="15" t="s">
        <v>27</v>
      </c>
      <c r="C15" s="15" t="s">
        <v>39</v>
      </c>
      <c r="D15" s="12">
        <v>185</v>
      </c>
      <c r="E15" s="12">
        <v>21</v>
      </c>
      <c r="F15" s="13">
        <v>2200000</v>
      </c>
      <c r="G15" s="13">
        <v>300000</v>
      </c>
      <c r="H15" s="13">
        <v>0</v>
      </c>
      <c r="I15" s="13">
        <f t="shared" si="0"/>
        <v>0</v>
      </c>
      <c r="J15" s="13">
        <v>100000</v>
      </c>
      <c r="K15" s="13">
        <v>0</v>
      </c>
      <c r="L15" s="13">
        <v>0</v>
      </c>
      <c r="M15" s="13">
        <f t="shared" si="1"/>
        <v>0</v>
      </c>
      <c r="N15" s="13"/>
      <c r="O15" s="14"/>
    </row>
    <row r="16" spans="1:15">
      <c r="A16" s="11">
        <v>14</v>
      </c>
      <c r="B16" s="15" t="s">
        <v>25</v>
      </c>
      <c r="C16" s="15" t="s">
        <v>38</v>
      </c>
      <c r="D16" s="12">
        <v>185</v>
      </c>
      <c r="E16" s="12">
        <v>10</v>
      </c>
      <c r="F16" s="13">
        <v>2300000</v>
      </c>
      <c r="G16" s="13">
        <v>300000</v>
      </c>
      <c r="H16" s="13">
        <v>2</v>
      </c>
      <c r="I16" s="13">
        <f t="shared" si="0"/>
        <v>440000</v>
      </c>
      <c r="J16" s="13">
        <v>100000</v>
      </c>
      <c r="K16" s="13">
        <v>0</v>
      </c>
      <c r="L16" s="13">
        <v>0</v>
      </c>
      <c r="M16" s="13">
        <f t="shared" si="1"/>
        <v>0</v>
      </c>
      <c r="N16" s="13"/>
      <c r="O16" s="14"/>
    </row>
    <row r="17" spans="1:15">
      <c r="A17" s="11">
        <v>15</v>
      </c>
      <c r="B17" s="15" t="s">
        <v>43</v>
      </c>
      <c r="C17" s="15" t="s">
        <v>44</v>
      </c>
      <c r="D17" s="12">
        <v>185</v>
      </c>
      <c r="E17" s="12">
        <v>15</v>
      </c>
      <c r="F17" s="13">
        <v>2600000</v>
      </c>
      <c r="G17" s="13">
        <v>300000</v>
      </c>
      <c r="H17" s="13">
        <v>1</v>
      </c>
      <c r="I17" s="13">
        <f t="shared" si="0"/>
        <v>220000</v>
      </c>
      <c r="J17" s="13">
        <v>100000</v>
      </c>
      <c r="K17" s="13">
        <v>100000</v>
      </c>
      <c r="L17" s="13">
        <v>0</v>
      </c>
      <c r="M17" s="13">
        <f t="shared" si="1"/>
        <v>0</v>
      </c>
      <c r="N17" s="13"/>
      <c r="O17" s="14"/>
    </row>
    <row r="18" spans="1:15">
      <c r="A18" s="11">
        <v>16</v>
      </c>
      <c r="B18" s="15" t="s">
        <v>30</v>
      </c>
      <c r="C18" s="15" t="s">
        <v>81</v>
      </c>
      <c r="D18" s="12">
        <v>185</v>
      </c>
      <c r="E18" s="12">
        <v>16</v>
      </c>
      <c r="F18" s="13">
        <v>2950000</v>
      </c>
      <c r="G18" s="13">
        <v>300000</v>
      </c>
      <c r="H18" s="13">
        <v>3</v>
      </c>
      <c r="I18" s="13">
        <f t="shared" si="0"/>
        <v>440000</v>
      </c>
      <c r="J18" s="13">
        <v>100000</v>
      </c>
      <c r="K18" s="13">
        <v>200000</v>
      </c>
      <c r="L18" s="13">
        <v>21</v>
      </c>
      <c r="M18" s="13">
        <f t="shared" si="1"/>
        <v>2100000</v>
      </c>
      <c r="N18" s="13"/>
      <c r="O18" s="14"/>
    </row>
    <row r="19" spans="1:15">
      <c r="A19" s="11">
        <v>17</v>
      </c>
      <c r="B19" s="15" t="s">
        <v>26</v>
      </c>
      <c r="C19" s="15" t="s">
        <v>82</v>
      </c>
      <c r="D19" s="12">
        <v>185</v>
      </c>
      <c r="E19" s="12">
        <v>20</v>
      </c>
      <c r="F19" s="13">
        <v>5000000</v>
      </c>
      <c r="G19" s="13">
        <v>300000</v>
      </c>
      <c r="H19" s="13">
        <v>2</v>
      </c>
      <c r="I19" s="13">
        <f t="shared" si="0"/>
        <v>440000</v>
      </c>
      <c r="J19" s="13">
        <v>100000</v>
      </c>
      <c r="K19" s="13">
        <v>150000</v>
      </c>
      <c r="L19" s="13">
        <v>10</v>
      </c>
      <c r="M19" s="13">
        <f t="shared" si="1"/>
        <v>1000000</v>
      </c>
      <c r="N19" s="13"/>
      <c r="O19" s="14"/>
    </row>
    <row r="20" spans="1:15">
      <c r="A20" s="11">
        <v>18</v>
      </c>
      <c r="B20" s="15" t="s">
        <v>83</v>
      </c>
      <c r="C20" s="15" t="s">
        <v>45</v>
      </c>
      <c r="D20" s="12">
        <v>185</v>
      </c>
      <c r="E20" s="12">
        <v>20</v>
      </c>
      <c r="F20" s="13">
        <v>5500000</v>
      </c>
      <c r="G20" s="13">
        <v>300000</v>
      </c>
      <c r="H20" s="13">
        <v>2</v>
      </c>
      <c r="I20" s="13">
        <f t="shared" si="0"/>
        <v>440000</v>
      </c>
      <c r="J20" s="13">
        <v>100000</v>
      </c>
      <c r="K20" s="13">
        <v>0</v>
      </c>
      <c r="L20" s="13">
        <v>12</v>
      </c>
      <c r="M20" s="13">
        <f t="shared" si="1"/>
        <v>1200000</v>
      </c>
      <c r="N20" s="13"/>
      <c r="O20" s="14"/>
    </row>
    <row r="21" spans="1:15">
      <c r="A21" s="11">
        <v>19</v>
      </c>
      <c r="B21" s="15" t="s">
        <v>84</v>
      </c>
      <c r="C21" s="15" t="s">
        <v>46</v>
      </c>
      <c r="D21" s="12">
        <v>185</v>
      </c>
      <c r="E21" s="12">
        <v>21</v>
      </c>
      <c r="F21" s="13">
        <v>2356000</v>
      </c>
      <c r="G21" s="13">
        <v>300000</v>
      </c>
      <c r="H21" s="13">
        <v>1</v>
      </c>
      <c r="I21" s="13">
        <f t="shared" si="0"/>
        <v>220000</v>
      </c>
      <c r="J21" s="13">
        <v>100000</v>
      </c>
      <c r="K21" s="13">
        <v>0</v>
      </c>
      <c r="L21" s="13">
        <v>0</v>
      </c>
      <c r="M21" s="13">
        <f t="shared" si="1"/>
        <v>0</v>
      </c>
      <c r="N21" s="13"/>
      <c r="O21" s="14"/>
    </row>
    <row r="22" spans="1:15">
      <c r="A22" s="11">
        <v>20</v>
      </c>
      <c r="B22" s="15" t="s">
        <v>85</v>
      </c>
      <c r="C22" s="15" t="s">
        <v>47</v>
      </c>
      <c r="D22" s="12">
        <v>185</v>
      </c>
      <c r="E22" s="12">
        <v>22</v>
      </c>
      <c r="F22" s="13">
        <v>2558000</v>
      </c>
      <c r="G22" s="13">
        <v>300000</v>
      </c>
      <c r="H22" s="13">
        <v>0</v>
      </c>
      <c r="I22" s="13">
        <f t="shared" si="0"/>
        <v>0</v>
      </c>
      <c r="J22" s="13">
        <v>100000</v>
      </c>
      <c r="K22" s="13">
        <v>0</v>
      </c>
      <c r="L22" s="13">
        <v>0</v>
      </c>
      <c r="M22" s="13">
        <f t="shared" si="1"/>
        <v>0</v>
      </c>
      <c r="N22" s="13"/>
      <c r="O22" s="14"/>
    </row>
    <row r="24" spans="1:15">
      <c r="A24" s="50" t="s">
        <v>90</v>
      </c>
      <c r="B24" s="50"/>
      <c r="C24" s="51" t="s">
        <v>89</v>
      </c>
      <c r="D24" s="51"/>
    </row>
    <row r="25" spans="1:15">
      <c r="A25" s="50"/>
      <c r="B25" s="50"/>
      <c r="C25" s="51"/>
      <c r="D25" s="51"/>
    </row>
  </sheetData>
  <mergeCells count="5">
    <mergeCell ref="A1:C1"/>
    <mergeCell ref="D1:E1"/>
    <mergeCell ref="F1:N1"/>
    <mergeCell ref="A24:B25"/>
    <mergeCell ref="C24:D25"/>
  </mergeCells>
  <hyperlinks>
    <hyperlink ref="A24:B25" location="'جدول حقوق ودستمزد'!C1" display="جدول حقوق ودستمزد"/>
    <hyperlink ref="C24:D25" location="'فیش حقوقی '!N1" display="فیش حقوقی"/>
  </hyperlink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W27"/>
  <sheetViews>
    <sheetView rightToLeft="1" tabSelected="1" zoomScale="85" zoomScaleNormal="85" workbookViewId="0">
      <selection activeCell="F2" sqref="F2"/>
    </sheetView>
  </sheetViews>
  <sheetFormatPr defaultRowHeight="14.4"/>
  <cols>
    <col min="1" max="1" width="5.6640625" customWidth="1"/>
    <col min="2" max="2" width="8.21875" customWidth="1"/>
    <col min="3" max="3" width="8.88671875" bestFit="1" customWidth="1"/>
    <col min="4" max="4" width="4.5546875" bestFit="1" customWidth="1"/>
    <col min="5" max="5" width="5.44140625" customWidth="1"/>
    <col min="6" max="8" width="9.88671875" bestFit="1" customWidth="1"/>
    <col min="9" max="10" width="8.88671875" bestFit="1" customWidth="1"/>
    <col min="11" max="11" width="12.5546875" bestFit="1" customWidth="1"/>
    <col min="12" max="12" width="8.88671875" bestFit="1" customWidth="1"/>
    <col min="13" max="13" width="9.88671875" bestFit="1" customWidth="1"/>
    <col min="14" max="16" width="15" customWidth="1"/>
    <col min="17" max="17" width="10.5546875" bestFit="1" customWidth="1"/>
    <col min="18" max="19" width="11.6640625" bestFit="1" customWidth="1"/>
    <col min="20" max="20" width="10.5546875" bestFit="1" customWidth="1"/>
    <col min="21" max="21" width="15.44140625" customWidth="1"/>
  </cols>
  <sheetData>
    <row r="1" spans="1:23">
      <c r="A1" s="53">
        <v>4</v>
      </c>
      <c r="C1" s="58" t="s">
        <v>88</v>
      </c>
      <c r="D1" s="51" t="s">
        <v>89</v>
      </c>
      <c r="E1" s="51"/>
      <c r="J1" s="52" t="str">
        <f>CHOOSE(A1,"فــروردین ","اردیـبـهشت","خــــرداد","تـــــــیــر","مـــــــرداد","شهـــــریور","مـــــــــهـــــر","آبـــــــان","آذر","دی ","بـــــــهــمـــن","اســـــفــند")</f>
        <v>تـــــــیــر</v>
      </c>
      <c r="K1" s="52"/>
      <c r="L1" s="52"/>
    </row>
    <row r="2" spans="1:23">
      <c r="A2" s="53"/>
      <c r="C2" s="58"/>
      <c r="D2" s="51"/>
      <c r="E2" s="51"/>
      <c r="J2" s="52"/>
      <c r="K2" s="52"/>
      <c r="L2" s="52"/>
    </row>
    <row r="3" spans="1:23" ht="15" thickBot="1"/>
    <row r="4" spans="1:23" ht="24.6" thickTop="1" thickBot="1">
      <c r="A4" s="54" t="s">
        <v>6</v>
      </c>
      <c r="B4" s="55"/>
      <c r="C4" s="56"/>
      <c r="D4" s="54" t="s">
        <v>8</v>
      </c>
      <c r="E4" s="56"/>
      <c r="F4" s="57" t="s">
        <v>11</v>
      </c>
      <c r="G4" s="57"/>
      <c r="H4" s="57"/>
      <c r="I4" s="57"/>
      <c r="J4" s="57"/>
      <c r="K4" s="57"/>
      <c r="L4" s="57"/>
      <c r="M4" s="57"/>
      <c r="N4" s="69" t="s">
        <v>50</v>
      </c>
      <c r="O4" s="59" t="s">
        <v>91</v>
      </c>
      <c r="P4" s="69" t="s">
        <v>18</v>
      </c>
      <c r="Q4" s="68" t="s">
        <v>13</v>
      </c>
      <c r="R4" s="68"/>
      <c r="S4" s="68"/>
      <c r="T4" s="68"/>
      <c r="U4" s="71" t="s">
        <v>19</v>
      </c>
      <c r="V4" s="73" t="s">
        <v>20</v>
      </c>
      <c r="W4" s="74"/>
    </row>
    <row r="5" spans="1:23" s="1" customFormat="1" ht="33" customHeight="1" thickTop="1" thickBot="1">
      <c r="A5" s="23" t="s">
        <v>2</v>
      </c>
      <c r="B5" s="23" t="s">
        <v>0</v>
      </c>
      <c r="C5" s="23" t="s">
        <v>1</v>
      </c>
      <c r="D5" s="23" t="s">
        <v>9</v>
      </c>
      <c r="E5" s="23" t="s">
        <v>10</v>
      </c>
      <c r="F5" s="23" t="s">
        <v>3</v>
      </c>
      <c r="G5" s="23" t="s">
        <v>7</v>
      </c>
      <c r="H5" s="28" t="s">
        <v>4</v>
      </c>
      <c r="I5" s="23" t="s">
        <v>5</v>
      </c>
      <c r="J5" s="23" t="s">
        <v>73</v>
      </c>
      <c r="K5" s="23" t="s">
        <v>48</v>
      </c>
      <c r="L5" s="23" t="s">
        <v>49</v>
      </c>
      <c r="M5" s="23" t="s">
        <v>12</v>
      </c>
      <c r="N5" s="70"/>
      <c r="O5" s="60"/>
      <c r="P5" s="70"/>
      <c r="Q5" s="23" t="s">
        <v>16</v>
      </c>
      <c r="R5" s="23" t="s">
        <v>17</v>
      </c>
      <c r="S5" s="23" t="s">
        <v>15</v>
      </c>
      <c r="T5" s="23" t="s">
        <v>14</v>
      </c>
      <c r="U5" s="72"/>
      <c r="V5" s="75"/>
      <c r="W5" s="76"/>
    </row>
    <row r="6" spans="1:23" ht="21" customHeight="1" thickTop="1">
      <c r="A6" s="16">
        <v>1</v>
      </c>
      <c r="B6" s="32" t="str">
        <f>CHOOSE(A6,'جدول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امین </v>
      </c>
      <c r="C6" s="18" t="str">
        <f>CHOOSE(A6,'جدول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حیدر پور </v>
      </c>
      <c r="D6" s="20">
        <f>VLOOKUP(A6,'جدول داده ها'!$A$3:$O$22,4,FALSE)</f>
        <v>185</v>
      </c>
      <c r="E6" s="37">
        <f>VLOOKUP(A6,'جدول داده ها'!$A$3:$O$22,5,FALSE)</f>
        <v>20</v>
      </c>
      <c r="F6" s="35">
        <f>VLOOKUP(A6,'جدول داده ها'!$A$3:$O$22,6,FALSE)</f>
        <v>4500000</v>
      </c>
      <c r="G6" s="34">
        <f>(F6/220)*E6</f>
        <v>409090.90909090912</v>
      </c>
      <c r="H6" s="34">
        <f>VLOOKUP(A6,'جدول داده ها'!$A$3:$O$22,7,FALSE)</f>
        <v>300000</v>
      </c>
      <c r="I6" s="34">
        <f>(VLOOKUP(A6,'جدول داده ها'!$A$3:$O$22,9,FALSE))</f>
        <v>220000</v>
      </c>
      <c r="J6" s="34">
        <f>(VLOOKUP(A6,'جدول داده ها'!$A$3:$O$22,10,FALSE))</f>
        <v>100000</v>
      </c>
      <c r="K6" s="34">
        <f>VLOOKUP(A6,'جدول داده ها'!$A$3:$O$22,11,FALSE)</f>
        <v>500000</v>
      </c>
      <c r="L6" s="34">
        <f>VLOOKUP(A6,'جدول داده ها'!$A$3:$O$22,13,FALSE)</f>
        <v>1000000</v>
      </c>
      <c r="M6" s="34">
        <f>VLOOKUP(A6,'جدول داده ها'!$A$3:$O$22,14,FALSE)</f>
        <v>0</v>
      </c>
      <c r="N6" s="34">
        <f>SUM(F6:K6,M6)</f>
        <v>6029090.9090909092</v>
      </c>
      <c r="O6" s="34">
        <f>SUM(F6:H6,K6,M6)</f>
        <v>5709090.9090909092</v>
      </c>
      <c r="P6" s="34">
        <f>SUM(F6:M6)</f>
        <v>7029090.9090909092</v>
      </c>
      <c r="Q6" s="34">
        <f>IF(AND(N6&gt;2450000,N6&lt;=5950000),(N6-(2450000))*0.1,IF(AND(N6&gt;5950000,N6&lt;=10783333),(N6-(5950000))*0.2+(350000),IF(AND(N6&gt;10783333,N6&lt;=23283333),(N6-(10783333))*0.25+(1316667),IF(AND(N6&gt;23283333,N6&lt;=1000000000),(N6-(23283333))*0.3+(4441667),0))))</f>
        <v>365818.18181818182</v>
      </c>
      <c r="R6" s="34">
        <f>VLOOKUP(A6,'جدول داده ها'!$A$3:$O$22,15,FALSE)</f>
        <v>0</v>
      </c>
      <c r="S6" s="34">
        <f>IF(AND(O6&gt;1,O6&lt;=15372000),O6*0.23,3535560)</f>
        <v>1313090.9090909092</v>
      </c>
      <c r="T6" s="34">
        <f>IF(AND(O6&gt;1,O6&lt;=15372000),O6*0.07,1076040)</f>
        <v>399636.36363636371</v>
      </c>
      <c r="U6" s="34">
        <f>SUM(Q6:R6,T6)</f>
        <v>765454.54545454553</v>
      </c>
      <c r="V6" s="77">
        <f>P6-U6</f>
        <v>6263636.3636363633</v>
      </c>
      <c r="W6" s="78"/>
    </row>
    <row r="7" spans="1:23" ht="21" customHeight="1">
      <c r="A7" s="17">
        <v>2</v>
      </c>
      <c r="B7" s="33" t="str">
        <f>CHOOSE(A7,'جدول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فرشید</v>
      </c>
      <c r="C7" s="19" t="str">
        <f>CHOOSE(A7,'جدول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میدانی</v>
      </c>
      <c r="D7" s="21">
        <f>VLOOKUP(A7,'جدول داده ها'!$A$3:$E$22,4,FALSE)</f>
        <v>185</v>
      </c>
      <c r="E7" s="38">
        <f>VLOOKUP(A7,'جدول داده ها'!$A$3:$E$22,5,FALSE)</f>
        <v>21</v>
      </c>
      <c r="F7" s="36">
        <f>VLOOKUP(A7,'جدول داده ها'!$A$3:$O$22,6,FALSE)</f>
        <v>3500000</v>
      </c>
      <c r="G7" s="30">
        <f t="shared" ref="G7:G25" si="0">(F7/220)*E7</f>
        <v>334090.90909090912</v>
      </c>
      <c r="H7" s="30">
        <f>VLOOKUP(A7,'جدول داده ها'!$A$3:$O$22,7,FALSE)</f>
        <v>300000</v>
      </c>
      <c r="I7" s="30">
        <f>(VLOOKUP(A7,'جدول داده ها'!$A$3:$O$22,9,FALSE))</f>
        <v>440000</v>
      </c>
      <c r="J7" s="30">
        <f>(VLOOKUP(A7,'جدول داده ها'!$A$3:$O$22,10,FALSE))</f>
        <v>100000</v>
      </c>
      <c r="K7" s="30">
        <f>VLOOKUP(A7,'جدول داده ها'!$A$3:$O$22,11,FALSE)</f>
        <v>550000</v>
      </c>
      <c r="L7" s="30">
        <f>VLOOKUP(A7,'جدول داده ها'!$A$3:$O$22,13,FALSE)</f>
        <v>500000</v>
      </c>
      <c r="M7" s="30">
        <f>VLOOKUP(A7,'جدول داده ها'!$A$3:$O$22,14,FALSE)</f>
        <v>0</v>
      </c>
      <c r="N7" s="30">
        <f t="shared" ref="N7:N16" si="1">SUM(F7:K7,M7)</f>
        <v>5224090.9090909092</v>
      </c>
      <c r="O7" s="30">
        <f>SUM(F7:H7,K7,M7)</f>
        <v>4684090.9090909092</v>
      </c>
      <c r="P7" s="30">
        <f t="shared" ref="P7:P25" si="2">SUM(F7:M7)</f>
        <v>5724090.9090909092</v>
      </c>
      <c r="Q7" s="30">
        <f>IF(AND(N7&gt;2450000,N7&lt;=5950000),(N7-(2450000))*0.1,IF(AND(N7&gt;5950000,N7&lt;=10783333),(N7-(5950000))*0.2+(350000),IF(AND(N7&gt;10783333,N7&lt;=23283333),(N7-(10783333))*0.25+(1316667),IF(AND(N7&gt;23283333,N7&lt;=1000000000),(N7-(23283333))*0.3+(4441667),0))))</f>
        <v>277409.09090909094</v>
      </c>
      <c r="R7" s="30">
        <f>VLOOKUP(A7,'جدول داده ها'!$A$3:$O$22,15,FALSE)</f>
        <v>0</v>
      </c>
      <c r="S7" s="30">
        <f t="shared" ref="S7:S25" si="3">IF(AND(O7&gt;1,O7&lt;=15372000),O7*0.23,3535560)</f>
        <v>1077340.9090909092</v>
      </c>
      <c r="T7" s="30">
        <f t="shared" ref="T7:T25" si="4">IF(AND(O7&gt;1,O7&lt;=15372000),O7*0.07,1076040)</f>
        <v>327886.36363636365</v>
      </c>
      <c r="U7" s="30">
        <f t="shared" ref="U7:U24" si="5">SUM(Q7:R7,T7)</f>
        <v>605295.45454545459</v>
      </c>
      <c r="V7" s="61">
        <f t="shared" ref="V7:V25" si="6">P7-U7</f>
        <v>5118795.4545454551</v>
      </c>
      <c r="W7" s="62"/>
    </row>
    <row r="8" spans="1:23" ht="21" customHeight="1">
      <c r="A8" s="17">
        <v>3</v>
      </c>
      <c r="B8" s="33" t="str">
        <f>CHOOSE(A8,'جدول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بهرام </v>
      </c>
      <c r="C8" s="19" t="str">
        <f>CHOOSE(A8,'جدول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صمدیان</v>
      </c>
      <c r="D8" s="21">
        <f>VLOOKUP(A8,'جدول داده ها'!$A$3:$E$22,4,FALSE)</f>
        <v>185</v>
      </c>
      <c r="E8" s="38">
        <f>VLOOKUP(A8,'جدول داده ها'!$A$3:$E$22,5,FALSE)</f>
        <v>15</v>
      </c>
      <c r="F8" s="36">
        <f>VLOOKUP(A8,'جدول داده ها'!$A$3:$O$22,6,FALSE)</f>
        <v>2500000</v>
      </c>
      <c r="G8" s="30">
        <f t="shared" si="0"/>
        <v>170454.54545454547</v>
      </c>
      <c r="H8" s="30">
        <f>VLOOKUP(A8,'جدول داده ها'!$A$3:$O$22,7,FALSE)</f>
        <v>300000</v>
      </c>
      <c r="I8" s="30">
        <f>(VLOOKUP(A8,'جدول داده ها'!$A$3:$O$22,9,FALSE))</f>
        <v>220000</v>
      </c>
      <c r="J8" s="30">
        <f>(VLOOKUP(A8,'جدول داده ها'!$A$3:$O$22,10,FALSE))</f>
        <v>100000</v>
      </c>
      <c r="K8" s="30">
        <f>VLOOKUP(A8,'جدول داده ها'!$A$3:$O$22,11,FALSE)</f>
        <v>200000</v>
      </c>
      <c r="L8" s="30">
        <f>VLOOKUP(A8,'جدول داده ها'!$A$3:$O$22,13,FALSE)</f>
        <v>0</v>
      </c>
      <c r="M8" s="30">
        <f>VLOOKUP(A8,'جدول داده ها'!$A$3:$O$22,14,FALSE)</f>
        <v>0</v>
      </c>
      <c r="N8" s="30">
        <f t="shared" si="1"/>
        <v>3490454.5454545454</v>
      </c>
      <c r="O8" s="31">
        <f t="shared" ref="O8:O24" si="7">SUM(F8:H8,K8,M8)</f>
        <v>3170454.5454545454</v>
      </c>
      <c r="P8" s="30">
        <f t="shared" si="2"/>
        <v>3490454.5454545454</v>
      </c>
      <c r="Q8" s="30">
        <f t="shared" ref="Q8:Q25" si="8">IF(AND(N8&gt;2450000,N8&lt;=5950000),(N8-(2450000))*0.1,IF(AND(N8&gt;5950000,N8&lt;=10783333),(N8-(5950000))*0.2+(350000),IF(AND(N8&gt;10783333,N8&lt;=23283333),(N8-(10783333))*0.25+(1316667),IF(AND(N8&gt;23283333,N8&lt;=1000000000),(N8-(23283333))*0.3+(4441667),0))))</f>
        <v>104045.45454545454</v>
      </c>
      <c r="R8" s="30">
        <f>VLOOKUP(A8,'جدول داده ها'!$A$3:$O$22,15,FALSE)</f>
        <v>0</v>
      </c>
      <c r="S8" s="30">
        <f t="shared" si="3"/>
        <v>729204.54545454553</v>
      </c>
      <c r="T8" s="30">
        <f t="shared" si="4"/>
        <v>221931.81818181821</v>
      </c>
      <c r="U8" s="30">
        <f t="shared" si="5"/>
        <v>325977.27272727276</v>
      </c>
      <c r="V8" s="61">
        <f t="shared" si="6"/>
        <v>3164477.2727272725</v>
      </c>
      <c r="W8" s="62"/>
    </row>
    <row r="9" spans="1:23" ht="21" customHeight="1">
      <c r="A9" s="17">
        <v>4</v>
      </c>
      <c r="B9" s="33" t="str">
        <f>CHOOSE(A9,'جدول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بیژن </v>
      </c>
      <c r="C9" s="19" t="str">
        <f>CHOOSE(A9,'جدول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باقری نژاد</v>
      </c>
      <c r="D9" s="21">
        <f>VLOOKUP(A9,'جدول داده ها'!$A$3:$E$22,4,FALSE)</f>
        <v>185</v>
      </c>
      <c r="E9" s="38">
        <f>VLOOKUP(A9,'جدول داده ها'!$A$3:$E$22,5,FALSE)</f>
        <v>6</v>
      </c>
      <c r="F9" s="36">
        <f>VLOOKUP(A9,'جدول داده ها'!$A$3:$O$22,6,FALSE)</f>
        <v>4000000</v>
      </c>
      <c r="G9" s="30">
        <f t="shared" si="0"/>
        <v>109090.90909090909</v>
      </c>
      <c r="H9" s="30">
        <f>VLOOKUP(A9,'جدول داده ها'!$A$3:$O$22,7,FALSE)</f>
        <v>300000</v>
      </c>
      <c r="I9" s="30">
        <f>(VLOOKUP(A9,'جدول داده ها'!$A$3:$O$22,9,FALSE))</f>
        <v>0</v>
      </c>
      <c r="J9" s="30">
        <f>(VLOOKUP(A9,'جدول داده ها'!$A$3:$O$22,10,FALSE))</f>
        <v>100000</v>
      </c>
      <c r="K9" s="30">
        <f>VLOOKUP(A9,'جدول داده ها'!$A$3:$O$22,11,FALSE)</f>
        <v>0</v>
      </c>
      <c r="L9" s="30">
        <f>VLOOKUP(A9,'جدول داده ها'!$A$3:$O$22,13,FALSE)</f>
        <v>0</v>
      </c>
      <c r="M9" s="30">
        <f>VLOOKUP(A9,'جدول داده ها'!$A$3:$O$22,14,FALSE)</f>
        <v>0</v>
      </c>
      <c r="N9" s="30">
        <f t="shared" si="1"/>
        <v>4509090.9090909092</v>
      </c>
      <c r="O9" s="31">
        <f t="shared" si="7"/>
        <v>4409090.9090909092</v>
      </c>
      <c r="P9" s="30">
        <f t="shared" si="2"/>
        <v>4509090.9090909092</v>
      </c>
      <c r="Q9" s="30">
        <f t="shared" si="8"/>
        <v>205909.09090909094</v>
      </c>
      <c r="R9" s="30">
        <f>VLOOKUP(A9,'جدول داده ها'!$A$3:$O$22,15,FALSE)</f>
        <v>0</v>
      </c>
      <c r="S9" s="30">
        <f t="shared" si="3"/>
        <v>1014090.9090909092</v>
      </c>
      <c r="T9" s="30">
        <f t="shared" si="4"/>
        <v>308636.36363636365</v>
      </c>
      <c r="U9" s="30">
        <f t="shared" si="5"/>
        <v>514545.45454545459</v>
      </c>
      <c r="V9" s="61">
        <f t="shared" si="6"/>
        <v>3994545.4545454546</v>
      </c>
      <c r="W9" s="62"/>
    </row>
    <row r="10" spans="1:23" ht="21" customHeight="1">
      <c r="A10" s="17">
        <v>5</v>
      </c>
      <c r="B10" s="33" t="str">
        <f>CHOOSE(A10,'جدول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فرشاد</v>
      </c>
      <c r="C10" s="19" t="str">
        <f>CHOOSE(A10,'جدول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 بیات </v>
      </c>
      <c r="D10" s="21">
        <f>VLOOKUP(A10,'جدول داده ها'!$A$3:$E$22,4,FALSE)</f>
        <v>185</v>
      </c>
      <c r="E10" s="38">
        <f>VLOOKUP(A10,'جدول داده ها'!$A$3:$E$22,5,FALSE)</f>
        <v>8</v>
      </c>
      <c r="F10" s="36">
        <f>VLOOKUP(A10,'جدول داده ها'!$A$3:$O$22,6,FALSE)</f>
        <v>3000000</v>
      </c>
      <c r="G10" s="30">
        <f t="shared" si="0"/>
        <v>109090.90909090909</v>
      </c>
      <c r="H10" s="30">
        <f>VLOOKUP(A10,'جدول داده ها'!$A$3:$O$22,7,FALSE)</f>
        <v>300000</v>
      </c>
      <c r="I10" s="30">
        <f>(VLOOKUP(A10,'جدول داده ها'!$A$3:$O$22,9,FALSE))</f>
        <v>440000</v>
      </c>
      <c r="J10" s="30">
        <f>(VLOOKUP(A10,'جدول داده ها'!$A$3:$O$22,10,FALSE))</f>
        <v>100000</v>
      </c>
      <c r="K10" s="30">
        <f>VLOOKUP(A10,'جدول داده ها'!$A$3:$O$22,11,FALSE)</f>
        <v>0</v>
      </c>
      <c r="L10" s="30">
        <f>VLOOKUP(A10,'جدول داده ها'!$A$3:$O$22,13,FALSE)</f>
        <v>0</v>
      </c>
      <c r="M10" s="30">
        <f>VLOOKUP(A10,'جدول داده ها'!$A$3:$O$22,14,FALSE)</f>
        <v>0</v>
      </c>
      <c r="N10" s="30">
        <f t="shared" si="1"/>
        <v>3949090.9090909092</v>
      </c>
      <c r="O10" s="31">
        <f t="shared" si="7"/>
        <v>3409090.9090909092</v>
      </c>
      <c r="P10" s="30">
        <f t="shared" si="2"/>
        <v>3949090.9090909092</v>
      </c>
      <c r="Q10" s="30">
        <f t="shared" si="8"/>
        <v>149909.09090909091</v>
      </c>
      <c r="R10" s="30">
        <f>VLOOKUP(A10,'جدول داده ها'!$A$3:$O$22,15,FALSE)</f>
        <v>0</v>
      </c>
      <c r="S10" s="30">
        <f t="shared" si="3"/>
        <v>784090.90909090918</v>
      </c>
      <c r="T10" s="30">
        <f t="shared" si="4"/>
        <v>238636.36363636368</v>
      </c>
      <c r="U10" s="30">
        <f t="shared" si="5"/>
        <v>388545.45454545459</v>
      </c>
      <c r="V10" s="61">
        <f t="shared" si="6"/>
        <v>3560545.4545454546</v>
      </c>
      <c r="W10" s="62"/>
    </row>
    <row r="11" spans="1:23" ht="21" customHeight="1">
      <c r="A11" s="17">
        <v>6</v>
      </c>
      <c r="B11" s="33" t="str">
        <f>CHOOSE(A11,'جدول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محمد </v>
      </c>
      <c r="C11" s="19" t="str">
        <f>CHOOSE(A11,'جدول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مقدم</v>
      </c>
      <c r="D11" s="21">
        <f>VLOOKUP(A11,'جدول داده ها'!$A$3:$E$22,4,FALSE)</f>
        <v>185</v>
      </c>
      <c r="E11" s="38">
        <f>VLOOKUP(A11,'جدول داده ها'!$A$3:$E$22,5,FALSE)</f>
        <v>14</v>
      </c>
      <c r="F11" s="36">
        <f>VLOOKUP(A11,'جدول داده ها'!$A$3:$O$22,6,FALSE)</f>
        <v>2196000</v>
      </c>
      <c r="G11" s="30">
        <f t="shared" si="0"/>
        <v>139745.45454545456</v>
      </c>
      <c r="H11" s="30">
        <f>VLOOKUP(A11,'جدول داده ها'!$A$3:$O$22,7,FALSE)</f>
        <v>300000</v>
      </c>
      <c r="I11" s="30">
        <f>(VLOOKUP(A11,'جدول داده ها'!$A$3:$O$22,9,FALSE))</f>
        <v>440000</v>
      </c>
      <c r="J11" s="30">
        <f>(VLOOKUP(A11,'جدول داده ها'!$A$3:$O$22,10,FALSE))</f>
        <v>100000</v>
      </c>
      <c r="K11" s="30">
        <f>VLOOKUP(A11,'جدول داده ها'!$A$3:$O$22,11,FALSE)</f>
        <v>0</v>
      </c>
      <c r="L11" s="30">
        <f>VLOOKUP(A11,'جدول داده ها'!$A$3:$O$22,13,FALSE)</f>
        <v>0</v>
      </c>
      <c r="M11" s="30">
        <f>VLOOKUP(A11,'جدول داده ها'!$A$3:$O$22,14,FALSE)</f>
        <v>0</v>
      </c>
      <c r="N11" s="30">
        <f t="shared" si="1"/>
        <v>3175745.4545454546</v>
      </c>
      <c r="O11" s="31">
        <f t="shared" si="7"/>
        <v>2635745.4545454546</v>
      </c>
      <c r="P11" s="30">
        <f t="shared" si="2"/>
        <v>3175745.4545454546</v>
      </c>
      <c r="Q11" s="30">
        <f t="shared" si="8"/>
        <v>72574.545454545456</v>
      </c>
      <c r="R11" s="30">
        <f>VLOOKUP(A11,'جدول داده ها'!$A$3:$O$22,15,FALSE)</f>
        <v>0</v>
      </c>
      <c r="S11" s="30">
        <f t="shared" si="3"/>
        <v>606221.45454545459</v>
      </c>
      <c r="T11" s="30">
        <f t="shared" si="4"/>
        <v>184502.18181818185</v>
      </c>
      <c r="U11" s="30">
        <f t="shared" si="5"/>
        <v>257076.72727272729</v>
      </c>
      <c r="V11" s="61">
        <f t="shared" si="6"/>
        <v>2918668.7272727275</v>
      </c>
      <c r="W11" s="62"/>
    </row>
    <row r="12" spans="1:23" ht="21" customHeight="1">
      <c r="A12" s="17">
        <v>7</v>
      </c>
      <c r="B12" s="33" t="str">
        <f>CHOOSE(A12,'جدول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محمد رضا </v>
      </c>
      <c r="C12" s="19" t="str">
        <f>CHOOSE(A12,'جدول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نیکنام</v>
      </c>
      <c r="D12" s="21">
        <f>VLOOKUP(A12,'جدول داده ها'!$A$3:$E$22,4,FALSE)</f>
        <v>185</v>
      </c>
      <c r="E12" s="38">
        <f>VLOOKUP(A12,'جدول داده ها'!$A$3:$E$22,5,FALSE)</f>
        <v>18</v>
      </c>
      <c r="F12" s="36">
        <f>VLOOKUP(A12,'جدول داده ها'!$A$3:$O$22,6,FALSE)</f>
        <v>3900000</v>
      </c>
      <c r="G12" s="30">
        <f t="shared" si="0"/>
        <v>319090.90909090912</v>
      </c>
      <c r="H12" s="30">
        <f>VLOOKUP(A12,'جدول داده ها'!$A$3:$O$22,7,FALSE)</f>
        <v>300000</v>
      </c>
      <c r="I12" s="30">
        <f>(VLOOKUP(A12,'جدول داده ها'!$A$3:$O$22,9,FALSE))</f>
        <v>0</v>
      </c>
      <c r="J12" s="30">
        <f>(VLOOKUP(A12,'جدول داده ها'!$A$3:$O$22,10,FALSE))</f>
        <v>100000</v>
      </c>
      <c r="K12" s="30">
        <f>VLOOKUP(A12,'جدول داده ها'!$A$3:$O$22,11,FALSE)</f>
        <v>0</v>
      </c>
      <c r="L12" s="30">
        <f>VLOOKUP(A12,'جدول داده ها'!$A$3:$O$22,13,FALSE)</f>
        <v>0</v>
      </c>
      <c r="M12" s="30">
        <f>VLOOKUP(A12,'جدول داده ها'!$A$3:$O$22,14,FALSE)</f>
        <v>0</v>
      </c>
      <c r="N12" s="30">
        <f t="shared" si="1"/>
        <v>4619090.9090909092</v>
      </c>
      <c r="O12" s="31">
        <f t="shared" si="7"/>
        <v>4519090.9090909092</v>
      </c>
      <c r="P12" s="30">
        <f t="shared" si="2"/>
        <v>4619090.9090909092</v>
      </c>
      <c r="Q12" s="30">
        <f t="shared" si="8"/>
        <v>216909.09090909094</v>
      </c>
      <c r="R12" s="30">
        <f>VLOOKUP(A12,'جدول داده ها'!$A$3:$O$22,15,FALSE)</f>
        <v>0</v>
      </c>
      <c r="S12" s="30">
        <f t="shared" si="3"/>
        <v>1039390.9090909092</v>
      </c>
      <c r="T12" s="30">
        <f t="shared" si="4"/>
        <v>316336.36363636365</v>
      </c>
      <c r="U12" s="30">
        <f t="shared" si="5"/>
        <v>533245.45454545459</v>
      </c>
      <c r="V12" s="61">
        <f t="shared" si="6"/>
        <v>4085845.4545454546</v>
      </c>
      <c r="W12" s="62"/>
    </row>
    <row r="13" spans="1:23" ht="21" customHeight="1">
      <c r="A13" s="17">
        <v>8</v>
      </c>
      <c r="B13" s="33" t="str">
        <f>CHOOSE(A13,'جدول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امیر </v>
      </c>
      <c r="C13" s="19" t="str">
        <f>CHOOSE(A13,'جدول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خلیلی</v>
      </c>
      <c r="D13" s="21">
        <f>VLOOKUP(A13,'جدول داده ها'!$A$3:$E$22,4,FALSE)</f>
        <v>185</v>
      </c>
      <c r="E13" s="38">
        <f>VLOOKUP(A13,'جدول داده ها'!$A$3:$E$22,5,FALSE)</f>
        <v>10</v>
      </c>
      <c r="F13" s="36">
        <f>VLOOKUP(A13,'جدول داده ها'!$A$3:$O$22,6,FALSE)</f>
        <v>2500000</v>
      </c>
      <c r="G13" s="30">
        <f t="shared" si="0"/>
        <v>113636.36363636365</v>
      </c>
      <c r="H13" s="30">
        <f>VLOOKUP(A13,'جدول داده ها'!$A$3:$O$22,7,FALSE)</f>
        <v>300000</v>
      </c>
      <c r="I13" s="30">
        <f>(VLOOKUP(A13,'جدول داده ها'!$A$3:$O$22,9,FALSE))</f>
        <v>0</v>
      </c>
      <c r="J13" s="30">
        <f>(VLOOKUP(A13,'جدول داده ها'!$A$3:$O$22,10,FALSE))</f>
        <v>100000</v>
      </c>
      <c r="K13" s="30">
        <f>VLOOKUP(A13,'جدول داده ها'!$A$3:$O$22,11,FALSE)</f>
        <v>300000</v>
      </c>
      <c r="L13" s="30">
        <f>VLOOKUP(A13,'جدول داده ها'!$A$3:$O$22,13,FALSE)</f>
        <v>0</v>
      </c>
      <c r="M13" s="30">
        <f>VLOOKUP(A13,'جدول داده ها'!$A$3:$O$22,14,FALSE)</f>
        <v>0</v>
      </c>
      <c r="N13" s="30">
        <f t="shared" si="1"/>
        <v>3313636.3636363638</v>
      </c>
      <c r="O13" s="31">
        <f t="shared" si="7"/>
        <v>3213636.3636363638</v>
      </c>
      <c r="P13" s="30">
        <f t="shared" si="2"/>
        <v>3313636.3636363638</v>
      </c>
      <c r="Q13" s="30">
        <f t="shared" si="8"/>
        <v>86363.636363636382</v>
      </c>
      <c r="R13" s="30">
        <f>VLOOKUP(A13,'جدول داده ها'!$A$3:$O$22,15,FALSE)</f>
        <v>0</v>
      </c>
      <c r="S13" s="30">
        <f t="shared" si="3"/>
        <v>739136.36363636365</v>
      </c>
      <c r="T13" s="30">
        <f t="shared" si="4"/>
        <v>224954.54545454547</v>
      </c>
      <c r="U13" s="30">
        <f t="shared" si="5"/>
        <v>311318.18181818188</v>
      </c>
      <c r="V13" s="61">
        <f t="shared" si="6"/>
        <v>3002318.1818181816</v>
      </c>
      <c r="W13" s="62"/>
    </row>
    <row r="14" spans="1:23" ht="21" customHeight="1">
      <c r="A14" s="17">
        <v>9</v>
      </c>
      <c r="B14" s="33" t="str">
        <f>CHOOSE(A14,'جدول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کوروش</v>
      </c>
      <c r="C14" s="19" t="str">
        <f>CHOOSE(A14,'جدول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بزرگ</v>
      </c>
      <c r="D14" s="21">
        <f>VLOOKUP(A14,'جدول داده ها'!$A$3:$E$22,4,FALSE)</f>
        <v>185</v>
      </c>
      <c r="E14" s="38">
        <f>VLOOKUP(A14,'جدول داده ها'!$A$3:$E$22,5,FALSE)</f>
        <v>12</v>
      </c>
      <c r="F14" s="36">
        <f>VLOOKUP(A14,'جدول داده ها'!$A$3:$O$22,6,FALSE)</f>
        <v>3000000</v>
      </c>
      <c r="G14" s="30">
        <f t="shared" si="0"/>
        <v>163636.36363636365</v>
      </c>
      <c r="H14" s="30">
        <f>VLOOKUP(A14,'جدول داده ها'!$A$3:$O$22,7,FALSE)</f>
        <v>300000</v>
      </c>
      <c r="I14" s="30">
        <f>(VLOOKUP(A14,'جدول داده ها'!$A$3:$O$22,9,FALSE))</f>
        <v>0</v>
      </c>
      <c r="J14" s="30">
        <f>(VLOOKUP(A14,'جدول داده ها'!$A$3:$O$22,10,FALSE))</f>
        <v>100000</v>
      </c>
      <c r="K14" s="30">
        <f>VLOOKUP(A14,'جدول داده ها'!$A$3:$O$22,11,FALSE)</f>
        <v>350000</v>
      </c>
      <c r="L14" s="30">
        <f>VLOOKUP(A14,'جدول داده ها'!$A$3:$O$22,13,FALSE)</f>
        <v>0</v>
      </c>
      <c r="M14" s="30">
        <f>VLOOKUP(A14,'جدول داده ها'!$A$3:$O$22,14,FALSE)</f>
        <v>0</v>
      </c>
      <c r="N14" s="30">
        <f t="shared" si="1"/>
        <v>3913636.3636363638</v>
      </c>
      <c r="O14" s="31">
        <f t="shared" si="7"/>
        <v>3813636.3636363638</v>
      </c>
      <c r="P14" s="30">
        <f t="shared" si="2"/>
        <v>3913636.3636363638</v>
      </c>
      <c r="Q14" s="30">
        <f t="shared" si="8"/>
        <v>146363.63636363638</v>
      </c>
      <c r="R14" s="30">
        <f>VLOOKUP(A14,'جدول داده ها'!$A$3:$O$22,15,FALSE)</f>
        <v>0</v>
      </c>
      <c r="S14" s="30">
        <f t="shared" si="3"/>
        <v>877136.36363636365</v>
      </c>
      <c r="T14" s="30">
        <f t="shared" si="4"/>
        <v>266954.54545454547</v>
      </c>
      <c r="U14" s="30">
        <f t="shared" si="5"/>
        <v>413318.18181818188</v>
      </c>
      <c r="V14" s="61">
        <f t="shared" si="6"/>
        <v>3500318.1818181816</v>
      </c>
      <c r="W14" s="62"/>
    </row>
    <row r="15" spans="1:23" ht="21" customHeight="1">
      <c r="A15" s="17">
        <v>10</v>
      </c>
      <c r="B15" s="33" t="str">
        <f>CHOOSE(A15,'جدول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داریوش</v>
      </c>
      <c r="C15" s="19" t="str">
        <f>CHOOSE(A15,'جدول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ایرانی </v>
      </c>
      <c r="D15" s="21">
        <f>VLOOKUP(A15,'جدول داده ها'!$A$3:$E$22,4,FALSE)</f>
        <v>185</v>
      </c>
      <c r="E15" s="38">
        <f>VLOOKUP(A15,'جدول داده ها'!$A$3:$E$22,5,FALSE)</f>
        <v>11</v>
      </c>
      <c r="F15" s="36">
        <f>VLOOKUP(A15,'جدول داده ها'!$A$3:$O$22,6,FALSE)</f>
        <v>3350000</v>
      </c>
      <c r="G15" s="30">
        <f t="shared" si="0"/>
        <v>167500</v>
      </c>
      <c r="H15" s="30">
        <f>VLOOKUP(A15,'جدول داده ها'!$A$3:$O$22,7,FALSE)</f>
        <v>300000</v>
      </c>
      <c r="I15" s="30">
        <f>(VLOOKUP(A15,'جدول داده ها'!$A$3:$O$22,9,FALSE))</f>
        <v>0</v>
      </c>
      <c r="J15" s="30">
        <f>(VLOOKUP(A15,'جدول داده ها'!$A$3:$O$22,10,FALSE))</f>
        <v>100000</v>
      </c>
      <c r="K15" s="30">
        <f>VLOOKUP(A15,'جدول داده ها'!$A$3:$O$22,11,FALSE)</f>
        <v>450000</v>
      </c>
      <c r="L15" s="30">
        <f>VLOOKUP(A15,'جدول داده ها'!$A$3:$O$22,13,FALSE)</f>
        <v>0</v>
      </c>
      <c r="M15" s="30">
        <f>VLOOKUP(A15,'جدول داده ها'!$A$3:$O$22,14,FALSE)</f>
        <v>0</v>
      </c>
      <c r="N15" s="30">
        <f t="shared" si="1"/>
        <v>4367500</v>
      </c>
      <c r="O15" s="31">
        <f t="shared" si="7"/>
        <v>4267500</v>
      </c>
      <c r="P15" s="30">
        <f t="shared" si="2"/>
        <v>4367500</v>
      </c>
      <c r="Q15" s="30">
        <f t="shared" si="8"/>
        <v>191750</v>
      </c>
      <c r="R15" s="30">
        <f>VLOOKUP(A15,'جدول داده ها'!$A$3:$O$22,15,FALSE)</f>
        <v>0</v>
      </c>
      <c r="S15" s="30">
        <f t="shared" si="3"/>
        <v>981525</v>
      </c>
      <c r="T15" s="30">
        <f t="shared" si="4"/>
        <v>298725</v>
      </c>
      <c r="U15" s="30">
        <f t="shared" si="5"/>
        <v>490475</v>
      </c>
      <c r="V15" s="61">
        <f t="shared" si="6"/>
        <v>3877025</v>
      </c>
      <c r="W15" s="62"/>
    </row>
    <row r="16" spans="1:23" ht="21" customHeight="1">
      <c r="A16" s="17">
        <v>11</v>
      </c>
      <c r="B16" s="33" t="str">
        <f>CHOOSE(A16,'جدول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بهمن </v>
      </c>
      <c r="C16" s="19" t="str">
        <f>CHOOSE(A16,'جدول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مقدم</v>
      </c>
      <c r="D16" s="21">
        <f>VLOOKUP(A16,'جدول داده ها'!$A$3:$E$22,4,FALSE)</f>
        <v>185</v>
      </c>
      <c r="E16" s="38">
        <f>VLOOKUP(A16,'جدول داده ها'!$A$3:$E$22,5,FALSE)</f>
        <v>3</v>
      </c>
      <c r="F16" s="36">
        <f>VLOOKUP(A16,'جدول داده ها'!$A$3:$O$22,6,FALSE)</f>
        <v>4260000</v>
      </c>
      <c r="G16" s="30">
        <f t="shared" si="0"/>
        <v>58090.909090909088</v>
      </c>
      <c r="H16" s="30">
        <f>VLOOKUP(A16,'جدول داده ها'!$A$3:$O$22,7,FALSE)</f>
        <v>300000</v>
      </c>
      <c r="I16" s="30">
        <f>(VLOOKUP(A16,'جدول داده ها'!$A$3:$O$22,9,FALSE))</f>
        <v>220000</v>
      </c>
      <c r="J16" s="30">
        <f>(VLOOKUP(A16,'جدول داده ها'!$A$3:$O$22,10,FALSE))</f>
        <v>100000</v>
      </c>
      <c r="K16" s="30">
        <f>VLOOKUP(A16,'جدول داده ها'!$A$3:$O$22,11,FALSE)</f>
        <v>0</v>
      </c>
      <c r="L16" s="30">
        <f>VLOOKUP(A16,'جدول داده ها'!$A$3:$O$22,13,FALSE)</f>
        <v>0</v>
      </c>
      <c r="M16" s="30">
        <f>VLOOKUP(A16,'جدول داده ها'!$A$3:$O$22,14,FALSE)</f>
        <v>0</v>
      </c>
      <c r="N16" s="30">
        <f t="shared" si="1"/>
        <v>4938090.9090909092</v>
      </c>
      <c r="O16" s="31">
        <f t="shared" si="7"/>
        <v>4618090.9090909092</v>
      </c>
      <c r="P16" s="30">
        <f t="shared" si="2"/>
        <v>4938090.9090909092</v>
      </c>
      <c r="Q16" s="30">
        <f t="shared" si="8"/>
        <v>248809.09090909094</v>
      </c>
      <c r="R16" s="30">
        <f>VLOOKUP(A16,'جدول داده ها'!$A$3:$O$22,15,FALSE)</f>
        <v>0</v>
      </c>
      <c r="S16" s="30">
        <f t="shared" si="3"/>
        <v>1062160.9090909092</v>
      </c>
      <c r="T16" s="30">
        <f t="shared" si="4"/>
        <v>323266.36363636365</v>
      </c>
      <c r="U16" s="30">
        <f t="shared" si="5"/>
        <v>572075.45454545459</v>
      </c>
      <c r="V16" s="61">
        <f t="shared" si="6"/>
        <v>4366015.4545454551</v>
      </c>
      <c r="W16" s="62"/>
    </row>
    <row r="17" spans="1:23" ht="21" customHeight="1">
      <c r="A17" s="17">
        <v>12</v>
      </c>
      <c r="B17" s="33" t="str">
        <f>CHOOSE(A17,'جدول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حسین </v>
      </c>
      <c r="C17" s="19" t="str">
        <f>CHOOSE(A17,'جدول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ابراهیمی </v>
      </c>
      <c r="D17" s="21">
        <f>VLOOKUP(A17,'جدول داده ها'!$A$3:$E$22,4,FALSE)</f>
        <v>185</v>
      </c>
      <c r="E17" s="38">
        <f>VLOOKUP(A17,'جدول داده ها'!$A$3:$E$22,5,FALSE)</f>
        <v>22</v>
      </c>
      <c r="F17" s="36">
        <f>VLOOKUP(A17,'جدول داده ها'!$A$3:$O$22,6,FALSE)</f>
        <v>3566000</v>
      </c>
      <c r="G17" s="30">
        <f t="shared" si="0"/>
        <v>356600</v>
      </c>
      <c r="H17" s="30">
        <f>VLOOKUP(A17,'جدول داده ها'!$A$3:$O$22,7,FALSE)</f>
        <v>300000</v>
      </c>
      <c r="I17" s="30">
        <f>(VLOOKUP(A17,'جدول داده ها'!$A$3:$O$22,9,FALSE))</f>
        <v>440000</v>
      </c>
      <c r="J17" s="30">
        <f>(VLOOKUP(A17,'جدول داده ها'!$A$3:$O$22,10,FALSE))</f>
        <v>100000</v>
      </c>
      <c r="K17" s="30">
        <f>VLOOKUP(A17,'جدول داده ها'!$A$3:$O$22,11,FALSE)</f>
        <v>0</v>
      </c>
      <c r="L17" s="30">
        <f>VLOOKUP(A17,'جدول داده ها'!$A$3:$O$22,13,FALSE)</f>
        <v>0</v>
      </c>
      <c r="M17" s="30">
        <f>VLOOKUP(A17,'جدول داده ها'!$A$3:$O$22,14,FALSE)</f>
        <v>0</v>
      </c>
      <c r="N17" s="30">
        <f t="shared" ref="N17:N25" si="9">SUM(F17:K17,M17)</f>
        <v>4762600</v>
      </c>
      <c r="O17" s="31">
        <f t="shared" si="7"/>
        <v>4222600</v>
      </c>
      <c r="P17" s="30">
        <f t="shared" si="2"/>
        <v>4762600</v>
      </c>
      <c r="Q17" s="30">
        <f t="shared" si="8"/>
        <v>231260</v>
      </c>
      <c r="R17" s="30">
        <f>VLOOKUP(A17,'جدول داده ها'!$A$3:$O$22,15,FALSE)</f>
        <v>0</v>
      </c>
      <c r="S17" s="30">
        <f t="shared" si="3"/>
        <v>971198</v>
      </c>
      <c r="T17" s="30">
        <f t="shared" si="4"/>
        <v>295582</v>
      </c>
      <c r="U17" s="30">
        <f t="shared" si="5"/>
        <v>526842</v>
      </c>
      <c r="V17" s="61">
        <f t="shared" si="6"/>
        <v>4235758</v>
      </c>
      <c r="W17" s="62"/>
    </row>
    <row r="18" spans="1:23" ht="21" customHeight="1">
      <c r="A18" s="17">
        <v>13</v>
      </c>
      <c r="B18" s="33" t="str">
        <f>CHOOSE(A18,'جدول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جعفر </v>
      </c>
      <c r="C18" s="19" t="str">
        <f>CHOOSE(A18,'جدول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یعقوبی </v>
      </c>
      <c r="D18" s="21">
        <f>VLOOKUP(A18,'جدول داده ها'!$A$3:$E$22,4,FALSE)</f>
        <v>185</v>
      </c>
      <c r="E18" s="38">
        <f>VLOOKUP(A18,'جدول داده ها'!$A$3:$E$22,5,FALSE)</f>
        <v>21</v>
      </c>
      <c r="F18" s="36">
        <f>VLOOKUP(A18,'جدول داده ها'!$A$3:$O$22,6,FALSE)</f>
        <v>2200000</v>
      </c>
      <c r="G18" s="30">
        <f t="shared" si="0"/>
        <v>210000</v>
      </c>
      <c r="H18" s="30">
        <f>VLOOKUP(A18,'جدول داده ها'!$A$3:$O$22,7,FALSE)</f>
        <v>300000</v>
      </c>
      <c r="I18" s="30">
        <f>(VLOOKUP(A18,'جدول داده ها'!$A$3:$O$22,9,FALSE))</f>
        <v>0</v>
      </c>
      <c r="J18" s="30">
        <f>(VLOOKUP(A18,'جدول داده ها'!$A$3:$O$22,10,FALSE))</f>
        <v>100000</v>
      </c>
      <c r="K18" s="30">
        <f>VLOOKUP(A18,'جدول داده ها'!$A$3:$O$22,11,FALSE)</f>
        <v>0</v>
      </c>
      <c r="L18" s="30">
        <f>VLOOKUP(A18,'جدول داده ها'!$A$3:$O$22,13,FALSE)</f>
        <v>0</v>
      </c>
      <c r="M18" s="30">
        <f>VLOOKUP(A18,'جدول داده ها'!$A$3:$O$22,14,FALSE)</f>
        <v>0</v>
      </c>
      <c r="N18" s="30">
        <f t="shared" si="9"/>
        <v>2810000</v>
      </c>
      <c r="O18" s="31">
        <f t="shared" si="7"/>
        <v>2710000</v>
      </c>
      <c r="P18" s="30">
        <f t="shared" si="2"/>
        <v>2810000</v>
      </c>
      <c r="Q18" s="30">
        <f t="shared" si="8"/>
        <v>36000</v>
      </c>
      <c r="R18" s="30">
        <f>VLOOKUP(A18,'جدول داده ها'!$A$3:$O$22,15,FALSE)</f>
        <v>0</v>
      </c>
      <c r="S18" s="30">
        <f t="shared" si="3"/>
        <v>623300</v>
      </c>
      <c r="T18" s="30">
        <f t="shared" si="4"/>
        <v>189700.00000000003</v>
      </c>
      <c r="U18" s="30">
        <f t="shared" si="5"/>
        <v>225700.00000000003</v>
      </c>
      <c r="V18" s="61">
        <f t="shared" si="6"/>
        <v>2584300</v>
      </c>
      <c r="W18" s="62"/>
    </row>
    <row r="19" spans="1:23" ht="21" customHeight="1">
      <c r="A19" s="17">
        <v>14</v>
      </c>
      <c r="B19" s="33" t="str">
        <f>CHOOSE(A19,'جدول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حسین </v>
      </c>
      <c r="C19" s="19" t="str">
        <f>CHOOSE(A19,'جدول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امین</v>
      </c>
      <c r="D19" s="21">
        <f>VLOOKUP(A19,'جدول داده ها'!$A$3:$E$22,4,FALSE)</f>
        <v>185</v>
      </c>
      <c r="E19" s="38">
        <f>VLOOKUP(A19,'جدول داده ها'!$A$3:$E$22,5,FALSE)</f>
        <v>10</v>
      </c>
      <c r="F19" s="36">
        <f>VLOOKUP(A19,'جدول داده ها'!$A$3:$O$22,6,FALSE)</f>
        <v>2300000</v>
      </c>
      <c r="G19" s="30">
        <f t="shared" si="0"/>
        <v>104545.45454545454</v>
      </c>
      <c r="H19" s="30">
        <f>VLOOKUP(A19,'جدول داده ها'!$A$3:$O$22,7,FALSE)</f>
        <v>300000</v>
      </c>
      <c r="I19" s="30">
        <f>(VLOOKUP(A19,'جدول داده ها'!$A$3:$O$22,9,FALSE))</f>
        <v>440000</v>
      </c>
      <c r="J19" s="30">
        <f>(VLOOKUP(A19,'جدول داده ها'!$A$3:$O$22,10,FALSE))</f>
        <v>100000</v>
      </c>
      <c r="K19" s="30">
        <f>VLOOKUP(A19,'جدول داده ها'!$A$3:$O$22,11,FALSE)</f>
        <v>0</v>
      </c>
      <c r="L19" s="30">
        <f>VLOOKUP(A19,'جدول داده ها'!$A$3:$O$22,13,FALSE)</f>
        <v>0</v>
      </c>
      <c r="M19" s="30">
        <f>VLOOKUP(A19,'جدول داده ها'!$A$3:$O$22,14,FALSE)</f>
        <v>0</v>
      </c>
      <c r="N19" s="30">
        <f t="shared" si="9"/>
        <v>3244545.4545454546</v>
      </c>
      <c r="O19" s="31">
        <f t="shared" si="7"/>
        <v>2704545.4545454546</v>
      </c>
      <c r="P19" s="30">
        <f t="shared" si="2"/>
        <v>3244545.4545454546</v>
      </c>
      <c r="Q19" s="30">
        <f t="shared" si="8"/>
        <v>79454.54545454547</v>
      </c>
      <c r="R19" s="30">
        <f>VLOOKUP(A19,'جدول داده ها'!$A$3:$O$22,15,FALSE)</f>
        <v>0</v>
      </c>
      <c r="S19" s="30">
        <f t="shared" si="3"/>
        <v>622045.45454545459</v>
      </c>
      <c r="T19" s="30">
        <f t="shared" si="4"/>
        <v>189318.18181818185</v>
      </c>
      <c r="U19" s="30">
        <f t="shared" si="5"/>
        <v>268772.72727272729</v>
      </c>
      <c r="V19" s="61">
        <f t="shared" si="6"/>
        <v>2975772.7272727275</v>
      </c>
      <c r="W19" s="62"/>
    </row>
    <row r="20" spans="1:23" ht="21" customHeight="1">
      <c r="A20" s="17">
        <v>15</v>
      </c>
      <c r="B20" s="33" t="str">
        <f>CHOOSE(A20,'جدول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کاظم </v>
      </c>
      <c r="C20" s="19" t="str">
        <f>CHOOSE(A20,'جدول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روح الهی </v>
      </c>
      <c r="D20" s="21">
        <f>VLOOKUP(A20,'جدول داده ها'!$A$3:$E$22,4,FALSE)</f>
        <v>185</v>
      </c>
      <c r="E20" s="38">
        <f>VLOOKUP(A20,'جدول داده ها'!$A$3:$E$22,5,FALSE)</f>
        <v>15</v>
      </c>
      <c r="F20" s="36">
        <f>VLOOKUP(A20,'جدول داده ها'!$A$3:$O$22,6,FALSE)</f>
        <v>2600000</v>
      </c>
      <c r="G20" s="30">
        <f t="shared" si="0"/>
        <v>177272.72727272726</v>
      </c>
      <c r="H20" s="30">
        <f>VLOOKUP(A20,'جدول داده ها'!$A$3:$O$22,7,FALSE)</f>
        <v>300000</v>
      </c>
      <c r="I20" s="30">
        <f>(VLOOKUP(A20,'جدول داده ها'!$A$3:$O$22,9,FALSE))</f>
        <v>220000</v>
      </c>
      <c r="J20" s="30">
        <f>(VLOOKUP(A20,'جدول داده ها'!$A$3:$O$22,10,FALSE))</f>
        <v>100000</v>
      </c>
      <c r="K20" s="30">
        <f>VLOOKUP(A20,'جدول داده ها'!$A$3:$O$22,11,FALSE)</f>
        <v>100000</v>
      </c>
      <c r="L20" s="30">
        <f>VLOOKUP(A20,'جدول داده ها'!$A$3:$O$22,13,FALSE)</f>
        <v>0</v>
      </c>
      <c r="M20" s="30">
        <f>VLOOKUP(A20,'جدول داده ها'!$A$3:$O$22,14,FALSE)</f>
        <v>0</v>
      </c>
      <c r="N20" s="30">
        <f t="shared" si="9"/>
        <v>3497272.7272727271</v>
      </c>
      <c r="O20" s="31">
        <f t="shared" si="7"/>
        <v>3177272.7272727271</v>
      </c>
      <c r="P20" s="30">
        <f t="shared" si="2"/>
        <v>3497272.7272727271</v>
      </c>
      <c r="Q20" s="30">
        <f t="shared" si="8"/>
        <v>104727.27272727271</v>
      </c>
      <c r="R20" s="30">
        <f>VLOOKUP(A20,'جدول داده ها'!$A$3:$O$22,15,FALSE)</f>
        <v>0</v>
      </c>
      <c r="S20" s="30">
        <f t="shared" si="3"/>
        <v>730772.72727272729</v>
      </c>
      <c r="T20" s="30">
        <f t="shared" si="4"/>
        <v>222409.09090909091</v>
      </c>
      <c r="U20" s="30">
        <f t="shared" si="5"/>
        <v>327136.36363636365</v>
      </c>
      <c r="V20" s="61">
        <f t="shared" si="6"/>
        <v>3170136.3636363633</v>
      </c>
      <c r="W20" s="62"/>
    </row>
    <row r="21" spans="1:23" ht="21" customHeight="1">
      <c r="A21" s="17">
        <v>16</v>
      </c>
      <c r="B21" s="33" t="str">
        <f>CHOOSE(A21,'جدول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حسن </v>
      </c>
      <c r="C21" s="19" t="str">
        <f>CHOOSE(A21,'جدول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 xml:space="preserve">نیکزاد </v>
      </c>
      <c r="D21" s="21">
        <f>VLOOKUP(A21,'جدول داده ها'!$A$3:$E$22,4,FALSE)</f>
        <v>185</v>
      </c>
      <c r="E21" s="38">
        <f>VLOOKUP(A21,'جدول داده ها'!$A$3:$E$22,5,FALSE)</f>
        <v>16</v>
      </c>
      <c r="F21" s="36">
        <f>VLOOKUP(A21,'جدول داده ها'!$A$3:$O$22,6,FALSE)</f>
        <v>2950000</v>
      </c>
      <c r="G21" s="30">
        <f t="shared" si="0"/>
        <v>214545.45454545456</v>
      </c>
      <c r="H21" s="30">
        <f>VLOOKUP(A21,'جدول داده ها'!$A$3:$O$22,7,FALSE)</f>
        <v>300000</v>
      </c>
      <c r="I21" s="30">
        <f>(VLOOKUP(A21,'جدول داده ها'!$A$3:$O$22,9,FALSE))</f>
        <v>440000</v>
      </c>
      <c r="J21" s="30">
        <f>(VLOOKUP(A21,'جدول داده ها'!$A$3:$O$22,10,FALSE))</f>
        <v>100000</v>
      </c>
      <c r="K21" s="30">
        <f>VLOOKUP(A21,'جدول داده ها'!$A$3:$O$22,11,FALSE)</f>
        <v>200000</v>
      </c>
      <c r="L21" s="30">
        <f>VLOOKUP(A21,'جدول داده ها'!$A$3:$O$22,13,FALSE)</f>
        <v>2100000</v>
      </c>
      <c r="M21" s="30">
        <f>VLOOKUP(A21,'جدول داده ها'!$A$3:$O$22,14,FALSE)</f>
        <v>0</v>
      </c>
      <c r="N21" s="30">
        <f t="shared" si="9"/>
        <v>4204545.4545454551</v>
      </c>
      <c r="O21" s="31">
        <f t="shared" si="7"/>
        <v>3664545.4545454546</v>
      </c>
      <c r="P21" s="30">
        <f t="shared" si="2"/>
        <v>6304545.4545454551</v>
      </c>
      <c r="Q21" s="30">
        <f t="shared" si="8"/>
        <v>175454.54545454553</v>
      </c>
      <c r="R21" s="30">
        <f>VLOOKUP(A21,'جدول داده ها'!$A$3:$O$22,15,FALSE)</f>
        <v>0</v>
      </c>
      <c r="S21" s="30">
        <f t="shared" si="3"/>
        <v>842845.45454545459</v>
      </c>
      <c r="T21" s="30">
        <f t="shared" si="4"/>
        <v>256518.18181818185</v>
      </c>
      <c r="U21" s="30">
        <f t="shared" si="5"/>
        <v>431972.72727272741</v>
      </c>
      <c r="V21" s="61">
        <f t="shared" si="6"/>
        <v>5872572.7272727275</v>
      </c>
      <c r="W21" s="62"/>
    </row>
    <row r="22" spans="1:23" ht="21" customHeight="1">
      <c r="A22" s="17">
        <v>17</v>
      </c>
      <c r="B22" s="33" t="str">
        <f>CHOOSE(A22,'جدول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محمد</v>
      </c>
      <c r="C22" s="19" t="str">
        <f>CHOOSE(A22,'جدول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حسن نیا</v>
      </c>
      <c r="D22" s="21">
        <f>VLOOKUP(A22,'جدول داده ها'!$A$3:$E$22,4,FALSE)</f>
        <v>185</v>
      </c>
      <c r="E22" s="38">
        <f>VLOOKUP(A22,'جدول داده ها'!$A$3:$E$22,5,FALSE)</f>
        <v>20</v>
      </c>
      <c r="F22" s="36">
        <f>VLOOKUP(A22,'جدول داده ها'!$A$3:$O$22,6,FALSE)</f>
        <v>5000000</v>
      </c>
      <c r="G22" s="30">
        <f t="shared" si="0"/>
        <v>454545.45454545459</v>
      </c>
      <c r="H22" s="30">
        <f>VLOOKUP(A22,'جدول داده ها'!$A$3:$O$22,7,FALSE)</f>
        <v>300000</v>
      </c>
      <c r="I22" s="30">
        <f>(VLOOKUP(A22,'جدول داده ها'!$A$3:$O$22,9,FALSE))</f>
        <v>440000</v>
      </c>
      <c r="J22" s="30">
        <f>(VLOOKUP(A22,'جدول داده ها'!$A$3:$O$22,10,FALSE))</f>
        <v>100000</v>
      </c>
      <c r="K22" s="30">
        <f>VLOOKUP(A22,'جدول داده ها'!$A$3:$O$22,11,FALSE)</f>
        <v>150000</v>
      </c>
      <c r="L22" s="30">
        <f>VLOOKUP(A22,'جدول داده ها'!$A$3:$O$22,13,FALSE)</f>
        <v>1000000</v>
      </c>
      <c r="M22" s="30">
        <f>VLOOKUP(A22,'جدول داده ها'!$A$3:$O$22,14,FALSE)</f>
        <v>0</v>
      </c>
      <c r="N22" s="30">
        <f t="shared" si="9"/>
        <v>6444545.4545454551</v>
      </c>
      <c r="O22" s="31">
        <f t="shared" si="7"/>
        <v>5904545.4545454551</v>
      </c>
      <c r="P22" s="30">
        <f t="shared" si="2"/>
        <v>7444545.4545454551</v>
      </c>
      <c r="Q22" s="30">
        <f t="shared" si="8"/>
        <v>448909.090909091</v>
      </c>
      <c r="R22" s="30">
        <f>VLOOKUP(A22,'جدول داده ها'!$A$3:$O$22,15,FALSE)</f>
        <v>0</v>
      </c>
      <c r="S22" s="30">
        <f t="shared" si="3"/>
        <v>1358045.4545454548</v>
      </c>
      <c r="T22" s="30">
        <f t="shared" si="4"/>
        <v>413318.18181818188</v>
      </c>
      <c r="U22" s="30">
        <f t="shared" si="5"/>
        <v>862227.27272727294</v>
      </c>
      <c r="V22" s="61">
        <f t="shared" si="6"/>
        <v>6582318.1818181816</v>
      </c>
      <c r="W22" s="62"/>
    </row>
    <row r="23" spans="1:23" ht="21" customHeight="1">
      <c r="A23" s="17">
        <v>18</v>
      </c>
      <c r="B23" s="33" t="str">
        <f>CHOOSE(A23,'جدول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حامد</v>
      </c>
      <c r="C23" s="19" t="str">
        <f>CHOOSE(A23,'جدول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طهماسبی</v>
      </c>
      <c r="D23" s="21">
        <f>VLOOKUP(A23,'جدول داده ها'!$A$3:$E$22,4,FALSE)</f>
        <v>185</v>
      </c>
      <c r="E23" s="38">
        <f>VLOOKUP(A23,'جدول داده ها'!$A$3:$E$22,5,FALSE)</f>
        <v>20</v>
      </c>
      <c r="F23" s="36">
        <f>VLOOKUP(A23,'جدول داده ها'!$A$3:$O$22,6,FALSE)</f>
        <v>5500000</v>
      </c>
      <c r="G23" s="30">
        <f t="shared" si="0"/>
        <v>500000</v>
      </c>
      <c r="H23" s="30">
        <f>VLOOKUP(A23,'جدول داده ها'!$A$3:$O$22,7,FALSE)</f>
        <v>300000</v>
      </c>
      <c r="I23" s="30">
        <f>(VLOOKUP(A23,'جدول داده ها'!$A$3:$O$22,9,FALSE))</f>
        <v>440000</v>
      </c>
      <c r="J23" s="30">
        <f>(VLOOKUP(A23,'جدول داده ها'!$A$3:$O$22,10,FALSE))</f>
        <v>100000</v>
      </c>
      <c r="K23" s="30">
        <f>VLOOKUP(A23,'جدول داده ها'!$A$3:$O$22,11,FALSE)</f>
        <v>0</v>
      </c>
      <c r="L23" s="30">
        <f>VLOOKUP(A23,'جدول داده ها'!$A$3:$O$22,13,FALSE)</f>
        <v>1200000</v>
      </c>
      <c r="M23" s="30">
        <f>VLOOKUP(A23,'جدول داده ها'!$A$3:$O$22,14,FALSE)</f>
        <v>0</v>
      </c>
      <c r="N23" s="30">
        <f t="shared" si="9"/>
        <v>6840000</v>
      </c>
      <c r="O23" s="31">
        <f t="shared" si="7"/>
        <v>6300000</v>
      </c>
      <c r="P23" s="30">
        <f t="shared" si="2"/>
        <v>8040000</v>
      </c>
      <c r="Q23" s="30">
        <f t="shared" si="8"/>
        <v>528000</v>
      </c>
      <c r="R23" s="30">
        <f>VLOOKUP(A23,'جدول داده ها'!$A$3:$O$22,15,FALSE)</f>
        <v>0</v>
      </c>
      <c r="S23" s="30">
        <f t="shared" si="3"/>
        <v>1449000</v>
      </c>
      <c r="T23" s="30">
        <f t="shared" si="4"/>
        <v>441000.00000000006</v>
      </c>
      <c r="U23" s="30">
        <f t="shared" si="5"/>
        <v>969000</v>
      </c>
      <c r="V23" s="61">
        <f t="shared" si="6"/>
        <v>7071000</v>
      </c>
      <c r="W23" s="62"/>
    </row>
    <row r="24" spans="1:23" ht="21" customHeight="1">
      <c r="A24" s="17">
        <v>19</v>
      </c>
      <c r="B24" s="33" t="str">
        <f>CHOOSE(A24,'جدول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مرتضی</v>
      </c>
      <c r="C24" s="19" t="str">
        <f>CHOOSE(A24,'جدول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فلاح</v>
      </c>
      <c r="D24" s="21">
        <f>VLOOKUP(A24,'جدول داده ها'!$A$3:$E$22,4,FALSE)</f>
        <v>185</v>
      </c>
      <c r="E24" s="38">
        <f>VLOOKUP(A24,'جدول داده ها'!$A$3:$E$22,5,FALSE)</f>
        <v>21</v>
      </c>
      <c r="F24" s="36">
        <f>VLOOKUP(A24,'جدول داده ها'!$A$3:$O$22,6,FALSE)</f>
        <v>2356000</v>
      </c>
      <c r="G24" s="30">
        <f t="shared" si="0"/>
        <v>224890.90909090912</v>
      </c>
      <c r="H24" s="30">
        <f>VLOOKUP(A24,'جدول داده ها'!$A$3:$O$22,7,FALSE)</f>
        <v>300000</v>
      </c>
      <c r="I24" s="30">
        <f>(VLOOKUP(A24,'جدول داده ها'!$A$3:$O$22,9,FALSE))</f>
        <v>220000</v>
      </c>
      <c r="J24" s="30">
        <f>(VLOOKUP(A24,'جدول داده ها'!$A$3:$O$22,10,FALSE))</f>
        <v>100000</v>
      </c>
      <c r="K24" s="30">
        <f>VLOOKUP(A24,'جدول داده ها'!$A$3:$O$22,11,FALSE)</f>
        <v>0</v>
      </c>
      <c r="L24" s="30">
        <f>VLOOKUP(A24,'جدول داده ها'!$A$3:$O$22,13,FALSE)</f>
        <v>0</v>
      </c>
      <c r="M24" s="30">
        <f>VLOOKUP(A24,'جدول داده ها'!$A$3:$O$22,14,FALSE)</f>
        <v>0</v>
      </c>
      <c r="N24" s="30">
        <f t="shared" si="9"/>
        <v>3200890.9090909092</v>
      </c>
      <c r="O24" s="31">
        <f t="shared" si="7"/>
        <v>2880890.9090909092</v>
      </c>
      <c r="P24" s="30">
        <f t="shared" si="2"/>
        <v>3200890.9090909092</v>
      </c>
      <c r="Q24" s="30">
        <f t="shared" si="8"/>
        <v>75089.090909090926</v>
      </c>
      <c r="R24" s="30">
        <f>VLOOKUP(A24,'جدول داده ها'!$A$3:$O$22,15,FALSE)</f>
        <v>0</v>
      </c>
      <c r="S24" s="30">
        <f t="shared" si="3"/>
        <v>662604.90909090918</v>
      </c>
      <c r="T24" s="30">
        <f t="shared" si="4"/>
        <v>201662.36363636365</v>
      </c>
      <c r="U24" s="30">
        <f t="shared" si="5"/>
        <v>276751.45454545459</v>
      </c>
      <c r="V24" s="61">
        <f t="shared" si="6"/>
        <v>2924139.4545454546</v>
      </c>
      <c r="W24" s="62"/>
    </row>
    <row r="25" spans="1:23" ht="21" customHeight="1" thickBot="1">
      <c r="A25" s="39">
        <v>20</v>
      </c>
      <c r="B25" s="40" t="str">
        <f>CHOOSE(A25,'جدول داده ها'!$B$3,'جدول داده ها'!$B$4,'جدول داده ها'!$B$5,'جدول داده ها'!$B$6,'جدول داده ها'!$B$7,'جدول داده ها'!$B$8,'جدول داده ها'!$B$9,'جدول داده ها'!$B$10,'جدول داده ها'!$B$11,'جدول داده ها'!$B$12,'جدول داده ها'!$B$13,'جدول داده ها'!$B$14,'جدول داده ها'!$B$15,'جدول داده ها'!$B$16,'جدول داده ها'!$B$17,'جدول داده ها'!$B$18,'جدول داده ها'!$B$19,'جدول داده ها'!$B$20,'جدول داده ها'!$B$21,'جدول داده ها'!$B$22,'جدول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محمود</v>
      </c>
      <c r="C25" s="41" t="str">
        <f>CHOOSE(A25,'جدول داده ها'!$C$3,'جدول داده ها'!$C$4,'جدول داده ها'!$C$5,'جدول داده ها'!$C$6,'جدول داده ها'!$C$7,'جدول داده ها'!$C$8,'جدول داده ها'!$C$9,'جدول داده ها'!$C$10,'جدول داده ها'!$C$11,'جدول داده ها'!$C$12,'جدول داده ها'!$C$13,'جدول داده ها'!$C$14,'جدول داده ها'!$C$15,'جدول داده ها'!$C$16,'جدول داده ها'!$C$17,'جدول داده ها'!$C$18,'جدول داده ها'!$C$19,'جدول داده ها'!$C$20,'جدول داده ها'!$C$21,'جدول داده ها'!$C$22,'جدول داده ها'!#REF!,'جدول داده ها'!#REF!,'جدول داده ها'!#REF!,'جدول داده ها'!#REF!,'جدول داده ها'!#REF!,'جدول داده ها'!#REF!,'جدول داده ها'!#REF!,'جدول داده ها'!#REF!,'جدول داده ها'!#REF!)</f>
        <v>کشاورز</v>
      </c>
      <c r="D25" s="42">
        <f>VLOOKUP(A25,'جدول داده ها'!$A$3:$E$22,4,FALSE)</f>
        <v>185</v>
      </c>
      <c r="E25" s="43">
        <f>VLOOKUP(A25,'جدول داده ها'!$A$3:$E$22,5,FALSE)</f>
        <v>22</v>
      </c>
      <c r="F25" s="36">
        <f>VLOOKUP(A25,'جدول داده ها'!$A$3:$O$22,6,FALSE)</f>
        <v>2558000</v>
      </c>
      <c r="G25" s="30">
        <f t="shared" si="0"/>
        <v>255800</v>
      </c>
      <c r="H25" s="30">
        <f>VLOOKUP(A25,'جدول داده ها'!$A$3:$O$22,7,FALSE)</f>
        <v>300000</v>
      </c>
      <c r="I25" s="30">
        <f>(VLOOKUP(A25,'جدول داده ها'!$A$3:$O$22,9,FALSE))</f>
        <v>0</v>
      </c>
      <c r="J25" s="30">
        <f>(VLOOKUP(A25,'جدول داده ها'!$A$3:$O$22,10,FALSE))</f>
        <v>100000</v>
      </c>
      <c r="K25" s="30">
        <f>VLOOKUP(A25,'جدول داده ها'!$A$3:$O$22,11,FALSE)</f>
        <v>0</v>
      </c>
      <c r="L25" s="30">
        <f>VLOOKUP(A25,'جدول داده ها'!$A$3:$O$22,13,FALSE)</f>
        <v>0</v>
      </c>
      <c r="M25" s="30">
        <f>VLOOKUP(A25,'جدول داده ها'!$A$3:$O$22,14,FALSE)</f>
        <v>0</v>
      </c>
      <c r="N25" s="30">
        <f t="shared" si="9"/>
        <v>3213800</v>
      </c>
      <c r="O25" s="31">
        <f>SUM(F25:H25,K25,M25)</f>
        <v>3113800</v>
      </c>
      <c r="P25" s="30">
        <f t="shared" si="2"/>
        <v>3213800</v>
      </c>
      <c r="Q25" s="30">
        <f t="shared" si="8"/>
        <v>76380</v>
      </c>
      <c r="R25" s="30">
        <f>VLOOKUP(A25,'جدول داده ها'!$A$3:$O$22,15,FALSE)</f>
        <v>0</v>
      </c>
      <c r="S25" s="30">
        <f t="shared" si="3"/>
        <v>716174</v>
      </c>
      <c r="T25" s="30">
        <f t="shared" si="4"/>
        <v>217966.00000000003</v>
      </c>
      <c r="U25" s="30">
        <f>SUM(Q25:R25,T25)</f>
        <v>294346</v>
      </c>
      <c r="V25" s="61">
        <f t="shared" si="6"/>
        <v>2919454</v>
      </c>
      <c r="W25" s="62"/>
    </row>
    <row r="26" spans="1:23" ht="39" customHeight="1" thickTop="1" thickBot="1">
      <c r="A26" s="63" t="s">
        <v>92</v>
      </c>
      <c r="B26" s="64"/>
      <c r="C26" s="64"/>
      <c r="D26" s="64"/>
      <c r="E26" s="65"/>
      <c r="F26" s="44">
        <f t="shared" ref="F26:U26" si="10">SUM(F6:F25)</f>
        <v>65736000</v>
      </c>
      <c r="G26" s="44">
        <f t="shared" si="10"/>
        <v>4591718.1818181816</v>
      </c>
      <c r="H26" s="44">
        <f t="shared" si="10"/>
        <v>6000000</v>
      </c>
      <c r="I26" s="44">
        <f t="shared" si="10"/>
        <v>4620000</v>
      </c>
      <c r="J26" s="44">
        <f t="shared" si="10"/>
        <v>2000000</v>
      </c>
      <c r="K26" s="44">
        <f t="shared" si="10"/>
        <v>2800000</v>
      </c>
      <c r="L26" s="44">
        <f t="shared" si="10"/>
        <v>5800000</v>
      </c>
      <c r="M26" s="44">
        <f t="shared" si="10"/>
        <v>0</v>
      </c>
      <c r="N26" s="44">
        <f t="shared" si="10"/>
        <v>85747718.181818187</v>
      </c>
      <c r="O26" s="44">
        <f t="shared" si="10"/>
        <v>79127718.181818172</v>
      </c>
      <c r="P26" s="44">
        <f t="shared" si="10"/>
        <v>91547718.181818187</v>
      </c>
      <c r="Q26" s="44">
        <f t="shared" si="10"/>
        <v>3821135.4545454546</v>
      </c>
      <c r="R26" s="44">
        <f t="shared" si="10"/>
        <v>0</v>
      </c>
      <c r="S26" s="44">
        <f t="shared" si="10"/>
        <v>18199375.181818184</v>
      </c>
      <c r="T26" s="44">
        <f t="shared" si="10"/>
        <v>5538940.2727272725</v>
      </c>
      <c r="U26" s="44">
        <f t="shared" si="10"/>
        <v>9360075.7272727285</v>
      </c>
      <c r="V26" s="66">
        <f>SUM(V6:W25)</f>
        <v>82187642.454545438</v>
      </c>
      <c r="W26" s="67"/>
    </row>
    <row r="27" spans="1:23" ht="15" thickTop="1">
      <c r="I27" s="2"/>
    </row>
  </sheetData>
  <mergeCells count="35">
    <mergeCell ref="V16:W16"/>
    <mergeCell ref="V6:W6"/>
    <mergeCell ref="V7:W7"/>
    <mergeCell ref="V8:W8"/>
    <mergeCell ref="V9:W9"/>
    <mergeCell ref="V13:W13"/>
    <mergeCell ref="V14:W14"/>
    <mergeCell ref="V17:W17"/>
    <mergeCell ref="V18:W18"/>
    <mergeCell ref="V19:W19"/>
    <mergeCell ref="V20:W20"/>
    <mergeCell ref="V21:W21"/>
    <mergeCell ref="O4:O5"/>
    <mergeCell ref="V22:W22"/>
    <mergeCell ref="V23:W23"/>
    <mergeCell ref="A26:E26"/>
    <mergeCell ref="V26:W26"/>
    <mergeCell ref="V15:W15"/>
    <mergeCell ref="Q4:T4"/>
    <mergeCell ref="N4:N5"/>
    <mergeCell ref="U4:U5"/>
    <mergeCell ref="V4:W5"/>
    <mergeCell ref="P4:P5"/>
    <mergeCell ref="V10:W10"/>
    <mergeCell ref="V11:W11"/>
    <mergeCell ref="V12:W12"/>
    <mergeCell ref="V24:W24"/>
    <mergeCell ref="V25:W25"/>
    <mergeCell ref="J1:L2"/>
    <mergeCell ref="A1:A2"/>
    <mergeCell ref="A4:C4"/>
    <mergeCell ref="D4:E4"/>
    <mergeCell ref="F4:M4"/>
    <mergeCell ref="C1:C2"/>
    <mergeCell ref="D1:E2"/>
  </mergeCells>
  <hyperlinks>
    <hyperlink ref="C1:C2" location="'جدول داده ها'!A24" display="جدول داده ها"/>
    <hyperlink ref="D1:E2" location="'فیش حقوقی '!N4" display="فیش حقوقی"/>
  </hyperlink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N37"/>
  <sheetViews>
    <sheetView rightToLeft="1" workbookViewId="0">
      <selection activeCell="N4" sqref="N4:N5"/>
    </sheetView>
  </sheetViews>
  <sheetFormatPr defaultRowHeight="14.4"/>
  <cols>
    <col min="1" max="1" width="4" customWidth="1"/>
    <col min="2" max="2" width="10" customWidth="1"/>
    <col min="3" max="3" width="11.44140625" customWidth="1"/>
    <col min="4" max="4" width="4.109375" bestFit="1" customWidth="1"/>
    <col min="5" max="5" width="7" bestFit="1" customWidth="1"/>
    <col min="6" max="6" width="6.88671875" bestFit="1" customWidth="1"/>
    <col min="7" max="7" width="9.44140625" customWidth="1"/>
    <col min="8" max="8" width="10.44140625" customWidth="1"/>
    <col min="9" max="9" width="6.6640625" customWidth="1"/>
    <col min="10" max="10" width="8.44140625" customWidth="1"/>
    <col min="11" max="11" width="6.44140625" bestFit="1" customWidth="1"/>
    <col min="12" max="12" width="8.88671875" bestFit="1" customWidth="1"/>
    <col min="13" max="13" width="7" bestFit="1" customWidth="1"/>
    <col min="14" max="14" width="15.44140625" customWidth="1"/>
  </cols>
  <sheetData>
    <row r="1" spans="1:14">
      <c r="A1">
        <v>4</v>
      </c>
      <c r="N1" s="140" t="s">
        <v>88</v>
      </c>
    </row>
    <row r="2" spans="1:14">
      <c r="N2" s="140"/>
    </row>
    <row r="3" spans="1:14" ht="15" thickBot="1">
      <c r="N3" s="29"/>
    </row>
    <row r="4" spans="1:14" ht="30.75" customHeight="1" thickTop="1" thickBot="1">
      <c r="A4" s="3"/>
      <c r="B4" s="24" t="str">
        <f>CHOOSE(A1,"فروردین ","اردیبهشت ","خرداد ","تــیــر ","مرداد ","شهریور ","مهر ","آبان ","آذر ","دی ","بهمن ","اسفند ")</f>
        <v xml:space="preserve">تــیــر </v>
      </c>
      <c r="C4" s="25">
        <v>1387</v>
      </c>
      <c r="D4" s="94" t="str">
        <f>'جدول حقوق ودستمزد'!B6&amp;'جدول حقوق ودستمزد'!C6</f>
        <v xml:space="preserve">امین حیدر پور </v>
      </c>
      <c r="E4" s="95"/>
      <c r="F4" s="96"/>
      <c r="G4" s="85" t="s">
        <v>58</v>
      </c>
      <c r="H4" s="86"/>
      <c r="I4" s="86"/>
      <c r="J4" s="86"/>
      <c r="K4" s="87"/>
      <c r="N4" s="141" t="s">
        <v>90</v>
      </c>
    </row>
    <row r="5" spans="1:14" ht="15" customHeight="1" thickTop="1" thickBot="1">
      <c r="A5" s="3"/>
      <c r="B5" s="93"/>
      <c r="C5" s="93"/>
      <c r="D5" s="93"/>
      <c r="E5" s="93"/>
      <c r="F5" s="93"/>
      <c r="G5" s="93"/>
      <c r="H5" s="93"/>
      <c r="I5" s="93"/>
      <c r="J5" s="93"/>
      <c r="K5" s="93"/>
      <c r="N5" s="141"/>
    </row>
    <row r="6" spans="1:14" ht="20.25" customHeight="1" thickTop="1" thickBot="1">
      <c r="B6" s="97" t="s">
        <v>66</v>
      </c>
      <c r="C6" s="98"/>
      <c r="D6" s="98"/>
      <c r="E6" s="98"/>
      <c r="F6" s="99"/>
      <c r="G6" s="88" t="s">
        <v>67</v>
      </c>
      <c r="H6" s="89"/>
      <c r="I6" s="89"/>
      <c r="J6" s="89"/>
      <c r="K6" s="90"/>
    </row>
    <row r="7" spans="1:14" ht="23.25" customHeight="1" thickTop="1" thickBot="1">
      <c r="B7" s="102" t="s">
        <v>55</v>
      </c>
      <c r="C7" s="101"/>
      <c r="D7" s="103">
        <f>'جدول حقوق ودستمزد'!D6</f>
        <v>185</v>
      </c>
      <c r="E7" s="103"/>
      <c r="F7" s="104"/>
      <c r="G7" s="100" t="s">
        <v>68</v>
      </c>
      <c r="H7" s="101"/>
      <c r="I7" s="91">
        <f>'جدول حقوق ودستمزد'!R6</f>
        <v>0</v>
      </c>
      <c r="J7" s="91"/>
      <c r="K7" s="92"/>
    </row>
    <row r="8" spans="1:14" ht="23.25" customHeight="1" thickTop="1" thickBot="1">
      <c r="B8" s="105" t="s">
        <v>59</v>
      </c>
      <c r="C8" s="82"/>
      <c r="D8" s="103">
        <f>'جدول حقوق ودستمزد'!E6</f>
        <v>20</v>
      </c>
      <c r="E8" s="103"/>
      <c r="F8" s="104"/>
      <c r="G8" s="81" t="s">
        <v>69</v>
      </c>
      <c r="H8" s="82"/>
      <c r="I8" s="79">
        <f>'جدول حقوق ودستمزد'!Q6</f>
        <v>365818.18181818182</v>
      </c>
      <c r="J8" s="79"/>
      <c r="K8" s="80"/>
    </row>
    <row r="9" spans="1:14" ht="23.25" customHeight="1" thickTop="1" thickBot="1">
      <c r="B9" s="106" t="s">
        <v>60</v>
      </c>
      <c r="C9" s="107"/>
      <c r="D9" s="103">
        <f>'جدول داده ها'!L3</f>
        <v>10</v>
      </c>
      <c r="E9" s="103"/>
      <c r="F9" s="104"/>
      <c r="G9" s="81" t="s">
        <v>14</v>
      </c>
      <c r="H9" s="82"/>
      <c r="I9" s="83">
        <f>'جدول حقوق ودستمزد'!T6</f>
        <v>399636.36363636371</v>
      </c>
      <c r="J9" s="83"/>
      <c r="K9" s="84"/>
    </row>
    <row r="10" spans="1:14" ht="23.25" customHeight="1" thickTop="1">
      <c r="B10" s="102" t="s">
        <v>3</v>
      </c>
      <c r="C10" s="101"/>
      <c r="D10" s="91">
        <f>'جدول حقوق ودستمزد'!F6</f>
        <v>4500000</v>
      </c>
      <c r="E10" s="91"/>
      <c r="F10" s="92"/>
      <c r="G10" s="81" t="s">
        <v>70</v>
      </c>
      <c r="H10" s="82"/>
      <c r="I10" s="127">
        <v>0</v>
      </c>
      <c r="J10" s="127"/>
      <c r="K10" s="128"/>
    </row>
    <row r="11" spans="1:14" ht="23.25" customHeight="1">
      <c r="B11" s="105" t="s">
        <v>61</v>
      </c>
      <c r="C11" s="82"/>
      <c r="D11" s="79">
        <f>'جدول حقوق ودستمزد'!G6</f>
        <v>409090.90909090912</v>
      </c>
      <c r="E11" s="79"/>
      <c r="F11" s="80"/>
      <c r="G11" s="129" t="s">
        <v>57</v>
      </c>
      <c r="H11" s="130"/>
      <c r="I11" s="133">
        <f>SUM(I7:K10)</f>
        <v>765454.54545454553</v>
      </c>
      <c r="J11" s="133"/>
      <c r="K11" s="134"/>
    </row>
    <row r="12" spans="1:14" ht="23.25" customHeight="1">
      <c r="B12" s="105" t="s">
        <v>4</v>
      </c>
      <c r="C12" s="82"/>
      <c r="D12" s="79">
        <f>'جدول حقوق ودستمزد'!H6</f>
        <v>300000</v>
      </c>
      <c r="E12" s="79"/>
      <c r="F12" s="80"/>
      <c r="G12" s="129"/>
      <c r="H12" s="130"/>
      <c r="I12" s="135"/>
      <c r="J12" s="135"/>
      <c r="K12" s="136"/>
    </row>
    <row r="13" spans="1:14" ht="23.25" customHeight="1" thickBot="1">
      <c r="B13" s="105" t="s">
        <v>54</v>
      </c>
      <c r="C13" s="82"/>
      <c r="D13" s="79">
        <f>'جدول حقوق ودستمزد'!I6</f>
        <v>220000</v>
      </c>
      <c r="E13" s="79"/>
      <c r="F13" s="80"/>
      <c r="G13" s="131"/>
      <c r="H13" s="132"/>
      <c r="I13" s="137"/>
      <c r="J13" s="137"/>
      <c r="K13" s="138"/>
    </row>
    <row r="14" spans="1:14" ht="23.25" customHeight="1" thickTop="1">
      <c r="B14" s="105" t="s">
        <v>62</v>
      </c>
      <c r="C14" s="82"/>
      <c r="D14" s="79">
        <f>'جدول حقوق ودستمزد'!J6</f>
        <v>100000</v>
      </c>
      <c r="E14" s="79"/>
      <c r="F14" s="80"/>
      <c r="G14" s="121" t="s">
        <v>71</v>
      </c>
      <c r="H14" s="122"/>
      <c r="I14" s="112">
        <f>D18-I11</f>
        <v>6263636.3636363633</v>
      </c>
      <c r="J14" s="112"/>
      <c r="K14" s="112"/>
    </row>
    <row r="15" spans="1:14" ht="23.25" customHeight="1">
      <c r="B15" s="105" t="s">
        <v>63</v>
      </c>
      <c r="C15" s="82"/>
      <c r="D15" s="79">
        <f>'جدول حقوق ودستمزد'!K6</f>
        <v>500000</v>
      </c>
      <c r="E15" s="79"/>
      <c r="F15" s="80"/>
      <c r="G15" s="123"/>
      <c r="H15" s="124"/>
      <c r="I15" s="113"/>
      <c r="J15" s="113"/>
      <c r="K15" s="113"/>
    </row>
    <row r="16" spans="1:14" ht="23.25" customHeight="1">
      <c r="B16" s="105" t="s">
        <v>65</v>
      </c>
      <c r="C16" s="82"/>
      <c r="D16" s="79">
        <f>'جدول حقوق ودستمزد'!L6</f>
        <v>1000000</v>
      </c>
      <c r="E16" s="79"/>
      <c r="F16" s="80"/>
      <c r="G16" s="123"/>
      <c r="H16" s="124"/>
      <c r="I16" s="113"/>
      <c r="J16" s="113"/>
      <c r="K16" s="113"/>
    </row>
    <row r="17" spans="1:11" ht="23.25" customHeight="1">
      <c r="B17" s="105" t="s">
        <v>64</v>
      </c>
      <c r="C17" s="82"/>
      <c r="D17" s="79">
        <f>'جدول حقوق ودستمزد'!M6</f>
        <v>0</v>
      </c>
      <c r="E17" s="79"/>
      <c r="F17" s="80"/>
      <c r="G17" s="123"/>
      <c r="H17" s="124"/>
      <c r="I17" s="113"/>
      <c r="J17" s="113"/>
      <c r="K17" s="113"/>
    </row>
    <row r="18" spans="1:11" ht="23.25" customHeight="1" thickBot="1">
      <c r="B18" s="110" t="s">
        <v>56</v>
      </c>
      <c r="C18" s="111"/>
      <c r="D18" s="108">
        <f>SUM(D10:F17)</f>
        <v>7029090.9090909092</v>
      </c>
      <c r="E18" s="108"/>
      <c r="F18" s="109"/>
      <c r="G18" s="125"/>
      <c r="H18" s="126"/>
      <c r="I18" s="114"/>
      <c r="J18" s="114"/>
      <c r="K18" s="114"/>
    </row>
    <row r="19" spans="1:11" s="4" customFormat="1" ht="23.25" customHeight="1" thickTop="1">
      <c r="B19" s="5"/>
      <c r="C19" s="5"/>
      <c r="D19" s="5"/>
      <c r="E19" s="6"/>
      <c r="F19" s="6"/>
      <c r="G19" s="7"/>
      <c r="H19" s="7"/>
      <c r="I19" s="5"/>
      <c r="J19" s="5"/>
      <c r="K19" s="5"/>
    </row>
    <row r="20" spans="1:11" s="4" customFormat="1" ht="23.25" customHeight="1">
      <c r="B20" s="5"/>
      <c r="C20" s="5"/>
      <c r="D20" s="5"/>
      <c r="E20" s="6"/>
      <c r="F20" s="6"/>
      <c r="G20" s="7"/>
      <c r="H20" s="7"/>
      <c r="I20" s="5"/>
      <c r="J20" s="5"/>
      <c r="K20" s="5"/>
    </row>
    <row r="21" spans="1:11" s="4" customFormat="1" ht="15" thickBot="1"/>
    <row r="22" spans="1:11" ht="24" thickTop="1" thickBot="1">
      <c r="A22" s="3"/>
      <c r="B22" s="26" t="str">
        <f>CHOOSE(A1,"فروردین ","اردیبهشت ","خرداد ","تـــیـــر ","مرداد ","شهریور ","مهر ","آبان ","آذر ","دی ","بهمن ","اسفند ")</f>
        <v xml:space="preserve">تـــیـــر </v>
      </c>
      <c r="C22" s="27">
        <v>1387</v>
      </c>
      <c r="D22" s="115" t="str">
        <f>'جدول حقوق ودستمزد'!B7 &amp; 'جدول حقوق ودستمزد'!C7</f>
        <v>فرشیدمیدانی</v>
      </c>
      <c r="E22" s="116"/>
      <c r="F22" s="117"/>
      <c r="G22" s="118" t="s">
        <v>58</v>
      </c>
      <c r="H22" s="119"/>
      <c r="I22" s="119"/>
      <c r="J22" s="119"/>
      <c r="K22" s="120"/>
    </row>
    <row r="23" spans="1:11" ht="15.6" thickTop="1" thickBot="1">
      <c r="A23" s="3"/>
      <c r="B23" s="93"/>
      <c r="C23" s="93"/>
      <c r="D23" s="93"/>
      <c r="E23" s="93"/>
      <c r="F23" s="93"/>
      <c r="G23" s="93"/>
      <c r="H23" s="93"/>
      <c r="I23" s="93"/>
      <c r="J23" s="93"/>
      <c r="K23" s="93"/>
    </row>
    <row r="24" spans="1:11" ht="19.2" thickTop="1" thickBot="1">
      <c r="B24" s="97" t="s">
        <v>66</v>
      </c>
      <c r="C24" s="98"/>
      <c r="D24" s="98"/>
      <c r="E24" s="98"/>
      <c r="F24" s="99"/>
      <c r="G24" s="88" t="s">
        <v>67</v>
      </c>
      <c r="H24" s="89"/>
      <c r="I24" s="89"/>
      <c r="J24" s="89"/>
      <c r="K24" s="90"/>
    </row>
    <row r="25" spans="1:11" ht="23.25" customHeight="1" thickTop="1">
      <c r="B25" s="102" t="s">
        <v>55</v>
      </c>
      <c r="C25" s="101"/>
      <c r="D25" s="103">
        <f>'جدول حقوق ودستمزد'!D7</f>
        <v>185</v>
      </c>
      <c r="E25" s="103"/>
      <c r="F25" s="103"/>
      <c r="G25" s="101" t="s">
        <v>68</v>
      </c>
      <c r="H25" s="101"/>
      <c r="I25" s="91">
        <f>'جدول حقوق ودستمزد'!R7</f>
        <v>0</v>
      </c>
      <c r="J25" s="91"/>
      <c r="K25" s="92"/>
    </row>
    <row r="26" spans="1:11" ht="23.25" customHeight="1">
      <c r="B26" s="105" t="s">
        <v>59</v>
      </c>
      <c r="C26" s="82"/>
      <c r="D26" s="139">
        <f>'جدول حقوق ودستمزد'!E7</f>
        <v>21</v>
      </c>
      <c r="E26" s="139"/>
      <c r="F26" s="139"/>
      <c r="G26" s="82" t="s">
        <v>69</v>
      </c>
      <c r="H26" s="82"/>
      <c r="I26" s="79">
        <f>'جدول حقوق ودستمزد'!Q7</f>
        <v>277409.09090909094</v>
      </c>
      <c r="J26" s="79"/>
      <c r="K26" s="80"/>
    </row>
    <row r="27" spans="1:11" ht="23.25" customHeight="1">
      <c r="B27" s="105" t="s">
        <v>60</v>
      </c>
      <c r="C27" s="82"/>
      <c r="D27" s="139">
        <f>'جدول داده ها'!L4</f>
        <v>5</v>
      </c>
      <c r="E27" s="139"/>
      <c r="F27" s="139"/>
      <c r="G27" s="82" t="s">
        <v>14</v>
      </c>
      <c r="H27" s="82"/>
      <c r="I27" s="79">
        <f>'جدول حقوق ودستمزد'!T7</f>
        <v>327886.36363636365</v>
      </c>
      <c r="J27" s="79"/>
      <c r="K27" s="80"/>
    </row>
    <row r="28" spans="1:11" ht="23.25" customHeight="1">
      <c r="B28" s="105" t="s">
        <v>3</v>
      </c>
      <c r="C28" s="82"/>
      <c r="D28" s="79">
        <f>'جدول حقوق ودستمزد'!F7</f>
        <v>3500000</v>
      </c>
      <c r="E28" s="79"/>
      <c r="F28" s="79"/>
      <c r="G28" s="82" t="s">
        <v>70</v>
      </c>
      <c r="H28" s="82"/>
      <c r="I28" s="79">
        <v>0</v>
      </c>
      <c r="J28" s="79"/>
      <c r="K28" s="80"/>
    </row>
    <row r="29" spans="1:11" ht="23.25" customHeight="1">
      <c r="B29" s="105" t="s">
        <v>61</v>
      </c>
      <c r="C29" s="82"/>
      <c r="D29" s="79">
        <f>'جدول حقوق ودستمزد'!G7</f>
        <v>334090.90909090912</v>
      </c>
      <c r="E29" s="79"/>
      <c r="F29" s="79"/>
      <c r="G29" s="130" t="s">
        <v>57</v>
      </c>
      <c r="H29" s="130"/>
      <c r="I29" s="79">
        <f>SUM(I25:K28)</f>
        <v>605295.45454545459</v>
      </c>
      <c r="J29" s="79"/>
      <c r="K29" s="80"/>
    </row>
    <row r="30" spans="1:11" ht="23.25" customHeight="1">
      <c r="B30" s="105" t="s">
        <v>4</v>
      </c>
      <c r="C30" s="82"/>
      <c r="D30" s="79">
        <f>'جدول حقوق ودستمزد'!H7</f>
        <v>300000</v>
      </c>
      <c r="E30" s="79"/>
      <c r="F30" s="79"/>
      <c r="G30" s="130"/>
      <c r="H30" s="130"/>
      <c r="I30" s="79"/>
      <c r="J30" s="79"/>
      <c r="K30" s="80"/>
    </row>
    <row r="31" spans="1:11" ht="23.25" customHeight="1">
      <c r="B31" s="105" t="s">
        <v>54</v>
      </c>
      <c r="C31" s="82"/>
      <c r="D31" s="79">
        <f>'جدول حقوق ودستمزد'!I7</f>
        <v>440000</v>
      </c>
      <c r="E31" s="79"/>
      <c r="F31" s="79"/>
      <c r="G31" s="130"/>
      <c r="H31" s="130"/>
      <c r="I31" s="79"/>
      <c r="J31" s="79"/>
      <c r="K31" s="80"/>
    </row>
    <row r="32" spans="1:11" ht="23.25" customHeight="1">
      <c r="B32" s="105" t="s">
        <v>62</v>
      </c>
      <c r="C32" s="82"/>
      <c r="D32" s="79">
        <f>'جدول حقوق ودستمزد'!J7</f>
        <v>100000</v>
      </c>
      <c r="E32" s="79"/>
      <c r="F32" s="79"/>
      <c r="G32" s="150" t="s">
        <v>71</v>
      </c>
      <c r="H32" s="150"/>
      <c r="I32" s="142">
        <f>D36-I29</f>
        <v>5118795.4545454551</v>
      </c>
      <c r="J32" s="142"/>
      <c r="K32" s="143"/>
    </row>
    <row r="33" spans="2:11" ht="23.25" customHeight="1">
      <c r="B33" s="105" t="s">
        <v>63</v>
      </c>
      <c r="C33" s="82"/>
      <c r="D33" s="79">
        <f>'جدول حقوق ودستمزد'!K7</f>
        <v>550000</v>
      </c>
      <c r="E33" s="79"/>
      <c r="F33" s="79"/>
      <c r="G33" s="150"/>
      <c r="H33" s="150"/>
      <c r="I33" s="142"/>
      <c r="J33" s="142"/>
      <c r="K33" s="143"/>
    </row>
    <row r="34" spans="2:11" ht="23.25" customHeight="1">
      <c r="B34" s="105" t="s">
        <v>65</v>
      </c>
      <c r="C34" s="82"/>
      <c r="D34" s="79">
        <f>'جدول حقوق ودستمزد'!L7</f>
        <v>500000</v>
      </c>
      <c r="E34" s="79"/>
      <c r="F34" s="79"/>
      <c r="G34" s="150"/>
      <c r="H34" s="150"/>
      <c r="I34" s="142"/>
      <c r="J34" s="142"/>
      <c r="K34" s="143"/>
    </row>
    <row r="35" spans="2:11" ht="23.25" customHeight="1">
      <c r="B35" s="105" t="s">
        <v>64</v>
      </c>
      <c r="C35" s="82"/>
      <c r="D35" s="79">
        <f>'جدول حقوق ودستمزد'!M7</f>
        <v>0</v>
      </c>
      <c r="E35" s="79"/>
      <c r="F35" s="79"/>
      <c r="G35" s="150"/>
      <c r="H35" s="150"/>
      <c r="I35" s="142"/>
      <c r="J35" s="142"/>
      <c r="K35" s="143"/>
    </row>
    <row r="36" spans="2:11" ht="39" customHeight="1" thickBot="1">
      <c r="B36" s="148" t="s">
        <v>56</v>
      </c>
      <c r="C36" s="149"/>
      <c r="D36" s="146">
        <f>SUM(D28:F35)</f>
        <v>5724090.9090909092</v>
      </c>
      <c r="E36" s="146"/>
      <c r="F36" s="147"/>
      <c r="G36" s="151"/>
      <c r="H36" s="151"/>
      <c r="I36" s="144"/>
      <c r="J36" s="144"/>
      <c r="K36" s="145"/>
    </row>
    <row r="37" spans="2:11" ht="15" thickTop="1"/>
  </sheetData>
  <mergeCells count="85">
    <mergeCell ref="N1:N2"/>
    <mergeCell ref="N4:N5"/>
    <mergeCell ref="I32:K36"/>
    <mergeCell ref="B33:C33"/>
    <mergeCell ref="D33:F33"/>
    <mergeCell ref="B34:C34"/>
    <mergeCell ref="D34:F34"/>
    <mergeCell ref="B35:C35"/>
    <mergeCell ref="D35:F35"/>
    <mergeCell ref="D36:F36"/>
    <mergeCell ref="B36:C36"/>
    <mergeCell ref="B32:C32"/>
    <mergeCell ref="D32:F32"/>
    <mergeCell ref="G32:H36"/>
    <mergeCell ref="B29:C29"/>
    <mergeCell ref="D29:F29"/>
    <mergeCell ref="G29:H31"/>
    <mergeCell ref="I29:K31"/>
    <mergeCell ref="B30:C30"/>
    <mergeCell ref="D30:F30"/>
    <mergeCell ref="B31:C31"/>
    <mergeCell ref="D31:F31"/>
    <mergeCell ref="B27:C27"/>
    <mergeCell ref="D27:F27"/>
    <mergeCell ref="G27:H27"/>
    <mergeCell ref="I27:K27"/>
    <mergeCell ref="B28:C28"/>
    <mergeCell ref="D28:F28"/>
    <mergeCell ref="G28:H28"/>
    <mergeCell ref="I28:K28"/>
    <mergeCell ref="B25:C25"/>
    <mergeCell ref="D25:F25"/>
    <mergeCell ref="G25:H25"/>
    <mergeCell ref="I25:K25"/>
    <mergeCell ref="B26:C26"/>
    <mergeCell ref="D26:F26"/>
    <mergeCell ref="G26:H26"/>
    <mergeCell ref="I26:K26"/>
    <mergeCell ref="I10:K10"/>
    <mergeCell ref="G10:H10"/>
    <mergeCell ref="B15:C15"/>
    <mergeCell ref="B17:C17"/>
    <mergeCell ref="B16:C16"/>
    <mergeCell ref="D15:F15"/>
    <mergeCell ref="D16:F16"/>
    <mergeCell ref="D17:F17"/>
    <mergeCell ref="B11:C11"/>
    <mergeCell ref="D11:F11"/>
    <mergeCell ref="B12:C12"/>
    <mergeCell ref="D12:F12"/>
    <mergeCell ref="G11:H13"/>
    <mergeCell ref="I11:K13"/>
    <mergeCell ref="B13:C13"/>
    <mergeCell ref="D13:F13"/>
    <mergeCell ref="B23:F23"/>
    <mergeCell ref="G23:K23"/>
    <mergeCell ref="B24:F24"/>
    <mergeCell ref="G24:K24"/>
    <mergeCell ref="D18:F18"/>
    <mergeCell ref="B18:C18"/>
    <mergeCell ref="I14:K18"/>
    <mergeCell ref="D22:F22"/>
    <mergeCell ref="G22:K22"/>
    <mergeCell ref="G14:H18"/>
    <mergeCell ref="B14:C14"/>
    <mergeCell ref="D14:F14"/>
    <mergeCell ref="B10:C10"/>
    <mergeCell ref="D10:F10"/>
    <mergeCell ref="B8:C8"/>
    <mergeCell ref="D8:F8"/>
    <mergeCell ref="B9:C9"/>
    <mergeCell ref="D9:F9"/>
    <mergeCell ref="I8:K8"/>
    <mergeCell ref="G9:H9"/>
    <mergeCell ref="I9:K9"/>
    <mergeCell ref="G4:K4"/>
    <mergeCell ref="G6:K6"/>
    <mergeCell ref="I7:K7"/>
    <mergeCell ref="B5:K5"/>
    <mergeCell ref="D4:F4"/>
    <mergeCell ref="B6:F6"/>
    <mergeCell ref="G7:H7"/>
    <mergeCell ref="G8:H8"/>
    <mergeCell ref="B7:C7"/>
    <mergeCell ref="D7:F7"/>
  </mergeCells>
  <conditionalFormatting sqref="B4:K4">
    <cfRule type="cellIs" dxfId="1" priority="2" operator="equal">
      <formula>"تیر"</formula>
    </cfRule>
  </conditionalFormatting>
  <conditionalFormatting sqref="B4">
    <cfRule type="cellIs" dxfId="0" priority="1" operator="equal">
      <formula>"تیر"</formula>
    </cfRule>
  </conditionalFormatting>
  <hyperlinks>
    <hyperlink ref="N1:N2" location="'جدول داده ها'!C24" display="جدول داده ها"/>
    <hyperlink ref="N4:N5" location="'جدول حقوق ودستمزد'!D1" display="جدول حقوق ودستمزد"/>
  </hyperlinks>
  <printOptions horizontalCentered="1" verticalCentered="1"/>
  <pageMargins left="0" right="0" top="0" bottom="0" header="0" footer="0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جدول داده ها</vt:lpstr>
      <vt:lpstr>جدول حقوق ودستمزد</vt:lpstr>
      <vt:lpstr>فیش حقوقی </vt:lpstr>
      <vt:lpstr>'فیش حقوقی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محاسبه حقوق و دستمزد در اکسل</dc:title>
  <dc:subject>آموزش کاربردی اکسل</dc:subject>
  <dc:creator>بیژن باقری نژاد</dc:creator>
  <cp:keywords>حقوق , دستمزد , اکسل, مالیات, Excel, فیش حقوق</cp:keywords>
  <dc:description>85/05/26</dc:description>
  <cp:lastModifiedBy>فرشید میدانی</cp:lastModifiedBy>
  <cp:lastPrinted>2008-07-02T06:07:24Z</cp:lastPrinted>
  <dcterms:created xsi:type="dcterms:W3CDTF">2008-06-28T20:12:35Z</dcterms:created>
  <dcterms:modified xsi:type="dcterms:W3CDTF">2009-08-18T06:07:06Z</dcterms:modified>
</cp:coreProperties>
</file>