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omments2.xml" ContentType="application/vnd.openxmlformats-officedocument.spreadsheetml.comments+xml"/>
  <Override PartName="/xl/charts/chart6.xml" ContentType="application/vnd.openxmlformats-officedocument.drawingml.chart+xml"/>
  <Override PartName="/xl/drawings/drawing4.xml" ContentType="application/vnd.openxmlformats-officedocument.drawing+xml"/>
  <Override PartName="/xl/tables/table4.xml" ContentType="application/vnd.openxmlformats-officedocument.spreadsheetml.table+xml"/>
  <Override PartName="/xl/comments3.xml" ContentType="application/vnd.openxmlformats-officedocument.spreadsheetml.comments+xml"/>
  <Override PartName="/xl/charts/chart7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ml.chartshapes+xml"/>
  <Override PartName="/xl/charts/chart8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ml.chartshapes+xml"/>
  <Override PartName="/xl/charts/chart9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0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7.xml" ContentType="application/vnd.openxmlformats-officedocument.drawingml.chartshapes+xml"/>
  <Override PartName="/xl/charts/chart11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2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4.xml" ContentType="application/vnd.openxmlformats-officedocument.spreadsheetml.comments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omments5.xml" ContentType="application/vnd.openxmlformats-officedocument.spreadsheetml.comments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2.xml" ContentType="application/vnd.openxmlformats-officedocument.drawing+xml"/>
  <Override PartName="/xl/tables/table5.xml" ContentType="application/vnd.openxmlformats-officedocument.spreadsheetml.table+xml"/>
  <Override PartName="/xl/comments6.xml" ContentType="application/vnd.openxmlformats-officedocument.spreadsheetml.comments+xml"/>
  <Override PartName="/xl/charts/chart19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70" windowWidth="14810" windowHeight="7960" tabRatio="824"/>
  </bookViews>
  <sheets>
    <sheet name="Power &amp; Mass breakdown" sheetId="6" r:id="rId1"/>
    <sheet name="FC stacks" sheetId="7" r:id="rId2"/>
    <sheet name="Humidifier" sheetId="1" r:id="rId3"/>
    <sheet name="Compressor" sheetId="8" r:id="rId4"/>
    <sheet name="Power electronics" sheetId="2" r:id="rId5"/>
    <sheet name="Fuel system" sheetId="11" r:id="rId6"/>
    <sheet name="Tank" sheetId="13" r:id="rId7"/>
    <sheet name="Cooling module" sheetId="17" r:id="rId8"/>
    <sheet name="Layouts" sheetId="10" r:id="rId9"/>
    <sheet name="Cooling_old" sheetId="4" r:id="rId10"/>
    <sheet name="SHX_old" sheetId="14" r:id="rId11"/>
  </sheets>
  <externalReferences>
    <externalReference r:id="rId12"/>
  </externalReferences>
  <calcPr calcId="152511"/>
</workbook>
</file>

<file path=xl/calcChain.xml><?xml version="1.0" encoding="utf-8"?>
<calcChain xmlns="http://schemas.openxmlformats.org/spreadsheetml/2006/main">
  <c r="B78" i="6" l="1"/>
  <c r="B77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76" i="6"/>
  <c r="D25" i="6" l="1"/>
  <c r="B14" i="6"/>
  <c r="B13" i="6"/>
  <c r="B18" i="6"/>
  <c r="B5" i="6"/>
  <c r="B143" i="4" l="1"/>
  <c r="B147" i="4"/>
  <c r="C147" i="4"/>
  <c r="D147" i="4"/>
  <c r="D148" i="4" s="1"/>
  <c r="E147" i="4"/>
  <c r="F147" i="4"/>
  <c r="B148" i="4"/>
  <c r="C148" i="4"/>
  <c r="E148" i="4"/>
  <c r="F148" i="4"/>
  <c r="B152" i="4"/>
  <c r="C152" i="4"/>
  <c r="D152" i="4"/>
  <c r="E152" i="4"/>
  <c r="F152" i="4"/>
  <c r="B153" i="4"/>
  <c r="C153" i="4"/>
  <c r="D153" i="4"/>
  <c r="E153" i="4"/>
  <c r="F153" i="4"/>
  <c r="G153" i="4"/>
  <c r="B156" i="4"/>
  <c r="C156" i="4"/>
  <c r="D156" i="4"/>
  <c r="E156" i="4"/>
  <c r="F156" i="4"/>
  <c r="G156" i="4"/>
  <c r="B20" i="6"/>
  <c r="B42" i="17"/>
  <c r="E36" i="17"/>
  <c r="B36" i="17"/>
  <c r="B70" i="17"/>
  <c r="B67" i="17"/>
  <c r="B65" i="17"/>
  <c r="B66" i="17" s="1"/>
  <c r="B71" i="17" l="1"/>
  <c r="E18" i="6"/>
  <c r="F18" i="6"/>
  <c r="C19" i="4" l="1"/>
  <c r="D19" i="4"/>
  <c r="E19" i="4"/>
  <c r="F19" i="4"/>
  <c r="G19" i="4"/>
  <c r="H19" i="4"/>
  <c r="I19" i="4"/>
  <c r="B19" i="4"/>
  <c r="B25" i="14" l="1"/>
  <c r="B37" i="4"/>
  <c r="E37" i="4"/>
  <c r="B11" i="14"/>
  <c r="C18" i="6" l="1"/>
  <c r="F84" i="6"/>
  <c r="F76" i="6"/>
  <c r="F77" i="6"/>
  <c r="F78" i="6"/>
  <c r="F79" i="6"/>
  <c r="F80" i="6"/>
  <c r="F81" i="6"/>
  <c r="F82" i="6"/>
  <c r="F83" i="6"/>
  <c r="F85" i="6"/>
  <c r="F86" i="6"/>
  <c r="F87" i="6"/>
  <c r="F88" i="6"/>
  <c r="F89" i="6"/>
  <c r="F90" i="6"/>
  <c r="F91" i="6"/>
  <c r="F92" i="6"/>
  <c r="F93" i="6"/>
  <c r="B42" i="8"/>
  <c r="B41" i="8"/>
  <c r="B10" i="4"/>
  <c r="G38" i="14"/>
  <c r="G39" i="14"/>
  <c r="G40" i="14"/>
  <c r="G41" i="14"/>
  <c r="G42" i="14"/>
  <c r="F38" i="14"/>
  <c r="F39" i="14"/>
  <c r="F40" i="14"/>
  <c r="F41" i="14"/>
  <c r="F42" i="14"/>
  <c r="B62" i="14"/>
  <c r="B61" i="14"/>
  <c r="B64" i="14"/>
  <c r="B63" i="14"/>
  <c r="B65" i="14" l="1"/>
  <c r="B66" i="14"/>
  <c r="B68" i="14" s="1"/>
  <c r="B26" i="6"/>
  <c r="B25" i="6"/>
  <c r="B22" i="6"/>
  <c r="B17" i="6"/>
  <c r="B10" i="6"/>
  <c r="C20" i="6" l="1"/>
  <c r="B23" i="6"/>
  <c r="B19" i="6"/>
  <c r="B21" i="6" s="1"/>
  <c r="B67" i="14"/>
  <c r="D33" i="7"/>
  <c r="C21" i="7"/>
  <c r="C22" i="7" s="1"/>
  <c r="D21" i="7"/>
  <c r="D22" i="7" s="1"/>
  <c r="E21" i="7"/>
  <c r="E22" i="7" s="1"/>
  <c r="F21" i="7"/>
  <c r="F22" i="7" s="1"/>
  <c r="B21" i="7"/>
  <c r="B22" i="7" s="1"/>
  <c r="C32" i="7"/>
  <c r="C33" i="7" s="1"/>
  <c r="D32" i="7"/>
  <c r="E32" i="7"/>
  <c r="E33" i="7" s="1"/>
  <c r="F32" i="7"/>
  <c r="F33" i="7" s="1"/>
  <c r="B32" i="7"/>
  <c r="B33" i="7" s="1"/>
  <c r="B31" i="7"/>
  <c r="F20" i="7"/>
  <c r="E20" i="7"/>
  <c r="D20" i="7"/>
  <c r="C20" i="7"/>
  <c r="B20" i="7"/>
  <c r="C31" i="7"/>
  <c r="D31" i="7"/>
  <c r="E31" i="7"/>
  <c r="F31" i="7"/>
  <c r="B28" i="7"/>
  <c r="C28" i="7"/>
  <c r="D28" i="7"/>
  <c r="E28" i="7"/>
  <c r="F28" i="7"/>
  <c r="D18" i="7"/>
  <c r="C18" i="7"/>
  <c r="B18" i="7"/>
  <c r="C17" i="7"/>
  <c r="D17" i="7"/>
  <c r="B17" i="7"/>
  <c r="B13" i="14"/>
  <c r="C17" i="4" l="1"/>
  <c r="D17" i="4"/>
  <c r="E17" i="4"/>
  <c r="F17" i="4"/>
  <c r="G17" i="4"/>
  <c r="H17" i="4"/>
  <c r="I17" i="4"/>
  <c r="B17" i="4"/>
  <c r="B17" i="14" l="1"/>
  <c r="J11" i="14"/>
  <c r="B14" i="14"/>
  <c r="B19" i="14" l="1"/>
  <c r="J14" i="14"/>
  <c r="J13" i="14"/>
  <c r="B20" i="14" s="1"/>
  <c r="D15" i="4"/>
  <c r="D14" i="4"/>
  <c r="F15" i="4"/>
  <c r="F14" i="4"/>
  <c r="I15" i="4"/>
  <c r="H15" i="4"/>
  <c r="G15" i="4"/>
  <c r="E15" i="4"/>
  <c r="C15" i="4"/>
  <c r="B15" i="4"/>
  <c r="I14" i="4"/>
  <c r="H14" i="4"/>
  <c r="G14" i="4"/>
  <c r="E14" i="4"/>
  <c r="C14" i="4"/>
  <c r="B14" i="4"/>
  <c r="B22" i="14" l="1"/>
  <c r="B113" i="8"/>
  <c r="B112" i="8"/>
  <c r="B111" i="8"/>
  <c r="B110" i="8"/>
  <c r="B109" i="8"/>
  <c r="B128" i="4"/>
  <c r="H112" i="8"/>
  <c r="H111" i="8"/>
  <c r="C112" i="8"/>
  <c r="G110" i="8"/>
  <c r="H113" i="8"/>
  <c r="C111" i="8"/>
  <c r="G109" i="8"/>
  <c r="H110" i="8"/>
  <c r="G112" i="8"/>
  <c r="C109" i="8"/>
  <c r="C110" i="8"/>
  <c r="G113" i="8"/>
  <c r="H109" i="8"/>
  <c r="G111" i="8"/>
  <c r="C113" i="8"/>
  <c r="B64" i="8" l="1"/>
  <c r="B65" i="8"/>
  <c r="B100" i="8"/>
  <c r="B101" i="8"/>
  <c r="B102" i="8"/>
  <c r="B103" i="8"/>
  <c r="B99" i="8"/>
  <c r="E99" i="8"/>
  <c r="J112" i="8"/>
  <c r="C99" i="8"/>
  <c r="J111" i="8"/>
  <c r="H100" i="8"/>
  <c r="C101" i="8"/>
  <c r="D103" i="8"/>
  <c r="E110" i="8"/>
  <c r="D102" i="8"/>
  <c r="D101" i="8"/>
  <c r="H101" i="8"/>
  <c r="I110" i="8"/>
  <c r="E112" i="8"/>
  <c r="J113" i="8"/>
  <c r="J110" i="8"/>
  <c r="C100" i="8"/>
  <c r="D100" i="8"/>
  <c r="I113" i="8"/>
  <c r="E113" i="8"/>
  <c r="E111" i="8"/>
  <c r="H102" i="8"/>
  <c r="H99" i="8"/>
  <c r="C102" i="8"/>
  <c r="H103" i="8"/>
  <c r="D104" i="8"/>
  <c r="I112" i="8"/>
  <c r="I111" i="8"/>
  <c r="C103" i="8"/>
  <c r="B66" i="8" l="1"/>
  <c r="F11" i="4"/>
  <c r="F18" i="4" s="1"/>
  <c r="D11" i="4"/>
  <c r="D18" i="4" s="1"/>
  <c r="D111" i="8"/>
  <c r="D113" i="8"/>
  <c r="D110" i="8"/>
  <c r="D112" i="8"/>
  <c r="B7" i="14"/>
  <c r="B72" i="17" s="1"/>
  <c r="B62" i="8"/>
  <c r="B28" i="6" s="1"/>
  <c r="G99" i="8"/>
  <c r="B25" i="4" l="1"/>
  <c r="C25" i="4" s="1"/>
  <c r="B28" i="14"/>
  <c r="E100" i="8"/>
  <c r="E102" i="8"/>
  <c r="E103" i="8"/>
  <c r="E101" i="8"/>
  <c r="I11" i="4"/>
  <c r="I18" i="4" s="1"/>
  <c r="I99" i="8"/>
  <c r="J101" i="8"/>
  <c r="G103" i="8"/>
  <c r="G100" i="8"/>
  <c r="G101" i="8"/>
  <c r="J99" i="8"/>
  <c r="G102" i="8"/>
  <c r="B24" i="4" l="1"/>
  <c r="C24" i="4" s="1"/>
  <c r="B29" i="14"/>
  <c r="B30" i="14" s="1"/>
  <c r="B33" i="14" s="1"/>
  <c r="C11" i="4"/>
  <c r="C18" i="4" s="1"/>
  <c r="E11" i="4"/>
  <c r="E18" i="4" s="1"/>
  <c r="G11" i="4"/>
  <c r="G18" i="4" s="1"/>
  <c r="H11" i="4"/>
  <c r="H18" i="4" s="1"/>
  <c r="B11" i="4"/>
  <c r="I102" i="8"/>
  <c r="J102" i="8"/>
  <c r="I103" i="8"/>
  <c r="J103" i="8"/>
  <c r="J100" i="8"/>
  <c r="I101" i="8"/>
  <c r="I100" i="8"/>
  <c r="F24" i="4" l="1"/>
  <c r="G24" i="4" s="1"/>
  <c r="B18" i="4"/>
  <c r="B23" i="4"/>
  <c r="C23" i="4" s="1"/>
  <c r="B21" i="4"/>
  <c r="C21" i="4" s="1"/>
  <c r="B22" i="4"/>
  <c r="C22" i="4" s="1"/>
  <c r="D22" i="6"/>
  <c r="F84" i="4"/>
  <c r="F85" i="4" s="1"/>
  <c r="E84" i="4"/>
  <c r="E85" i="4" s="1"/>
  <c r="D84" i="4"/>
  <c r="D85" i="4" s="1"/>
  <c r="B84" i="4"/>
  <c r="B85" i="4" s="1"/>
  <c r="C84" i="4"/>
  <c r="C85" i="4" s="1"/>
  <c r="B40" i="2"/>
  <c r="D17" i="6"/>
  <c r="B75" i="4" l="1"/>
  <c r="B36" i="6"/>
  <c r="B21" i="13"/>
  <c r="B24" i="13"/>
  <c r="F17" i="7" l="1"/>
  <c r="F82" i="4"/>
  <c r="F83" i="4" s="1"/>
  <c r="E82" i="4"/>
  <c r="E83" i="4" s="1"/>
  <c r="B82" i="4"/>
  <c r="B83" i="4" s="1"/>
  <c r="D82" i="4"/>
  <c r="D83" i="4" s="1"/>
  <c r="C82" i="4"/>
  <c r="C83" i="4" s="1"/>
  <c r="B71" i="4" l="1"/>
  <c r="C22" i="6" l="1"/>
  <c r="B55" i="8" l="1"/>
  <c r="B43" i="4" l="1"/>
  <c r="D10" i="1" l="1"/>
  <c r="D11" i="1"/>
  <c r="D12" i="1"/>
  <c r="D13" i="1"/>
  <c r="D14" i="1"/>
  <c r="D15" i="1"/>
  <c r="B40" i="1"/>
  <c r="D16" i="1"/>
  <c r="F18" i="7"/>
  <c r="E18" i="7"/>
  <c r="E17" i="7"/>
  <c r="D19" i="6" l="1"/>
  <c r="D21" i="6" l="1"/>
  <c r="D28" i="6" s="1"/>
  <c r="C21" i="6"/>
  <c r="C28" i="6" s="1"/>
  <c r="B12" i="6" s="1"/>
  <c r="B99" i="4" l="1"/>
  <c r="C112" i="4"/>
  <c r="B112" i="4"/>
  <c r="C105" i="4"/>
  <c r="B105" i="4"/>
  <c r="J109" i="8"/>
  <c r="E109" i="8"/>
  <c r="I109" i="8"/>
  <c r="D109" i="8" l="1"/>
  <c r="B11" i="6"/>
  <c r="B35" i="6" l="1"/>
  <c r="B30" i="6"/>
  <c r="B33" i="6" l="1"/>
  <c r="B31" i="6"/>
  <c r="E93" i="6"/>
  <c r="E85" i="6"/>
  <c r="E77" i="6"/>
  <c r="E90" i="6"/>
  <c r="E87" i="6"/>
  <c r="E79" i="6"/>
  <c r="E84" i="6"/>
  <c r="E83" i="6"/>
  <c r="E81" i="6"/>
  <c r="E80" i="6"/>
  <c r="E86" i="6"/>
  <c r="E89" i="6"/>
  <c r="E88" i="6"/>
  <c r="E91" i="6"/>
  <c r="E78" i="6"/>
  <c r="E92" i="6"/>
  <c r="E76" i="6"/>
  <c r="E82" i="6"/>
</calcChain>
</file>

<file path=xl/comments1.xml><?xml version="1.0" encoding="utf-8"?>
<comments xmlns="http://schemas.openxmlformats.org/spreadsheetml/2006/main">
  <authors>
    <author>Author</author>
  </authors>
  <commentList>
    <comment ref="B7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hot day</t>
        </r>
      </text>
    </comment>
    <comment ref="A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 redundancy</t>
        </r>
      </text>
    </comment>
    <comment ref="B1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PowerCell S3</t>
        </r>
      </text>
    </comment>
    <comment ref="B18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Differs greatly depending on wether we consider a single common compressor or one compressor per stack</t>
        </r>
      </text>
    </comment>
    <comment ref="B1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1/stack</t>
        </r>
      </text>
    </comment>
    <comment ref="A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w/o heat exchangers &amp; ram air inlet</t>
        </r>
      </text>
    </comment>
    <comment ref="C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Pump only</t>
        </r>
      </text>
    </comment>
    <comment ref="A2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Inverter + DC/DC converters</t>
        </r>
      </text>
    </comment>
    <comment ref="B2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Assuming two valves &amp; actuators per stack (anode) : one for inlet flow and one for recirculation</t>
        </r>
      </text>
    </comment>
    <comment ref="B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30 meters;
Sizing in Python Notebook</t>
        </r>
      </text>
    </comment>
    <comment ref="C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Pumps ?</t>
        </r>
      </text>
    </comment>
    <comment ref="B75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Including potential radiator fans consumption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16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Equivalent to PowerCell S3 stack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F9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Typical mission profile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SYSTEM 
= COOLING MODULE
+ HEAT EXCHANGER</t>
        </r>
      </text>
    </comment>
    <comment ref="A2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SYSTEM 
= COOLING MODULE
+ HEAT EXCHANGER</t>
        </r>
      </text>
    </comment>
  </commentList>
</comments>
</file>

<file path=xl/comments5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SYSTEM 
= COOLING MODULE
+ HEAT EXCHANGER</t>
        </r>
      </text>
    </comment>
    <comment ref="A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SYSTEM 
= COOLING MODULE
+ HEAT EXCHANGER</t>
        </r>
      </text>
    </comment>
    <comment ref="A7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approx. (plot read)</t>
        </r>
      </text>
    </comment>
    <comment ref="A1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Entering temperature difference, between cooling airflow and oil</t>
        </r>
      </text>
    </comment>
    <comment ref="A12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incl. Fan, motor and brackets</t>
        </r>
      </text>
    </comment>
    <comment ref="A13" authorId="0" shape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incl. Fan, motor and brackets</t>
        </r>
      </text>
    </comment>
    <comment ref="A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COOLING SYSTEM 
= COOLING MODULE
+ HEAT EXCHANGER</t>
        </r>
      </text>
    </comment>
    <comment ref="A39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Based on INN-BALANCE project results...</t>
        </r>
      </text>
    </comment>
    <comment ref="A83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Fuel cell nominal power ~= Waste heat</t>
        </r>
      </text>
    </comment>
    <comment ref="A104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NB:
thermal management system = heat exchanger + fan + pump + piping (+ coolant)</t>
        </r>
      </text>
    </comment>
  </commentList>
</comments>
</file>

<file path=xl/comments6.xml><?xml version="1.0" encoding="utf-8"?>
<comments xmlns="http://schemas.openxmlformats.org/spreadsheetml/2006/main">
  <authors>
    <author>Author</author>
  </authors>
  <commentList>
    <comment ref="B1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Efficiency increases with the decrease of the mass flow rate (i.e. increase of the heat exchanger weight, because more tubes are needed)</t>
        </r>
      </text>
    </comment>
    <comment ref="B20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Consistent with Hashemi1999</t>
        </r>
      </text>
    </comment>
    <comment ref="B28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NB: half of the surface is considered to be exposed to the solar radiation q_rad</t>
        </r>
      </text>
    </comment>
    <comment ref="B31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Mao2019</t>
        </r>
      </text>
    </comment>
    <comment ref="B32" authorId="0" shape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charset val="1"/>
          </rPr>
          <t xml:space="preserve">
Mao2019</t>
        </r>
      </text>
    </comment>
  </commentList>
</comments>
</file>

<file path=xl/sharedStrings.xml><?xml version="1.0" encoding="utf-8"?>
<sst xmlns="http://schemas.openxmlformats.org/spreadsheetml/2006/main" count="644" uniqueCount="414">
  <si>
    <t>Membrane Humidifiers</t>
  </si>
  <si>
    <t>FUMATECH – Ecomate High Performance Membrane Humidifiers for Fuel Cells</t>
  </si>
  <si>
    <t>https://www.fumatech.com/NR/rdonlyres/0B9A1C7F-5BA6-4409-A003-5C4E79CD61AB/0/FUMATECH_BWT_GmbHMembrane_Humidifiers.pdf</t>
  </si>
  <si>
    <t>Dry weight (kg)</t>
  </si>
  <si>
    <t>Volume (L)</t>
  </si>
  <si>
    <t>Fuel cell stack power (kW)</t>
  </si>
  <si>
    <t>DOE Technical Targets for Fuel Cell System Humidifiers and Air Compression Systems</t>
  </si>
  <si>
    <t>https://www.energy.gov/eere/fuelcells/doe-technical-targets-fuel-cell-system-humidifiers-and-air-compression-systems</t>
  </si>
  <si>
    <t>https://www.mikroelektronik.fraunhofer.de/content/dam/mikroelektronik/Datenbltter/IISB_200kW-Rekordwandler_DB.pdf</t>
  </si>
  <si>
    <t>Bidirectional full SiC 200 kW DC-DC Converter for Electric, Hybrid and Fuel Cell Vehicles</t>
  </si>
  <si>
    <t>HONEYWELL</t>
  </si>
  <si>
    <t>Development of Thermal and Water Management System for PEM Fuel Cell, 2010</t>
  </si>
  <si>
    <t>INN-BALANCE PROJECT</t>
  </si>
  <si>
    <t>D1.4 – Public results of the architecture and system level optimization</t>
  </si>
  <si>
    <t>Fuel cell power</t>
  </si>
  <si>
    <t>kW</t>
  </si>
  <si>
    <t>FC power (gross)</t>
  </si>
  <si>
    <t>Heat exchanger weight</t>
  </si>
  <si>
    <t>kg</t>
  </si>
  <si>
    <t>FC power (net)</t>
  </si>
  <si>
    <t>weight-power ratio</t>
  </si>
  <si>
    <t>kg/kW</t>
  </si>
  <si>
    <t>Cooling module weight</t>
  </si>
  <si>
    <t>Ion Tiger - UAV project</t>
  </si>
  <si>
    <t>Cooling System Design for PEM Fuel Cell Powered Air Vehicles, 2010</t>
  </si>
  <si>
    <t>FC power</t>
  </si>
  <si>
    <t>AVACON</t>
  </si>
  <si>
    <t>ASSESSMENT OF A FUEL CELL POWERED FULL ELECTRIC SUBSYSTEM ARCHITECTURE FOR THE AVACON RESEARCH BASELINE AIRCRAFT, 2019</t>
  </si>
  <si>
    <t>APU - Long Endurance Demonstrator aircraft (CIRA)</t>
  </si>
  <si>
    <t>Design methodology for a PEM fuel cell power system in a more electrical aircraft, 2016, D. Guida a, M. Minutillo</t>
  </si>
  <si>
    <t>Fuel cell power (gross)</t>
  </si>
  <si>
    <t>Fuel cell power (net)</t>
  </si>
  <si>
    <t>Titan Air heat exchanger (model H-1-20A-600)</t>
  </si>
  <si>
    <t>HYBRID-ELECTRIC MOTIVE POWER SYSTEMS FOR COMMUTER TRANSPORT APPLICATIONS</t>
  </si>
  <si>
    <t>?</t>
  </si>
  <si>
    <t>or</t>
  </si>
  <si>
    <t>bar</t>
  </si>
  <si>
    <t>°C</t>
  </si>
  <si>
    <t>m</t>
  </si>
  <si>
    <t>L</t>
  </si>
  <si>
    <t>l</t>
  </si>
  <si>
    <t>kg/m3</t>
  </si>
  <si>
    <t>Michael Nöst, Christian Doppler, Manfred Klell and Alexander Trattner</t>
  </si>
  <si>
    <t>Thermal Management of PEM Fuel Cells in Electric Vehicles</t>
  </si>
  <si>
    <t>Inverter</t>
  </si>
  <si>
    <t>DC-DC converter</t>
  </si>
  <si>
    <t>A 50-kW High-Frequency and High-Efficiency SiC Voltage Source Inverter for More Electric Aircraft</t>
  </si>
  <si>
    <t>https://www.researchgate.net/publication/316445819_A_50-kW_High-Frequency_and_High-Efficiency_SiC_Voltage_Source_Inverter_for_More_Electric_Aircraft</t>
  </si>
  <si>
    <t>kW/kg</t>
  </si>
  <si>
    <t>Efficiency</t>
  </si>
  <si>
    <t>Stacks</t>
  </si>
  <si>
    <t>Compressor</t>
  </si>
  <si>
    <t>Power Electronics</t>
  </si>
  <si>
    <t>Power consumption</t>
  </si>
  <si>
    <t>98 kW</t>
  </si>
  <si>
    <t>125 kW</t>
  </si>
  <si>
    <t>Max power (kW)</t>
  </si>
  <si>
    <t>Dimensions</t>
  </si>
  <si>
    <t>420x444x156</t>
  </si>
  <si>
    <t>420x568x156</t>
  </si>
  <si>
    <t>Weight (kg)</t>
  </si>
  <si>
    <t>Specific Power (kW/kg)</t>
  </si>
  <si>
    <t>Power Density (kW/L)</t>
  </si>
  <si>
    <t>PowerCell S3</t>
  </si>
  <si>
    <t>https://www.powercell.se/wordpress/wp-content/uploads/2018/12/S3-Produktblad-190430.pdf</t>
  </si>
  <si>
    <t>WEIGHT-POWER RATIO 
SELECTED VALUE</t>
  </si>
  <si>
    <t>Cooling module</t>
  </si>
  <si>
    <t>Heat exchanger</t>
  </si>
  <si>
    <t># Stacks</t>
  </si>
  <si>
    <t>-</t>
  </si>
  <si>
    <t>Specific power (kW/kg)</t>
  </si>
  <si>
    <t>Specific power</t>
  </si>
  <si>
    <t>COMPRESSOR</t>
  </si>
  <si>
    <t>Hypothesis</t>
  </si>
  <si>
    <t>Number compressors</t>
  </si>
  <si>
    <t>/stack</t>
  </si>
  <si>
    <t>Pressure ratio</t>
  </si>
  <si>
    <t>Stack power</t>
  </si>
  <si>
    <t>Python Outputs</t>
  </si>
  <si>
    <t>Flow rate</t>
  </si>
  <si>
    <t>Python Notebook (WIP)</t>
  </si>
  <si>
    <t>Coolant inlet Temp.</t>
  </si>
  <si>
    <t>Coolant outlet Temp.</t>
  </si>
  <si>
    <t>Pressure drop</t>
  </si>
  <si>
    <t>Coolant specific heat</t>
  </si>
  <si>
    <t>Potassium formate/water 40:60 wt</t>
  </si>
  <si>
    <t>J/kg/K</t>
  </si>
  <si>
    <t>Coolant density</t>
  </si>
  <si>
    <t>Safety factor</t>
  </si>
  <si>
    <t>uncertainties</t>
  </si>
  <si>
    <t>Heat flow</t>
  </si>
  <si>
    <t>Elec. Power consumption</t>
  </si>
  <si>
    <t>N/A</t>
  </si>
  <si>
    <t>INPUTS</t>
  </si>
  <si>
    <t>OUTPUTS</t>
  </si>
  <si>
    <t>System Weight</t>
  </si>
  <si>
    <t>FC STACKS</t>
  </si>
  <si>
    <t>FC SYSTEM</t>
  </si>
  <si>
    <t>Humidifiers</t>
  </si>
  <si>
    <t>g/s</t>
  </si>
  <si>
    <t>Outputs</t>
  </si>
  <si>
    <t>Mass (kg)</t>
  </si>
  <si>
    <t>Average mass (kg)</t>
  </si>
  <si>
    <t>FC gross power (nominal)</t>
  </si>
  <si>
    <t>FC net power (nominal)</t>
  </si>
  <si>
    <t>FC System specific power</t>
  </si>
  <si>
    <t>Mass model 1</t>
  </si>
  <si>
    <t>See Jupyter Notebooks for more information</t>
  </si>
  <si>
    <t>COOLING SYSTEM</t>
  </si>
  <si>
    <t>2 - COOLING MODULE WEIGHT DATA</t>
  </si>
  <si>
    <t>Additional data for DC-DC converter:</t>
  </si>
  <si>
    <t>Design Considerations for the Electrical Power Supply of Future Civil Aircraft with Active High-Lift Systems, J.K. Mueller 2018</t>
  </si>
  <si>
    <t>https://pdfs.semanticscholar.org/4671/ac994b57735012d85c9bb01cbc4b4e5c36a9.pdf</t>
  </si>
  <si>
    <t>COMPONENTS</t>
  </si>
  <si>
    <t>Power (kW)</t>
  </si>
  <si>
    <t>FC power / compressor weight ratio</t>
  </si>
  <si>
    <t>Weight</t>
  </si>
  <si>
    <t>K215</t>
  </si>
  <si>
    <t>Product</t>
  </si>
  <si>
    <t>Number of plates N</t>
  </si>
  <si>
    <t>K205</t>
  </si>
  <si>
    <t>K200</t>
  </si>
  <si>
    <t>Z400</t>
  </si>
  <si>
    <t>Z600</t>
  </si>
  <si>
    <t>weight-FCpower ratio</t>
  </si>
  <si>
    <t>weight-HXpower ratio (kg/kW)</t>
  </si>
  <si>
    <t>WEIGHT VARIATION WITH POWER</t>
  </si>
  <si>
    <t>Linear coefficients 
mass (kg) = a * power (kW) + b</t>
  </si>
  <si>
    <t>(a)</t>
  </si>
  <si>
    <t>(b)</t>
  </si>
  <si>
    <t>PIPES</t>
  </si>
  <si>
    <t>CRYOPLANE STUDY</t>
  </si>
  <si>
    <t>VALVES AND REGULATORS</t>
  </si>
  <si>
    <t>50x50x50</t>
  </si>
  <si>
    <t>mm</t>
  </si>
  <si>
    <t>Valve (shut-off function)</t>
  </si>
  <si>
    <t>Actuators  (regulating functions)</t>
  </si>
  <si>
    <t>(2-3 kg depending on the complexity)</t>
  </si>
  <si>
    <t>See Python Notebook</t>
  </si>
  <si>
    <t>S:\ENGINEERING\CUSTOMIZED_ENGINEERING\PRELIM_DESIGN_INTERNSHIPS\2020_F_Pollet\PART IV - MODELISATIONS\Feeding Lines</t>
  </si>
  <si>
    <t>Valves</t>
  </si>
  <si>
    <t>H2 Piping</t>
  </si>
  <si>
    <t>Power split</t>
  </si>
  <si>
    <t>Tank</t>
  </si>
  <si>
    <t>Hydrogen</t>
  </si>
  <si>
    <t>TANK</t>
  </si>
  <si>
    <t>Python Notebook</t>
  </si>
  <si>
    <t>S:\ENGINEERING\CUSTOMIZED_ENGINEERING\PRELIM_DESIGN_INTERNSHIPS\2020_F_Pollet\PART IV - MODELISATIONS</t>
  </si>
  <si>
    <t>Required Energy</t>
  </si>
  <si>
    <t>MJ</t>
  </si>
  <si>
    <t>Geometry</t>
  </si>
  <si>
    <t>Ellipsoide</t>
  </si>
  <si>
    <t>Venting pressure</t>
  </si>
  <si>
    <t>Filling pressure</t>
  </si>
  <si>
    <t>Wall tank material</t>
  </si>
  <si>
    <t>Stainless steel</t>
  </si>
  <si>
    <t>Insulation</t>
  </si>
  <si>
    <t>Rohacell foam</t>
  </si>
  <si>
    <t>Insulation thickness</t>
  </si>
  <si>
    <t>cm</t>
  </si>
  <si>
    <t>K</t>
  </si>
  <si>
    <t>H2 Temperature</t>
  </si>
  <si>
    <t>Ambient Temperature</t>
  </si>
  <si>
    <t>Mass hydrogen</t>
  </si>
  <si>
    <t>Mass empty tank</t>
  </si>
  <si>
    <t>Gravimetric efficiency</t>
  </si>
  <si>
    <t>Tank volume</t>
  </si>
  <si>
    <t>Heat flux</t>
  </si>
  <si>
    <t>W</t>
  </si>
  <si>
    <t>Boil-off</t>
  </si>
  <si>
    <t>kg/day</t>
  </si>
  <si>
    <t>(psi=phi=1, lambda=0.7)</t>
  </si>
  <si>
    <t>Length</t>
  </si>
  <si>
    <t>Diameter</t>
  </si>
  <si>
    <t>Power density</t>
  </si>
  <si>
    <t>kW/L</t>
  </si>
  <si>
    <t>https://www.kaori-bphe.com/</t>
  </si>
  <si>
    <t>volume-Hxpower ratio (L/kW)</t>
  </si>
  <si>
    <t>Linear coefficients 
volume (L) = a * power (kW) + b</t>
  </si>
  <si>
    <t>BoP power / Gross power</t>
  </si>
  <si>
    <t>OWE increase</t>
  </si>
  <si>
    <t>Fuel weight savings</t>
  </si>
  <si>
    <t>VOLUME VARIATION WITH POWER</t>
  </si>
  <si>
    <t>L/kW</t>
  </si>
  <si>
    <t>Radiator weight</t>
  </si>
  <si>
    <t>KAORI BPHE Heat exchanger (liquid to liquid)</t>
  </si>
  <si>
    <t>https://www.akg-group.com/fileadmin/user_upload/Brochures/AKG-Line/AKG_LineH_en.pdf</t>
  </si>
  <si>
    <t>Max. Heat transfer (kW)</t>
  </si>
  <si>
    <t>Max. Specific heat rejection (kW/K)</t>
  </si>
  <si>
    <t>Delta Temperature (K)</t>
  </si>
  <si>
    <t>Max. heat rejection (kW)</t>
  </si>
  <si>
    <t>Max. oil flow (l/min)</t>
  </si>
  <si>
    <t>AKG-Line Radiator with fan</t>
  </si>
  <si>
    <t>H50/A35</t>
  </si>
  <si>
    <t>H80/A60</t>
  </si>
  <si>
    <t>H150/A105</t>
  </si>
  <si>
    <t>H200/A135</t>
  </si>
  <si>
    <t>H320/A225</t>
  </si>
  <si>
    <t>H490/A330</t>
  </si>
  <si>
    <t>https://www.akg-group.com/fileadmin/user_upload/Brochures/AKG-Line/AKG_LineA_en.pdf</t>
  </si>
  <si>
    <t>Heat rejection</t>
  </si>
  <si>
    <t>CRYO-PUMPS</t>
  </si>
  <si>
    <t>Stack unit nominal power</t>
  </si>
  <si>
    <t>Fischer EMTCT-120k - Swiss hydrogen 100kW FCS study</t>
  </si>
  <si>
    <t>Altitude (ft)</t>
  </si>
  <si>
    <t>Coolant temperature (°C)</t>
  </si>
  <si>
    <t>ISA temperature (°C)</t>
  </si>
  <si>
    <t>FC system gross power (kW)</t>
  </si>
  <si>
    <t>ISA +30 (°C)</t>
  </si>
  <si>
    <t>Radiators + fans weight (kg)</t>
  </si>
  <si>
    <t>Temperature (°C)</t>
  </si>
  <si>
    <t>Altitude</t>
  </si>
  <si>
    <t>Static pressure (Pa)</t>
  </si>
  <si>
    <t>Total pressure (Pa)</t>
  </si>
  <si>
    <t>ISA (K)</t>
  </si>
  <si>
    <t>Altitude (m)</t>
  </si>
  <si>
    <t>Inlet air temperature (°C)</t>
  </si>
  <si>
    <t>Inlet air temperature (K)</t>
  </si>
  <si>
    <t>Mach</t>
  </si>
  <si>
    <t>Dynamic pressure (P)</t>
  </si>
  <si>
    <t>Compressor weight (kg)</t>
  </si>
  <si>
    <t>TAS (m/s)</t>
  </si>
  <si>
    <t>Sensitivity study</t>
  </si>
  <si>
    <t>THERMAL MANAGEMENT - SENSITIVITY STUDY</t>
  </si>
  <si>
    <t>E-motor Power (kW)</t>
  </si>
  <si>
    <t>INN-BALANCE project / Celeroton turbo-compressors (100 kW Fuel Cell)</t>
  </si>
  <si>
    <t>DOE technical targets 2020 (80 kW Fuel Cell)</t>
  </si>
  <si>
    <t>Weight (kg) - with AC motor</t>
  </si>
  <si>
    <t>Power consumption (kW) - AC motor</t>
  </si>
  <si>
    <t>Weight (kg) - with hydraulic motor</t>
  </si>
  <si>
    <t>Radiators + fans weight (kg)
AC motor</t>
  </si>
  <si>
    <t>Radiators + fans weight (kg)
hydraulic motor</t>
  </si>
  <si>
    <t>Heat to reject (kW)</t>
  </si>
  <si>
    <t>Radiators + fans weight (kg)
Reduced AC motor</t>
  </si>
  <si>
    <t>ft</t>
  </si>
  <si>
    <t>Ambient temperature</t>
  </si>
  <si>
    <t>OVERALL COOLING SYSTEM WEIGHT</t>
  </si>
  <si>
    <t>Air Cooling Technology for Advanced Power Electronics and Electric Machines</t>
  </si>
  <si>
    <t>https://www.nrel.gov/transportation/assets/pdfs/45785.pdf</t>
  </si>
  <si>
    <t>Mass penalty /
extracted thermal energy</t>
  </si>
  <si>
    <t>Derived from Vratny "Conceptual Design Methods of Electric Power Architectures for Hybrid Energy Aircraft"</t>
  </si>
  <si>
    <t>Outlet air temperature (°C)</t>
  </si>
  <si>
    <t>High temperatures</t>
  </si>
  <si>
    <t>ISA</t>
  </si>
  <si>
    <t>Fuel cell target temperature (°C)</t>
  </si>
  <si>
    <t>Fuel cell target pressure (Pa)</t>
  </si>
  <si>
    <t>100kW FC @ 1 bar</t>
  </si>
  <si>
    <t>100kW FC @ 1.5 bar</t>
  </si>
  <si>
    <t>Number of radiators (input)</t>
  </si>
  <si>
    <t>RADIATOR WEIGHT (unit / total)</t>
  </si>
  <si>
    <t>RADIATOR VOLUME (unit / total)</t>
  </si>
  <si>
    <t>FAN MOTOR CONSUMPTION (unit / total)</t>
  </si>
  <si>
    <t>Volume (L) - radiator only</t>
  </si>
  <si>
    <t>Frontal area (m2)</t>
  </si>
  <si>
    <t>FRONTAL AREA (unit / total)</t>
  </si>
  <si>
    <t>m2</t>
  </si>
  <si>
    <t>HEAT REJECTION (unit / total)</t>
  </si>
  <si>
    <t>H175/A120</t>
  </si>
  <si>
    <t>H110/A75</t>
  </si>
  <si>
    <t>700x450x33</t>
  </si>
  <si>
    <t>SKIN HEAT EXCHANGERS</t>
  </si>
  <si>
    <t>Q_req</t>
  </si>
  <si>
    <t>W/m2</t>
  </si>
  <si>
    <t>1 - RADIATOR WEIGHT DATA</t>
  </si>
  <si>
    <t>ADDITIONAL DATA</t>
  </si>
  <si>
    <t>kg/s</t>
  </si>
  <si>
    <t>Cooling required</t>
  </si>
  <si>
    <t>W/m2/K</t>
  </si>
  <si>
    <t>Cours ISAE – Systèmes d'Air Electriques - Janvier 2020 - D. LAVERGNE, LIEBHERR</t>
  </si>
  <si>
    <t>Mach max</t>
  </si>
  <si>
    <t>Operating conditions</t>
  </si>
  <si>
    <t>Radiation power</t>
  </si>
  <si>
    <t>Skin heat transfer</t>
  </si>
  <si>
    <t>A_eff</t>
  </si>
  <si>
    <t>q_shx</t>
  </si>
  <si>
    <t>q_rad</t>
  </si>
  <si>
    <t>Stefan-Boltzmann constant</t>
  </si>
  <si>
    <t>T_tot</t>
  </si>
  <si>
    <r>
      <rPr>
        <b/>
        <sz val="11"/>
        <color theme="1"/>
        <rFont val="MathematicalPi 1"/>
        <family val="5"/>
      </rPr>
      <t>e</t>
    </r>
    <r>
      <rPr>
        <b/>
        <sz val="11"/>
        <color theme="1"/>
        <rFont val="Calibri"/>
        <family val="2"/>
        <scheme val="minor"/>
      </rPr>
      <t>_skin</t>
    </r>
  </si>
  <si>
    <t>W/m/K</t>
  </si>
  <si>
    <t>Thermal conductivity air</t>
  </si>
  <si>
    <t>Reynolds</t>
  </si>
  <si>
    <t>Prandtl</t>
  </si>
  <si>
    <t>alpha</t>
  </si>
  <si>
    <t>m2/m3</t>
  </si>
  <si>
    <t>Skin heat exchanger geometry</t>
  </si>
  <si>
    <t>S:\ENGINEERING\CUSTOMIZED_ENGINEERING\PRELIM_DESIGN_INTERNSHIPS\2020_F_Pollet\1 - DOCUMENTS\THERMAL MANAGEMENT\Skin Heat</t>
  </si>
  <si>
    <t>h_shx</t>
  </si>
  <si>
    <t>AC Motor &amp; brackets weight (scaling law m = 3*P^1.5)</t>
  </si>
  <si>
    <t>Thermo-aero parameters</t>
  </si>
  <si>
    <t>P_stat</t>
  </si>
  <si>
    <t>T_stat (OAT)</t>
  </si>
  <si>
    <t>Pa</t>
  </si>
  <si>
    <t>Nusselt (turbulent flow)</t>
  </si>
  <si>
    <t>Petukov (High Temperature I, 1963) and Schlichting (Grenzschicht-Theorie, 1958).</t>
  </si>
  <si>
    <t>Nusselt (laminar flow)</t>
  </si>
  <si>
    <t>https://www.tec-science.com/mechanics/gases-and-liquids/calculation-of-the-nusselt-numbers-for-forced-flows-over-plates-and-in-pipes/</t>
  </si>
  <si>
    <t>Column1</t>
  </si>
  <si>
    <t>Column2</t>
  </si>
  <si>
    <t>Column3</t>
  </si>
  <si>
    <t>49 kW</t>
  </si>
  <si>
    <t>63 kW</t>
  </si>
  <si>
    <t>81 kW</t>
  </si>
  <si>
    <t>420x271x156</t>
  </si>
  <si>
    <t>420x321x156</t>
  </si>
  <si>
    <t>420x383x156</t>
  </si>
  <si>
    <t>Cell count</t>
  </si>
  <si>
    <t>Column4</t>
  </si>
  <si>
    <t>Column5</t>
  </si>
  <si>
    <t>490x125x155</t>
  </si>
  <si>
    <t>490x158x155</t>
  </si>
  <si>
    <t>490x192x155</t>
  </si>
  <si>
    <t>490x358x155</t>
  </si>
  <si>
    <t>490x459x155</t>
  </si>
  <si>
    <t>Power/Cell</t>
  </si>
  <si>
    <t>Acell</t>
  </si>
  <si>
    <t>Power/Area (W/m2)</t>
  </si>
  <si>
    <t>STACK S3</t>
  </si>
  <si>
    <t>STACK S2</t>
  </si>
  <si>
    <t>T_load</t>
  </si>
  <si>
    <t>T_skin</t>
  </si>
  <si>
    <t>eta_shx</t>
  </si>
  <si>
    <t>heat exchanger temperature, air side</t>
  </si>
  <si>
    <t>skin heat transfer efficiency</t>
  </si>
  <si>
    <t>rho_shx</t>
  </si>
  <si>
    <t>mass density</t>
  </si>
  <si>
    <t>m_shx</t>
  </si>
  <si>
    <t>skin emissivity</t>
  </si>
  <si>
    <t>Hot day, ISA+25</t>
  </si>
  <si>
    <t>outside convective coefficient</t>
  </si>
  <si>
    <t>kJ/kg</t>
  </si>
  <si>
    <t>he</t>
  </si>
  <si>
    <t>m_dot</t>
  </si>
  <si>
    <t>H2 heat sink</t>
  </si>
  <si>
    <t>q_H2</t>
  </si>
  <si>
    <t>surface area density</t>
  </si>
  <si>
    <t>heat exchanger temperature, coolant side</t>
  </si>
  <si>
    <t>s</t>
  </si>
  <si>
    <t>t</t>
  </si>
  <si>
    <t>H</t>
  </si>
  <si>
    <t>Volume</t>
  </si>
  <si>
    <t>m3</t>
  </si>
  <si>
    <t>Area density</t>
  </si>
  <si>
    <t>m2/m2</t>
  </si>
  <si>
    <t>Sakuma2017</t>
  </si>
  <si>
    <t>A_eff/A_proj</t>
  </si>
  <si>
    <t>Misc.</t>
  </si>
  <si>
    <t>Cooling Ability/Capacity and Exergy Penalty Analysis of Each Heat Sink of Modern Supersonic Aircraft, Mao 2019</t>
  </si>
  <si>
    <t>A_skin</t>
  </si>
  <si>
    <t>skin surface</t>
  </si>
  <si>
    <t>effective heat transfer area (between coolant and skin)</t>
  </si>
  <si>
    <t>SENSITIVITY STUDY</t>
  </si>
  <si>
    <t>Eta_shx</t>
  </si>
  <si>
    <t>FC gross power</t>
  </si>
  <si>
    <t>FC gross power [kW]</t>
  </si>
  <si>
    <t>Q_req [kW]</t>
  </si>
  <si>
    <t>A_skin [m2]</t>
  </si>
  <si>
    <t>m_shx [kg]</t>
  </si>
  <si>
    <t>Cooling-mass ratio [kW/kg]</t>
  </si>
  <si>
    <t>Cooling-area ratio [kW/m2]</t>
  </si>
  <si>
    <t>coolant thermal flow rate</t>
  </si>
  <si>
    <t>kW/K</t>
  </si>
  <si>
    <t>m x c</t>
  </si>
  <si>
    <t>SPECIFIC POWER - SENSITIVITY STUDY</t>
  </si>
  <si>
    <t>Assumption</t>
  </si>
  <si>
    <t>1 compressor / system</t>
  </si>
  <si>
    <t>Stack Max Power</t>
  </si>
  <si>
    <t>System Gross Power [kW]</t>
  </si>
  <si>
    <t>Net Power [kW]</t>
  </si>
  <si>
    <t>Assumptions</t>
  </si>
  <si>
    <t>P_1</t>
  </si>
  <si>
    <t>P_2</t>
  </si>
  <si>
    <t>T_1</t>
  </si>
  <si>
    <t>°C (20 000 ft)</t>
  </si>
  <si>
    <t xml:space="preserve"> </t>
  </si>
  <si>
    <t>Mass n (kg)</t>
  </si>
  <si>
    <t>Power n (kW)</t>
  </si>
  <si>
    <t>One compressor per stack of 100kW</t>
  </si>
  <si>
    <t>System weight [kg]</t>
  </si>
  <si>
    <t>Specific power [kW/kg]</t>
  </si>
  <si>
    <t>100 kW stacks @ 3.5kW/kg</t>
  </si>
  <si>
    <t>Example</t>
  </si>
  <si>
    <t>Compressor weight</t>
  </si>
  <si>
    <t>(1 compressor/system)</t>
  </si>
  <si>
    <t>SYSTEM BREAKDOWN</t>
  </si>
  <si>
    <t>3 - PUMP POWER SIZING</t>
  </si>
  <si>
    <t>Delta ISA (°C)</t>
  </si>
  <si>
    <t>cp</t>
  </si>
  <si>
    <t>kJ/kg/K</t>
  </si>
  <si>
    <t>T_2</t>
  </si>
  <si>
    <t>Available cross section area - bellyfairing</t>
  </si>
  <si>
    <t>&lt; 4 m2</t>
  </si>
  <si>
    <t>See thermal management study</t>
  </si>
  <si>
    <t>Radiators / Skin Heat Exchangers</t>
  </si>
  <si>
    <t>TOTAL (excl. Radiators/SHX)</t>
  </si>
  <si>
    <t>Hydrogen flow rate</t>
  </si>
  <si>
    <t>FC Stack Power</t>
  </si>
  <si>
    <t>Humidifier Weight</t>
  </si>
  <si>
    <t>See Python Model</t>
  </si>
  <si>
    <t>bar (20 000 ft)</t>
  </si>
  <si>
    <t>bar (FC operating pressure)</t>
  </si>
  <si>
    <t>Model verification - 100 kW stack</t>
  </si>
  <si>
    <t>Vincenzo: 11 kW/kg ?</t>
  </si>
  <si>
    <t>NO DATA</t>
  </si>
  <si>
    <t>135kg wall + 17kg insulation</t>
  </si>
  <si>
    <t>1 - COOLING MODULE WEIGHT DATA</t>
  </si>
  <si>
    <t>2 - PUMP POWER SIZING</t>
  </si>
  <si>
    <t>per stack</t>
  </si>
  <si>
    <t>One single compressor</t>
  </si>
  <si>
    <t>3 -  Hydrogen Heat Sink potential</t>
  </si>
  <si>
    <t>% of the waste heat</t>
  </si>
  <si>
    <t>Radiators &amp; Fan assembly (AKG)</t>
  </si>
  <si>
    <t>OBSOLETE</t>
  </si>
  <si>
    <t>Radiators fan consumption included (estimate from AKG radiators)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</si>
</sst>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0"/>
    <numFmt numFmtId="165" formatCode="0.0%"/>
    <numFmt numFmtId="166" formatCode="0.000"/>
  </numFmts>
  <fonts count="3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 tint="0.499984740745262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0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11"/>
      <color theme="0" tint="-0.34998626667073579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theme="9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i/>
      <sz val="11"/>
      <name val="Calibri"/>
      <family val="2"/>
      <scheme val="minor"/>
    </font>
    <font>
      <b/>
      <sz val="11"/>
      <color theme="1"/>
      <name val="MathematicalPi 1"/>
      <family val="5"/>
    </font>
    <font>
      <i/>
      <sz val="11"/>
      <color theme="9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i/>
      <sz val="11"/>
      <color theme="0" tint="-0.34998626667073579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0" fontId="5" fillId="0" borderId="0" applyNumberFormat="0" applyFill="0" applyBorder="0" applyAlignment="0" applyProtection="0"/>
    <xf numFmtId="9" fontId="11" fillId="0" borderId="0" applyFont="0" applyFill="0" applyBorder="0" applyAlignment="0" applyProtection="0"/>
  </cellStyleXfs>
  <cellXfs count="240">
    <xf numFmtId="0" fontId="0" fillId="0" borderId="0" xfId="0"/>
    <xf numFmtId="0" fontId="3" fillId="0" borderId="0" xfId="0" applyFont="1"/>
    <xf numFmtId="0" fontId="4" fillId="2" borderId="0" xfId="0" applyFont="1" applyFill="1"/>
    <xf numFmtId="0" fontId="2" fillId="2" borderId="0" xfId="0" applyFont="1" applyFill="1"/>
    <xf numFmtId="0" fontId="5" fillId="0" borderId="0" xfId="1"/>
    <xf numFmtId="0" fontId="2" fillId="0" borderId="0" xfId="0" applyFont="1"/>
    <xf numFmtId="0" fontId="9" fillId="2" borderId="0" xfId="0" applyFont="1" applyFill="1"/>
    <xf numFmtId="0" fontId="2" fillId="0" borderId="1" xfId="0" applyFont="1" applyBorder="1"/>
    <xf numFmtId="0" fontId="0" fillId="0" borderId="1" xfId="0" applyBorder="1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0" borderId="1" xfId="0" applyBorder="1" applyAlignment="1">
      <alignment wrapText="1"/>
    </xf>
    <xf numFmtId="2" fontId="0" fillId="0" borderId="0" xfId="0" applyNumberFormat="1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horizontal="right"/>
    </xf>
    <xf numFmtId="2" fontId="0" fillId="0" borderId="0" xfId="0" applyNumberFormat="1"/>
    <xf numFmtId="0" fontId="3" fillId="0" borderId="0" xfId="0" applyFont="1" applyAlignment="1">
      <alignment horizontal="left"/>
    </xf>
    <xf numFmtId="0" fontId="10" fillId="0" borderId="0" xfId="0" applyFont="1"/>
    <xf numFmtId="0" fontId="2" fillId="0" borderId="0" xfId="0" applyFont="1" applyBorder="1"/>
    <xf numFmtId="0" fontId="0" fillId="0" borderId="0" xfId="0" applyBorder="1"/>
    <xf numFmtId="0" fontId="0" fillId="0" borderId="5" xfId="0" applyBorder="1"/>
    <xf numFmtId="0" fontId="0" fillId="0" borderId="9" xfId="0" applyBorder="1"/>
    <xf numFmtId="0" fontId="9" fillId="2" borderId="0" xfId="0" applyFont="1" applyFill="1" applyBorder="1"/>
    <xf numFmtId="0" fontId="0" fillId="0" borderId="0" xfId="0" applyBorder="1" applyAlignment="1">
      <alignment wrapText="1"/>
    </xf>
    <xf numFmtId="0" fontId="2" fillId="0" borderId="0" xfId="0" applyFont="1" applyBorder="1" applyAlignment="1">
      <alignment wrapText="1"/>
    </xf>
    <xf numFmtId="0" fontId="2" fillId="3" borderId="2" xfId="0" applyFont="1" applyFill="1" applyBorder="1" applyAlignment="1">
      <alignment wrapText="1"/>
    </xf>
    <xf numFmtId="0" fontId="0" fillId="3" borderId="3" xfId="0" applyFill="1" applyBorder="1"/>
    <xf numFmtId="0" fontId="0" fillId="3" borderId="4" xfId="0" applyFill="1" applyBorder="1"/>
    <xf numFmtId="1" fontId="0" fillId="0" borderId="5" xfId="0" applyNumberFormat="1" applyBorder="1"/>
    <xf numFmtId="0" fontId="12" fillId="0" borderId="5" xfId="0" applyFont="1" applyBorder="1"/>
    <xf numFmtId="0" fontId="1" fillId="0" borderId="5" xfId="0" applyFont="1" applyBorder="1"/>
    <xf numFmtId="0" fontId="14" fillId="0" borderId="0" xfId="0" applyFont="1"/>
    <xf numFmtId="0" fontId="0" fillId="0" borderId="0" xfId="0" applyFont="1"/>
    <xf numFmtId="1" fontId="0" fillId="0" borderId="7" xfId="0" applyNumberFormat="1" applyBorder="1" applyAlignment="1">
      <alignment horizontal="center"/>
    </xf>
    <xf numFmtId="1" fontId="12" fillId="0" borderId="14" xfId="0" applyNumberFormat="1" applyFont="1" applyBorder="1" applyAlignment="1">
      <alignment horizontal="center"/>
    </xf>
    <xf numFmtId="1" fontId="12" fillId="0" borderId="8" xfId="0" applyNumberFormat="1" applyFont="1" applyBorder="1" applyAlignment="1">
      <alignment horizontal="center"/>
    </xf>
    <xf numFmtId="1" fontId="0" fillId="0" borderId="15" xfId="0" applyNumberFormat="1" applyBorder="1" applyAlignment="1">
      <alignment horizontal="center"/>
    </xf>
    <xf numFmtId="1" fontId="1" fillId="0" borderId="10" xfId="0" applyNumberFormat="1" applyFont="1" applyBorder="1" applyAlignment="1">
      <alignment horizontal="center"/>
    </xf>
    <xf numFmtId="0" fontId="0" fillId="0" borderId="0" xfId="0" applyFill="1" applyBorder="1"/>
    <xf numFmtId="0" fontId="0" fillId="0" borderId="0" xfId="0" applyFont="1" applyFill="1" applyBorder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7" fillId="0" borderId="0" xfId="0" applyFont="1" applyAlignment="1">
      <alignment wrapText="1"/>
    </xf>
    <xf numFmtId="0" fontId="17" fillId="0" borderId="0" xfId="0" applyFont="1" applyAlignment="1">
      <alignment horizontal="right"/>
    </xf>
    <xf numFmtId="0" fontId="0" fillId="3" borderId="21" xfId="0" applyFill="1" applyBorder="1"/>
    <xf numFmtId="0" fontId="2" fillId="3" borderId="19" xfId="0" applyFont="1" applyFill="1" applyBorder="1"/>
    <xf numFmtId="9" fontId="0" fillId="3" borderId="20" xfId="2" applyFont="1" applyFill="1" applyBorder="1"/>
    <xf numFmtId="0" fontId="2" fillId="0" borderId="6" xfId="0" applyFont="1" applyBorder="1"/>
    <xf numFmtId="0" fontId="6" fillId="0" borderId="1" xfId="0" applyFont="1" applyBorder="1"/>
    <xf numFmtId="0" fontId="6" fillId="0" borderId="0" xfId="0" applyFont="1" applyBorder="1"/>
    <xf numFmtId="0" fontId="12" fillId="3" borderId="9" xfId="0" applyFont="1" applyFill="1" applyBorder="1"/>
    <xf numFmtId="0" fontId="12" fillId="3" borderId="23" xfId="0" applyFont="1" applyFill="1" applyBorder="1"/>
    <xf numFmtId="164" fontId="12" fillId="3" borderId="10" xfId="0" applyNumberFormat="1" applyFont="1" applyFill="1" applyBorder="1"/>
    <xf numFmtId="0" fontId="18" fillId="3" borderId="23" xfId="0" applyFont="1" applyFill="1" applyBorder="1"/>
    <xf numFmtId="0" fontId="0" fillId="0" borderId="22" xfId="0" applyBorder="1"/>
    <xf numFmtId="0" fontId="0" fillId="0" borderId="7" xfId="0" applyBorder="1"/>
    <xf numFmtId="0" fontId="0" fillId="0" borderId="8" xfId="0" applyBorder="1"/>
    <xf numFmtId="0" fontId="0" fillId="0" borderId="1" xfId="0" applyFont="1" applyBorder="1"/>
    <xf numFmtId="0" fontId="0" fillId="0" borderId="9" xfId="0" applyFont="1" applyBorder="1"/>
    <xf numFmtId="164" fontId="13" fillId="0" borderId="23" xfId="0" applyNumberFormat="1" applyFont="1" applyBorder="1"/>
    <xf numFmtId="0" fontId="0" fillId="0" borderId="23" xfId="0" applyBorder="1"/>
    <xf numFmtId="0" fontId="0" fillId="0" borderId="10" xfId="0" applyBorder="1"/>
    <xf numFmtId="0" fontId="2" fillId="3" borderId="2" xfId="0" applyFont="1" applyFill="1" applyBorder="1"/>
    <xf numFmtId="0" fontId="19" fillId="0" borderId="0" xfId="0" applyFont="1"/>
    <xf numFmtId="2" fontId="0" fillId="0" borderId="12" xfId="0" applyNumberFormat="1" applyBorder="1" applyAlignment="1">
      <alignment horizontal="center"/>
    </xf>
    <xf numFmtId="9" fontId="11" fillId="0" borderId="10" xfId="2" applyNumberFormat="1" applyFont="1" applyBorder="1" applyAlignment="1">
      <alignment horizontal="center"/>
    </xf>
    <xf numFmtId="0" fontId="2" fillId="4" borderId="5" xfId="0" applyFont="1" applyFill="1" applyBorder="1"/>
    <xf numFmtId="0" fontId="0" fillId="4" borderId="5" xfId="0" applyFill="1" applyBorder="1"/>
    <xf numFmtId="1" fontId="0" fillId="0" borderId="0" xfId="0" applyNumberFormat="1"/>
    <xf numFmtId="0" fontId="20" fillId="0" borderId="0" xfId="0" applyFont="1"/>
    <xf numFmtId="0" fontId="2" fillId="4" borderId="6" xfId="0" applyFont="1" applyFill="1" applyBorder="1"/>
    <xf numFmtId="0" fontId="2" fillId="4" borderId="13" xfId="0" applyFont="1" applyFill="1" applyBorder="1" applyAlignment="1">
      <alignment horizontal="center"/>
    </xf>
    <xf numFmtId="0" fontId="0" fillId="0" borderId="13" xfId="0" applyBorder="1"/>
    <xf numFmtId="0" fontId="12" fillId="0" borderId="14" xfId="0" applyFont="1" applyBorder="1"/>
    <xf numFmtId="0" fontId="0" fillId="0" borderId="0" xfId="0" applyAlignment="1">
      <alignment horizontal="center"/>
    </xf>
    <xf numFmtId="0" fontId="0" fillId="0" borderId="14" xfId="0" applyBorder="1" applyAlignment="1">
      <alignment horizontal="center"/>
    </xf>
    <xf numFmtId="9" fontId="0" fillId="0" borderId="0" xfId="0" applyNumberFormat="1"/>
    <xf numFmtId="0" fontId="0" fillId="0" borderId="0" xfId="0" applyFont="1" applyBorder="1"/>
    <xf numFmtId="164" fontId="13" fillId="0" borderId="0" xfId="0" applyNumberFormat="1" applyFont="1" applyBorder="1"/>
    <xf numFmtId="0" fontId="2" fillId="0" borderId="9" xfId="0" applyFont="1" applyBorder="1"/>
    <xf numFmtId="165" fontId="0" fillId="0" borderId="5" xfId="2" applyNumberFormat="1" applyFont="1" applyBorder="1" applyAlignment="1">
      <alignment horizontal="center"/>
    </xf>
    <xf numFmtId="1" fontId="0" fillId="0" borderId="5" xfId="2" applyNumberFormat="1" applyFont="1" applyBorder="1" applyAlignment="1">
      <alignment horizontal="center"/>
    </xf>
    <xf numFmtId="0" fontId="2" fillId="0" borderId="0" xfId="0" applyFont="1" applyFill="1" applyBorder="1"/>
    <xf numFmtId="0" fontId="2" fillId="5" borderId="16" xfId="0" applyFont="1" applyFill="1" applyBorder="1" applyAlignment="1">
      <alignment wrapText="1"/>
    </xf>
    <xf numFmtId="0" fontId="0" fillId="5" borderId="17" xfId="0" applyFill="1" applyBorder="1"/>
    <xf numFmtId="0" fontId="0" fillId="5" borderId="18" xfId="0" applyFill="1" applyBorder="1"/>
    <xf numFmtId="0" fontId="0" fillId="5" borderId="6" xfId="0" applyFont="1" applyFill="1" applyBorder="1" applyAlignment="1">
      <alignment wrapText="1"/>
    </xf>
    <xf numFmtId="0" fontId="0" fillId="5" borderId="22" xfId="0" applyFill="1" applyBorder="1"/>
    <xf numFmtId="0" fontId="0" fillId="5" borderId="7" xfId="0" applyFill="1" applyBorder="1"/>
    <xf numFmtId="0" fontId="0" fillId="5" borderId="9" xfId="0" applyFont="1" applyFill="1" applyBorder="1" applyAlignment="1">
      <alignment wrapText="1"/>
    </xf>
    <xf numFmtId="0" fontId="0" fillId="5" borderId="23" xfId="0" applyFill="1" applyBorder="1"/>
    <xf numFmtId="0" fontId="0" fillId="5" borderId="10" xfId="0" applyFill="1" applyBorder="1"/>
    <xf numFmtId="0" fontId="0" fillId="5" borderId="0" xfId="0" applyFill="1"/>
    <xf numFmtId="0" fontId="23" fillId="0" borderId="5" xfId="0" applyFont="1" applyBorder="1"/>
    <xf numFmtId="0" fontId="0" fillId="4" borderId="5" xfId="0" applyFont="1" applyFill="1" applyBorder="1"/>
    <xf numFmtId="0" fontId="23" fillId="4" borderId="5" xfId="0" applyFont="1" applyFill="1" applyBorder="1"/>
    <xf numFmtId="0" fontId="0" fillId="0" borderId="6" xfId="0" applyBorder="1"/>
    <xf numFmtId="1" fontId="0" fillId="0" borderId="23" xfId="0" applyNumberFormat="1" applyBorder="1"/>
    <xf numFmtId="1" fontId="0" fillId="0" borderId="10" xfId="0" applyNumberFormat="1" applyBorder="1"/>
    <xf numFmtId="0" fontId="0" fillId="0" borderId="1" xfId="0" applyFill="1" applyBorder="1"/>
    <xf numFmtId="0" fontId="0" fillId="0" borderId="6" xfId="0" applyFill="1" applyBorder="1"/>
    <xf numFmtId="11" fontId="0" fillId="0" borderId="0" xfId="0" applyNumberFormat="1"/>
    <xf numFmtId="0" fontId="0" fillId="0" borderId="0" xfId="0" applyAlignment="1"/>
    <xf numFmtId="164" fontId="12" fillId="0" borderId="0" xfId="0" applyNumberFormat="1" applyFont="1" applyBorder="1"/>
    <xf numFmtId="0" fontId="0" fillId="0" borderId="25" xfId="0" applyBorder="1"/>
    <xf numFmtId="1" fontId="0" fillId="0" borderId="0" xfId="0" applyNumberFormat="1" applyBorder="1"/>
    <xf numFmtId="1" fontId="24" fillId="0" borderId="0" xfId="0" applyNumberFormat="1" applyFont="1" applyBorder="1"/>
    <xf numFmtId="0" fontId="12" fillId="0" borderId="9" xfId="0" applyFont="1" applyFill="1" applyBorder="1" applyAlignment="1">
      <alignment wrapText="1"/>
    </xf>
    <xf numFmtId="1" fontId="12" fillId="0" borderId="23" xfId="0" applyNumberFormat="1" applyFont="1" applyBorder="1"/>
    <xf numFmtId="0" fontId="0" fillId="0" borderId="22" xfId="0" applyFill="1" applyBorder="1"/>
    <xf numFmtId="0" fontId="0" fillId="0" borderId="1" xfId="0" applyFill="1" applyBorder="1" applyAlignment="1">
      <alignment wrapText="1"/>
    </xf>
    <xf numFmtId="0" fontId="24" fillId="0" borderId="1" xfId="0" applyFont="1" applyFill="1" applyBorder="1" applyAlignment="1">
      <alignment wrapText="1"/>
    </xf>
    <xf numFmtId="1" fontId="24" fillId="0" borderId="8" xfId="0" applyNumberFormat="1" applyFont="1" applyBorder="1"/>
    <xf numFmtId="0" fontId="24" fillId="0" borderId="7" xfId="0" applyFont="1" applyBorder="1"/>
    <xf numFmtId="0" fontId="24" fillId="0" borderId="8" xfId="0" applyFont="1" applyFill="1" applyBorder="1"/>
    <xf numFmtId="0" fontId="24" fillId="0" borderId="8" xfId="0" applyFont="1" applyBorder="1"/>
    <xf numFmtId="1" fontId="24" fillId="0" borderId="10" xfId="0" applyNumberFormat="1" applyFont="1" applyBorder="1"/>
    <xf numFmtId="0" fontId="0" fillId="0" borderId="5" xfId="0" applyFill="1" applyBorder="1"/>
    <xf numFmtId="164" fontId="0" fillId="0" borderId="5" xfId="0" applyNumberFormat="1" applyBorder="1"/>
    <xf numFmtId="0" fontId="26" fillId="0" borderId="0" xfId="0" applyFont="1"/>
    <xf numFmtId="0" fontId="27" fillId="0" borderId="0" xfId="0" applyFont="1"/>
    <xf numFmtId="164" fontId="0" fillId="0" borderId="0" xfId="0" applyNumberFormat="1"/>
    <xf numFmtId="0" fontId="2" fillId="0" borderId="26" xfId="0" applyFont="1" applyBorder="1"/>
    <xf numFmtId="0" fontId="2" fillId="0" borderId="27" xfId="0" applyFont="1" applyBorder="1"/>
    <xf numFmtId="0" fontId="0" fillId="0" borderId="26" xfId="0" applyBorder="1"/>
    <xf numFmtId="0" fontId="0" fillId="0" borderId="0" xfId="0" applyNumberFormat="1" applyBorder="1"/>
    <xf numFmtId="0" fontId="0" fillId="0" borderId="27" xfId="0" applyBorder="1"/>
    <xf numFmtId="0" fontId="0" fillId="0" borderId="19" xfId="0" applyBorder="1"/>
    <xf numFmtId="0" fontId="0" fillId="0" borderId="20" xfId="0" applyBorder="1"/>
    <xf numFmtId="0" fontId="0" fillId="0" borderId="21" xfId="0" applyBorder="1"/>
    <xf numFmtId="1" fontId="2" fillId="3" borderId="20" xfId="0" applyNumberFormat="1" applyFont="1" applyFill="1" applyBorder="1"/>
    <xf numFmtId="1" fontId="2" fillId="3" borderId="24" xfId="0" applyNumberFormat="1" applyFont="1" applyFill="1" applyBorder="1"/>
    <xf numFmtId="0" fontId="2" fillId="3" borderId="18" xfId="0" applyFont="1" applyFill="1" applyBorder="1"/>
    <xf numFmtId="0" fontId="2" fillId="3" borderId="21" xfId="0" applyFont="1" applyFill="1" applyBorder="1"/>
    <xf numFmtId="0" fontId="2" fillId="3" borderId="28" xfId="0" applyFont="1" applyFill="1" applyBorder="1"/>
    <xf numFmtId="0" fontId="2" fillId="3" borderId="29" xfId="0" applyFont="1" applyFill="1" applyBorder="1"/>
    <xf numFmtId="0" fontId="2" fillId="3" borderId="16" xfId="0" applyFont="1" applyFill="1" applyBorder="1"/>
    <xf numFmtId="1" fontId="2" fillId="3" borderId="17" xfId="0" applyNumberFormat="1" applyFont="1" applyFill="1" applyBorder="1"/>
    <xf numFmtId="0" fontId="10" fillId="6" borderId="6" xfId="0" applyFont="1" applyFill="1" applyBorder="1"/>
    <xf numFmtId="0" fontId="3" fillId="6" borderId="7" xfId="0" applyFont="1" applyFill="1" applyBorder="1"/>
    <xf numFmtId="2" fontId="2" fillId="3" borderId="24" xfId="0" applyNumberFormat="1" applyFont="1" applyFill="1" applyBorder="1"/>
    <xf numFmtId="0" fontId="18" fillId="0" borderId="16" xfId="0" applyFont="1" applyBorder="1"/>
    <xf numFmtId="0" fontId="28" fillId="0" borderId="17" xfId="0" applyFont="1" applyBorder="1"/>
    <xf numFmtId="0" fontId="12" fillId="0" borderId="17" xfId="0" applyFont="1" applyBorder="1"/>
    <xf numFmtId="0" fontId="12" fillId="0" borderId="18" xfId="0" applyFont="1" applyBorder="1"/>
    <xf numFmtId="0" fontId="12" fillId="0" borderId="26" xfId="0" applyFont="1" applyBorder="1"/>
    <xf numFmtId="0" fontId="12" fillId="0" borderId="0" xfId="0" applyFont="1" applyBorder="1"/>
    <xf numFmtId="0" fontId="12" fillId="0" borderId="27" xfId="0" applyFont="1" applyBorder="1"/>
    <xf numFmtId="0" fontId="12" fillId="0" borderId="26" xfId="0" applyFont="1" applyBorder="1" applyAlignment="1">
      <alignment wrapText="1"/>
    </xf>
    <xf numFmtId="0" fontId="12" fillId="0" borderId="0" xfId="0" applyFont="1" applyBorder="1" applyAlignment="1">
      <alignment horizontal="right"/>
    </xf>
    <xf numFmtId="0" fontId="12" fillId="0" borderId="19" xfId="0" applyFont="1" applyBorder="1"/>
    <xf numFmtId="0" fontId="12" fillId="0" borderId="20" xfId="0" applyFont="1" applyBorder="1"/>
    <xf numFmtId="0" fontId="17" fillId="0" borderId="20" xfId="0" applyFont="1" applyBorder="1"/>
    <xf numFmtId="0" fontId="30" fillId="0" borderId="0" xfId="0" applyFont="1"/>
    <xf numFmtId="0" fontId="31" fillId="7" borderId="30" xfId="0" applyFont="1" applyFill="1" applyBorder="1"/>
    <xf numFmtId="0" fontId="31" fillId="7" borderId="31" xfId="0" applyFont="1" applyFill="1" applyBorder="1"/>
    <xf numFmtId="0" fontId="0" fillId="8" borderId="30" xfId="0" applyFont="1" applyFill="1" applyBorder="1"/>
    <xf numFmtId="0" fontId="0" fillId="8" borderId="31" xfId="0" applyFont="1" applyFill="1" applyBorder="1"/>
    <xf numFmtId="0" fontId="0" fillId="0" borderId="30" xfId="0" applyFont="1" applyBorder="1"/>
    <xf numFmtId="0" fontId="0" fillId="0" borderId="31" xfId="0" applyFont="1" applyBorder="1"/>
    <xf numFmtId="2" fontId="0" fillId="0" borderId="30" xfId="0" applyNumberFormat="1" applyFont="1" applyBorder="1"/>
    <xf numFmtId="2" fontId="0" fillId="0" borderId="31" xfId="0" applyNumberFormat="1" applyFont="1" applyBorder="1"/>
    <xf numFmtId="2" fontId="0" fillId="8" borderId="30" xfId="0" applyNumberFormat="1" applyFont="1" applyFill="1" applyBorder="1"/>
    <xf numFmtId="2" fontId="0" fillId="8" borderId="31" xfId="0" applyNumberFormat="1" applyFont="1" applyFill="1" applyBorder="1"/>
    <xf numFmtId="0" fontId="32" fillId="0" borderId="0" xfId="0" applyFont="1"/>
    <xf numFmtId="164" fontId="12" fillId="0" borderId="0" xfId="0" applyNumberFormat="1" applyFont="1"/>
    <xf numFmtId="9" fontId="0" fillId="0" borderId="0" xfId="2" applyFont="1"/>
    <xf numFmtId="2" fontId="0" fillId="0" borderId="0" xfId="0" applyNumberFormat="1" applyFont="1"/>
    <xf numFmtId="0" fontId="0" fillId="0" borderId="32" xfId="0" applyFill="1" applyBorder="1"/>
    <xf numFmtId="1" fontId="1" fillId="0" borderId="32" xfId="0" applyNumberFormat="1" applyFont="1" applyBorder="1" applyAlignment="1">
      <alignment horizontal="center"/>
    </xf>
    <xf numFmtId="0" fontId="12" fillId="0" borderId="1" xfId="0" applyFont="1" applyBorder="1"/>
    <xf numFmtId="0" fontId="12" fillId="0" borderId="1" xfId="0" applyFont="1" applyFill="1" applyBorder="1"/>
    <xf numFmtId="2" fontId="12" fillId="0" borderId="0" xfId="0" applyNumberFormat="1" applyFont="1"/>
    <xf numFmtId="164" fontId="0" fillId="9" borderId="0" xfId="0" applyNumberFormat="1" applyFill="1"/>
    <xf numFmtId="0" fontId="33" fillId="4" borderId="5" xfId="0" applyFont="1" applyFill="1" applyBorder="1"/>
    <xf numFmtId="164" fontId="33" fillId="0" borderId="5" xfId="0" applyNumberFormat="1" applyFont="1" applyBorder="1"/>
    <xf numFmtId="0" fontId="19" fillId="0" borderId="6" xfId="0" applyFont="1" applyBorder="1"/>
    <xf numFmtId="10" fontId="0" fillId="0" borderId="23" xfId="2" applyNumberFormat="1" applyFont="1" applyBorder="1"/>
    <xf numFmtId="2" fontId="0" fillId="0" borderId="0" xfId="0" applyNumberFormat="1" applyBorder="1"/>
    <xf numFmtId="2" fontId="0" fillId="9" borderId="0" xfId="0" applyNumberFormat="1" applyFill="1"/>
    <xf numFmtId="0" fontId="12" fillId="4" borderId="5" xfId="0" applyFont="1" applyFill="1" applyBorder="1"/>
    <xf numFmtId="164" fontId="12" fillId="0" borderId="5" xfId="0" applyNumberFormat="1" applyFont="1" applyBorder="1"/>
    <xf numFmtId="0" fontId="0" fillId="0" borderId="6" xfId="0" applyFont="1" applyBorder="1"/>
    <xf numFmtId="0" fontId="0" fillId="0" borderId="9" xfId="0" applyFont="1" applyFill="1" applyBorder="1"/>
    <xf numFmtId="164" fontId="0" fillId="0" borderId="0" xfId="0" applyNumberFormat="1" applyBorder="1"/>
    <xf numFmtId="164" fontId="12" fillId="0" borderId="14" xfId="0" applyNumberFormat="1" applyFont="1" applyBorder="1" applyAlignment="1">
      <alignment horizontal="center"/>
    </xf>
    <xf numFmtId="164" fontId="0" fillId="0" borderId="13" xfId="0" applyNumberFormat="1" applyBorder="1" applyAlignment="1">
      <alignment horizontal="center"/>
    </xf>
    <xf numFmtId="164" fontId="1" fillId="0" borderId="32" xfId="0" applyNumberFormat="1" applyFont="1" applyBorder="1" applyAlignment="1">
      <alignment horizontal="center"/>
    </xf>
    <xf numFmtId="164" fontId="0" fillId="0" borderId="14" xfId="0" applyNumberFormat="1" applyBorder="1" applyAlignment="1">
      <alignment horizontal="center"/>
    </xf>
    <xf numFmtId="164" fontId="0" fillId="0" borderId="15" xfId="0" applyNumberFormat="1" applyBorder="1" applyAlignment="1">
      <alignment horizontal="center"/>
    </xf>
    <xf numFmtId="164" fontId="1" fillId="0" borderId="15" xfId="0" applyNumberFormat="1" applyFont="1" applyBorder="1" applyAlignment="1">
      <alignment horizontal="center"/>
    </xf>
    <xf numFmtId="0" fontId="0" fillId="0" borderId="0" xfId="0" applyNumberFormat="1"/>
    <xf numFmtId="0" fontId="34" fillId="0" borderId="0" xfId="0" applyFont="1"/>
    <xf numFmtId="2" fontId="3" fillId="0" borderId="0" xfId="0" applyNumberFormat="1" applyFont="1"/>
    <xf numFmtId="164" fontId="3" fillId="0" borderId="0" xfId="0" applyNumberFormat="1" applyFont="1"/>
    <xf numFmtId="164" fontId="24" fillId="0" borderId="0" xfId="0" applyNumberFormat="1" applyFont="1"/>
    <xf numFmtId="0" fontId="24" fillId="0" borderId="0" xfId="0" applyFont="1"/>
    <xf numFmtId="2" fontId="0" fillId="0" borderId="5" xfId="0" applyNumberFormat="1" applyBorder="1"/>
    <xf numFmtId="164" fontId="12" fillId="9" borderId="14" xfId="0" applyNumberFormat="1" applyFont="1" applyFill="1" applyBorder="1" applyAlignment="1">
      <alignment horizontal="center"/>
    </xf>
    <xf numFmtId="0" fontId="16" fillId="0" borderId="0" xfId="0" applyFont="1" applyBorder="1"/>
    <xf numFmtId="0" fontId="2" fillId="10" borderId="11" xfId="0" applyFont="1" applyFill="1" applyBorder="1"/>
    <xf numFmtId="0" fontId="2" fillId="10" borderId="24" xfId="0" applyFont="1" applyFill="1" applyBorder="1"/>
    <xf numFmtId="0" fontId="2" fillId="10" borderId="12" xfId="0" applyFont="1" applyFill="1" applyBorder="1"/>
    <xf numFmtId="164" fontId="17" fillId="0" borderId="8" xfId="0" applyNumberFormat="1" applyFont="1" applyBorder="1"/>
    <xf numFmtId="164" fontId="0" fillId="11" borderId="0" xfId="0" applyNumberFormat="1" applyFill="1" applyBorder="1"/>
    <xf numFmtId="164" fontId="0" fillId="11" borderId="0" xfId="0" applyNumberFormat="1" applyFill="1"/>
    <xf numFmtId="0" fontId="0" fillId="11" borderId="0" xfId="0" applyFill="1"/>
    <xf numFmtId="0" fontId="0" fillId="11" borderId="2" xfId="0" applyFill="1" applyBorder="1"/>
    <xf numFmtId="0" fontId="0" fillId="11" borderId="3" xfId="0" applyFill="1" applyBorder="1"/>
    <xf numFmtId="0" fontId="0" fillId="11" borderId="4" xfId="0" applyFill="1" applyBorder="1"/>
    <xf numFmtId="0" fontId="0" fillId="11" borderId="16" xfId="0" applyFill="1" applyBorder="1"/>
    <xf numFmtId="0" fontId="0" fillId="11" borderId="17" xfId="0" applyFill="1" applyBorder="1"/>
    <xf numFmtId="0" fontId="0" fillId="11" borderId="18" xfId="0" applyFill="1" applyBorder="1"/>
    <xf numFmtId="0" fontId="0" fillId="11" borderId="19" xfId="0" applyFill="1" applyBorder="1"/>
    <xf numFmtId="0" fontId="0" fillId="11" borderId="20" xfId="0" applyFill="1" applyBorder="1"/>
    <xf numFmtId="0" fontId="0" fillId="11" borderId="21" xfId="0" applyFill="1" applyBorder="1"/>
    <xf numFmtId="0" fontId="13" fillId="0" borderId="0" xfId="0" applyFont="1"/>
    <xf numFmtId="1" fontId="16" fillId="0" borderId="1" xfId="0" applyNumberFormat="1" applyFont="1" applyBorder="1" applyAlignment="1">
      <alignment horizontal="center"/>
    </xf>
    <xf numFmtId="1" fontId="16" fillId="0" borderId="0" xfId="0" applyNumberFormat="1" applyFont="1" applyBorder="1" applyAlignment="1">
      <alignment horizontal="center"/>
    </xf>
    <xf numFmtId="1" fontId="16" fillId="0" borderId="8" xfId="0" applyNumberFormat="1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2" fillId="11" borderId="11" xfId="0" applyFont="1" applyFill="1" applyBorder="1" applyAlignment="1">
      <alignment horizontal="center"/>
    </xf>
    <xf numFmtId="0" fontId="2" fillId="11" borderId="12" xfId="0" applyFont="1" applyFill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12" fillId="0" borderId="20" xfId="0" applyFont="1" applyBorder="1" applyAlignment="1">
      <alignment horizontal="center"/>
    </xf>
    <xf numFmtId="0" fontId="25" fillId="0" borderId="6" xfId="0" applyFont="1" applyBorder="1" applyAlignment="1">
      <alignment horizontal="center"/>
    </xf>
    <xf numFmtId="0" fontId="25" fillId="0" borderId="22" xfId="0" applyFont="1" applyBorder="1" applyAlignment="1">
      <alignment horizontal="center"/>
    </xf>
    <xf numFmtId="164" fontId="18" fillId="0" borderId="9" xfId="0" applyNumberFormat="1" applyFont="1" applyBorder="1" applyAlignment="1">
      <alignment horizontal="center"/>
    </xf>
    <xf numFmtId="164" fontId="18" fillId="0" borderId="23" xfId="0" applyNumberFormat="1" applyFont="1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8" xfId="0" applyBorder="1" applyAlignment="1">
      <alignment horizontal="center"/>
    </xf>
    <xf numFmtId="9" fontId="35" fillId="0" borderId="0" xfId="0" applyNumberFormat="1" applyFont="1"/>
    <xf numFmtId="166" fontId="1" fillId="0" borderId="10" xfId="0" applyNumberFormat="1" applyFont="1" applyBorder="1" applyAlignment="1">
      <alignment horizontal="center"/>
    </xf>
    <xf numFmtId="2" fontId="1" fillId="0" borderId="5" xfId="0" applyNumberFormat="1" applyFont="1" applyBorder="1"/>
  </cellXfs>
  <cellStyles count="3">
    <cellStyle name="Hyperlink" xfId="1" builtinId="8"/>
    <cellStyle name="Normal" xfId="0" builtinId="0"/>
    <cellStyle name="Percent" xfId="2" builtinId="5"/>
  </cellStyles>
  <dxfs count="2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3" formatCode="0%"/>
    </dxf>
    <dxf>
      <numFmt numFmtId="2" formatCode="0.00"/>
    </dxf>
    <dxf>
      <numFmt numFmtId="164" formatCode="0.0"/>
    </dxf>
    <dxf>
      <numFmt numFmtId="164" formatCode="0.0"/>
    </dxf>
    <dxf>
      <numFmt numFmtId="2" formatCode="0.00"/>
    </dxf>
    <dxf>
      <numFmt numFmtId="164" formatCode="0.0"/>
    </dxf>
    <dxf>
      <numFmt numFmtId="2" formatCode="0.00"/>
    </dxf>
    <dxf>
      <numFmt numFmtId="164" formatCode="0.0"/>
    </dxf>
    <dxf>
      <numFmt numFmtId="164" formatCode="0.0"/>
    </dxf>
    <dxf>
      <numFmt numFmtId="164" formatCode="0.0"/>
      <fill>
        <patternFill patternType="solid">
          <fgColor indexed="64"/>
          <bgColor theme="9" tint="0.39997558519241921"/>
        </patternFill>
      </fill>
    </dxf>
    <dxf>
      <numFmt numFmtId="164" formatCode="0.0"/>
      <fill>
        <patternFill patternType="solid">
          <fgColor indexed="64"/>
          <bgColor theme="9" tint="0.39997558519241921"/>
        </patternFill>
      </fill>
    </dxf>
    <dxf>
      <fill>
        <patternFill patternType="solid">
          <fgColor indexed="64"/>
          <bgColor theme="9" tint="0.39997558519241921"/>
        </patternFill>
      </fill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5" formatCode="0.00E+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6.xml"/><Relationship Id="rId1" Type="http://schemas.microsoft.com/office/2011/relationships/chartStyle" Target="style6.xml"/><Relationship Id="rId4" Type="http://schemas.openxmlformats.org/officeDocument/2006/relationships/chartUserShapes" Target="../drawings/drawing5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5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8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OVERALL</a:t>
            </a:r>
            <a:r>
              <a:rPr lang="en-US" baseline="0"/>
              <a:t> </a:t>
            </a:r>
            <a:r>
              <a:rPr lang="en-US"/>
              <a:t>Mass breakdown</a:t>
            </a:r>
          </a:p>
        </c:rich>
      </c:tx>
      <c:layout>
        <c:manualLayout>
          <c:xMode val="edge"/>
          <c:yMode val="edge"/>
          <c:x val="0.31547752849872485"/>
          <c:y val="2.999785254115962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6031002687528191E-2"/>
          <c:y val="0.23007656200651266"/>
          <c:w val="0.82028468903590079"/>
          <c:h val="0.66841177286651843"/>
        </c:manualLayout>
      </c:layout>
      <c:ofPieChart>
        <c:ofPieType val="bar"/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5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6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7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8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9"/>
            <c:bubble3D val="0"/>
            <c:spPr>
              <a:solidFill>
                <a:schemeClr val="accent6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0"/>
            <c:bubble3D val="0"/>
            <c:spPr>
              <a:solidFill>
                <a:schemeClr val="accent5">
                  <a:lumMod val="80000"/>
                </a:schemeClr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>
                <c:manualLayout>
                  <c:x val="2.8006588090422613E-2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5.5610003413248598E-3"/>
                  <c:y val="-3.639634910097306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5.6013176180845226E-3"/>
                  <c:y val="0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"/>
                  <c:y val="2.777777777777676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2.4593814972446039E-2"/>
                  <c:y val="3.4218704804961191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115799870932218"/>
                      <c:h val="9.2035734263684818E-2"/>
                    </c:manualLayout>
                  </c15:layout>
                </c:ext>
              </c:extLst>
            </c:dLbl>
            <c:dLbl>
              <c:idx val="5"/>
              <c:layout>
                <c:manualLayout>
                  <c:x val="-1.8428625102623934E-2"/>
                  <c:y val="5.988993275933908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6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2206256025581402"/>
                      <c:h val="9.1082107001464074E-2"/>
                    </c:manualLayout>
                  </c15:layout>
                </c:ext>
              </c:extLst>
            </c:dLbl>
            <c:dLbl>
              <c:idx val="6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7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8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>
                          <a:lumMod val="80000"/>
                          <a:lumOff val="20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</c:dLbl>
            <c:dLbl>
              <c:idx val="9"/>
              <c:layout>
                <c:manualLayout>
                  <c:x val="-9.8933540226662439E-3"/>
                  <c:y val="-1.8181864517140246E-2"/>
                </c:manualLayout>
              </c:layout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6"/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 baseline="0"/>
                      <a:t>FC system
</a:t>
                    </a:r>
                    <a:fld id="{F6183470-7948-4B4F-811B-16E2A72FC608}" type="PERCENTAGE">
                      <a:rPr lang="en-US" baseline="0"/>
                      <a:pPr>
                        <a:defRPr>
                          <a:solidFill>
                            <a:schemeClr val="accent6"/>
                          </a:solidFill>
                        </a:defRPr>
                      </a:pPr>
                      <a:t>[PERCENTAGE]</a:t>
                    </a:fld>
                    <a:endParaRPr lang="en-US" baseline="0"/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6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  <c15:dlblFieldTable/>
                  <c15:showDataLabelsRange val="0"/>
                </c:ext>
              </c:extLst>
            </c:dLbl>
            <c:dLbl>
              <c:idx val="1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1000" b="1" i="0" u="none" strike="noStrike" kern="1200" spc="0" baseline="0">
                        <a:solidFill>
                          <a:schemeClr val="accent5">
                            <a:lumMod val="7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r>
                      <a:rPr lang="en-US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t>FC</a:t>
                    </a:r>
                    <a:r>
                      <a:rPr lang="en-US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t> system
</a:t>
                    </a:r>
                    <a:fld id="{C5252729-F695-485F-8E59-813EED3026C0}" type="PERCENTAGE">
                      <a:rPr lang="en-US" baseline="0">
                        <a:solidFill>
                          <a:schemeClr val="accent5">
                            <a:lumMod val="75000"/>
                          </a:schemeClr>
                        </a:solidFill>
                      </a:rPr>
                      <a:pPr>
                        <a:defRPr>
                          <a:solidFill>
                            <a:schemeClr val="accent5">
                              <a:lumMod val="75000"/>
                            </a:schemeClr>
                          </a:solidFill>
                        </a:defRPr>
                      </a:pPr>
                      <a:t>[PERCENTAGE]</a:t>
                    </a:fld>
                    <a:endParaRPr lang="en-US" baseline="0">
                      <a:solidFill>
                        <a:schemeClr val="accent5">
                          <a:lumMod val="75000"/>
                        </a:schemeClr>
                      </a:solidFill>
                    </a:endParaRPr>
                  </a:p>
                </c:rich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('Power &amp; Mass breakdown'!$A$17:$A$20,'Power &amp; Mass breakdown'!$A$22:$A$23,'Power &amp; Mass breakdown'!$A$25:$A$27)</c:f>
              <c:strCache>
                <c:ptCount val="9"/>
                <c:pt idx="0">
                  <c:v>Stacks</c:v>
                </c:pt>
                <c:pt idx="1">
                  <c:v>Compressor</c:v>
                </c:pt>
                <c:pt idx="2">
                  <c:v>Humidifiers</c:v>
                </c:pt>
                <c:pt idx="3">
                  <c:v>Cooling module</c:v>
                </c:pt>
                <c:pt idx="4">
                  <c:v>Power Electronics</c:v>
                </c:pt>
                <c:pt idx="5">
                  <c:v>Valves</c:v>
                </c:pt>
                <c:pt idx="6">
                  <c:v>Tank</c:v>
                </c:pt>
                <c:pt idx="7">
                  <c:v>Hydrogen</c:v>
                </c:pt>
                <c:pt idx="8">
                  <c:v>H2 Piping</c:v>
                </c:pt>
              </c:strCache>
            </c:strRef>
          </c:cat>
          <c:val>
            <c:numRef>
              <c:f>('Power &amp; Mass breakdown'!$B$17:$B$20,'Power &amp; Mass breakdown'!$B$22:$B$23,'Power &amp; Mass breakdown'!$B$25:$B$27)</c:f>
              <c:numCache>
                <c:formatCode>0.0</c:formatCode>
                <c:ptCount val="9"/>
                <c:pt idx="0">
                  <c:v>714.28571428571433</c:v>
                </c:pt>
                <c:pt idx="1">
                  <c:v>41.037848919418394</c:v>
                </c:pt>
                <c:pt idx="2">
                  <c:v>175</c:v>
                </c:pt>
                <c:pt idx="3">
                  <c:v>450</c:v>
                </c:pt>
                <c:pt idx="4">
                  <c:v>136.47642679900744</c:v>
                </c:pt>
                <c:pt idx="5">
                  <c:v>175</c:v>
                </c:pt>
                <c:pt idx="6">
                  <c:v>152</c:v>
                </c:pt>
                <c:pt idx="7">
                  <c:v>75</c:v>
                </c:pt>
                <c:pt idx="8">
                  <c:v>73</c:v>
                </c:pt>
              </c:numCache>
            </c:numRef>
          </c:val>
          <c:extLst/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gapWidth val="100"/>
        <c:splitType val="cust"/>
        <c:custSplit>
          <c:secondPiePt val="0"/>
          <c:secondPiePt val="1"/>
          <c:secondPiePt val="2"/>
          <c:secondPiePt val="3"/>
        </c:custSplit>
        <c:secondPieSize val="75"/>
        <c:serLines>
          <c:spPr>
            <a:ln w="9525" cap="flat" cmpd="sng" algn="ctr">
              <a:solidFill>
                <a:schemeClr val="tx1">
                  <a:lumMod val="35000"/>
                  <a:lumOff val="65000"/>
                </a:schemeClr>
              </a:solidFill>
              <a:round/>
            </a:ln>
            <a:effectLst/>
          </c:spPr>
        </c:serLines>
      </c:of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'Power &amp; Mass breakdown'!$A$74</c:f>
              <c:strCache>
                <c:ptCount val="1"/>
                <c:pt idx="0">
                  <c:v>1 compressor / system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Pt>
            <c:idx val="1"/>
            <c:marker>
              <c:symbol val="none"/>
            </c:marker>
            <c:bubble3D val="0"/>
          </c:dPt>
          <c:xVal>
            <c:numRef>
              <c:f>'Power &amp; Mass breakdown'!$B$76:$B$93</c:f>
              <c:numCache>
                <c:formatCode>General</c:formatCode>
                <c:ptCount val="18"/>
                <c:pt idx="0">
                  <c:v>89</c:v>
                </c:pt>
                <c:pt idx="1">
                  <c:v>178</c:v>
                </c:pt>
                <c:pt idx="2">
                  <c:v>267</c:v>
                </c:pt>
                <c:pt idx="3">
                  <c:v>356</c:v>
                </c:pt>
                <c:pt idx="4">
                  <c:v>445</c:v>
                </c:pt>
                <c:pt idx="5">
                  <c:v>534</c:v>
                </c:pt>
                <c:pt idx="6">
                  <c:v>623</c:v>
                </c:pt>
                <c:pt idx="7">
                  <c:v>712</c:v>
                </c:pt>
                <c:pt idx="8">
                  <c:v>801</c:v>
                </c:pt>
                <c:pt idx="9">
                  <c:v>890</c:v>
                </c:pt>
                <c:pt idx="10">
                  <c:v>1068</c:v>
                </c:pt>
                <c:pt idx="11">
                  <c:v>1246</c:v>
                </c:pt>
                <c:pt idx="12">
                  <c:v>1424</c:v>
                </c:pt>
                <c:pt idx="13">
                  <c:v>1602</c:v>
                </c:pt>
                <c:pt idx="14">
                  <c:v>1780</c:v>
                </c:pt>
                <c:pt idx="15">
                  <c:v>2002.5</c:v>
                </c:pt>
                <c:pt idx="16">
                  <c:v>2136</c:v>
                </c:pt>
                <c:pt idx="17">
                  <c:v>2225</c:v>
                </c:pt>
              </c:numCache>
            </c:numRef>
          </c:xVal>
          <c:yVal>
            <c:numRef>
              <c:f>'Power &amp; Mass breakdown'!$E$76:$E$93</c:f>
              <c:numCache>
                <c:formatCode>0.00</c:formatCode>
                <c:ptCount val="18"/>
                <c:pt idx="0">
                  <c:v>1.3484848484848484</c:v>
                </c:pt>
                <c:pt idx="1">
                  <c:v>1.4735099337748343</c:v>
                </c:pt>
                <c:pt idx="2">
                  <c:v>1.5213675213675213</c:v>
                </c:pt>
                <c:pt idx="3">
                  <c:v>1.5458098132870168</c:v>
                </c:pt>
                <c:pt idx="4">
                  <c:v>1.5608558400561205</c:v>
                </c:pt>
                <c:pt idx="5">
                  <c:v>1.5715126545026485</c:v>
                </c:pt>
                <c:pt idx="6">
                  <c:v>1.5788139888494677</c:v>
                </c:pt>
                <c:pt idx="7">
                  <c:v>1.584334668446818</c:v>
                </c:pt>
                <c:pt idx="8">
                  <c:v>1.588970442372545</c:v>
                </c:pt>
                <c:pt idx="9">
                  <c:v>1.5924136697083557</c:v>
                </c:pt>
                <c:pt idx="10">
                  <c:v>1.5978456014362659</c:v>
                </c:pt>
                <c:pt idx="11">
                  <c:v>1.6017482966962335</c:v>
                </c:pt>
                <c:pt idx="12">
                  <c:v>1.604507042253521</c:v>
                </c:pt>
                <c:pt idx="13">
                  <c:v>1.6068204613841524</c:v>
                </c:pt>
                <c:pt idx="14">
                  <c:v>1.6086760054225033</c:v>
                </c:pt>
                <c:pt idx="15">
                  <c:v>1.6105034582596107</c:v>
                </c:pt>
                <c:pt idx="16">
                  <c:v>1.6113458056729029</c:v>
                </c:pt>
                <c:pt idx="17">
                  <c:v>1.6119684126639138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4972224"/>
        <c:axId val="583916272"/>
      </c:scatterChart>
      <c:valAx>
        <c:axId val="1749722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System Net Output Power [kW]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6272"/>
        <c:crosses val="autoZero"/>
        <c:crossBetween val="midCat"/>
      </c:valAx>
      <c:valAx>
        <c:axId val="583916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Power [kW/lkg]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49722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 System MASS BREAKDOWN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explosion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5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eparator>
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Lit>
              <c:ptCount val="5"/>
              <c:pt idx="0">
                <c:v>Stacks</c:v>
              </c:pt>
              <c:pt idx="1">
                <c:v>Compressor</c:v>
              </c:pt>
              <c:pt idx="2">
                <c:v>Humidifiers</c:v>
              </c:pt>
              <c:pt idx="3">
                <c:v>Cooling module</c:v>
              </c:pt>
              <c:pt idx="4">
                <c:v>Electronics</c:v>
              </c:pt>
            </c:strLit>
          </c:cat>
          <c:val>
            <c:numRef>
              <c:f>('Power &amp; Mass breakdown'!$B$17:$B$20,'Power &amp; Mass breakdown'!$B$22)</c:f>
              <c:numCache>
                <c:formatCode>0.0</c:formatCode>
                <c:ptCount val="5"/>
                <c:pt idx="0">
                  <c:v>714.28571428571433</c:v>
                </c:pt>
                <c:pt idx="1">
                  <c:v>41.037848919418394</c:v>
                </c:pt>
                <c:pt idx="2">
                  <c:v>175</c:v>
                </c:pt>
                <c:pt idx="3">
                  <c:v>450</c:v>
                </c:pt>
                <c:pt idx="4">
                  <c:v>136.47642679900744</c:v>
                </c:pt>
              </c:numCache>
            </c:numRef>
          </c:val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227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600" b="1"/>
              <a:t>POWER BREAKDOWN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v>Propulsion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[kW]</c:v>
              </c:pt>
            </c:strLit>
          </c:cat>
          <c:val>
            <c:numRef>
              <c:f>'Power &amp; Mass breakdown'!$B$12</c:f>
              <c:numCache>
                <c:formatCode>0.00</c:formatCode>
                <c:ptCount val="1"/>
                <c:pt idx="0">
                  <c:v>2139.9464767714353</c:v>
                </c:pt>
              </c:numCache>
            </c:numRef>
          </c:val>
        </c:ser>
        <c:ser>
          <c:idx val="2"/>
          <c:order val="1"/>
          <c:tx>
            <c:strRef>
              <c:f>'Power &amp; Mass breakdown'!$A$18</c:f>
              <c:strCache>
                <c:ptCount val="1"/>
                <c:pt idx="0">
                  <c:v>Compressor</c:v>
                </c:pt>
              </c:strCache>
            </c:strRef>
          </c:tx>
          <c:spPr>
            <a:solidFill>
              <a:srgbClr val="C00000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[kW]</c:v>
              </c:pt>
            </c:strLit>
          </c:cat>
          <c:val>
            <c:numRef>
              <c:f>'Power &amp; Mass breakdown'!$C$18</c:f>
              <c:numCache>
                <c:formatCode>0</c:formatCode>
                <c:ptCount val="1"/>
                <c:pt idx="0">
                  <c:v>263.37827322856452</c:v>
                </c:pt>
              </c:numCache>
            </c:numRef>
          </c:val>
        </c:ser>
        <c:ser>
          <c:idx val="3"/>
          <c:order val="2"/>
          <c:tx>
            <c:v>Electronics</c:v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[kW]</c:v>
              </c:pt>
            </c:strLit>
          </c:cat>
          <c:val>
            <c:numRef>
              <c:f>'Power &amp; Mass breakdown'!$C$22</c:f>
              <c:numCache>
                <c:formatCode>0</c:formatCode>
                <c:ptCount val="1"/>
                <c:pt idx="0">
                  <c:v>79.175250000000091</c:v>
                </c:pt>
              </c:numCache>
            </c:numRef>
          </c:val>
        </c:ser>
        <c:ser>
          <c:idx val="4"/>
          <c:order val="3"/>
          <c:tx>
            <c:v>Cooling pump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[kW]</c:v>
              </c:pt>
            </c:strLit>
          </c:cat>
          <c:val>
            <c:numRef>
              <c:f>'Power &amp; Mass breakdown'!$C$20</c:f>
              <c:numCache>
                <c:formatCode>0</c:formatCode>
                <c:ptCount val="1"/>
                <c:pt idx="0">
                  <c:v>17.5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5"/>
        <c:overlap val="100"/>
        <c:axId val="583920976"/>
        <c:axId val="583914704"/>
      </c:barChart>
      <c:catAx>
        <c:axId val="583920976"/>
        <c:scaling>
          <c:orientation val="minMax"/>
        </c:scaling>
        <c:delete val="1"/>
        <c:axPos val="b"/>
        <c:numFmt formatCode="General" sourceLinked="0"/>
        <c:majorTickMark val="none"/>
        <c:minorTickMark val="none"/>
        <c:tickLblPos val="nextTo"/>
        <c:crossAx val="583914704"/>
        <c:crosses val="autoZero"/>
        <c:auto val="1"/>
        <c:lblAlgn val="ctr"/>
        <c:lblOffset val="100"/>
        <c:noMultiLvlLbl val="0"/>
      </c:catAx>
      <c:valAx>
        <c:axId val="583914704"/>
        <c:scaling>
          <c:orientation val="minMax"/>
          <c:max val="1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20976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543482147760376"/>
          <c:y val="3.9092702313129467E-2"/>
          <c:w val="0.77493834697085995"/>
          <c:h val="0.72180771147626865"/>
        </c:manualLayout>
      </c:layout>
      <c:scatterChart>
        <c:scatterStyle val="smoothMarker"/>
        <c:varyColors val="0"/>
        <c:ser>
          <c:idx val="0"/>
          <c:order val="0"/>
          <c:tx>
            <c:v>PowerCell S3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'FC stacks'!$B$14:$F$14</c:f>
              <c:numCache>
                <c:formatCode>General</c:formatCode>
                <c:ptCount val="5"/>
                <c:pt idx="0">
                  <c:v>49</c:v>
                </c:pt>
                <c:pt idx="1">
                  <c:v>63</c:v>
                </c:pt>
                <c:pt idx="2">
                  <c:v>81</c:v>
                </c:pt>
                <c:pt idx="3">
                  <c:v>98</c:v>
                </c:pt>
                <c:pt idx="4">
                  <c:v>125</c:v>
                </c:pt>
              </c:numCache>
            </c:numRef>
          </c:xVal>
          <c:yVal>
            <c:numRef>
              <c:f>'FC stacks'!$B$17:$F$17</c:f>
              <c:numCache>
                <c:formatCode>0.00</c:formatCode>
                <c:ptCount val="5"/>
                <c:pt idx="0">
                  <c:v>2.3333333333333335</c:v>
                </c:pt>
                <c:pt idx="1">
                  <c:v>2.52</c:v>
                </c:pt>
                <c:pt idx="2">
                  <c:v>2.7931034482758621</c:v>
                </c:pt>
                <c:pt idx="3">
                  <c:v>2.8823529411764706</c:v>
                </c:pt>
                <c:pt idx="4">
                  <c:v>2.9069767441860463</c:v>
                </c:pt>
              </c:numCache>
            </c:numRef>
          </c:yVal>
          <c:smooth val="1"/>
        </c:ser>
        <c:ser>
          <c:idx val="2"/>
          <c:order val="1"/>
          <c:tx>
            <c:v>PowerCell S2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'FC stacks'!$B$25:$F$25</c:f>
              <c:numCache>
                <c:formatCode>General</c:formatCode>
                <c:ptCount val="5"/>
                <c:pt idx="0">
                  <c:v>3</c:v>
                </c:pt>
                <c:pt idx="1">
                  <c:v>6.5</c:v>
                </c:pt>
                <c:pt idx="2">
                  <c:v>10</c:v>
                </c:pt>
                <c:pt idx="3">
                  <c:v>26</c:v>
                </c:pt>
                <c:pt idx="4">
                  <c:v>35.5</c:v>
                </c:pt>
              </c:numCache>
            </c:numRef>
          </c:xVal>
          <c:yVal>
            <c:numRef>
              <c:f>'FC stacks'!$B$28:$F$28</c:f>
              <c:numCache>
                <c:formatCode>0.00</c:formatCode>
                <c:ptCount val="5"/>
                <c:pt idx="0">
                  <c:v>0.26785714285714285</c:v>
                </c:pt>
                <c:pt idx="1">
                  <c:v>0.47445255474452558</c:v>
                </c:pt>
                <c:pt idx="2">
                  <c:v>0.34482758620689657</c:v>
                </c:pt>
                <c:pt idx="3">
                  <c:v>0.76470588235294112</c:v>
                </c:pt>
                <c:pt idx="4">
                  <c:v>0.82558139534883723</c:v>
                </c:pt>
              </c:numCache>
            </c:numRef>
          </c:yVal>
          <c:smooth val="1"/>
        </c:ser>
        <c:ser>
          <c:idx val="1"/>
          <c:order val="2"/>
          <c:tx>
            <c:v>2030+ Target</c:v>
          </c:tx>
          <c:spPr>
            <a:ln w="19050" cap="rnd">
              <a:noFill/>
              <a:round/>
            </a:ln>
            <a:effectLst/>
          </c:spPr>
          <c:marker>
            <c:symbol val="x"/>
            <c:size val="10"/>
            <c:spPr>
              <a:noFill/>
              <a:ln w="19050" cap="flat">
                <a:solidFill>
                  <a:schemeClr val="accent2"/>
                </a:solidFill>
                <a:round/>
              </a:ln>
              <a:effectLst/>
            </c:spPr>
          </c:marker>
          <c:xVal>
            <c:numRef>
              <c:f>'FC stacks'!$B$4</c:f>
              <c:numCache>
                <c:formatCode>General</c:formatCode>
                <c:ptCount val="1"/>
                <c:pt idx="0">
                  <c:v>100</c:v>
                </c:pt>
              </c:numCache>
            </c:numRef>
          </c:xVal>
          <c:yVal>
            <c:numRef>
              <c:f>'FC stacks'!$B$5</c:f>
              <c:numCache>
                <c:formatCode>General</c:formatCode>
                <c:ptCount val="1"/>
                <c:pt idx="0">
                  <c:v>3.5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19016"/>
        <c:axId val="583917056"/>
      </c:scatterChart>
      <c:valAx>
        <c:axId val="5839190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7056"/>
        <c:crosses val="autoZero"/>
        <c:crossBetween val="midCat"/>
      </c:valAx>
      <c:valAx>
        <c:axId val="58391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Specific power (kW/kg)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9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Humidifier weight and volume variation</a:t>
            </a:r>
            <a:r>
              <a:rPr lang="en-US" sz="1400" baseline="0"/>
              <a:t> </a:t>
            </a:r>
            <a:endParaRPr lang="en-US" sz="14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0782273369674944"/>
          <c:y val="0.14559379844725767"/>
          <c:w val="0.77135453260650111"/>
          <c:h val="0.54414896666733759"/>
        </c:manualLayout>
      </c:layout>
      <c:scatterChart>
        <c:scatterStyle val="smoothMarker"/>
        <c:varyColors val="0"/>
        <c:ser>
          <c:idx val="0"/>
          <c:order val="0"/>
          <c:tx>
            <c:v>Weight</c:v>
          </c:tx>
          <c:marker>
            <c:symbol val="none"/>
          </c:marker>
          <c:xVal>
            <c:numRef>
              <c:f>Humidifier!$A$10:$A$16</c:f>
              <c:numCache>
                <c:formatCode>General</c:formatCode>
                <c:ptCount val="7"/>
                <c:pt idx="0">
                  <c:v>0.7</c:v>
                </c:pt>
                <c:pt idx="1">
                  <c:v>2</c:v>
                </c:pt>
                <c:pt idx="2">
                  <c:v>7</c:v>
                </c:pt>
                <c:pt idx="3">
                  <c:v>10</c:v>
                </c:pt>
                <c:pt idx="4">
                  <c:v>30</c:v>
                </c:pt>
                <c:pt idx="5">
                  <c:v>70</c:v>
                </c:pt>
                <c:pt idx="6">
                  <c:v>110</c:v>
                </c:pt>
              </c:numCache>
            </c:numRef>
          </c:xVal>
          <c:yVal>
            <c:numRef>
              <c:f>Humidifier!$B$10:$B$16</c:f>
              <c:numCache>
                <c:formatCode>General</c:formatCode>
                <c:ptCount val="7"/>
                <c:pt idx="0">
                  <c:v>0.4</c:v>
                </c:pt>
                <c:pt idx="1">
                  <c:v>0.6</c:v>
                </c:pt>
                <c:pt idx="2">
                  <c:v>3</c:v>
                </c:pt>
                <c:pt idx="3">
                  <c:v>3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22152"/>
        <c:axId val="583916664"/>
      </c:scatterChart>
      <c:scatterChart>
        <c:scatterStyle val="smoothMarker"/>
        <c:varyColors val="0"/>
        <c:ser>
          <c:idx val="1"/>
          <c:order val="1"/>
          <c:tx>
            <c:v>Volume</c:v>
          </c:tx>
          <c:marker>
            <c:symbol val="none"/>
          </c:marker>
          <c:xVal>
            <c:numRef>
              <c:f>Humidifier!$A$10:$A$16</c:f>
              <c:numCache>
                <c:formatCode>General</c:formatCode>
                <c:ptCount val="7"/>
                <c:pt idx="0">
                  <c:v>0.7</c:v>
                </c:pt>
                <c:pt idx="1">
                  <c:v>2</c:v>
                </c:pt>
                <c:pt idx="2">
                  <c:v>7</c:v>
                </c:pt>
                <c:pt idx="3">
                  <c:v>10</c:v>
                </c:pt>
                <c:pt idx="4">
                  <c:v>30</c:v>
                </c:pt>
                <c:pt idx="5">
                  <c:v>70</c:v>
                </c:pt>
                <c:pt idx="6">
                  <c:v>110</c:v>
                </c:pt>
              </c:numCache>
            </c:numRef>
          </c:xVal>
          <c:yVal>
            <c:numRef>
              <c:f>Humidifier!$C$10:$C$16</c:f>
              <c:numCache>
                <c:formatCode>General</c:formatCode>
                <c:ptCount val="7"/>
                <c:pt idx="0">
                  <c:v>0.6</c:v>
                </c:pt>
                <c:pt idx="1">
                  <c:v>1</c:v>
                </c:pt>
                <c:pt idx="2">
                  <c:v>4</c:v>
                </c:pt>
                <c:pt idx="3">
                  <c:v>4</c:v>
                </c:pt>
                <c:pt idx="4">
                  <c:v>7</c:v>
                </c:pt>
                <c:pt idx="5">
                  <c:v>11</c:v>
                </c:pt>
                <c:pt idx="6">
                  <c:v>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15488"/>
        <c:axId val="583917448"/>
      </c:scatterChart>
      <c:valAx>
        <c:axId val="583922152"/>
        <c:scaling>
          <c:orientation val="minMax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Fuel cell power (kW)</a:t>
                </a:r>
              </a:p>
            </c:rich>
          </c:tx>
          <c:layout>
            <c:manualLayout>
              <c:xMode val="edge"/>
              <c:yMode val="edge"/>
              <c:x val="0.37653846153846154"/>
              <c:y val="0.79125765141553794"/>
            </c:manualLayout>
          </c:layout>
          <c:overlay val="0"/>
        </c:title>
        <c:numFmt formatCode="General" sourceLinked="1"/>
        <c:majorTickMark val="none"/>
        <c:minorTickMark val="none"/>
        <c:tickLblPos val="nextTo"/>
        <c:crossAx val="583916664"/>
        <c:crosses val="autoZero"/>
        <c:crossBetween val="midCat"/>
      </c:valAx>
      <c:valAx>
        <c:axId val="583916664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Weight (kg)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crossAx val="583922152"/>
        <c:crosses val="autoZero"/>
        <c:crossBetween val="midCat"/>
      </c:valAx>
      <c:valAx>
        <c:axId val="583917448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  <a:r>
                  <a:rPr lang="en-US" baseline="0"/>
                  <a:t>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3915488"/>
        <c:crosses val="max"/>
        <c:crossBetween val="midCat"/>
      </c:valAx>
      <c:valAx>
        <c:axId val="58391548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3917448"/>
        <c:crosses val="autoZero"/>
        <c:crossBetween val="midCat"/>
      </c:valAx>
    </c:plotArea>
    <c:legend>
      <c:legendPos val="b"/>
      <c:layout>
        <c:manualLayout>
          <c:xMode val="edge"/>
          <c:yMode val="edge"/>
          <c:x val="0.332399353926913"/>
          <c:y val="0.87577150151708838"/>
          <c:w val="0.33520109024833433"/>
          <c:h val="8.719908355776726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72322821277801"/>
          <c:y val="0.33410607844716367"/>
          <c:w val="0.72592774279550787"/>
          <c:h val="0.36367894571663734"/>
        </c:manualLayout>
      </c:layout>
      <c:scatterChart>
        <c:scatterStyle val="smoothMarker"/>
        <c:varyColors val="0"/>
        <c:ser>
          <c:idx val="1"/>
          <c:order val="0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Compressor!$D$99:$D$105</c:f>
              <c:numCache>
                <c:formatCode>0</c:formatCode>
                <c:ptCount val="7"/>
                <c:pt idx="0" formatCode="General">
                  <c:v>55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 formatCode="General">
                  <c:v>5</c:v>
                </c:pt>
              </c:numCache>
            </c:numRef>
          </c:xVal>
          <c:yVal>
            <c:numRef>
              <c:f>Compressor!$A$99:$A$105</c:f>
              <c:numCache>
                <c:formatCode>General</c:formatCode>
                <c:ptCount val="7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25000</c:v>
                </c:pt>
                <c:pt idx="6">
                  <c:v>30000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18624"/>
        <c:axId val="583915880"/>
      </c:scatterChart>
      <c:valAx>
        <c:axId val="583918624"/>
        <c:scaling>
          <c:orientation val="minMax"/>
          <c:min val="-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5880"/>
        <c:crosses val="autoZero"/>
        <c:crossBetween val="midCat"/>
      </c:valAx>
      <c:valAx>
        <c:axId val="5839158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86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47789859600882"/>
          <c:y val="0.89850182484928309"/>
          <c:w val="0.72189247177436155"/>
          <c:h val="7.7720737134667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4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Compressor outlet temperature - 100kW fuel cell compressor </a:t>
            </a:r>
          </a:p>
          <a:p>
            <a:pPr>
              <a:defRPr/>
            </a:pPr>
            <a:r>
              <a:rPr lang="en-US"/>
              <a:t>operating @ </a:t>
            </a:r>
            <a:r>
              <a:rPr lang="en-US">
                <a:solidFill>
                  <a:schemeClr val="accent2"/>
                </a:solidFill>
              </a:rPr>
              <a:t>1.5 bar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Compressor outlet - ISA conditions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Compressor!$A$109:$A$113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Compressor!$R$109:$R$113</c:f>
              <c:numCache>
                <c:formatCode>General</c:formatCode>
                <c:ptCount val="5"/>
                <c:pt idx="0">
                  <c:v>65.400000000000006</c:v>
                </c:pt>
                <c:pt idx="1">
                  <c:v>74.7</c:v>
                </c:pt>
                <c:pt idx="2">
                  <c:v>86.4</c:v>
                </c:pt>
                <c:pt idx="3">
                  <c:v>99.1</c:v>
                </c:pt>
                <c:pt idx="4">
                  <c:v>111.6</c:v>
                </c:pt>
              </c:numCache>
            </c:numRef>
          </c:yVal>
          <c:smooth val="1"/>
        </c:ser>
        <c:ser>
          <c:idx val="1"/>
          <c:order val="1"/>
          <c:tx>
            <c:v>FC temperature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Compressor!$A$109:$A$113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Compressor!$S$109:$S$113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</c:numCache>
            </c:numRef>
          </c:yVal>
          <c:smooth val="1"/>
        </c:ser>
        <c:ser>
          <c:idx val="2"/>
          <c:order val="2"/>
          <c:tx>
            <c:v>Compressor outlet - hot day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Compressor!$R$99:$R$103</c:f>
              <c:numCache>
                <c:formatCode>General</c:formatCode>
                <c:ptCount val="5"/>
                <c:pt idx="0">
                  <c:v>112.4</c:v>
                </c:pt>
                <c:pt idx="1">
                  <c:v>121.4</c:v>
                </c:pt>
                <c:pt idx="2">
                  <c:v>137.9</c:v>
                </c:pt>
                <c:pt idx="3">
                  <c:v>156</c:v>
                </c:pt>
                <c:pt idx="4">
                  <c:v>170.2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3918232"/>
        <c:axId val="583920192"/>
      </c:scatterChart>
      <c:valAx>
        <c:axId val="5839182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20192"/>
        <c:crosses val="autoZero"/>
        <c:crossBetween val="midCat"/>
      </c:valAx>
      <c:valAx>
        <c:axId val="583920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39182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Design variation with altitude - 100kW fuel cell compressor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Weight (kg) - outlet @ 1 bar</c:v>
          </c:tx>
          <c:spPr>
            <a:ln w="19050" cap="rnd">
              <a:solidFill>
                <a:schemeClr val="accent1"/>
              </a:solidFill>
              <a:prstDash val="solid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Compressor!$L$99:$L$103</c:f>
              <c:numCache>
                <c:formatCode>General</c:formatCode>
                <c:ptCount val="5"/>
                <c:pt idx="0">
                  <c:v>11.25</c:v>
                </c:pt>
                <c:pt idx="1">
                  <c:v>11.46</c:v>
                </c:pt>
                <c:pt idx="2">
                  <c:v>11.8</c:v>
                </c:pt>
                <c:pt idx="3">
                  <c:v>12.14</c:v>
                </c:pt>
                <c:pt idx="4">
                  <c:v>12.43</c:v>
                </c:pt>
              </c:numCache>
            </c:numRef>
          </c:yVal>
          <c:smooth val="1"/>
        </c:ser>
        <c:ser>
          <c:idx val="2"/>
          <c:order val="2"/>
          <c:tx>
            <c:v>Weight (kg) - outlet @ 1.5 bar</c:v>
          </c:tx>
          <c:spPr>
            <a:ln w="19050" cap="rnd">
              <a:solidFill>
                <a:schemeClr val="accent3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Compressor!$P$99:$P$103</c:f>
              <c:numCache>
                <c:formatCode>General</c:formatCode>
                <c:ptCount val="5"/>
                <c:pt idx="0">
                  <c:v>12</c:v>
                </c:pt>
                <c:pt idx="1">
                  <c:v>12.3</c:v>
                </c:pt>
                <c:pt idx="2">
                  <c:v>12.6</c:v>
                </c:pt>
                <c:pt idx="3">
                  <c:v>13</c:v>
                </c:pt>
                <c:pt idx="4">
                  <c:v>13.3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9024"/>
        <c:axId val="587784712"/>
      </c:scatterChart>
      <c:scatterChart>
        <c:scatterStyle val="smoothMarker"/>
        <c:varyColors val="0"/>
        <c:ser>
          <c:idx val="1"/>
          <c:order val="1"/>
          <c:tx>
            <c:v>Power (kW) - outlet @ 1 bar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Compressor!$M$99:$M$103</c:f>
              <c:numCache>
                <c:formatCode>General</c:formatCode>
                <c:ptCount val="5"/>
                <c:pt idx="0">
                  <c:v>0</c:v>
                </c:pt>
                <c:pt idx="1">
                  <c:v>1.86</c:v>
                </c:pt>
                <c:pt idx="2">
                  <c:v>4.82</c:v>
                </c:pt>
                <c:pt idx="3">
                  <c:v>7.84</c:v>
                </c:pt>
                <c:pt idx="4">
                  <c:v>10.41</c:v>
                </c:pt>
              </c:numCache>
            </c:numRef>
          </c:yVal>
          <c:smooth val="1"/>
        </c:ser>
        <c:ser>
          <c:idx val="3"/>
          <c:order val="3"/>
          <c:tx>
            <c:v>Power (kW) - outlet @ 1.5 bar</c:v>
          </c:tx>
          <c:spPr>
            <a:ln w="19050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Compressor!$Q$99:$Q$103</c:f>
              <c:numCache>
                <c:formatCode>General</c:formatCode>
                <c:ptCount val="5"/>
                <c:pt idx="0">
                  <c:v>7.1</c:v>
                </c:pt>
                <c:pt idx="1">
                  <c:v>9.1</c:v>
                </c:pt>
                <c:pt idx="2">
                  <c:v>12.3</c:v>
                </c:pt>
                <c:pt idx="3">
                  <c:v>15.5</c:v>
                </c:pt>
                <c:pt idx="4">
                  <c:v>18.2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6280"/>
        <c:axId val="587782752"/>
      </c:scatterChart>
      <c:valAx>
        <c:axId val="587789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4712"/>
        <c:crosses val="autoZero"/>
        <c:crossBetween val="midCat"/>
      </c:valAx>
      <c:valAx>
        <c:axId val="5877847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(kg)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9024"/>
        <c:crosses val="autoZero"/>
        <c:crossBetween val="midCat"/>
      </c:valAx>
      <c:valAx>
        <c:axId val="587782752"/>
        <c:scaling>
          <c:orientation val="minMax"/>
          <c:max val="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(kW)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6280"/>
        <c:crosses val="max"/>
        <c:crossBetween val="midCat"/>
      </c:valAx>
      <c:valAx>
        <c:axId val="58778628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77827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Compressor outlet temperature - 100kW fuel cell compressor </a:t>
            </a:r>
          </a:p>
          <a:p>
            <a:pPr>
              <a:defRPr/>
            </a:pPr>
            <a:r>
              <a:rPr lang="en-US"/>
              <a:t>operating @ </a:t>
            </a:r>
            <a:r>
              <a:rPr lang="en-US">
                <a:solidFill>
                  <a:schemeClr val="accent2"/>
                </a:solidFill>
              </a:rPr>
              <a:t>1 bar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Compressor outlet - ISA conditions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Compressor!$A$109:$A$113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Compressor!$N$109:$N$113</c:f>
              <c:numCache>
                <c:formatCode>General</c:formatCode>
                <c:ptCount val="5"/>
                <c:pt idx="0">
                  <c:v>14.85</c:v>
                </c:pt>
                <c:pt idx="1">
                  <c:v>23.4</c:v>
                </c:pt>
                <c:pt idx="2">
                  <c:v>34.200000000000003</c:v>
                </c:pt>
                <c:pt idx="3">
                  <c:v>46</c:v>
                </c:pt>
                <c:pt idx="4">
                  <c:v>57.4</c:v>
                </c:pt>
              </c:numCache>
            </c:numRef>
          </c:yVal>
          <c:smooth val="1"/>
        </c:ser>
        <c:ser>
          <c:idx val="1"/>
          <c:order val="1"/>
          <c:tx>
            <c:v>FC temperature</c:v>
          </c:tx>
          <c:spPr>
            <a:ln w="19050" cap="rnd">
              <a:solidFill>
                <a:srgbClr val="FF0000"/>
              </a:solidFill>
              <a:prstDash val="sysDot"/>
              <a:round/>
            </a:ln>
            <a:effectLst/>
          </c:spPr>
          <c:marker>
            <c:symbol val="none"/>
          </c:marker>
          <c:xVal>
            <c:numRef>
              <c:f>Compressor!$A$109:$A$113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Compressor!$S$109:$S$113</c:f>
              <c:numCache>
                <c:formatCode>General</c:formatCode>
                <c:ptCount val="5"/>
                <c:pt idx="0">
                  <c:v>80</c:v>
                </c:pt>
                <c:pt idx="1">
                  <c:v>80</c:v>
                </c:pt>
                <c:pt idx="2">
                  <c:v>80</c:v>
                </c:pt>
                <c:pt idx="3">
                  <c:v>80</c:v>
                </c:pt>
                <c:pt idx="4">
                  <c:v>80</c:v>
                </c:pt>
              </c:numCache>
            </c:numRef>
          </c:yVal>
          <c:smooth val="1"/>
        </c:ser>
        <c:ser>
          <c:idx val="2"/>
          <c:order val="2"/>
          <c:tx>
            <c:v>Compressor outlet - hot day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Compressor!$A$99:$A$103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Compressor!$N$99:$N$103</c:f>
              <c:numCache>
                <c:formatCode>General</c:formatCode>
                <c:ptCount val="5"/>
                <c:pt idx="0">
                  <c:v>54.85</c:v>
                </c:pt>
                <c:pt idx="1">
                  <c:v>62.02</c:v>
                </c:pt>
                <c:pt idx="2">
                  <c:v>77.2</c:v>
                </c:pt>
                <c:pt idx="3">
                  <c:v>93.89</c:v>
                </c:pt>
                <c:pt idx="4">
                  <c:v>106.76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5888"/>
        <c:axId val="587787456"/>
      </c:scatterChart>
      <c:valAx>
        <c:axId val="58778588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 (ft)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7456"/>
        <c:crosses val="autoZero"/>
        <c:crossBetween val="midCat"/>
      </c:valAx>
      <c:valAx>
        <c:axId val="587787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(°C)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588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Moto-compressor weight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Compressor!$B$11</c:f>
              <c:strCache>
                <c:ptCount val="1"/>
                <c:pt idx="0">
                  <c:v>One single compressor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Compressor!$A$13:$A$37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xVal>
          <c:yVal>
            <c:numRef>
              <c:f>Compressor!$B$13:$B$37</c:f>
              <c:numCache>
                <c:formatCode>0.0</c:formatCode>
                <c:ptCount val="25"/>
                <c:pt idx="0">
                  <c:v>12.4438179567767</c:v>
                </c:pt>
                <c:pt idx="1">
                  <c:v>13.6352359135534</c:v>
                </c:pt>
                <c:pt idx="2">
                  <c:v>14.826653870330199</c:v>
                </c:pt>
                <c:pt idx="3">
                  <c:v>16.018071827106901</c:v>
                </c:pt>
                <c:pt idx="4">
                  <c:v>17.209489783883601</c:v>
                </c:pt>
                <c:pt idx="5">
                  <c:v>18.400907740660401</c:v>
                </c:pt>
                <c:pt idx="6">
                  <c:v>19.592325697437101</c:v>
                </c:pt>
                <c:pt idx="7">
                  <c:v>20.7837436542139</c:v>
                </c:pt>
                <c:pt idx="8">
                  <c:v>21.9751616109906</c:v>
                </c:pt>
                <c:pt idx="9">
                  <c:v>23.1665795677673</c:v>
                </c:pt>
                <c:pt idx="10">
                  <c:v>24.3579975245441</c:v>
                </c:pt>
                <c:pt idx="11">
                  <c:v>25.5494154813208</c:v>
                </c:pt>
                <c:pt idx="12">
                  <c:v>26.7408334380975</c:v>
                </c:pt>
                <c:pt idx="13">
                  <c:v>27.932251394874299</c:v>
                </c:pt>
                <c:pt idx="14">
                  <c:v>29.123669351650999</c:v>
                </c:pt>
                <c:pt idx="15">
                  <c:v>30.315087308427799</c:v>
                </c:pt>
                <c:pt idx="16">
                  <c:v>31.506505265204499</c:v>
                </c:pt>
                <c:pt idx="17">
                  <c:v>32.697923221981199</c:v>
                </c:pt>
                <c:pt idx="18">
                  <c:v>33.889341178758002</c:v>
                </c:pt>
                <c:pt idx="19">
                  <c:v>35.080759135534699</c:v>
                </c:pt>
                <c:pt idx="20">
                  <c:v>36.272177092311402</c:v>
                </c:pt>
                <c:pt idx="21">
                  <c:v>37.463595049088198</c:v>
                </c:pt>
                <c:pt idx="22">
                  <c:v>38.655013005864902</c:v>
                </c:pt>
                <c:pt idx="23">
                  <c:v>39.846430962641698</c:v>
                </c:pt>
                <c:pt idx="24">
                  <c:v>41.037848919418401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Compressor!$D$11</c:f>
              <c:strCache>
                <c:ptCount val="1"/>
                <c:pt idx="0">
                  <c:v>One compressor per stack of 100kW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Compressor!$A$13:$A$37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xVal>
          <c:yVal>
            <c:numRef>
              <c:f>Compressor!$D$13:$D$37</c:f>
              <c:numCache>
                <c:formatCode>0.0</c:formatCode>
                <c:ptCount val="25"/>
                <c:pt idx="0">
                  <c:v>12.4438179567767</c:v>
                </c:pt>
                <c:pt idx="1">
                  <c:v>24.8876359135534</c:v>
                </c:pt>
                <c:pt idx="2">
                  <c:v>37.331453870330201</c:v>
                </c:pt>
                <c:pt idx="3">
                  <c:v>49.775271827106899</c:v>
                </c:pt>
                <c:pt idx="4">
                  <c:v>62.219089783883597</c:v>
                </c:pt>
                <c:pt idx="5">
                  <c:v>74.662907740660401</c:v>
                </c:pt>
                <c:pt idx="6">
                  <c:v>87.106725697437099</c:v>
                </c:pt>
                <c:pt idx="7">
                  <c:v>99.550543654213897</c:v>
                </c:pt>
                <c:pt idx="8">
                  <c:v>111.99436161099</c:v>
                </c:pt>
                <c:pt idx="9">
                  <c:v>124.43817956776699</c:v>
                </c:pt>
                <c:pt idx="10">
                  <c:v>136.881997524544</c:v>
                </c:pt>
                <c:pt idx="11">
                  <c:v>149.32581548132001</c:v>
                </c:pt>
                <c:pt idx="12">
                  <c:v>161.769633438097</c:v>
                </c:pt>
                <c:pt idx="13">
                  <c:v>174.213451394874</c:v>
                </c:pt>
                <c:pt idx="14">
                  <c:v>186.657269351651</c:v>
                </c:pt>
                <c:pt idx="15">
                  <c:v>199.101087308427</c:v>
                </c:pt>
                <c:pt idx="16">
                  <c:v>211.54490526520399</c:v>
                </c:pt>
                <c:pt idx="17">
                  <c:v>223.98872322198099</c:v>
                </c:pt>
                <c:pt idx="18">
                  <c:v>236.43254117875799</c:v>
                </c:pt>
                <c:pt idx="19">
                  <c:v>248.87635913553399</c:v>
                </c:pt>
                <c:pt idx="20">
                  <c:v>261.32017709231098</c:v>
                </c:pt>
                <c:pt idx="21">
                  <c:v>273.76399504908801</c:v>
                </c:pt>
                <c:pt idx="22">
                  <c:v>286.20781300586498</c:v>
                </c:pt>
                <c:pt idx="23">
                  <c:v>298.65163096264098</c:v>
                </c:pt>
                <c:pt idx="24">
                  <c:v>311.095448919418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8632"/>
        <c:axId val="587789416"/>
      </c:scatterChart>
      <c:valAx>
        <c:axId val="587788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cell system power [kW]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9416"/>
        <c:crosses val="autoZero"/>
        <c:crossBetween val="midCat"/>
      </c:valAx>
      <c:valAx>
        <c:axId val="587789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[kg]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86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Moto-compressor</a:t>
            </a:r>
            <a:r>
              <a:rPr lang="en-US" baseline="0"/>
              <a:t> power consumption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Compressor!$B$11</c:f>
              <c:strCache>
                <c:ptCount val="1"/>
                <c:pt idx="0">
                  <c:v>One single compressor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Compressor!$A$13:$A$37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xVal>
          <c:yVal>
            <c:numRef>
              <c:f>Compressor!$C$13:$C$37</c:f>
              <c:numCache>
                <c:formatCode>0.0</c:formatCode>
                <c:ptCount val="25"/>
                <c:pt idx="0">
                  <c:v>10.5351309291426</c:v>
                </c:pt>
                <c:pt idx="1">
                  <c:v>21.0702618582852</c:v>
                </c:pt>
                <c:pt idx="2">
                  <c:v>31.6053927874278</c:v>
                </c:pt>
                <c:pt idx="3">
                  <c:v>42.140523716570399</c:v>
                </c:pt>
                <c:pt idx="4">
                  <c:v>52.675654645713003</c:v>
                </c:pt>
                <c:pt idx="5">
                  <c:v>63.210785574855599</c:v>
                </c:pt>
                <c:pt idx="6">
                  <c:v>73.745916503998203</c:v>
                </c:pt>
                <c:pt idx="7">
                  <c:v>84.281047433140799</c:v>
                </c:pt>
                <c:pt idx="8">
                  <c:v>94.816178362283395</c:v>
                </c:pt>
                <c:pt idx="9">
                  <c:v>105.35130929142601</c:v>
                </c:pt>
                <c:pt idx="10">
                  <c:v>115.88644022056801</c:v>
                </c:pt>
                <c:pt idx="11">
                  <c:v>126.421571149711</c:v>
                </c:pt>
                <c:pt idx="12">
                  <c:v>136.956702078853</c:v>
                </c:pt>
                <c:pt idx="13">
                  <c:v>147.49183300799601</c:v>
                </c:pt>
                <c:pt idx="14">
                  <c:v>158.02696393713899</c:v>
                </c:pt>
                <c:pt idx="15">
                  <c:v>168.562094866281</c:v>
                </c:pt>
                <c:pt idx="16">
                  <c:v>179.09722579542401</c:v>
                </c:pt>
                <c:pt idx="17">
                  <c:v>189.63235672456599</c:v>
                </c:pt>
                <c:pt idx="18">
                  <c:v>200.167487653709</c:v>
                </c:pt>
                <c:pt idx="19">
                  <c:v>210.70261858285201</c:v>
                </c:pt>
                <c:pt idx="20">
                  <c:v>221.237749511994</c:v>
                </c:pt>
                <c:pt idx="21">
                  <c:v>231.772880441137</c:v>
                </c:pt>
                <c:pt idx="22">
                  <c:v>242.30801137027899</c:v>
                </c:pt>
                <c:pt idx="23">
                  <c:v>252.843142299422</c:v>
                </c:pt>
                <c:pt idx="24">
                  <c:v>263.37827322856498</c:v>
                </c:pt>
              </c:numCache>
            </c:numRef>
          </c:yVal>
          <c:smooth val="0"/>
        </c:ser>
        <c:ser>
          <c:idx val="1"/>
          <c:order val="1"/>
          <c:tx>
            <c:strRef>
              <c:f>Compressor!$D$11</c:f>
              <c:strCache>
                <c:ptCount val="1"/>
                <c:pt idx="0">
                  <c:v>One compressor per stack of 100kW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Compressor!$A$13:$A$37</c:f>
              <c:numCache>
                <c:formatCode>General</c:formatCode>
                <c:ptCount val="25"/>
                <c:pt idx="0">
                  <c:v>100</c:v>
                </c:pt>
                <c:pt idx="1">
                  <c:v>200</c:v>
                </c:pt>
                <c:pt idx="2">
                  <c:v>300</c:v>
                </c:pt>
                <c:pt idx="3">
                  <c:v>400</c:v>
                </c:pt>
                <c:pt idx="4">
                  <c:v>500</c:v>
                </c:pt>
                <c:pt idx="5">
                  <c:v>600</c:v>
                </c:pt>
                <c:pt idx="6">
                  <c:v>700</c:v>
                </c:pt>
                <c:pt idx="7">
                  <c:v>800</c:v>
                </c:pt>
                <c:pt idx="8">
                  <c:v>900</c:v>
                </c:pt>
                <c:pt idx="9">
                  <c:v>1000</c:v>
                </c:pt>
                <c:pt idx="10">
                  <c:v>1100</c:v>
                </c:pt>
                <c:pt idx="11">
                  <c:v>1200</c:v>
                </c:pt>
                <c:pt idx="12">
                  <c:v>1300</c:v>
                </c:pt>
                <c:pt idx="13">
                  <c:v>1400</c:v>
                </c:pt>
                <c:pt idx="14">
                  <c:v>1500</c:v>
                </c:pt>
                <c:pt idx="15">
                  <c:v>1600</c:v>
                </c:pt>
                <c:pt idx="16">
                  <c:v>1700</c:v>
                </c:pt>
                <c:pt idx="17">
                  <c:v>1800</c:v>
                </c:pt>
                <c:pt idx="18">
                  <c:v>1900</c:v>
                </c:pt>
                <c:pt idx="19">
                  <c:v>2000</c:v>
                </c:pt>
                <c:pt idx="20">
                  <c:v>2100</c:v>
                </c:pt>
                <c:pt idx="21">
                  <c:v>2200</c:v>
                </c:pt>
                <c:pt idx="22">
                  <c:v>2300</c:v>
                </c:pt>
                <c:pt idx="23">
                  <c:v>2400</c:v>
                </c:pt>
                <c:pt idx="24">
                  <c:v>2500</c:v>
                </c:pt>
              </c:numCache>
            </c:numRef>
          </c:xVal>
          <c:yVal>
            <c:numRef>
              <c:f>Compressor!$E$13:$E$37</c:f>
              <c:numCache>
                <c:formatCode>0.0</c:formatCode>
                <c:ptCount val="25"/>
                <c:pt idx="0">
                  <c:v>10.5351309291426</c:v>
                </c:pt>
                <c:pt idx="1">
                  <c:v>21.0702618582852</c:v>
                </c:pt>
                <c:pt idx="2">
                  <c:v>31.6053927874278</c:v>
                </c:pt>
                <c:pt idx="3">
                  <c:v>42.140523716570399</c:v>
                </c:pt>
                <c:pt idx="4">
                  <c:v>52.675654645713003</c:v>
                </c:pt>
                <c:pt idx="5">
                  <c:v>63.210785574855599</c:v>
                </c:pt>
                <c:pt idx="6">
                  <c:v>73.745916503998203</c:v>
                </c:pt>
                <c:pt idx="7">
                  <c:v>84.281047433140799</c:v>
                </c:pt>
                <c:pt idx="8">
                  <c:v>94.816178362283395</c:v>
                </c:pt>
                <c:pt idx="9">
                  <c:v>105.35130929142601</c:v>
                </c:pt>
                <c:pt idx="10">
                  <c:v>115.88644022056801</c:v>
                </c:pt>
                <c:pt idx="11">
                  <c:v>126.421571149711</c:v>
                </c:pt>
                <c:pt idx="12">
                  <c:v>136.956702078853</c:v>
                </c:pt>
                <c:pt idx="13">
                  <c:v>147.49183300799601</c:v>
                </c:pt>
                <c:pt idx="14">
                  <c:v>158.02696393713899</c:v>
                </c:pt>
                <c:pt idx="15">
                  <c:v>168.562094866281</c:v>
                </c:pt>
                <c:pt idx="16">
                  <c:v>179.09722579542401</c:v>
                </c:pt>
                <c:pt idx="17">
                  <c:v>189.63235672456599</c:v>
                </c:pt>
                <c:pt idx="18">
                  <c:v>200.167487653709</c:v>
                </c:pt>
                <c:pt idx="19">
                  <c:v>210.70261858285201</c:v>
                </c:pt>
                <c:pt idx="20">
                  <c:v>221.237749511994</c:v>
                </c:pt>
                <c:pt idx="21">
                  <c:v>231.772880441137</c:v>
                </c:pt>
                <c:pt idx="22">
                  <c:v>242.30801137028001</c:v>
                </c:pt>
                <c:pt idx="23">
                  <c:v>252.843142299422</c:v>
                </c:pt>
                <c:pt idx="24">
                  <c:v>263.37827322856498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9808"/>
        <c:axId val="587786672"/>
      </c:scatterChart>
      <c:valAx>
        <c:axId val="5877898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Fuel cell system power [kW]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6672"/>
        <c:crosses val="autoZero"/>
        <c:crossBetween val="midCat"/>
      </c:valAx>
      <c:valAx>
        <c:axId val="58778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Power consumption</a:t>
                </a:r>
                <a:r>
                  <a:rPr lang="en-US" baseline="0"/>
                  <a:t> [kW]</a:t>
                </a: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98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00"/>
            </a:pPr>
            <a:r>
              <a:rPr lang="en-US" sz="1600"/>
              <a:t>KAORI</a:t>
            </a:r>
            <a:r>
              <a:rPr lang="en-US" sz="1600" baseline="0"/>
              <a:t> HX </a:t>
            </a:r>
            <a:r>
              <a:rPr lang="en-US" sz="1600"/>
              <a:t>weight</a:t>
            </a:r>
            <a:r>
              <a:rPr lang="en-US" sz="1600" baseline="0"/>
              <a:t> and volume variation</a:t>
            </a:r>
            <a:endParaRPr lang="en-US" sz="1600"/>
          </a:p>
        </c:rich>
      </c:tx>
      <c:layout/>
      <c:overlay val="0"/>
    </c:title>
    <c:autoTitleDeleted val="0"/>
    <c:plotArea>
      <c:layout>
        <c:manualLayout>
          <c:layoutTarget val="inner"/>
          <c:xMode val="edge"/>
          <c:yMode val="edge"/>
          <c:x val="0.12279350478602374"/>
          <c:y val="0.14901302589982665"/>
          <c:w val="0.76548415736387843"/>
          <c:h val="0.56226663246617814"/>
        </c:manualLayout>
      </c:layout>
      <c:scatterChart>
        <c:scatterStyle val="smoothMarker"/>
        <c:varyColors val="0"/>
        <c:ser>
          <c:idx val="0"/>
          <c:order val="0"/>
          <c:tx>
            <c:v>Weight</c:v>
          </c:tx>
          <c:trendline>
            <c:trendlineType val="linear"/>
            <c:dispRSqr val="0"/>
            <c:dispEq val="0"/>
          </c:trendline>
          <c:trendline>
            <c:trendlineType val="linear"/>
            <c:dispRSqr val="0"/>
            <c:dispEq val="1"/>
            <c:trendlineLbl>
              <c:layout>
                <c:manualLayout>
                  <c:x val="-6.4154153406346032E-2"/>
                  <c:y val="2.1777973114805806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2"/>
                  </a:solidFill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Cooling_old!$B$80:$F$80</c:f>
              <c:numCache>
                <c:formatCode>General</c:formatCode>
                <c:ptCount val="5"/>
                <c:pt idx="0">
                  <c:v>140.63999999999999</c:v>
                </c:pt>
                <c:pt idx="1">
                  <c:v>175.8</c:v>
                </c:pt>
                <c:pt idx="2">
                  <c:v>175.8</c:v>
                </c:pt>
                <c:pt idx="3">
                  <c:v>527.4</c:v>
                </c:pt>
                <c:pt idx="4">
                  <c:v>703.2</c:v>
                </c:pt>
              </c:numCache>
            </c:numRef>
          </c:xVal>
          <c:yVal>
            <c:numRef>
              <c:f>Cooling_old!$B$82:$F$82</c:f>
              <c:numCache>
                <c:formatCode>General</c:formatCode>
                <c:ptCount val="5"/>
                <c:pt idx="0">
                  <c:v>95.77000000000001</c:v>
                </c:pt>
                <c:pt idx="1">
                  <c:v>112.366</c:v>
                </c:pt>
                <c:pt idx="2">
                  <c:v>112.89999999999999</c:v>
                </c:pt>
                <c:pt idx="3">
                  <c:v>212.22</c:v>
                </c:pt>
                <c:pt idx="4">
                  <c:v>269.74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5496"/>
        <c:axId val="588993088"/>
      </c:scatterChart>
      <c:scatterChart>
        <c:scatterStyle val="smoothMarker"/>
        <c:varyColors val="0"/>
        <c:ser>
          <c:idx val="1"/>
          <c:order val="1"/>
          <c:tx>
            <c:v>Volume</c:v>
          </c:tx>
          <c:trendline>
            <c:trendlineType val="linear"/>
            <c:dispRSqr val="0"/>
            <c:dispEq val="1"/>
            <c:trendlineLbl>
              <c:layout>
                <c:manualLayout>
                  <c:x val="9.0001245100529412E-2"/>
                  <c:y val="0.13609231263895094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rgbClr val="FF0000"/>
                  </a:solidFill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Cooling_old!$B$80:$F$80</c:f>
              <c:numCache>
                <c:formatCode>General</c:formatCode>
                <c:ptCount val="5"/>
                <c:pt idx="0">
                  <c:v>140.63999999999999</c:v>
                </c:pt>
                <c:pt idx="1">
                  <c:v>175.8</c:v>
                </c:pt>
                <c:pt idx="2">
                  <c:v>175.8</c:v>
                </c:pt>
                <c:pt idx="3">
                  <c:v>527.4</c:v>
                </c:pt>
                <c:pt idx="4">
                  <c:v>703.2</c:v>
                </c:pt>
              </c:numCache>
            </c:numRef>
          </c:xVal>
          <c:yVal>
            <c:numRef>
              <c:f>Cooling_old!$B$84:$F$84</c:f>
              <c:numCache>
                <c:formatCode>General</c:formatCode>
                <c:ptCount val="5"/>
                <c:pt idx="0">
                  <c:v>61.797756</c:v>
                </c:pt>
                <c:pt idx="1">
                  <c:v>71.315865399999993</c:v>
                </c:pt>
                <c:pt idx="2">
                  <c:v>70.399295999999993</c:v>
                </c:pt>
                <c:pt idx="3">
                  <c:v>123.86227979999998</c:v>
                </c:pt>
                <c:pt idx="4">
                  <c:v>160.31924999999998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7400"/>
        <c:axId val="588995832"/>
      </c:scatterChart>
      <c:valAx>
        <c:axId val="5877854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Max. Heat</a:t>
                </a:r>
                <a:r>
                  <a:rPr lang="en-US" baseline="0"/>
                  <a:t> transfer (kW)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8993088"/>
        <c:crosses val="autoZero"/>
        <c:crossBetween val="midCat"/>
      </c:valAx>
      <c:valAx>
        <c:axId val="588993088"/>
        <c:scaling>
          <c:orientation val="minMax"/>
          <c:min val="8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Weight (kg)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7785496"/>
        <c:crosses val="autoZero"/>
        <c:crossBetween val="midCat"/>
      </c:valAx>
      <c:valAx>
        <c:axId val="588995832"/>
        <c:scaling>
          <c:orientation val="minMax"/>
          <c:max val="200"/>
          <c:min val="3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Volume</a:t>
                </a:r>
                <a:r>
                  <a:rPr lang="en-US" baseline="0"/>
                  <a:t> (L)</a:t>
                </a:r>
                <a:endParaRPr lang="en-US"/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8997400"/>
        <c:crosses val="max"/>
        <c:crossBetween val="midCat"/>
      </c:valAx>
      <c:valAx>
        <c:axId val="58899740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8995832"/>
        <c:crosses val="autoZero"/>
        <c:crossBetween val="midCat"/>
      </c:valAx>
    </c:plotArea>
    <c:legend>
      <c:legendPos val="r"/>
      <c:legendEntry>
        <c:idx val="3"/>
        <c:delete val="1"/>
      </c:legendEntry>
      <c:layout>
        <c:manualLayout>
          <c:xMode val="edge"/>
          <c:yMode val="edge"/>
          <c:x val="0.16984623797025375"/>
          <c:y val="0.85733615172878364"/>
          <c:w val="0.67231150634821291"/>
          <c:h val="0.14266384827121636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/>
            </a:pPr>
            <a:r>
              <a:rPr lang="en-US" sz="1400"/>
              <a:t>AKG radiators</a:t>
            </a:r>
            <a:r>
              <a:rPr lang="en-US" sz="1400" baseline="0"/>
              <a:t> </a:t>
            </a:r>
            <a:r>
              <a:rPr lang="en-US" sz="1400"/>
              <a:t>weight</a:t>
            </a:r>
            <a:r>
              <a:rPr lang="en-US" sz="1400" baseline="0"/>
              <a:t> and volume variation</a:t>
            </a:r>
            <a:endParaRPr lang="en-US" sz="1400"/>
          </a:p>
        </c:rich>
      </c:tx>
      <c:layout>
        <c:manualLayout>
          <c:xMode val="edge"/>
          <c:yMode val="edge"/>
          <c:x val="0.17808451067101705"/>
          <c:y val="3.525497797823144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3270233515100965"/>
          <c:y val="0.14901302589982665"/>
          <c:w val="0.73080302073929926"/>
          <c:h val="0.58912751381789719"/>
        </c:manualLayout>
      </c:layout>
      <c:scatterChart>
        <c:scatterStyle val="smoothMarker"/>
        <c:varyColors val="0"/>
        <c:ser>
          <c:idx val="0"/>
          <c:order val="0"/>
          <c:tx>
            <c:v>Weight</c:v>
          </c:tx>
          <c:trendline>
            <c:trendlineType val="linear"/>
            <c:forward val="1"/>
            <c:backward val="0.5"/>
            <c:dispRSqr val="1"/>
            <c:dispEq val="1"/>
            <c:trendlineLbl>
              <c:layout>
                <c:manualLayout>
                  <c:x val="2.1375577077772566E-2"/>
                  <c:y val="0.20039676657414759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chemeClr val="tx2"/>
                  </a:solidFill>
                </a:ln>
              </c:spPr>
              <c:txPr>
                <a:bodyPr/>
                <a:lstStyle/>
                <a:p>
                  <a:pPr>
                    <a:defRPr>
                      <a:solidFill>
                        <a:schemeClr val="tx2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Cooling_old!$B$7:$I$7</c:f>
              <c:numCache>
                <c:formatCode>General</c:formatCode>
                <c:ptCount val="8"/>
                <c:pt idx="0">
                  <c:v>0.93</c:v>
                </c:pt>
                <c:pt idx="1">
                  <c:v>1.38</c:v>
                </c:pt>
                <c:pt idx="2">
                  <c:v>1.85</c:v>
                </c:pt>
                <c:pt idx="3">
                  <c:v>2.7</c:v>
                </c:pt>
                <c:pt idx="4">
                  <c:v>3</c:v>
                </c:pt>
                <c:pt idx="5">
                  <c:v>3.4</c:v>
                </c:pt>
                <c:pt idx="6">
                  <c:v>5.55</c:v>
                </c:pt>
                <c:pt idx="7">
                  <c:v>8.1999999999999993</c:v>
                </c:pt>
              </c:numCache>
            </c:numRef>
          </c:xVal>
          <c:yVal>
            <c:numRef>
              <c:f>Cooling_old!$B$13:$I$13</c:f>
              <c:numCache>
                <c:formatCode>General</c:formatCode>
                <c:ptCount val="8"/>
                <c:pt idx="0">
                  <c:v>43</c:v>
                </c:pt>
                <c:pt idx="1">
                  <c:v>69</c:v>
                </c:pt>
                <c:pt idx="2">
                  <c:v>81</c:v>
                </c:pt>
                <c:pt idx="3">
                  <c:v>100</c:v>
                </c:pt>
                <c:pt idx="4">
                  <c:v>128</c:v>
                </c:pt>
                <c:pt idx="5">
                  <c:v>148</c:v>
                </c:pt>
                <c:pt idx="6">
                  <c:v>217</c:v>
                </c:pt>
                <c:pt idx="7">
                  <c:v>343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2304"/>
        <c:axId val="588996616"/>
      </c:scatterChart>
      <c:scatterChart>
        <c:scatterStyle val="smoothMarker"/>
        <c:varyColors val="0"/>
        <c:ser>
          <c:idx val="1"/>
          <c:order val="1"/>
          <c:tx>
            <c:v>Frontal area</c:v>
          </c:tx>
          <c:trendline>
            <c:trendlineType val="linear"/>
            <c:forward val="1"/>
            <c:backward val="0.5"/>
            <c:dispRSqr val="1"/>
            <c:dispEq val="1"/>
            <c:trendlineLbl>
              <c:layout>
                <c:manualLayout>
                  <c:x val="-0.19166628305347777"/>
                  <c:y val="4.082515289813244E-2"/>
                </c:manualLayout>
              </c:layout>
              <c:numFmt formatCode="General" sourceLinked="0"/>
              <c:spPr>
                <a:solidFill>
                  <a:schemeClr val="bg1"/>
                </a:solidFill>
                <a:ln>
                  <a:solidFill>
                    <a:srgbClr val="FF0000"/>
                  </a:solidFill>
                </a:ln>
              </c:spPr>
              <c:txPr>
                <a:bodyPr/>
                <a:lstStyle/>
                <a:p>
                  <a:pPr>
                    <a:defRPr>
                      <a:solidFill>
                        <a:srgbClr val="FF0000"/>
                      </a:solidFill>
                    </a:defRPr>
                  </a:pPr>
                  <a:endParaRPr lang="en-US"/>
                </a:p>
              </c:txPr>
            </c:trendlineLbl>
          </c:trendline>
          <c:xVal>
            <c:numRef>
              <c:f>Cooling_old!$B$7:$I$7</c:f>
              <c:numCache>
                <c:formatCode>General</c:formatCode>
                <c:ptCount val="8"/>
                <c:pt idx="0">
                  <c:v>0.93</c:v>
                </c:pt>
                <c:pt idx="1">
                  <c:v>1.38</c:v>
                </c:pt>
                <c:pt idx="2">
                  <c:v>1.85</c:v>
                </c:pt>
                <c:pt idx="3">
                  <c:v>2.7</c:v>
                </c:pt>
                <c:pt idx="4">
                  <c:v>3</c:v>
                </c:pt>
                <c:pt idx="5">
                  <c:v>3.4</c:v>
                </c:pt>
                <c:pt idx="6">
                  <c:v>5.55</c:v>
                </c:pt>
                <c:pt idx="7">
                  <c:v>8.1999999999999993</c:v>
                </c:pt>
              </c:numCache>
            </c:numRef>
          </c:xVal>
          <c:yVal>
            <c:numRef>
              <c:f>Cooling_old!$B$15:$I$15</c:f>
              <c:numCache>
                <c:formatCode>0.00</c:formatCode>
                <c:ptCount val="8"/>
                <c:pt idx="0">
                  <c:v>0.42069999999999996</c:v>
                </c:pt>
                <c:pt idx="1">
                  <c:v>0.52614000000000005</c:v>
                </c:pt>
                <c:pt idx="2">
                  <c:v>0.74353999999999998</c:v>
                </c:pt>
                <c:pt idx="3">
                  <c:v>0.87516000000000005</c:v>
                </c:pt>
                <c:pt idx="4">
                  <c:v>1.0316799999999999</c:v>
                </c:pt>
                <c:pt idx="5">
                  <c:v>1.0780100000000001</c:v>
                </c:pt>
                <c:pt idx="6">
                  <c:v>1.5127999999999999</c:v>
                </c:pt>
                <c:pt idx="7">
                  <c:v>2.04216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7792"/>
        <c:axId val="588997008"/>
      </c:scatterChart>
      <c:valAx>
        <c:axId val="58899230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Max. Specific Heat</a:t>
                </a:r>
                <a:r>
                  <a:rPr lang="en-US" baseline="0"/>
                  <a:t> rejection (kW/K) 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8996616"/>
        <c:crosses val="autoZero"/>
        <c:crossBetween val="midCat"/>
      </c:valAx>
      <c:valAx>
        <c:axId val="588996616"/>
        <c:scaling>
          <c:orientation val="minMax"/>
          <c:max val="500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Weight (kg)</a:t>
                </a:r>
              </a:p>
            </c:rich>
          </c:tx>
          <c:layout/>
          <c:overlay val="0"/>
        </c:title>
        <c:numFmt formatCode="General" sourceLinked="1"/>
        <c:majorTickMark val="out"/>
        <c:minorTickMark val="none"/>
        <c:tickLblPos val="nextTo"/>
        <c:crossAx val="588992304"/>
        <c:crosses val="autoZero"/>
        <c:crossBetween val="midCat"/>
      </c:valAx>
      <c:valAx>
        <c:axId val="588997008"/>
        <c:scaling>
          <c:orientation val="minMax"/>
          <c:max val="2.2999999999999998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Frontal area </a:t>
                </a:r>
                <a:r>
                  <a:rPr lang="en-US" baseline="0"/>
                  <a:t>(m</a:t>
                </a:r>
                <a:r>
                  <a:rPr lang="en-US" baseline="30000"/>
                  <a:t>2</a:t>
                </a:r>
                <a:r>
                  <a:rPr lang="en-US" baseline="0"/>
                  <a:t>)</a:t>
                </a:r>
                <a:endParaRPr lang="en-US"/>
              </a:p>
            </c:rich>
          </c:tx>
          <c:layout/>
          <c:overlay val="0"/>
        </c:title>
        <c:numFmt formatCode="0.00" sourceLinked="1"/>
        <c:majorTickMark val="out"/>
        <c:minorTickMark val="none"/>
        <c:tickLblPos val="nextTo"/>
        <c:crossAx val="588997792"/>
        <c:crosses val="max"/>
        <c:crossBetween val="midCat"/>
      </c:valAx>
      <c:valAx>
        <c:axId val="58899779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88997008"/>
        <c:crosses val="autoZero"/>
        <c:crossBetween val="midCat"/>
      </c:valAx>
    </c:plotArea>
    <c:legend>
      <c:legendPos val="r"/>
      <c:legendEntry>
        <c:idx val="2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1698463040903028"/>
          <c:y val="0.8957088302503855"/>
          <c:w val="0.67231150634821291"/>
          <c:h val="8.2261696604814333E-2"/>
        </c:manualLayout>
      </c:layout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H-line (hydraulic</a:t>
            </a:r>
            <a:r>
              <a:rPr lang="en-US" baseline="0"/>
              <a:t> motor)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390393369570978"/>
          <c:y val="1.7639148364569878E-2"/>
          <c:w val="0.7352342269981812"/>
          <c:h val="0.6699392816943725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xVal>
            <c:numRef>
              <c:f>Cooling_old!$B$8:$I$8</c:f>
              <c:numCache>
                <c:formatCode>General</c:formatCode>
                <c:ptCount val="8"/>
                <c:pt idx="0">
                  <c:v>250</c:v>
                </c:pt>
                <c:pt idx="1">
                  <c:v>350</c:v>
                </c:pt>
                <c:pt idx="2">
                  <c:v>500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950</c:v>
                </c:pt>
              </c:numCache>
            </c:numRef>
          </c:xVal>
          <c:yVal>
            <c:numRef>
              <c:f>Cooling_old!$B$7:$I$7</c:f>
              <c:numCache>
                <c:formatCode>General</c:formatCode>
                <c:ptCount val="8"/>
                <c:pt idx="0">
                  <c:v>0.93</c:v>
                </c:pt>
                <c:pt idx="1">
                  <c:v>1.38</c:v>
                </c:pt>
                <c:pt idx="2">
                  <c:v>1.85</c:v>
                </c:pt>
                <c:pt idx="3">
                  <c:v>2.7</c:v>
                </c:pt>
                <c:pt idx="4">
                  <c:v>3</c:v>
                </c:pt>
                <c:pt idx="5">
                  <c:v>3.4</c:v>
                </c:pt>
                <c:pt idx="6">
                  <c:v>5.55</c:v>
                </c:pt>
                <c:pt idx="7">
                  <c:v>8.1999999999999993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2696"/>
        <c:axId val="588993480"/>
      </c:scatterChart>
      <c:valAx>
        <c:axId val="588992696"/>
        <c:scaling>
          <c:logBase val="2"/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3480"/>
        <c:crosses val="autoZero"/>
        <c:crossBetween val="midCat"/>
      </c:valAx>
      <c:valAx>
        <c:axId val="588993480"/>
        <c:scaling>
          <c:logBase val="2"/>
          <c:orientation val="minMax"/>
          <c:max val="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269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/>
      <a:srcRect/>
      <a:stretch>
        <a:fillRect r="2000"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A-line (AC motor)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3501487748795291"/>
          <c:y val="2.6658123072739785E-2"/>
          <c:w val="0.7315521613744288"/>
          <c:h val="0.67035223613442585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38100">
                <a:solidFill>
                  <a:schemeClr val="accent2"/>
                </a:solidFill>
              </a:ln>
              <a:effectLst/>
            </c:spPr>
          </c:marker>
          <c:xVal>
            <c:numRef>
              <c:f>Cooling_old!$B$8:$I$8</c:f>
              <c:numCache>
                <c:formatCode>General</c:formatCode>
                <c:ptCount val="8"/>
                <c:pt idx="0">
                  <c:v>250</c:v>
                </c:pt>
                <c:pt idx="1">
                  <c:v>350</c:v>
                </c:pt>
                <c:pt idx="2">
                  <c:v>500</c:v>
                </c:pt>
                <c:pt idx="3">
                  <c:v>700</c:v>
                </c:pt>
                <c:pt idx="4">
                  <c:v>700</c:v>
                </c:pt>
                <c:pt idx="5">
                  <c:v>700</c:v>
                </c:pt>
                <c:pt idx="6">
                  <c:v>800</c:v>
                </c:pt>
                <c:pt idx="7">
                  <c:v>950</c:v>
                </c:pt>
              </c:numCache>
            </c:numRef>
          </c:xVal>
          <c:yVal>
            <c:numRef>
              <c:f>Cooling_old!$B$7:$I$7</c:f>
              <c:numCache>
                <c:formatCode>General</c:formatCode>
                <c:ptCount val="8"/>
                <c:pt idx="0">
                  <c:v>0.93</c:v>
                </c:pt>
                <c:pt idx="1">
                  <c:v>1.38</c:v>
                </c:pt>
                <c:pt idx="2">
                  <c:v>1.85</c:v>
                </c:pt>
                <c:pt idx="3">
                  <c:v>2.7</c:v>
                </c:pt>
                <c:pt idx="4">
                  <c:v>3</c:v>
                </c:pt>
                <c:pt idx="5">
                  <c:v>3.4</c:v>
                </c:pt>
                <c:pt idx="6">
                  <c:v>5.55</c:v>
                </c:pt>
                <c:pt idx="7">
                  <c:v>8.1999999999999993</c:v>
                </c:pt>
              </c:numCache>
            </c:numRef>
          </c:y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1912"/>
        <c:axId val="588990736"/>
      </c:scatterChart>
      <c:valAx>
        <c:axId val="588991912"/>
        <c:scaling>
          <c:logBase val="2"/>
          <c:orientation val="minMax"/>
          <c:min val="4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0736"/>
        <c:crosses val="autoZero"/>
        <c:crossBetween val="midCat"/>
      </c:valAx>
      <c:valAx>
        <c:axId val="588990736"/>
        <c:scaling>
          <c:logBase val="2"/>
          <c:orientation val="minMax"/>
          <c:max val="9"/>
          <c:min val="0.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solidFill>
            <a:sysClr val="window" lastClr="FFFFFF"/>
          </a:solidFill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rgbClr val="FF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19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blipFill dpi="0" rotWithShape="1">
      <a:blip xmlns:r="http://schemas.openxmlformats.org/officeDocument/2006/relationships" r:embed="rId3"/>
      <a:srcRect/>
      <a:stretch>
        <a:fillRect r="2000"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Radiator</a:t>
            </a:r>
            <a:r>
              <a:rPr lang="en-US" b="1" baseline="0"/>
              <a:t>s weight variation with altitude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5081714785651792"/>
          <c:y val="0.17171296296296296"/>
          <c:w val="0.78696062992125981"/>
          <c:h val="0.5351492712288114"/>
        </c:manualLayout>
      </c:layout>
      <c:scatterChart>
        <c:scatterStyle val="smoothMarker"/>
        <c:varyColors val="0"/>
        <c:ser>
          <c:idx val="1"/>
          <c:order val="0"/>
          <c:tx>
            <c:v>Radiators (incl. Fans &amp; AC motors) - 1800 kW FC system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84A6480D-FEE8-4A7B-8AEA-D36166396825}" type="CELLRANGE">
                      <a:rPr lang="en-US"/>
                      <a:pPr/>
                      <a:t>[CELLRANGE]</a:t>
                    </a:fld>
                    <a:r>
                      <a:rPr lang="en-US"/>
                      <a:t> °C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C19BD73-BD56-4C9D-9CDA-F189CDFF139A}" type="CELLRANGE">
                      <a:rPr lang="en-US"/>
                      <a:pPr/>
                      <a:t>[CELLRANGE]</a:t>
                    </a:fld>
                    <a:r>
                      <a:rPr lang="en-US"/>
                      <a:t> </a:t>
                    </a: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°C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14762CA9-C205-422E-BA9A-65BBF2188B9E}" type="CELLRANGE">
                      <a:rPr lang="en-US"/>
                      <a:pPr/>
                      <a:t>[CELLRANGE]</a:t>
                    </a:fld>
                    <a:r>
                      <a:rPr lang="en-US"/>
                      <a:t> </a:t>
                    </a: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°C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7B431504-C41E-46EB-815B-5B5902913823}" type="CELLRANGE">
                      <a:rPr lang="en-US"/>
                      <a:pPr/>
                      <a:t>[CELLRANGE]</a:t>
                    </a:fld>
                    <a:r>
                      <a:rPr lang="en-US"/>
                      <a:t> </a:t>
                    </a:r>
                    <a:r>
                      <a:rPr lang="en-US" sz="800" b="0" i="0" u="none" strike="noStrike" kern="1200" baseline="0">
                        <a:solidFill>
                          <a:sysClr val="windowText" lastClr="000000">
                            <a:lumMod val="65000"/>
                            <a:lumOff val="35000"/>
                          </a:sysClr>
                        </a:solidFill>
                      </a:rPr>
                      <a:t>°C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2CD54759-6A7F-499F-9E6E-1B533BC399A7}" type="CELLRANGE">
                      <a:rPr lang="en-US"/>
                      <a:pPr/>
                      <a:t>[CELLRANGE]</a:t>
                    </a:fld>
                    <a:r>
                      <a:rPr lang="en-US"/>
                      <a:t>°C</a:t>
                    </a:r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</c:extLst>
            </c:dLbl>
            <c:numFmt formatCode="#,##0;\-#,##0" sourceLinked="0"/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0"/>
              </c:ext>
            </c:extLst>
          </c:dLbls>
          <c:xVal>
            <c:numRef>
              <c:f>Cooling_old!$B$150:$F$150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Cooling_old!$B$154:$F$154</c:f>
              <c:numCache>
                <c:formatCode>0</c:formatCode>
                <c:ptCount val="5"/>
                <c:pt idx="0">
                  <c:v>2065.3249243188702</c:v>
                </c:pt>
                <c:pt idx="1">
                  <c:v>1565.7303917071831</c:v>
                </c:pt>
                <c:pt idx="2">
                  <c:v>1231.1804814761424</c:v>
                </c:pt>
                <c:pt idx="3">
                  <c:v>1034.9112008072657</c:v>
                </c:pt>
                <c:pt idx="4">
                  <c:v>877.72944637329192</c:v>
                </c:pt>
              </c:numCache>
            </c:numRef>
          </c:yVal>
          <c:smooth val="1"/>
          <c:extLst>
            <c:ext xmlns:c15="http://schemas.microsoft.com/office/drawing/2012/chart" uri="{02D57815-91ED-43cb-92C2-25804820EDAC}">
              <c15:datalabelsRange>
                <c15:f>Cooling_old!$B$151:$G$151</c15:f>
                <c15:dlblRangeCache>
                  <c:ptCount val="6"/>
                  <c:pt idx="0">
                    <c:v>55</c:v>
                  </c:pt>
                  <c:pt idx="1">
                    <c:v>47</c:v>
                  </c:pt>
                  <c:pt idx="2">
                    <c:v>38</c:v>
                  </c:pt>
                  <c:pt idx="3">
                    <c:v>30</c:v>
                  </c:pt>
                  <c:pt idx="4">
                    <c:v>22</c:v>
                  </c:pt>
                  <c:pt idx="5">
                    <c:v>5</c:v>
                  </c:pt>
                </c15:dlblRangeCache>
              </c15:datalabelsRange>
            </c:ext>
          </c:extLst>
        </c:ser>
        <c:ser>
          <c:idx val="0"/>
          <c:order val="1"/>
          <c:tx>
            <c:v>Potential radiators (benefiting from ram air intake: reduced motors)</c:v>
          </c:tx>
          <c:spPr>
            <a:ln w="19050" cap="rnd">
              <a:solidFill>
                <a:schemeClr val="accent1"/>
              </a:solidFill>
              <a:prstDash val="dash"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Cooling_old!$B$150:$F$150</c:f>
              <c:numCache>
                <c:formatCode>General</c:formatCode>
                <c:ptCount val="5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</c:numCache>
            </c:numRef>
          </c:xVal>
          <c:yVal>
            <c:numRef>
              <c:f>Cooling_old!$B$156:$F$156</c:f>
              <c:numCache>
                <c:formatCode>0</c:formatCode>
                <c:ptCount val="5"/>
                <c:pt idx="0">
                  <c:v>2065.3249243188702</c:v>
                </c:pt>
                <c:pt idx="1">
                  <c:v>1400.4504173928999</c:v>
                </c:pt>
                <c:pt idx="2">
                  <c:v>985.31656335591754</c:v>
                </c:pt>
                <c:pt idx="3">
                  <c:v>740.64783047426863</c:v>
                </c:pt>
                <c:pt idx="4">
                  <c:v>572.3964299384113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8994656"/>
        <c:axId val="588995048"/>
      </c:scatterChart>
      <c:valAx>
        <c:axId val="5889946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altitude</a:t>
                </a:r>
                <a:r>
                  <a:rPr lang="en-US" baseline="0"/>
                  <a:t> (ft)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5048"/>
        <c:crosses val="autoZero"/>
        <c:crossBetween val="midCat"/>
      </c:valAx>
      <c:valAx>
        <c:axId val="588995048"/>
        <c:scaling>
          <c:orientation val="minMax"/>
          <c:min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</a:t>
                </a:r>
                <a:r>
                  <a:rPr lang="en-US" baseline="0"/>
                  <a:t> (kg)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899465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47789859600882"/>
          <c:y val="0.87054197988435211"/>
          <c:w val="0.74098196058825994"/>
          <c:h val="0.123033786844530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072322821277801"/>
          <c:y val="0.33410607844716367"/>
          <c:w val="0.72592774279550787"/>
          <c:h val="0.36367894571663734"/>
        </c:manualLayout>
      </c:layout>
      <c:scatterChart>
        <c:scatterStyle val="smoothMarker"/>
        <c:varyColors val="0"/>
        <c:ser>
          <c:idx val="1"/>
          <c:order val="0"/>
          <c:tx>
            <c:v>Operating envelope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Cooling_old!$B$151:$G$151</c:f>
              <c:numCache>
                <c:formatCode>General</c:formatCode>
                <c:ptCount val="6"/>
                <c:pt idx="0">
                  <c:v>55</c:v>
                </c:pt>
                <c:pt idx="1">
                  <c:v>47</c:v>
                </c:pt>
                <c:pt idx="2">
                  <c:v>38</c:v>
                </c:pt>
                <c:pt idx="3">
                  <c:v>30</c:v>
                </c:pt>
                <c:pt idx="4">
                  <c:v>22</c:v>
                </c:pt>
                <c:pt idx="5">
                  <c:v>5</c:v>
                </c:pt>
              </c:numCache>
            </c:numRef>
          </c:xVal>
          <c:yVal>
            <c:numRef>
              <c:f>Cooling_old!$B$150:$G$150</c:f>
              <c:numCache>
                <c:formatCode>General</c:formatCode>
                <c:ptCount val="6"/>
                <c:pt idx="0">
                  <c:v>0</c:v>
                </c:pt>
                <c:pt idx="1">
                  <c:v>5000</c:v>
                </c:pt>
                <c:pt idx="2">
                  <c:v>10000</c:v>
                </c:pt>
                <c:pt idx="3">
                  <c:v>15000</c:v>
                </c:pt>
                <c:pt idx="4">
                  <c:v>20000</c:v>
                </c:pt>
                <c:pt idx="5">
                  <c:v>30000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7782360"/>
        <c:axId val="584123512"/>
      </c:scatterChart>
      <c:valAx>
        <c:axId val="587782360"/>
        <c:scaling>
          <c:orientation val="minMax"/>
          <c:min val="-8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23512"/>
        <c:crosses val="autoZero"/>
        <c:crossBetween val="midCat"/>
      </c:valAx>
      <c:valAx>
        <c:axId val="584123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7782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4847789859600882"/>
          <c:y val="0.89850182484928309"/>
          <c:w val="0.72189247177436155"/>
          <c:h val="7.77207371346675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3"/>
      <a:stretch>
        <a:fillRect/>
      </a:stretch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Estimation results</a:t>
            </a:r>
            <a:r>
              <a:rPr lang="en-US" baseline="0"/>
              <a:t> of SHX  (Q = 1260kW, Alt = 20,000 ft)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1"/>
          <c:tx>
            <c:strRef>
              <c:f>SHX_old!$E$37</c:f>
              <c:strCache>
                <c:ptCount val="1"/>
                <c:pt idx="0">
                  <c:v>m_shx [kg]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SHX_old!$C$38:$C$42</c:f>
              <c:numCache>
                <c:formatCode>0%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</c:numCache>
            </c:numRef>
          </c:xVal>
          <c:yVal>
            <c:numRef>
              <c:f>SHX_old!$E$38:$E$42</c:f>
              <c:numCache>
                <c:formatCode>General</c:formatCode>
                <c:ptCount val="5"/>
                <c:pt idx="0">
                  <c:v>88.98</c:v>
                </c:pt>
                <c:pt idx="1">
                  <c:v>147.02000000000001</c:v>
                </c:pt>
                <c:pt idx="2">
                  <c:v>257.58</c:v>
                </c:pt>
                <c:pt idx="3">
                  <c:v>516.49</c:v>
                </c:pt>
                <c:pt idx="4">
                  <c:v>1477.85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25472"/>
        <c:axId val="584121552"/>
      </c:scatterChart>
      <c:scatterChart>
        <c:scatterStyle val="smoothMarker"/>
        <c:varyColors val="0"/>
        <c:ser>
          <c:idx val="0"/>
          <c:order val="0"/>
          <c:tx>
            <c:strRef>
              <c:f>SHX_old!$D$37</c:f>
              <c:strCache>
                <c:ptCount val="1"/>
                <c:pt idx="0">
                  <c:v>A_skin [m2]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SHX_old!$C$38:$C$42</c:f>
              <c:numCache>
                <c:formatCode>0%</c:formatCode>
                <c:ptCount val="5"/>
                <c:pt idx="0">
                  <c:v>0.5</c:v>
                </c:pt>
                <c:pt idx="1">
                  <c:v>0.6</c:v>
                </c:pt>
                <c:pt idx="2">
                  <c:v>0.7</c:v>
                </c:pt>
                <c:pt idx="3">
                  <c:v>0.8</c:v>
                </c:pt>
                <c:pt idx="4">
                  <c:v>0.9</c:v>
                </c:pt>
              </c:numCache>
            </c:numRef>
          </c:xVal>
          <c:yVal>
            <c:numRef>
              <c:f>SHX_old!$D$38:$D$42</c:f>
              <c:numCache>
                <c:formatCode>General</c:formatCode>
                <c:ptCount val="5"/>
                <c:pt idx="0">
                  <c:v>283.60000000000002</c:v>
                </c:pt>
                <c:pt idx="1">
                  <c:v>231</c:v>
                </c:pt>
                <c:pt idx="2">
                  <c:v>194.8</c:v>
                </c:pt>
                <c:pt idx="3">
                  <c:v>168.4</c:v>
                </c:pt>
                <c:pt idx="4">
                  <c:v>148.30000000000001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84128608"/>
        <c:axId val="584127824"/>
      </c:scatterChart>
      <c:valAx>
        <c:axId val="584125472"/>
        <c:scaling>
          <c:orientation val="minMax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SHX efficiency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21552"/>
        <c:crosses val="autoZero"/>
        <c:crossBetween val="midCat"/>
      </c:valAx>
      <c:valAx>
        <c:axId val="584121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Weight [kg]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25472"/>
        <c:crosses val="autoZero"/>
        <c:crossBetween val="midCat"/>
      </c:valAx>
      <c:valAx>
        <c:axId val="584127824"/>
        <c:scaling>
          <c:orientation val="minMax"/>
          <c:min val="120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Area</a:t>
                </a:r>
                <a:r>
                  <a:rPr lang="en-US" baseline="0"/>
                  <a:t> [m2]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4128608"/>
        <c:crosses val="max"/>
        <c:crossBetween val="midCat"/>
      </c:valAx>
      <c:valAx>
        <c:axId val="584128608"/>
        <c:scaling>
          <c:orientation val="minMax"/>
        </c:scaling>
        <c:delete val="1"/>
        <c:axPos val="b"/>
        <c:numFmt formatCode="0%" sourceLinked="1"/>
        <c:majorTickMark val="out"/>
        <c:minorTickMark val="none"/>
        <c:tickLblPos val="nextTo"/>
        <c:crossAx val="58412782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image" Target="../media/image5.png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1.png"/><Relationship Id="rId2" Type="http://schemas.openxmlformats.org/officeDocument/2006/relationships/image" Target="../media/image10.png"/><Relationship Id="rId1" Type="http://schemas.openxmlformats.org/officeDocument/2006/relationships/image" Target="../media/image9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12.png"/><Relationship Id="rId4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4.xml"/><Relationship Id="rId7" Type="http://schemas.openxmlformats.org/officeDocument/2006/relationships/image" Target="../media/image19.png"/><Relationship Id="rId2" Type="http://schemas.openxmlformats.org/officeDocument/2006/relationships/chart" Target="../charts/chart13.xml"/><Relationship Id="rId1" Type="http://schemas.openxmlformats.org/officeDocument/2006/relationships/image" Target="../media/image15.png"/><Relationship Id="rId6" Type="http://schemas.openxmlformats.org/officeDocument/2006/relationships/image" Target="../media/image18.png"/><Relationship Id="rId5" Type="http://schemas.openxmlformats.org/officeDocument/2006/relationships/chart" Target="../charts/chart16.xml"/><Relationship Id="rId4" Type="http://schemas.openxmlformats.org/officeDocument/2006/relationships/chart" Target="../charts/chart15.xml"/><Relationship Id="rId9" Type="http://schemas.openxmlformats.org/officeDocument/2006/relationships/chart" Target="../charts/chart18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.png"/><Relationship Id="rId2" Type="http://schemas.openxmlformats.org/officeDocument/2006/relationships/image" Target="../media/image21.png"/><Relationship Id="rId1" Type="http://schemas.openxmlformats.org/officeDocument/2006/relationships/image" Target="../media/image20.png"/><Relationship Id="rId5" Type="http://schemas.openxmlformats.org/officeDocument/2006/relationships/chart" Target="../charts/chart19.xml"/><Relationship Id="rId4" Type="http://schemas.openxmlformats.org/officeDocument/2006/relationships/image" Target="../media/image2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389965</xdr:colOff>
      <xdr:row>3</xdr:row>
      <xdr:rowOff>38435</xdr:rowOff>
    </xdr:from>
    <xdr:to>
      <xdr:col>26</xdr:col>
      <xdr:colOff>197222</xdr:colOff>
      <xdr:row>25</xdr:row>
      <xdr:rowOff>0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265858</xdr:colOff>
      <xdr:row>74</xdr:row>
      <xdr:rowOff>8124</xdr:rowOff>
    </xdr:from>
    <xdr:to>
      <xdr:col>15</xdr:col>
      <xdr:colOff>480172</xdr:colOff>
      <xdr:row>93</xdr:row>
      <xdr:rowOff>60511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107017</xdr:colOff>
      <xdr:row>3</xdr:row>
      <xdr:rowOff>58550</xdr:rowOff>
    </xdr:from>
    <xdr:to>
      <xdr:col>10</xdr:col>
      <xdr:colOff>438712</xdr:colOff>
      <xdr:row>17</xdr:row>
      <xdr:rowOff>123544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531496</xdr:colOff>
      <xdr:row>38</xdr:row>
      <xdr:rowOff>161925</xdr:rowOff>
    </xdr:from>
    <xdr:to>
      <xdr:col>5</xdr:col>
      <xdr:colOff>145650</xdr:colOff>
      <xdr:row>64</xdr:row>
      <xdr:rowOff>9525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1496" y="7118985"/>
          <a:ext cx="6527287" cy="4602480"/>
        </a:xfrm>
        <a:prstGeom prst="rect">
          <a:avLst/>
        </a:prstGeom>
      </xdr:spPr>
    </xdr:pic>
    <xdr:clientData/>
  </xdr:twoCellAnchor>
  <xdr:twoCellAnchor>
    <xdr:from>
      <xdr:col>10</xdr:col>
      <xdr:colOff>510987</xdr:colOff>
      <xdr:row>3</xdr:row>
      <xdr:rowOff>71719</xdr:rowOff>
    </xdr:from>
    <xdr:to>
      <xdr:col>15</xdr:col>
      <xdr:colOff>268940</xdr:colOff>
      <xdr:row>30</xdr:row>
      <xdr:rowOff>44824</xdr:rowOff>
    </xdr:to>
    <xdr:graphicFrame macro="">
      <xdr:nvGraphicFramePr>
        <xdr:cNvPr id="13" name="Chart 1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17145</xdr:colOff>
      <xdr:row>34</xdr:row>
      <xdr:rowOff>30480</xdr:rowOff>
    </xdr:from>
    <xdr:to>
      <xdr:col>8</xdr:col>
      <xdr:colOff>84622</xdr:colOff>
      <xdr:row>53</xdr:row>
      <xdr:rowOff>58599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45" y="6362700"/>
          <a:ext cx="7192177" cy="3502839"/>
        </a:xfrm>
        <a:prstGeom prst="rect">
          <a:avLst/>
        </a:prstGeom>
      </xdr:spPr>
    </xdr:pic>
    <xdr:clientData/>
  </xdr:twoCellAnchor>
  <xdr:twoCellAnchor>
    <xdr:from>
      <xdr:col>7</xdr:col>
      <xdr:colOff>230281</xdr:colOff>
      <xdr:row>7</xdr:row>
      <xdr:rowOff>73397</xdr:rowOff>
    </xdr:from>
    <xdr:to>
      <xdr:col>17</xdr:col>
      <xdr:colOff>443193</xdr:colOff>
      <xdr:row>26</xdr:row>
      <xdr:rowOff>27454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200026</xdr:colOff>
      <xdr:row>17</xdr:row>
      <xdr:rowOff>103822</xdr:rowOff>
    </xdr:from>
    <xdr:to>
      <xdr:col>3</xdr:col>
      <xdr:colOff>1171576</xdr:colOff>
      <xdr:row>31</xdr:row>
      <xdr:rowOff>70485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41</xdr:row>
      <xdr:rowOff>9525</xdr:rowOff>
    </xdr:from>
    <xdr:to>
      <xdr:col>7</xdr:col>
      <xdr:colOff>581025</xdr:colOff>
      <xdr:row>62</xdr:row>
      <xdr:rowOff>28074</xdr:rowOff>
    </xdr:to>
    <xdr:grpSp>
      <xdr:nvGrpSpPr>
        <xdr:cNvPr id="8" name="Group 7"/>
        <xdr:cNvGrpSpPr/>
      </xdr:nvGrpSpPr>
      <xdr:grpSpPr>
        <a:xfrm>
          <a:off x="0" y="7661275"/>
          <a:ext cx="8105775" cy="3885699"/>
          <a:chOff x="180975" y="6334125"/>
          <a:chExt cx="7876191" cy="4019049"/>
        </a:xfrm>
      </xdr:grpSpPr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180975" y="6343650"/>
            <a:ext cx="7876191" cy="4009524"/>
          </a:xfrm>
          <a:prstGeom prst="rect">
            <a:avLst/>
          </a:prstGeom>
        </xdr:spPr>
      </xdr:pic>
      <xdr:sp macro="" textlink="">
        <xdr:nvSpPr>
          <xdr:cNvPr id="5" name="Rectangle 4"/>
          <xdr:cNvSpPr/>
        </xdr:nvSpPr>
        <xdr:spPr>
          <a:xfrm>
            <a:off x="6762750" y="9077325"/>
            <a:ext cx="485775" cy="276225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7" name="Rectangle 6"/>
          <xdr:cNvSpPr/>
        </xdr:nvSpPr>
        <xdr:spPr>
          <a:xfrm>
            <a:off x="6953250" y="6334125"/>
            <a:ext cx="819150" cy="3238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4</xdr:col>
      <xdr:colOff>234491</xdr:colOff>
      <xdr:row>8</xdr:row>
      <xdr:rowOff>163829</xdr:rowOff>
    </xdr:from>
    <xdr:to>
      <xdr:col>14</xdr:col>
      <xdr:colOff>434740</xdr:colOff>
      <xdr:row>25</xdr:row>
      <xdr:rowOff>9525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827571" y="1733549"/>
          <a:ext cx="6296249" cy="295465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547731</xdr:colOff>
      <xdr:row>47</xdr:row>
      <xdr:rowOff>125505</xdr:rowOff>
    </xdr:from>
    <xdr:to>
      <xdr:col>9</xdr:col>
      <xdr:colOff>552942</xdr:colOff>
      <xdr:row>61</xdr:row>
      <xdr:rowOff>36419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39449" y="1111623"/>
          <a:ext cx="5850199" cy="2421032"/>
        </a:xfrm>
        <a:prstGeom prst="rect">
          <a:avLst/>
        </a:prstGeom>
      </xdr:spPr>
    </xdr:pic>
    <xdr:clientData/>
  </xdr:twoCellAnchor>
  <xdr:twoCellAnchor>
    <xdr:from>
      <xdr:col>0</xdr:col>
      <xdr:colOff>228600</xdr:colOff>
      <xdr:row>71</xdr:row>
      <xdr:rowOff>152400</xdr:rowOff>
    </xdr:from>
    <xdr:to>
      <xdr:col>3</xdr:col>
      <xdr:colOff>1323975</xdr:colOff>
      <xdr:row>92</xdr:row>
      <xdr:rowOff>95521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403411</xdr:colOff>
      <xdr:row>72</xdr:row>
      <xdr:rowOff>11205</xdr:rowOff>
    </xdr:from>
    <xdr:to>
      <xdr:col>12</xdr:col>
      <xdr:colOff>322730</xdr:colOff>
      <xdr:row>91</xdr:row>
      <xdr:rowOff>182655</xdr:rowOff>
    </xdr:to>
    <xdr:graphicFrame macro="">
      <xdr:nvGraphicFramePr>
        <xdr:cNvPr id="8" name="Chart 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994524</xdr:colOff>
      <xdr:row>73</xdr:row>
      <xdr:rowOff>11483</xdr:rowOff>
    </xdr:from>
    <xdr:to>
      <xdr:col>16</xdr:col>
      <xdr:colOff>302559</xdr:colOff>
      <xdr:row>91</xdr:row>
      <xdr:rowOff>123265</xdr:rowOff>
    </xdr:to>
    <xdr:grpSp>
      <xdr:nvGrpSpPr>
        <xdr:cNvPr id="14" name="Group 13"/>
        <xdr:cNvGrpSpPr/>
      </xdr:nvGrpSpPr>
      <xdr:grpSpPr>
        <a:xfrm>
          <a:off x="19910053" y="13906777"/>
          <a:ext cx="6547035" cy="3473547"/>
          <a:chOff x="19047200" y="8931365"/>
          <a:chExt cx="6222065" cy="3540782"/>
        </a:xfrm>
      </xdr:grpSpPr>
      <xdr:graphicFrame macro="">
        <xdr:nvGraphicFramePr>
          <xdr:cNvPr id="4" name="Chart 3"/>
          <xdr:cNvGraphicFramePr/>
        </xdr:nvGraphicFramePr>
        <xdr:xfrm>
          <a:off x="19047200" y="8931365"/>
          <a:ext cx="6222065" cy="3540782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cxnSp macro="">
        <xdr:nvCxnSpPr>
          <xdr:cNvPr id="10" name="Straight Arrow Connector 9"/>
          <xdr:cNvCxnSpPr/>
        </xdr:nvCxnSpPr>
        <xdr:spPr>
          <a:xfrm flipV="1">
            <a:off x="23689235" y="9603441"/>
            <a:ext cx="0" cy="616324"/>
          </a:xfrm>
          <a:prstGeom prst="straightConnector1">
            <a:avLst/>
          </a:prstGeom>
          <a:ln>
            <a:tailEnd type="triangle"/>
          </a:ln>
        </xdr:spPr>
        <xdr:style>
          <a:lnRef idx="1">
            <a:schemeClr val="dk1"/>
          </a:lnRef>
          <a:fillRef idx="0">
            <a:schemeClr val="dk1"/>
          </a:fillRef>
          <a:effectRef idx="0">
            <a:schemeClr val="dk1"/>
          </a:effectRef>
          <a:fontRef idx="minor">
            <a:schemeClr val="tx1"/>
          </a:fontRef>
        </xdr:style>
      </xdr:cxnSp>
      <xdr:sp macro="" textlink="">
        <xdr:nvSpPr>
          <xdr:cNvPr id="13" name="TextBox 12"/>
          <xdr:cNvSpPr txBox="1"/>
        </xdr:nvSpPr>
        <xdr:spPr>
          <a:xfrm>
            <a:off x="22266087" y="10623176"/>
            <a:ext cx="2330824" cy="705972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Operating @ higher pressures leads to higher compressor</a:t>
            </a:r>
            <a:r>
              <a:rPr lang="en-US" sz="1100" baseline="0"/>
              <a:t> weight and power consumption</a:t>
            </a:r>
            <a:endParaRPr lang="en-US" sz="1100"/>
          </a:p>
        </xdr:txBody>
      </xdr:sp>
    </xdr:grpSp>
    <xdr:clientData/>
  </xdr:twoCellAnchor>
  <xdr:twoCellAnchor>
    <xdr:from>
      <xdr:col>3</xdr:col>
      <xdr:colOff>1580588</xdr:colOff>
      <xdr:row>72</xdr:row>
      <xdr:rowOff>52668</xdr:rowOff>
    </xdr:from>
    <xdr:to>
      <xdr:col>8</xdr:col>
      <xdr:colOff>323289</xdr:colOff>
      <xdr:row>92</xdr:row>
      <xdr:rowOff>33618</xdr:rowOff>
    </xdr:to>
    <xdr:grpSp>
      <xdr:nvGrpSpPr>
        <xdr:cNvPr id="16" name="Group 15"/>
        <xdr:cNvGrpSpPr/>
      </xdr:nvGrpSpPr>
      <xdr:grpSpPr>
        <a:xfrm>
          <a:off x="6010647" y="13761197"/>
          <a:ext cx="6624171" cy="3716245"/>
          <a:chOff x="5816412" y="8782050"/>
          <a:chExt cx="6239436" cy="3790950"/>
        </a:xfrm>
      </xdr:grpSpPr>
      <xdr:grpSp>
        <xdr:nvGrpSpPr>
          <xdr:cNvPr id="15" name="Group 14"/>
          <xdr:cNvGrpSpPr/>
        </xdr:nvGrpSpPr>
        <xdr:grpSpPr>
          <a:xfrm>
            <a:off x="5816412" y="8782050"/>
            <a:ext cx="6239436" cy="3790950"/>
            <a:chOff x="5693148" y="8748432"/>
            <a:chExt cx="6239436" cy="3790950"/>
          </a:xfrm>
        </xdr:grpSpPr>
        <xdr:graphicFrame macro="">
          <xdr:nvGraphicFramePr>
            <xdr:cNvPr id="5" name="Chart 4"/>
            <xdr:cNvGraphicFramePr>
              <a:graphicFrameLocks/>
            </xdr:cNvGraphicFramePr>
          </xdr:nvGraphicFramePr>
          <xdr:xfrm>
            <a:off x="5693148" y="8748432"/>
            <a:ext cx="6239436" cy="379095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5"/>
            </a:graphicData>
          </a:graphic>
        </xdr:graphicFrame>
        <xdr:sp macro="" textlink="">
          <xdr:nvSpPr>
            <xdr:cNvPr id="7" name="TextBox 6"/>
            <xdr:cNvSpPr txBox="1"/>
          </xdr:nvSpPr>
          <xdr:spPr>
            <a:xfrm>
              <a:off x="7799292" y="10343029"/>
              <a:ext cx="2319619" cy="1053353"/>
            </a:xfrm>
            <a:prstGeom prst="rect">
              <a:avLst/>
            </a:prstGeom>
            <a:solidFill>
              <a:schemeClr val="lt1"/>
            </a:solidFill>
            <a:ln w="9525" cmpd="sng">
              <a:solidFill>
                <a:schemeClr val="lt1">
                  <a:shade val="50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FC</a:t>
              </a:r>
              <a:r>
                <a:rPr lang="en-US" sz="1100" baseline="0"/>
                <a:t> operating @ 1 bar : air needs either to be cooled or heated depending on the flight conditions, which complexifies the thermal management</a:t>
              </a:r>
              <a:endParaRPr lang="en-US" sz="1100"/>
            </a:p>
          </xdr:txBody>
        </xdr:sp>
      </xdr:grpSp>
      <xdr:sp macro="" textlink="">
        <xdr:nvSpPr>
          <xdr:cNvPr id="6" name="Oval 5"/>
          <xdr:cNvSpPr/>
        </xdr:nvSpPr>
        <xdr:spPr>
          <a:xfrm>
            <a:off x="10309413" y="9480176"/>
            <a:ext cx="762000" cy="1400736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6</xdr:col>
      <xdr:colOff>252132</xdr:colOff>
      <xdr:row>4</xdr:row>
      <xdr:rowOff>158003</xdr:rowOff>
    </xdr:from>
    <xdr:to>
      <xdr:col>10</xdr:col>
      <xdr:colOff>818030</xdr:colOff>
      <xdr:row>23</xdr:row>
      <xdr:rowOff>123266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6</xdr:col>
      <xdr:colOff>246530</xdr:colOff>
      <xdr:row>24</xdr:row>
      <xdr:rowOff>44820</xdr:rowOff>
    </xdr:from>
    <xdr:to>
      <xdr:col>10</xdr:col>
      <xdr:colOff>812428</xdr:colOff>
      <xdr:row>43</xdr:row>
      <xdr:rowOff>21289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0.65917</cdr:x>
      <cdr:y>0.44157</cdr:y>
    </cdr:from>
    <cdr:to>
      <cdr:x>0.86726</cdr:x>
      <cdr:y>0.54387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514165" y="1741394"/>
          <a:ext cx="1109382" cy="403412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1100" b="1">
              <a:solidFill>
                <a:schemeClr val="accent2"/>
              </a:solidFill>
            </a:rPr>
            <a:t>Hot</a:t>
          </a:r>
          <a:r>
            <a:rPr lang="en-US" sz="1100" b="1" baseline="0">
              <a:solidFill>
                <a:schemeClr val="accent2"/>
              </a:solidFill>
            </a:rPr>
            <a:t> day</a:t>
          </a:r>
          <a:endParaRPr lang="en-US" sz="1100" b="1">
            <a:solidFill>
              <a:schemeClr val="accent2"/>
            </a:solidFill>
          </a:endParaRPr>
        </a:p>
      </cdr:txBody>
    </cdr:sp>
  </cdr:relSizeAnchor>
</c:userShapes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0.79562</cdr:x>
      <cdr:y>0.2217</cdr:y>
    </cdr:from>
    <cdr:to>
      <cdr:x>0.98958</cdr:x>
      <cdr:y>0.49956</cdr:y>
    </cdr:to>
    <cdr:grpSp>
      <cdr:nvGrpSpPr>
        <cdr:cNvPr id="8" name="Group 7"/>
        <cdr:cNvGrpSpPr/>
      </cdr:nvGrpSpPr>
      <cdr:grpSpPr>
        <a:xfrm xmlns:a="http://schemas.openxmlformats.org/drawingml/2006/main">
          <a:off x="5190083" y="824720"/>
          <a:ext cx="1265263" cy="1033633"/>
          <a:chOff x="4971350" y="840459"/>
          <a:chExt cx="1211977" cy="1053322"/>
        </a:xfrm>
      </cdr:grpSpPr>
      <cdr:cxnSp macro="">
        <cdr:nvCxnSpPr>
          <cdr:cNvPr id="3" name="Straight Arrow Connector 2"/>
          <cdr:cNvCxnSpPr/>
        </cdr:nvCxnSpPr>
        <cdr:spPr>
          <a:xfrm xmlns:a="http://schemas.openxmlformats.org/drawingml/2006/main">
            <a:off x="4971350" y="840459"/>
            <a:ext cx="0" cy="1053322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/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5"/>
          <cdr:cNvSpPr txBox="1"/>
        </cdr:nvSpPr>
        <cdr:spPr>
          <a:xfrm xmlns:a="http://schemas.openxmlformats.org/drawingml/2006/main">
            <a:off x="5035331" y="1117223"/>
            <a:ext cx="1147996" cy="474008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 b="0">
                <a:solidFill>
                  <a:schemeClr val="accent1"/>
                </a:solidFill>
              </a:rPr>
              <a:t>High cooling requirements</a:t>
            </a:r>
          </a:p>
        </cdr:txBody>
      </cdr:sp>
    </cdr:grp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0.79573</cdr:x>
      <cdr:y>0.24874</cdr:y>
    </cdr:from>
    <cdr:to>
      <cdr:x>0.94512</cdr:x>
      <cdr:y>0.48744</cdr:y>
    </cdr:to>
    <cdr:grpSp>
      <cdr:nvGrpSpPr>
        <cdr:cNvPr id="8" name="Group 7"/>
        <cdr:cNvGrpSpPr/>
      </cdr:nvGrpSpPr>
      <cdr:grpSpPr>
        <a:xfrm xmlns:a="http://schemas.openxmlformats.org/drawingml/2006/main">
          <a:off x="5271052" y="924379"/>
          <a:ext cx="989584" cy="887067"/>
          <a:chOff x="4972051" y="942975"/>
          <a:chExt cx="933449" cy="904875"/>
        </a:xfrm>
      </cdr:grpSpPr>
      <cdr:cxnSp macro="">
        <cdr:nvCxnSpPr>
          <cdr:cNvPr id="3" name="Straight Arrow Connector 2"/>
          <cdr:cNvCxnSpPr/>
        </cdr:nvCxnSpPr>
        <cdr:spPr>
          <a:xfrm xmlns:a="http://schemas.openxmlformats.org/drawingml/2006/main">
            <a:off x="4972051" y="942975"/>
            <a:ext cx="0" cy="46672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none"/>
            <a:tailEnd type="triangle"/>
          </a:ln>
        </cdr:spPr>
        <cdr:style>
          <a:lnRef xmlns:a="http://schemas.openxmlformats.org/drawingml/2006/main" idx="1">
            <a:schemeClr val="accent1"/>
          </a:lnRef>
          <a:fillRef xmlns:a="http://schemas.openxmlformats.org/drawingml/2006/main" idx="0">
            <a:schemeClr val="accent1"/>
          </a:fillRef>
          <a:effectRef xmlns:a="http://schemas.openxmlformats.org/drawingml/2006/main" idx="0">
            <a:schemeClr val="accent1"/>
          </a:effectRef>
          <a:fontRef xmlns:a="http://schemas.openxmlformats.org/drawingml/2006/main" idx="minor">
            <a:schemeClr val="tx1"/>
          </a:fontRef>
        </cdr:style>
      </cdr:cxnSp>
      <cdr:cxnSp macro="">
        <cdr:nvCxnSpPr>
          <cdr:cNvPr id="4" name="Straight Arrow Connector 3"/>
          <cdr:cNvCxnSpPr/>
        </cdr:nvCxnSpPr>
        <cdr:spPr>
          <a:xfrm xmlns:a="http://schemas.openxmlformats.org/drawingml/2006/main">
            <a:off x="4975226" y="1470025"/>
            <a:ext cx="0" cy="377825"/>
          </a:xfrm>
          <a:prstGeom xmlns:a="http://schemas.openxmlformats.org/drawingml/2006/main" prst="straightConnector1">
            <a:avLst/>
          </a:prstGeom>
          <a:ln xmlns:a="http://schemas.openxmlformats.org/drawingml/2006/main">
            <a:headEnd type="triangle"/>
            <a:tailEnd type="none"/>
          </a:ln>
        </cdr:spPr>
        <cdr:style>
          <a:lnRef xmlns:a="http://schemas.openxmlformats.org/drawingml/2006/main" idx="1">
            <a:schemeClr val="accent2"/>
          </a:lnRef>
          <a:fillRef xmlns:a="http://schemas.openxmlformats.org/drawingml/2006/main" idx="0">
            <a:schemeClr val="accent2"/>
          </a:fillRef>
          <a:effectRef xmlns:a="http://schemas.openxmlformats.org/drawingml/2006/main" idx="0">
            <a:schemeClr val="accent2"/>
          </a:effectRef>
          <a:fontRef xmlns:a="http://schemas.openxmlformats.org/drawingml/2006/main" idx="minor">
            <a:schemeClr val="tx1"/>
          </a:fontRef>
        </cdr:style>
      </cdr:cxnSp>
      <cdr:sp macro="" textlink="">
        <cdr:nvSpPr>
          <cdr:cNvPr id="6" name="TextBox 5"/>
          <cdr:cNvSpPr txBox="1"/>
        </cdr:nvSpPr>
        <cdr:spPr>
          <a:xfrm xmlns:a="http://schemas.openxmlformats.org/drawingml/2006/main">
            <a:off x="5057776" y="971550"/>
            <a:ext cx="800100" cy="31432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vertOverflow="clip" wrap="square" rtlCol="0"/>
          <a:lstStyle xmlns:a="http://schemas.openxmlformats.org/drawingml/2006/main"/>
          <a:p xmlns:a="http://schemas.openxmlformats.org/drawingml/2006/main">
            <a:r>
              <a:rPr lang="en-US" sz="1100" b="0">
                <a:solidFill>
                  <a:schemeClr val="accent1"/>
                </a:solidFill>
              </a:rPr>
              <a:t>Air</a:t>
            </a:r>
            <a:r>
              <a:rPr lang="en-US" sz="1100" b="0" baseline="0">
                <a:solidFill>
                  <a:schemeClr val="accent1"/>
                </a:solidFill>
              </a:rPr>
              <a:t> cooling</a:t>
            </a:r>
            <a:endParaRPr lang="en-US" sz="1100" b="0">
              <a:solidFill>
                <a:schemeClr val="accent1"/>
              </a:solidFill>
            </a:endParaRPr>
          </a:p>
        </cdr:txBody>
      </cdr:sp>
      <cdr:sp macro="" textlink="">
        <cdr:nvSpPr>
          <cdr:cNvPr id="7" name="TextBox 1"/>
          <cdr:cNvSpPr txBox="1"/>
        </cdr:nvSpPr>
        <cdr:spPr>
          <a:xfrm xmlns:a="http://schemas.openxmlformats.org/drawingml/2006/main">
            <a:off x="5060949" y="1508125"/>
            <a:ext cx="844551" cy="314325"/>
          </a:xfrm>
          <a:prstGeom xmlns:a="http://schemas.openxmlformats.org/drawingml/2006/main" prst="rect">
            <a:avLst/>
          </a:prstGeom>
        </cdr:spPr>
        <cdr:txBody>
          <a:bodyPr xmlns:a="http://schemas.openxmlformats.org/drawingml/2006/main" wrap="square" rtlCol="0"/>
          <a:lstStyle xmlns:a="http://schemas.openxmlformats.org/drawingml/2006/main">
            <a:lvl1pPr marL="0" indent="0">
              <a:defRPr sz="1100">
                <a:latin typeface="+mn-lt"/>
                <a:ea typeface="+mn-ea"/>
                <a:cs typeface="+mn-cs"/>
              </a:defRPr>
            </a:lvl1pPr>
            <a:lvl2pPr marL="457200" indent="0">
              <a:defRPr sz="1100">
                <a:latin typeface="+mn-lt"/>
                <a:ea typeface="+mn-ea"/>
                <a:cs typeface="+mn-cs"/>
              </a:defRPr>
            </a:lvl2pPr>
            <a:lvl3pPr marL="914400" indent="0">
              <a:defRPr sz="1100">
                <a:latin typeface="+mn-lt"/>
                <a:ea typeface="+mn-ea"/>
                <a:cs typeface="+mn-cs"/>
              </a:defRPr>
            </a:lvl3pPr>
            <a:lvl4pPr marL="1371600" indent="0">
              <a:defRPr sz="1100">
                <a:latin typeface="+mn-lt"/>
                <a:ea typeface="+mn-ea"/>
                <a:cs typeface="+mn-cs"/>
              </a:defRPr>
            </a:lvl4pPr>
            <a:lvl5pPr marL="1828800" indent="0">
              <a:defRPr sz="1100">
                <a:latin typeface="+mn-lt"/>
                <a:ea typeface="+mn-ea"/>
                <a:cs typeface="+mn-cs"/>
              </a:defRPr>
            </a:lvl5pPr>
            <a:lvl6pPr marL="2286000" indent="0">
              <a:defRPr sz="1100">
                <a:latin typeface="+mn-lt"/>
                <a:ea typeface="+mn-ea"/>
                <a:cs typeface="+mn-cs"/>
              </a:defRPr>
            </a:lvl6pPr>
            <a:lvl7pPr marL="2743200" indent="0">
              <a:defRPr sz="1100">
                <a:latin typeface="+mn-lt"/>
                <a:ea typeface="+mn-ea"/>
                <a:cs typeface="+mn-cs"/>
              </a:defRPr>
            </a:lvl7pPr>
            <a:lvl8pPr marL="3200400" indent="0">
              <a:defRPr sz="1100">
                <a:latin typeface="+mn-lt"/>
                <a:ea typeface="+mn-ea"/>
                <a:cs typeface="+mn-cs"/>
              </a:defRPr>
            </a:lvl8pPr>
            <a:lvl9pPr marL="3657600" indent="0">
              <a:defRPr sz="1100">
                <a:latin typeface="+mn-lt"/>
                <a:ea typeface="+mn-ea"/>
                <a:cs typeface="+mn-cs"/>
              </a:defRPr>
            </a:lvl9pPr>
          </a:lstStyle>
          <a:p xmlns:a="http://schemas.openxmlformats.org/drawingml/2006/main">
            <a:r>
              <a:rPr lang="en-US" sz="1100" b="0">
                <a:solidFill>
                  <a:schemeClr val="accent2"/>
                </a:solidFill>
              </a:rPr>
              <a:t>Air</a:t>
            </a:r>
            <a:r>
              <a:rPr lang="en-US" sz="1100" b="0" baseline="0">
                <a:solidFill>
                  <a:schemeClr val="accent2"/>
                </a:solidFill>
              </a:rPr>
              <a:t> heating</a:t>
            </a:r>
            <a:endParaRPr lang="en-US" sz="1100" b="0">
              <a:solidFill>
                <a:schemeClr val="accent2"/>
              </a:solidFill>
            </a:endParaRPr>
          </a:p>
        </cdr:txBody>
      </cdr:sp>
    </cdr:grp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133350</xdr:colOff>
      <xdr:row>16</xdr:row>
      <xdr:rowOff>133349</xdr:rowOff>
    </xdr:from>
    <xdr:to>
      <xdr:col>3</xdr:col>
      <xdr:colOff>190500</xdr:colOff>
      <xdr:row>34</xdr:row>
      <xdr:rowOff>114300</xdr:rowOff>
    </xdr:to>
    <xdr:grpSp>
      <xdr:nvGrpSpPr>
        <xdr:cNvPr id="4" name="Group 3"/>
        <xdr:cNvGrpSpPr/>
      </xdr:nvGrpSpPr>
      <xdr:grpSpPr>
        <a:xfrm>
          <a:off x="133350" y="3295649"/>
          <a:ext cx="2139950" cy="3295651"/>
          <a:chOff x="114300" y="790575"/>
          <a:chExt cx="2819048" cy="3971429"/>
        </a:xfrm>
      </xdr:grpSpPr>
      <xdr:pic>
        <xdr:nvPicPr>
          <xdr:cNvPr id="2" name="Picture 1"/>
          <xdr:cNvPicPr>
            <a:picLocks noChangeAspect="1"/>
          </xdr:cNvPicPr>
        </xdr:nvPicPr>
        <xdr:blipFill>
          <a:blip xmlns:r="http://schemas.openxmlformats.org/officeDocument/2006/relationships" r:embed="rId1"/>
          <a:stretch>
            <a:fillRect/>
          </a:stretch>
        </xdr:blipFill>
        <xdr:spPr>
          <a:xfrm>
            <a:off x="114300" y="790575"/>
            <a:ext cx="2819048" cy="3971429"/>
          </a:xfrm>
          <a:prstGeom prst="rect">
            <a:avLst/>
          </a:prstGeom>
        </xdr:spPr>
      </xdr:pic>
      <xdr:sp macro="" textlink="">
        <xdr:nvSpPr>
          <xdr:cNvPr id="3" name="Rectangle 2"/>
          <xdr:cNvSpPr/>
        </xdr:nvSpPr>
        <xdr:spPr>
          <a:xfrm>
            <a:off x="219075" y="3914775"/>
            <a:ext cx="2705100" cy="47625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4</xdr:col>
      <xdr:colOff>144780</xdr:colOff>
      <xdr:row>39</xdr:row>
      <xdr:rowOff>3810</xdr:rowOff>
    </xdr:from>
    <xdr:to>
      <xdr:col>7</xdr:col>
      <xdr:colOff>325504</xdr:colOff>
      <xdr:row>41</xdr:row>
      <xdr:rowOff>91379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811780" y="7372350"/>
          <a:ext cx="2009524" cy="468569"/>
        </a:xfrm>
        <a:prstGeom prst="rect">
          <a:avLst/>
        </a:prstGeom>
        <a:ln>
          <a:solidFill>
            <a:srgbClr val="FF0000"/>
          </a:solidFill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200026</xdr:colOff>
      <xdr:row>4</xdr:row>
      <xdr:rowOff>72098</xdr:rowOff>
    </xdr:from>
    <xdr:to>
      <xdr:col>7</xdr:col>
      <xdr:colOff>180975</xdr:colOff>
      <xdr:row>22</xdr:row>
      <xdr:rowOff>165736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60546" y="849338"/>
          <a:ext cx="4088129" cy="3385478"/>
        </a:xfrm>
        <a:prstGeom prst="rect">
          <a:avLst/>
        </a:prstGeom>
      </xdr:spPr>
    </xdr:pic>
    <xdr:clientData/>
  </xdr:twoCellAnchor>
  <xdr:twoCellAnchor editAs="oneCell">
    <xdr:from>
      <xdr:col>0</xdr:col>
      <xdr:colOff>76200</xdr:colOff>
      <xdr:row>4</xdr:row>
      <xdr:rowOff>87630</xdr:rowOff>
    </xdr:from>
    <xdr:to>
      <xdr:col>2</xdr:col>
      <xdr:colOff>8984</xdr:colOff>
      <xdr:row>23</xdr:row>
      <xdr:rowOff>97155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6200" y="864870"/>
          <a:ext cx="4093304" cy="3484245"/>
        </a:xfrm>
        <a:prstGeom prst="rect">
          <a:avLst/>
        </a:prstGeom>
      </xdr:spPr>
    </xdr:pic>
    <xdr:clientData/>
  </xdr:twoCellAnchor>
  <xdr:twoCellAnchor editAs="oneCell">
    <xdr:from>
      <xdr:col>7</xdr:col>
      <xdr:colOff>304167</xdr:colOff>
      <xdr:row>5</xdr:row>
      <xdr:rowOff>22860</xdr:rowOff>
    </xdr:from>
    <xdr:to>
      <xdr:col>13</xdr:col>
      <xdr:colOff>740483</xdr:colOff>
      <xdr:row>20</xdr:row>
      <xdr:rowOff>173355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1867" y="982980"/>
          <a:ext cx="4612076" cy="289369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304800</xdr:colOff>
      <xdr:row>17</xdr:row>
      <xdr:rowOff>142875</xdr:rowOff>
    </xdr:from>
    <xdr:to>
      <xdr:col>23</xdr:col>
      <xdr:colOff>14494</xdr:colOff>
      <xdr:row>33</xdr:row>
      <xdr:rowOff>121260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29600" y="3381375"/>
          <a:ext cx="5805694" cy="3026385"/>
        </a:xfrm>
        <a:prstGeom prst="rect">
          <a:avLst/>
        </a:prstGeom>
      </xdr:spPr>
    </xdr:pic>
    <xdr:clientData/>
  </xdr:twoCellAnchor>
  <xdr:twoCellAnchor editAs="oneCell">
    <xdr:from>
      <xdr:col>13</xdr:col>
      <xdr:colOff>306873</xdr:colOff>
      <xdr:row>1</xdr:row>
      <xdr:rowOff>74798</xdr:rowOff>
    </xdr:from>
    <xdr:to>
      <xdr:col>23</xdr:col>
      <xdr:colOff>26502</xdr:colOff>
      <xdr:row>16</xdr:row>
      <xdr:rowOff>133633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31673" y="265298"/>
          <a:ext cx="5815629" cy="2916335"/>
        </a:xfrm>
        <a:prstGeom prst="rect">
          <a:avLst/>
        </a:prstGeom>
      </xdr:spPr>
    </xdr:pic>
    <xdr:clientData/>
  </xdr:twoCellAnchor>
  <xdr:twoCellAnchor editAs="oneCell">
    <xdr:from>
      <xdr:col>13</xdr:col>
      <xdr:colOff>259246</xdr:colOff>
      <xdr:row>34</xdr:row>
      <xdr:rowOff>70691</xdr:rowOff>
    </xdr:from>
    <xdr:to>
      <xdr:col>22</xdr:col>
      <xdr:colOff>536955</xdr:colOff>
      <xdr:row>50</xdr:row>
      <xdr:rowOff>88047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84046" y="6547691"/>
          <a:ext cx="5764109" cy="3065356"/>
        </a:xfrm>
        <a:prstGeom prst="rect">
          <a:avLst/>
        </a:prstGeom>
      </xdr:spPr>
    </xdr:pic>
    <xdr:clientData/>
  </xdr:twoCellAnchor>
  <xdr:twoCellAnchor editAs="oneCell">
    <xdr:from>
      <xdr:col>1</xdr:col>
      <xdr:colOff>76200</xdr:colOff>
      <xdr:row>2</xdr:row>
      <xdr:rowOff>28575</xdr:rowOff>
    </xdr:from>
    <xdr:to>
      <xdr:col>11</xdr:col>
      <xdr:colOff>315082</xdr:colOff>
      <xdr:row>27</xdr:row>
      <xdr:rowOff>66675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409575"/>
          <a:ext cx="6334882" cy="480060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121</xdr:row>
      <xdr:rowOff>19050</xdr:rowOff>
    </xdr:from>
    <xdr:to>
      <xdr:col>1</xdr:col>
      <xdr:colOff>331251</xdr:colOff>
      <xdr:row>123</xdr:row>
      <xdr:rowOff>123764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144375"/>
          <a:ext cx="3542857" cy="485714"/>
        </a:xfrm>
        <a:prstGeom prst="rect">
          <a:avLst/>
        </a:prstGeom>
      </xdr:spPr>
    </xdr:pic>
    <xdr:clientData/>
  </xdr:twoCellAnchor>
  <xdr:twoCellAnchor>
    <xdr:from>
      <xdr:col>7</xdr:col>
      <xdr:colOff>99733</xdr:colOff>
      <xdr:row>72</xdr:row>
      <xdr:rowOff>130831</xdr:rowOff>
    </xdr:from>
    <xdr:to>
      <xdr:col>14</xdr:col>
      <xdr:colOff>42583</xdr:colOff>
      <xdr:row>85</xdr:row>
      <xdr:rowOff>129988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337858</xdr:colOff>
      <xdr:row>4</xdr:row>
      <xdr:rowOff>109257</xdr:rowOff>
    </xdr:from>
    <xdr:to>
      <xdr:col>16</xdr:col>
      <xdr:colOff>117664</xdr:colOff>
      <xdr:row>22</xdr:row>
      <xdr:rowOff>84044</xdr:rowOff>
    </xdr:to>
    <xdr:graphicFrame macro="">
      <xdr:nvGraphicFramePr>
        <xdr:cNvPr id="11" name="Chart 10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268940</xdr:colOff>
      <xdr:row>4</xdr:row>
      <xdr:rowOff>99198</xdr:rowOff>
    </xdr:from>
    <xdr:to>
      <xdr:col>33</xdr:col>
      <xdr:colOff>580464</xdr:colOff>
      <xdr:row>24</xdr:row>
      <xdr:rowOff>123265</xdr:rowOff>
    </xdr:to>
    <xdr:graphicFrame macro="">
      <xdr:nvGraphicFramePr>
        <xdr:cNvPr id="12" name="Chart 1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85205</xdr:colOff>
      <xdr:row>4</xdr:row>
      <xdr:rowOff>123265</xdr:rowOff>
    </xdr:from>
    <xdr:to>
      <xdr:col>25</xdr:col>
      <xdr:colOff>402137</xdr:colOff>
      <xdr:row>24</xdr:row>
      <xdr:rowOff>134470</xdr:rowOff>
    </xdr:to>
    <xdr:graphicFrame macro="">
      <xdr:nvGraphicFramePr>
        <xdr:cNvPr id="14" name="Chart 1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</xdr:col>
      <xdr:colOff>44823</xdr:colOff>
      <xdr:row>115</xdr:row>
      <xdr:rowOff>145676</xdr:rowOff>
    </xdr:from>
    <xdr:to>
      <xdr:col>8</xdr:col>
      <xdr:colOff>173129</xdr:colOff>
      <xdr:row>125</xdr:row>
      <xdr:rowOff>168088</xdr:rowOff>
    </xdr:to>
    <xdr:grpSp>
      <xdr:nvGrpSpPr>
        <xdr:cNvPr id="13" name="Group 12"/>
        <xdr:cNvGrpSpPr/>
      </xdr:nvGrpSpPr>
      <xdr:grpSpPr>
        <a:xfrm>
          <a:off x="6585323" y="22370676"/>
          <a:ext cx="2814356" cy="2048062"/>
          <a:chOff x="4105276" y="9058274"/>
          <a:chExt cx="2628899" cy="2837925"/>
        </a:xfrm>
      </xdr:grpSpPr>
      <xdr:pic>
        <xdr:nvPicPr>
          <xdr:cNvPr id="15" name="Picture 14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4105276" y="9058274"/>
            <a:ext cx="2619128" cy="2837925"/>
          </a:xfrm>
          <a:prstGeom prst="rect">
            <a:avLst/>
          </a:prstGeom>
        </xdr:spPr>
      </xdr:pic>
      <xdr:sp macro="" textlink="">
        <xdr:nvSpPr>
          <xdr:cNvPr id="16" name="Rectangle 15"/>
          <xdr:cNvSpPr/>
        </xdr:nvSpPr>
        <xdr:spPr>
          <a:xfrm>
            <a:off x="4133850" y="10220325"/>
            <a:ext cx="2600325" cy="457200"/>
          </a:xfrm>
          <a:prstGeom prst="rect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 editAs="oneCell">
    <xdr:from>
      <xdr:col>0</xdr:col>
      <xdr:colOff>78441</xdr:colOff>
      <xdr:row>129</xdr:row>
      <xdr:rowOff>33618</xdr:rowOff>
    </xdr:from>
    <xdr:to>
      <xdr:col>3</xdr:col>
      <xdr:colOff>167288</xdr:colOff>
      <xdr:row>134</xdr:row>
      <xdr:rowOff>155460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8441" y="33247853"/>
          <a:ext cx="4834538" cy="1074342"/>
        </a:xfrm>
        <a:prstGeom prst="rect">
          <a:avLst/>
        </a:prstGeom>
      </xdr:spPr>
    </xdr:pic>
    <xdr:clientData/>
  </xdr:twoCellAnchor>
  <xdr:twoCellAnchor>
    <xdr:from>
      <xdr:col>7</xdr:col>
      <xdr:colOff>68580</xdr:colOff>
      <xdr:row>141</xdr:row>
      <xdr:rowOff>30480</xdr:rowOff>
    </xdr:from>
    <xdr:to>
      <xdr:col>15</xdr:col>
      <xdr:colOff>552449</xdr:colOff>
      <xdr:row>156</xdr:row>
      <xdr:rowOff>53340</xdr:rowOff>
    </xdr:to>
    <xdr:graphicFrame macro="">
      <xdr:nvGraphicFramePr>
        <xdr:cNvPr id="17" name="Chart 1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9525</xdr:colOff>
      <xdr:row>157</xdr:row>
      <xdr:rowOff>142874</xdr:rowOff>
    </xdr:from>
    <xdr:to>
      <xdr:col>3</xdr:col>
      <xdr:colOff>1514475</xdr:colOff>
      <xdr:row>176</xdr:row>
      <xdr:rowOff>114300</xdr:rowOff>
    </xdr:to>
    <xdr:graphicFrame macro="">
      <xdr:nvGraphicFramePr>
        <xdr:cNvPr id="18" name="Chart 17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38101</xdr:colOff>
      <xdr:row>14</xdr:row>
      <xdr:rowOff>76199</xdr:rowOff>
    </xdr:from>
    <xdr:to>
      <xdr:col>16</xdr:col>
      <xdr:colOff>352425</xdr:colOff>
      <xdr:row>36</xdr:row>
      <xdr:rowOff>165029</xdr:rowOff>
    </xdr:to>
    <xdr:pic>
      <xdr:nvPicPr>
        <xdr:cNvPr id="2" name="Picture 1" descr="S00012002_G00_00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117" t="63547" r="54201" b="5608"/>
        <a:stretch>
          <a:fillRect/>
        </a:stretch>
      </xdr:blipFill>
      <xdr:spPr bwMode="auto">
        <a:xfrm>
          <a:off x="12573001" y="2790824"/>
          <a:ext cx="2943224" cy="4327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66675</xdr:colOff>
      <xdr:row>59</xdr:row>
      <xdr:rowOff>186288</xdr:rowOff>
    </xdr:from>
    <xdr:to>
      <xdr:col>6</xdr:col>
      <xdr:colOff>9525</xdr:colOff>
      <xdr:row>72</xdr:row>
      <xdr:rowOff>66110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790825" y="8234913"/>
          <a:ext cx="2609850" cy="2356322"/>
        </a:xfrm>
        <a:prstGeom prst="rect">
          <a:avLst/>
        </a:prstGeom>
      </xdr:spPr>
    </xdr:pic>
    <xdr:clientData/>
  </xdr:twoCellAnchor>
  <xdr:twoCellAnchor editAs="oneCell">
    <xdr:from>
      <xdr:col>8</xdr:col>
      <xdr:colOff>145459</xdr:colOff>
      <xdr:row>59</xdr:row>
      <xdr:rowOff>104775</xdr:rowOff>
    </xdr:from>
    <xdr:to>
      <xdr:col>11</xdr:col>
      <xdr:colOff>208968</xdr:colOff>
      <xdr:row>71</xdr:row>
      <xdr:rowOff>123377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308009" y="8153400"/>
          <a:ext cx="2997209" cy="2304602"/>
        </a:xfrm>
        <a:prstGeom prst="rect">
          <a:avLst/>
        </a:prstGeom>
      </xdr:spPr>
    </xdr:pic>
    <xdr:clientData/>
  </xdr:twoCellAnchor>
  <xdr:twoCellAnchor editAs="oneCell">
    <xdr:from>
      <xdr:col>7</xdr:col>
      <xdr:colOff>495300</xdr:colOff>
      <xdr:row>16</xdr:row>
      <xdr:rowOff>66675</xdr:rowOff>
    </xdr:from>
    <xdr:to>
      <xdr:col>11</xdr:col>
      <xdr:colOff>436697</xdr:colOff>
      <xdr:row>25</xdr:row>
      <xdr:rowOff>152158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877300" y="3162300"/>
          <a:ext cx="3484697" cy="1799983"/>
        </a:xfrm>
        <a:prstGeom prst="rect">
          <a:avLst/>
        </a:prstGeom>
      </xdr:spPr>
    </xdr:pic>
    <xdr:clientData/>
  </xdr:twoCellAnchor>
  <xdr:twoCellAnchor>
    <xdr:from>
      <xdr:col>6</xdr:col>
      <xdr:colOff>981075</xdr:colOff>
      <xdr:row>35</xdr:row>
      <xdr:rowOff>128587</xdr:rowOff>
    </xdr:from>
    <xdr:to>
      <xdr:col>13</xdr:col>
      <xdr:colOff>333375</xdr:colOff>
      <xdr:row>55</xdr:row>
      <xdr:rowOff>180975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CUSTOMIZED_ENGINEERING/PRELIM_DESIGN_INTERNSHIPS/2020_F_Pollet/1%20-%20DOCUMENTS/Standard_Atmosphere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uil1"/>
      <sheetName val="Standard_Atmosphere"/>
    </sheetNames>
    <definedNames>
      <definedName name="Interpolation_lin"/>
      <definedName name="Mach_Vtas"/>
      <definedName name="Pdyn"/>
      <definedName name="Pstatic"/>
      <definedName name="Ptotal"/>
      <definedName name="Reynolds"/>
      <definedName name="Tstatic"/>
      <definedName name="Ttotal"/>
    </definedNames>
    <sheetDataSet>
      <sheetData sheetId="0"/>
      <sheetData sheetId="1" refreshError="1"/>
    </sheetDataSet>
  </externalBook>
</externalLink>
</file>

<file path=xl/tables/table1.xml><?xml version="1.0" encoding="utf-8"?>
<table xmlns="http://schemas.openxmlformats.org/spreadsheetml/2006/main" id="5" name="Table5" displayName="Table5" ref="A75:F94" totalsRowCount="1">
  <autoFilter ref="A75:F94"/>
  <tableColumns count="6">
    <tableColumn id="1" name="System Gross Power [kW]"/>
    <tableColumn id="2" name="Net Power [kW]">
      <calculatedColumnFormula>Table5[[#This Row],[System Gross Power '[kW']]]*0.89</calculatedColumnFormula>
    </tableColumn>
    <tableColumn id="3" name="System weight [kg]"/>
    <tableColumn id="4" name="Column1" dataDxfId="3" totalsRowDxfId="2"/>
    <tableColumn id="5" name="Specific power [kW/kg]" dataDxfId="4" totalsRowDxfId="1">
      <calculatedColumnFormula>Table5[[#This Row],[Net Power '[kW']]]/Table5[[#This Row],[System weight '[kg']]]</calculatedColumnFormula>
    </tableColumn>
    <tableColumn id="6" name="Efficiency" totalsRowDxfId="0" dataCellStyle="Percent">
      <calculatedColumnFormula>Table5[[#This Row],[Net Power '[kW']]]/Table5[[#This Row],[System Gross Power '[kW']]]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134" displayName="Table134" ref="A13:F22" totalsRowDxfId="23">
  <autoFilter ref="A13:F22"/>
  <tableColumns count="6">
    <tableColumn id="1" name="STACK S3" totalsRowLabel="Power/Area (kW/m2)" totalsRowDxfId="22"/>
    <tableColumn id="2" name="49 kW" totalsRowFunction="custom" totalsRowDxfId="21">
      <totalsRowFormula>B16/B19/B21</totalsRowFormula>
    </tableColumn>
    <tableColumn id="3" name="63 kW" totalsRowFunction="custom" totalsRowDxfId="20">
      <totalsRowFormula>C16/C19/C21</totalsRowFormula>
    </tableColumn>
    <tableColumn id="4" name="81 kW" totalsRowFunction="custom" totalsRowDxfId="19">
      <totalsRowFormula>D16/D19/D21</totalsRowFormula>
    </tableColumn>
    <tableColumn id="5" name="98 kW" totalsRowFunction="custom" totalsRowDxfId="18">
      <totalsRowFormula>E16/E19/E21</totalsRowFormula>
    </tableColumn>
    <tableColumn id="6" name="125 kW" totalsRowFunction="custom" totalsRowDxfId="17">
      <totalsRowFormula>F16/F19/F21</totalsRow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2" name="Table1343" displayName="Table1343" ref="A24:F33">
  <autoFilter ref="A24:F33"/>
  <tableColumns count="6">
    <tableColumn id="1" name="STACK S2" totalsRowLabel="Power/Area (kW/m2)"/>
    <tableColumn id="2" name="Column1" totalsRowFunction="custom" totalsRowDxfId="16">
      <totalsRowFormula>B25/B30/B32</totalsRowFormula>
    </tableColumn>
    <tableColumn id="3" name="Column2" totalsRowFunction="custom" totalsRowDxfId="15">
      <totalsRowFormula>C25/C30/C32</totalsRowFormula>
    </tableColumn>
    <tableColumn id="4" name="Column3" totalsRowFunction="custom" totalsRowDxfId="14">
      <totalsRowFormula>D25/D30/D32</totalsRowFormula>
    </tableColumn>
    <tableColumn id="5" name="Column4" totalsRowFunction="custom" totalsRowDxfId="13">
      <totalsRowFormula>E25/E30/E32</totalsRowFormula>
    </tableColumn>
    <tableColumn id="6" name="Column5" totalsRowFunction="custom" totalsRowDxfId="12">
      <totalsRowFormula>F25/F30/F32</totalsRow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2:E37" totalsRowShown="0">
  <autoFilter ref="A12:E37"/>
  <tableColumns count="5">
    <tableColumn id="1" name="FC gross power [kW]" dataDxfId="11"/>
    <tableColumn id="2" name="Mass (kg)" dataDxfId="10"/>
    <tableColumn id="3" name="Power (kW)" dataDxfId="9"/>
    <tableColumn id="4" name="Mass n (kg)" dataDxfId="8"/>
    <tableColumn id="5" name="Power n (kW)" dataDxfId="7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3" name="Table3" displayName="Table3" ref="A37:G42" totalsRowShown="0">
  <autoFilter ref="A37:G42"/>
  <tableColumns count="7">
    <tableColumn id="1" name="FC gross power [kW]"/>
    <tableColumn id="2" name="Q_req [kW]"/>
    <tableColumn id="3" name="Eta_shx" dataCellStyle="Percent"/>
    <tableColumn id="4" name="A_skin [m2]"/>
    <tableColumn id="5" name="m_shx [kg]"/>
    <tableColumn id="6" name="Cooling-mass ratio [kW/kg]" dataDxfId="6">
      <calculatedColumnFormula>Table3[[#This Row],[Q_req '[kW']]]/Table3[[#This Row],[m_shx '[kg']]]</calculatedColumnFormula>
    </tableColumn>
    <tableColumn id="7" name="Cooling-area ratio [kW/m2]" dataDxfId="5">
      <calculatedColumnFormula>Table3[[#This Row],[Q_req '[kW']]]/Table3[[#This Row],[A_skin '[m2']]]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s://www.powercell.se/wordpress/wp-content/uploads/2018/12/S3-Produktblad-190430.pdf" TargetMode="External"/><Relationship Id="rId5" Type="http://schemas.openxmlformats.org/officeDocument/2006/relationships/table" Target="../tables/table3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www.energy.gov/eere/fuelcells/doe-technical-targets-fuel-cell-system-humidifiers-and-air-compression-systems" TargetMode="External"/><Relationship Id="rId1" Type="http://schemas.openxmlformats.org/officeDocument/2006/relationships/hyperlink" Target="https://www.fumatech.com/NR/rdonlyres/0B9A1C7F-5BA6-4409-A003-5C4E79CD61AB/0/FUMATECH_BWT_GmbHMembrane_Humidifiers.pdf" TargetMode="External"/><Relationship Id="rId6" Type="http://schemas.openxmlformats.org/officeDocument/2006/relationships/comments" Target="../comments2.xml"/><Relationship Id="rId5" Type="http://schemas.openxmlformats.org/officeDocument/2006/relationships/vmlDrawing" Target="../drawings/vmlDrawing2.v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5" Type="http://schemas.openxmlformats.org/officeDocument/2006/relationships/comments" Target="../comments3.xml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hyperlink" Target="https://pdfs.semanticscholar.org/4671/ac994b57735012d85c9bb01cbc4b4e5c36a9.pdf" TargetMode="External"/><Relationship Id="rId2" Type="http://schemas.openxmlformats.org/officeDocument/2006/relationships/hyperlink" Target="https://www.researchgate.net/publication/316445819_A_50-kW_High-Frequency_and_High-Efficiency_SiC_Voltage_Source_Inverter_for_More_Electric_Aircraft" TargetMode="External"/><Relationship Id="rId1" Type="http://schemas.openxmlformats.org/officeDocument/2006/relationships/hyperlink" Target="https://www.mikroelektronik.fraunhofer.de/content/dam/mikroelektronik/Datenbltter/IISB_200kW-Rekordwandler_DB.pdf" TargetMode="External"/><Relationship Id="rId5" Type="http://schemas.openxmlformats.org/officeDocument/2006/relationships/drawing" Target="../drawings/drawing8.xml"/><Relationship Id="rId4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../../../../../Stage%20Felix/PART%20IV%20-%20MODELISATIONS/Feeding%20Lines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../../../../../Stage%20Felix/PART%20IV%20-%20MODELISATIONS/Feeding%20Lines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9.xml"/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../../../../../Stage%20Felix/PART%20IV%20-%20MODELISATIONS/Heat%20exchanger" TargetMode="External"/><Relationship Id="rId5" Type="http://schemas.openxmlformats.org/officeDocument/2006/relationships/comments" Target="../comments4.xml"/><Relationship Id="rId4" Type="http://schemas.openxmlformats.org/officeDocument/2006/relationships/vmlDrawing" Target="../drawings/vmlDrawing4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vmlDrawing" Target="../drawings/vmlDrawing5.vml"/><Relationship Id="rId3" Type="http://schemas.openxmlformats.org/officeDocument/2006/relationships/hyperlink" Target="https://www.akg-group.com/fileadmin/user_upload/Brochures/AKG-Line/AKG_LineH_en.pdf" TargetMode="External"/><Relationship Id="rId7" Type="http://schemas.openxmlformats.org/officeDocument/2006/relationships/drawing" Target="../drawings/drawing11.xml"/><Relationship Id="rId2" Type="http://schemas.openxmlformats.org/officeDocument/2006/relationships/hyperlink" Target="https://www.kaori-bphe.com/" TargetMode="External"/><Relationship Id="rId1" Type="http://schemas.openxmlformats.org/officeDocument/2006/relationships/hyperlink" Target="../../../../../Stage%20Felix/PART%20IV%20-%20MODELISATIONS/Heat%20exchanger" TargetMode="External"/><Relationship Id="rId6" Type="http://schemas.openxmlformats.org/officeDocument/2006/relationships/printerSettings" Target="../printerSettings/printerSettings10.bin"/><Relationship Id="rId5" Type="http://schemas.openxmlformats.org/officeDocument/2006/relationships/hyperlink" Target="https://www.nrel.gov/transportation/assets/pdfs/45785.pdf" TargetMode="External"/><Relationship Id="rId4" Type="http://schemas.openxmlformats.org/officeDocument/2006/relationships/hyperlink" Target="https://www.akg-group.com/fileadmin/user_upload/Brochures/AKG-Line/AKG_LineA_en.pdf" TargetMode="External"/><Relationship Id="rId9" Type="http://schemas.openxmlformats.org/officeDocument/2006/relationships/comments" Target="../comments5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1.bin"/><Relationship Id="rId7" Type="http://schemas.openxmlformats.org/officeDocument/2006/relationships/comments" Target="../comments6.xml"/><Relationship Id="rId2" Type="http://schemas.openxmlformats.org/officeDocument/2006/relationships/hyperlink" Target="https://www.tec-science.com/mechanics/gases-and-liquids/calculation-of-the-nusselt-numbers-for-forced-flows-over-plates-and-in-pipes/" TargetMode="External"/><Relationship Id="rId1" Type="http://schemas.openxmlformats.org/officeDocument/2006/relationships/hyperlink" Target="../../../../../Stage%20Felix/1%20-%20DOCUMENTS/THERMAL%20MANAGEMENT/Skin%20Heat" TargetMode="External"/><Relationship Id="rId6" Type="http://schemas.openxmlformats.org/officeDocument/2006/relationships/table" Target="../tables/table5.xml"/><Relationship Id="rId5" Type="http://schemas.openxmlformats.org/officeDocument/2006/relationships/vmlDrawing" Target="../drawings/vmlDrawing6.vml"/><Relationship Id="rId4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0000"/>
  </sheetPr>
  <dimension ref="A1:N114"/>
  <sheetViews>
    <sheetView tabSelected="1" topLeftCell="A4" zoomScale="85" zoomScaleNormal="85" workbookViewId="0">
      <selection activeCell="F73" sqref="F73"/>
    </sheetView>
  </sheetViews>
  <sheetFormatPr defaultRowHeight="14.5" x14ac:dyDescent="0.35"/>
  <cols>
    <col min="1" max="1" width="26" customWidth="1"/>
    <col min="2" max="2" width="18.36328125" customWidth="1"/>
    <col min="3" max="3" width="20" customWidth="1"/>
    <col min="4" max="4" width="23.90625" customWidth="1"/>
    <col min="5" max="5" width="12.54296875" bestFit="1" customWidth="1"/>
    <col min="6" max="6" width="13.6328125" bestFit="1" customWidth="1"/>
  </cols>
  <sheetData>
    <row r="1" spans="1:4" s="6" customFormat="1" ht="28.5" customHeight="1" x14ac:dyDescent="0.45">
      <c r="A1" s="6" t="s">
        <v>384</v>
      </c>
    </row>
    <row r="3" spans="1:4" x14ac:dyDescent="0.35">
      <c r="A3" t="s">
        <v>93</v>
      </c>
    </row>
    <row r="4" spans="1:4" x14ac:dyDescent="0.35">
      <c r="A4" s="67" t="s">
        <v>103</v>
      </c>
      <c r="B4" s="30">
        <v>2500</v>
      </c>
      <c r="C4" s="20" t="s">
        <v>15</v>
      </c>
    </row>
    <row r="5" spans="1:4" x14ac:dyDescent="0.35">
      <c r="A5" s="68" t="s">
        <v>202</v>
      </c>
      <c r="B5" s="20">
        <f>'FC stacks'!B4</f>
        <v>100</v>
      </c>
      <c r="C5" s="20" t="s">
        <v>15</v>
      </c>
    </row>
    <row r="6" spans="1:4" x14ac:dyDescent="0.35">
      <c r="A6" s="68" t="s">
        <v>211</v>
      </c>
      <c r="B6" s="20">
        <v>0</v>
      </c>
      <c r="C6" s="20" t="s">
        <v>234</v>
      </c>
    </row>
    <row r="7" spans="1:4" x14ac:dyDescent="0.35">
      <c r="A7" s="68" t="s">
        <v>235</v>
      </c>
      <c r="B7" s="119">
        <v>24</v>
      </c>
      <c r="C7" s="118" t="s">
        <v>37</v>
      </c>
    </row>
    <row r="9" spans="1:4" x14ac:dyDescent="0.35">
      <c r="A9" t="s">
        <v>94</v>
      </c>
    </row>
    <row r="10" spans="1:4" x14ac:dyDescent="0.35">
      <c r="A10" s="68" t="s">
        <v>68</v>
      </c>
      <c r="B10" s="20">
        <f>B4/B5</f>
        <v>25</v>
      </c>
      <c r="C10" s="20" t="s">
        <v>69</v>
      </c>
    </row>
    <row r="11" spans="1:4" x14ac:dyDescent="0.35">
      <c r="A11" s="67" t="s">
        <v>95</v>
      </c>
      <c r="B11" s="28">
        <f>B28</f>
        <v>1991.7999900041402</v>
      </c>
      <c r="C11" s="20" t="s">
        <v>18</v>
      </c>
    </row>
    <row r="12" spans="1:4" x14ac:dyDescent="0.35">
      <c r="A12" s="67" t="s">
        <v>104</v>
      </c>
      <c r="B12" s="239">
        <f>B4-C28</f>
        <v>2139.9464767714353</v>
      </c>
      <c r="C12" s="29" t="s">
        <v>15</v>
      </c>
    </row>
    <row r="13" spans="1:4" x14ac:dyDescent="0.35">
      <c r="A13" s="67" t="s">
        <v>200</v>
      </c>
      <c r="B13" s="28">
        <f>B4/0.5*0.35</f>
        <v>1750</v>
      </c>
      <c r="C13" s="20" t="s">
        <v>15</v>
      </c>
    </row>
    <row r="14" spans="1:4" x14ac:dyDescent="0.35">
      <c r="A14" s="67" t="s">
        <v>395</v>
      </c>
      <c r="B14" s="198">
        <f>0.000000357*B4*1000/0.65</f>
        <v>1.3730769230769229</v>
      </c>
      <c r="C14" s="118" t="s">
        <v>265</v>
      </c>
    </row>
    <row r="16" spans="1:4" x14ac:dyDescent="0.35">
      <c r="A16" s="71" t="s">
        <v>113</v>
      </c>
      <c r="B16" s="72" t="s">
        <v>101</v>
      </c>
      <c r="C16" s="72" t="s">
        <v>114</v>
      </c>
      <c r="D16" s="72" t="s">
        <v>4</v>
      </c>
    </row>
    <row r="17" spans="1:7" x14ac:dyDescent="0.35">
      <c r="A17" s="73" t="s">
        <v>50</v>
      </c>
      <c r="B17" s="187">
        <f>B4/'FC stacks'!B5</f>
        <v>714.28571428571433</v>
      </c>
      <c r="C17" s="33" t="s">
        <v>69</v>
      </c>
      <c r="D17" s="33">
        <f>B4/'FC stacks'!B6</f>
        <v>741.83976261127589</v>
      </c>
    </row>
    <row r="18" spans="1:7" x14ac:dyDescent="0.35">
      <c r="A18" s="74" t="s">
        <v>51</v>
      </c>
      <c r="B18" s="199">
        <f>SLOPE(Table4[Mass (kg)],Table4[FC gross power '[kW']])*('Power &amp; Mass breakdown'!B4)+INTERCEPT(Table4[Mass (kg)],Table4[FC gross power '[kW']])</f>
        <v>41.037848919418394</v>
      </c>
      <c r="C18" s="35">
        <f>SLOPE(Table4[Power (kW)],Table4[FC gross power '[kW']])*('Power &amp; Mass breakdown'!B4)+INTERCEPT(Table4[Power (kW)],Table4[FC gross power '[kW']])</f>
        <v>263.37827322856452</v>
      </c>
      <c r="D18" s="35" t="s">
        <v>69</v>
      </c>
      <c r="E18" s="196">
        <f>SLOPE(Table4[Mass (kg)],Table4[FC gross power '[kW']])*('Power &amp; Mass breakdown'!B4)+INTERCEPT(Table4[Mass (kg)],Table4[FC gross power '[kW']])</f>
        <v>41.037848919418394</v>
      </c>
      <c r="F18" s="196">
        <f>SLOPE(Table4[Power (kW)],Table4[FC gross power '[kW']])*('Power &amp; Mass breakdown'!B4)+INTERCEPT(Table4[Power (kW)],Table4[FC gross power '[kW']])</f>
        <v>263.37827322856452</v>
      </c>
      <c r="G18" s="197"/>
    </row>
    <row r="19" spans="1:7" x14ac:dyDescent="0.35">
      <c r="A19" s="74" t="s">
        <v>98</v>
      </c>
      <c r="B19" s="186">
        <f>B10*Humidifier!B16</f>
        <v>175</v>
      </c>
      <c r="C19" s="35" t="s">
        <v>69</v>
      </c>
      <c r="D19" s="35">
        <f>B10*Humidifier!C16</f>
        <v>325</v>
      </c>
      <c r="E19" s="122"/>
      <c r="F19" s="122"/>
    </row>
    <row r="20" spans="1:7" x14ac:dyDescent="0.35">
      <c r="A20" s="74" t="s">
        <v>66</v>
      </c>
      <c r="B20" s="186">
        <f>B4*'Cooling module'!B29</f>
        <v>450</v>
      </c>
      <c r="C20" s="35">
        <f>B10*'Cooling module'!B60</f>
        <v>17.5</v>
      </c>
      <c r="D20" s="35" t="s">
        <v>69</v>
      </c>
    </row>
    <row r="21" spans="1:7" ht="15" thickBot="1" x14ac:dyDescent="0.4">
      <c r="A21" s="169" t="s">
        <v>97</v>
      </c>
      <c r="B21" s="188">
        <f>SUM(B17:B20)</f>
        <v>1380.3235632051328</v>
      </c>
      <c r="C21" s="170">
        <f>SUM(C17:C20)</f>
        <v>280.87827322856452</v>
      </c>
      <c r="D21" s="170">
        <f>SUM(D17:D20)</f>
        <v>1066.839762611276</v>
      </c>
    </row>
    <row r="22" spans="1:7" ht="15" thickTop="1" x14ac:dyDescent="0.35">
      <c r="A22" s="171" t="s">
        <v>52</v>
      </c>
      <c r="B22" s="186">
        <f>B4/'Power electronics'!B5+'Power &amp; Mass breakdown'!B4/'Power electronics'!B14</f>
        <v>136.47642679900744</v>
      </c>
      <c r="C22" s="34">
        <f>(1-'Power electronics'!B6*'Power electronics'!B15)*'Power &amp; Mass breakdown'!B4</f>
        <v>79.175250000000091</v>
      </c>
      <c r="D22" s="34">
        <f>B4/'Power electronics'!B7+'Power &amp; Mass breakdown'!B4/'Power electronics'!B16</f>
        <v>117.48251748251748</v>
      </c>
    </row>
    <row r="23" spans="1:7" x14ac:dyDescent="0.35">
      <c r="A23" s="147" t="s">
        <v>140</v>
      </c>
      <c r="B23" s="186">
        <f>B10*2*('Fuel system'!B5+'Fuel system'!B9)</f>
        <v>175</v>
      </c>
      <c r="C23" s="34" t="s">
        <v>69</v>
      </c>
      <c r="D23" s="34" t="s">
        <v>69</v>
      </c>
    </row>
    <row r="24" spans="1:7" x14ac:dyDescent="0.35">
      <c r="A24" s="200" t="s">
        <v>393</v>
      </c>
      <c r="B24" s="218" t="s">
        <v>392</v>
      </c>
      <c r="C24" s="219"/>
      <c r="D24" s="220"/>
    </row>
    <row r="25" spans="1:7" x14ac:dyDescent="0.35">
      <c r="A25" s="171" t="s">
        <v>143</v>
      </c>
      <c r="B25" s="186">
        <f>Tank!B20</f>
        <v>152</v>
      </c>
      <c r="C25" s="34" t="s">
        <v>69</v>
      </c>
      <c r="D25" s="34">
        <f>Tank!B22</f>
        <v>3000</v>
      </c>
    </row>
    <row r="26" spans="1:7" x14ac:dyDescent="0.35">
      <c r="A26" s="172" t="s">
        <v>144</v>
      </c>
      <c r="B26" s="189">
        <f>Tank!B19</f>
        <v>75</v>
      </c>
      <c r="C26" s="76" t="s">
        <v>92</v>
      </c>
      <c r="D26" s="76" t="s">
        <v>69</v>
      </c>
    </row>
    <row r="27" spans="1:7" x14ac:dyDescent="0.35">
      <c r="A27" s="21" t="s">
        <v>141</v>
      </c>
      <c r="B27" s="190">
        <v>73</v>
      </c>
      <c r="C27" s="36" t="s">
        <v>92</v>
      </c>
      <c r="D27" s="36" t="s">
        <v>69</v>
      </c>
    </row>
    <row r="28" spans="1:7" x14ac:dyDescent="0.35">
      <c r="A28" s="21" t="s">
        <v>394</v>
      </c>
      <c r="B28" s="191">
        <f>SUM(B21:B23)+SUM(B25:B27)</f>
        <v>1991.7999900041402</v>
      </c>
      <c r="C28" s="238">
        <f>SUM(C21:C22)</f>
        <v>360.05352322856459</v>
      </c>
      <c r="D28" s="37">
        <f>SUM(D21:D23)+SUM(D25:D27)</f>
        <v>4184.3222800937938</v>
      </c>
    </row>
    <row r="30" spans="1:7" x14ac:dyDescent="0.35">
      <c r="A30" s="68" t="s">
        <v>105</v>
      </c>
      <c r="B30" s="65">
        <f>(B12)/(B21)</f>
        <v>1.5503223547111276</v>
      </c>
      <c r="C30" t="s">
        <v>48</v>
      </c>
    </row>
    <row r="31" spans="1:7" x14ac:dyDescent="0.35">
      <c r="A31" s="68" t="s">
        <v>179</v>
      </c>
      <c r="B31" s="66">
        <f>C28/B4</f>
        <v>0.14402140929142584</v>
      </c>
    </row>
    <row r="32" spans="1:7" x14ac:dyDescent="0.35">
      <c r="B32" s="75"/>
    </row>
    <row r="33" spans="1:14" x14ac:dyDescent="0.35">
      <c r="A33" s="68" t="s">
        <v>142</v>
      </c>
      <c r="B33" s="81">
        <f>B12/(2132/0.735499)</f>
        <v>0.73824038166928418</v>
      </c>
    </row>
    <row r="34" spans="1:14" x14ac:dyDescent="0.35">
      <c r="B34" s="75"/>
    </row>
    <row r="35" spans="1:14" x14ac:dyDescent="0.35">
      <c r="A35" s="68" t="s">
        <v>180</v>
      </c>
      <c r="B35" s="81">
        <f>(B28-B26)/13500</f>
        <v>0.14198518444475114</v>
      </c>
    </row>
    <row r="36" spans="1:14" x14ac:dyDescent="0.35">
      <c r="A36" s="68" t="s">
        <v>181</v>
      </c>
      <c r="B36" s="82">
        <f>120/43*B26</f>
        <v>209.30232558139537</v>
      </c>
      <c r="C36" t="s">
        <v>18</v>
      </c>
    </row>
    <row r="38" spans="1:14" x14ac:dyDescent="0.35">
      <c r="N38" s="69"/>
    </row>
    <row r="68" spans="1:6" s="6" customFormat="1" ht="28.5" customHeight="1" x14ac:dyDescent="0.45">
      <c r="A68" s="6" t="s">
        <v>363</v>
      </c>
    </row>
    <row r="70" spans="1:6" x14ac:dyDescent="0.35">
      <c r="A70" s="64" t="s">
        <v>364</v>
      </c>
    </row>
    <row r="71" spans="1:6" x14ac:dyDescent="0.35">
      <c r="A71" t="s">
        <v>380</v>
      </c>
    </row>
    <row r="72" spans="1:6" x14ac:dyDescent="0.35">
      <c r="A72" t="s">
        <v>413</v>
      </c>
    </row>
    <row r="74" spans="1:6" x14ac:dyDescent="0.35">
      <c r="A74" s="5" t="s">
        <v>365</v>
      </c>
    </row>
    <row r="75" spans="1:6" x14ac:dyDescent="0.35">
      <c r="A75" t="s">
        <v>367</v>
      </c>
      <c r="B75" t="s">
        <v>368</v>
      </c>
      <c r="C75" t="s">
        <v>378</v>
      </c>
      <c r="D75" t="s">
        <v>297</v>
      </c>
      <c r="E75" t="s">
        <v>379</v>
      </c>
      <c r="F75" t="s">
        <v>49</v>
      </c>
    </row>
    <row r="76" spans="1:6" x14ac:dyDescent="0.35">
      <c r="A76">
        <v>100</v>
      </c>
      <c r="B76">
        <f>Table5[[#This Row],[System Gross Power '[kW']]]*0.89</f>
        <v>89</v>
      </c>
      <c r="C76">
        <v>66</v>
      </c>
      <c r="D76" s="122"/>
      <c r="E76" s="15">
        <f>Table5[[#This Row],[Net Power '[kW']]]/Table5[[#This Row],[System weight '[kg']]]</f>
        <v>1.3484848484848484</v>
      </c>
      <c r="F76" s="167">
        <f>Table5[[#This Row],[Net Power '[kW']]]/Table5[[#This Row],[System Gross Power '[kW']]]</f>
        <v>0.89</v>
      </c>
    </row>
    <row r="77" spans="1:6" x14ac:dyDescent="0.35">
      <c r="A77">
        <v>200</v>
      </c>
      <c r="B77">
        <f>Table5[[#This Row],[System Gross Power '[kW']]]*0.89</f>
        <v>178</v>
      </c>
      <c r="C77">
        <v>120.80000000000001</v>
      </c>
      <c r="D77" s="122"/>
      <c r="E77" s="15">
        <f>Table5[[#This Row],[Net Power '[kW']]]/Table5[[#This Row],[System weight '[kg']]]</f>
        <v>1.4735099337748343</v>
      </c>
      <c r="F77" s="167">
        <f>Table5[[#This Row],[Net Power '[kW']]]/Table5[[#This Row],[System Gross Power '[kW']]]</f>
        <v>0.89</v>
      </c>
    </row>
    <row r="78" spans="1:6" x14ac:dyDescent="0.35">
      <c r="A78">
        <v>300</v>
      </c>
      <c r="B78">
        <f>Table5[[#This Row],[System Gross Power '[kW']]]*0.89</f>
        <v>267</v>
      </c>
      <c r="C78">
        <v>175.5</v>
      </c>
      <c r="D78" s="122"/>
      <c r="E78" s="15">
        <f>Table5[[#This Row],[Net Power '[kW']]]/Table5[[#This Row],[System weight '[kg']]]</f>
        <v>1.5213675213675213</v>
      </c>
      <c r="F78" s="167">
        <f>Table5[[#This Row],[Net Power '[kW']]]/Table5[[#This Row],[System Gross Power '[kW']]]</f>
        <v>0.89</v>
      </c>
    </row>
    <row r="79" spans="1:6" x14ac:dyDescent="0.35">
      <c r="A79">
        <v>400</v>
      </c>
      <c r="B79">
        <f>Table5[[#This Row],[System Gross Power '[kW']]]*0.89</f>
        <v>356</v>
      </c>
      <c r="C79">
        <v>230.3</v>
      </c>
      <c r="D79" s="122"/>
      <c r="E79" s="15">
        <f>Table5[[#This Row],[Net Power '[kW']]]/Table5[[#This Row],[System weight '[kg']]]</f>
        <v>1.5458098132870168</v>
      </c>
      <c r="F79" s="167">
        <f>Table5[[#This Row],[Net Power '[kW']]]/Table5[[#This Row],[System Gross Power '[kW']]]</f>
        <v>0.89</v>
      </c>
    </row>
    <row r="80" spans="1:6" x14ac:dyDescent="0.35">
      <c r="A80">
        <v>500</v>
      </c>
      <c r="B80">
        <f>Table5[[#This Row],[System Gross Power '[kW']]]*0.89</f>
        <v>445</v>
      </c>
      <c r="C80">
        <v>285.10000000000002</v>
      </c>
      <c r="D80" s="122"/>
      <c r="E80" s="15">
        <f>Table5[[#This Row],[Net Power '[kW']]]/Table5[[#This Row],[System weight '[kg']]]</f>
        <v>1.5608558400561205</v>
      </c>
      <c r="F80" s="167">
        <f>Table5[[#This Row],[Net Power '[kW']]]/Table5[[#This Row],[System Gross Power '[kW']]]</f>
        <v>0.89</v>
      </c>
    </row>
    <row r="81" spans="1:6" x14ac:dyDescent="0.35">
      <c r="A81">
        <v>600</v>
      </c>
      <c r="B81">
        <f>Table5[[#This Row],[System Gross Power '[kW']]]*0.89</f>
        <v>534</v>
      </c>
      <c r="C81">
        <v>339.8</v>
      </c>
      <c r="D81" s="122"/>
      <c r="E81" s="15">
        <f>Table5[[#This Row],[Net Power '[kW']]]/Table5[[#This Row],[System weight '[kg']]]</f>
        <v>1.5715126545026485</v>
      </c>
      <c r="F81" s="167">
        <f>Table5[[#This Row],[Net Power '[kW']]]/Table5[[#This Row],[System Gross Power '[kW']]]</f>
        <v>0.89</v>
      </c>
    </row>
    <row r="82" spans="1:6" x14ac:dyDescent="0.35">
      <c r="A82">
        <v>700</v>
      </c>
      <c r="B82">
        <f>Table5[[#This Row],[System Gross Power '[kW']]]*0.89</f>
        <v>623</v>
      </c>
      <c r="C82">
        <v>394.6</v>
      </c>
      <c r="D82" s="122"/>
      <c r="E82" s="15">
        <f>Table5[[#This Row],[Net Power '[kW']]]/Table5[[#This Row],[System weight '[kg']]]</f>
        <v>1.5788139888494677</v>
      </c>
      <c r="F82" s="167">
        <f>Table5[[#This Row],[Net Power '[kW']]]/Table5[[#This Row],[System Gross Power '[kW']]]</f>
        <v>0.89</v>
      </c>
    </row>
    <row r="83" spans="1:6" x14ac:dyDescent="0.35">
      <c r="A83">
        <v>800</v>
      </c>
      <c r="B83">
        <f>Table5[[#This Row],[System Gross Power '[kW']]]*0.89</f>
        <v>712</v>
      </c>
      <c r="C83">
        <v>449.4</v>
      </c>
      <c r="D83" s="122"/>
      <c r="E83" s="15">
        <f>Table5[[#This Row],[Net Power '[kW']]]/Table5[[#This Row],[System weight '[kg']]]</f>
        <v>1.584334668446818</v>
      </c>
      <c r="F83" s="167">
        <f>Table5[[#This Row],[Net Power '[kW']]]/Table5[[#This Row],[System Gross Power '[kW']]]</f>
        <v>0.89</v>
      </c>
    </row>
    <row r="84" spans="1:6" x14ac:dyDescent="0.35">
      <c r="A84">
        <v>900</v>
      </c>
      <c r="B84">
        <f>Table5[[#This Row],[System Gross Power '[kW']]]*0.89</f>
        <v>801</v>
      </c>
      <c r="C84">
        <v>504.1</v>
      </c>
      <c r="D84" s="122"/>
      <c r="E84" s="15">
        <f>Table5[[#This Row],[Net Power '[kW']]]/Table5[[#This Row],[System weight '[kg']]]</f>
        <v>1.588970442372545</v>
      </c>
      <c r="F84" s="167">
        <f>Table5[[#This Row],[Net Power '[kW']]]/Table5[[#This Row],[System Gross Power '[kW']]]</f>
        <v>0.89</v>
      </c>
    </row>
    <row r="85" spans="1:6" x14ac:dyDescent="0.35">
      <c r="A85">
        <v>1000</v>
      </c>
      <c r="B85">
        <f>Table5[[#This Row],[System Gross Power '[kW']]]*0.89</f>
        <v>890</v>
      </c>
      <c r="C85">
        <v>558.9</v>
      </c>
      <c r="D85" s="122"/>
      <c r="E85" s="15">
        <f>Table5[[#This Row],[Net Power '[kW']]]/Table5[[#This Row],[System weight '[kg']]]</f>
        <v>1.5924136697083557</v>
      </c>
      <c r="F85" s="167">
        <f>Table5[[#This Row],[Net Power '[kW']]]/Table5[[#This Row],[System Gross Power '[kW']]]</f>
        <v>0.89</v>
      </c>
    </row>
    <row r="86" spans="1:6" x14ac:dyDescent="0.35">
      <c r="A86">
        <v>1200</v>
      </c>
      <c r="B86">
        <f>Table5[[#This Row],[System Gross Power '[kW']]]*0.89</f>
        <v>1068</v>
      </c>
      <c r="C86">
        <v>668.4</v>
      </c>
      <c r="D86" s="122"/>
      <c r="E86" s="15">
        <f>Table5[[#This Row],[Net Power '[kW']]]/Table5[[#This Row],[System weight '[kg']]]</f>
        <v>1.5978456014362659</v>
      </c>
      <c r="F86" s="167">
        <f>Table5[[#This Row],[Net Power '[kW']]]/Table5[[#This Row],[System Gross Power '[kW']]]</f>
        <v>0.89</v>
      </c>
    </row>
    <row r="87" spans="1:6" x14ac:dyDescent="0.35">
      <c r="A87">
        <v>1400</v>
      </c>
      <c r="B87">
        <f>Table5[[#This Row],[System Gross Power '[kW']]]*0.89</f>
        <v>1246</v>
      </c>
      <c r="C87">
        <v>777.9</v>
      </c>
      <c r="D87" s="122"/>
      <c r="E87" s="15">
        <f>Table5[[#This Row],[Net Power '[kW']]]/Table5[[#This Row],[System weight '[kg']]]</f>
        <v>1.6017482966962335</v>
      </c>
      <c r="F87" s="167">
        <f>Table5[[#This Row],[Net Power '[kW']]]/Table5[[#This Row],[System Gross Power '[kW']]]</f>
        <v>0.89</v>
      </c>
    </row>
    <row r="88" spans="1:6" x14ac:dyDescent="0.35">
      <c r="A88">
        <v>1600</v>
      </c>
      <c r="B88">
        <f>Table5[[#This Row],[System Gross Power '[kW']]]*0.89</f>
        <v>1424</v>
      </c>
      <c r="C88">
        <v>887.5</v>
      </c>
      <c r="D88" s="122"/>
      <c r="E88" s="15">
        <f>Table5[[#This Row],[Net Power '[kW']]]/Table5[[#This Row],[System weight '[kg']]]</f>
        <v>1.604507042253521</v>
      </c>
      <c r="F88" s="167">
        <f>Table5[[#This Row],[Net Power '[kW']]]/Table5[[#This Row],[System Gross Power '[kW']]]</f>
        <v>0.89</v>
      </c>
    </row>
    <row r="89" spans="1:6" x14ac:dyDescent="0.35">
      <c r="A89">
        <v>1800</v>
      </c>
      <c r="B89">
        <f>Table5[[#This Row],[System Gross Power '[kW']]]*0.89</f>
        <v>1602</v>
      </c>
      <c r="C89">
        <v>997</v>
      </c>
      <c r="D89" s="122"/>
      <c r="E89" s="15">
        <f>Table5[[#This Row],[Net Power '[kW']]]/Table5[[#This Row],[System weight '[kg']]]</f>
        <v>1.6068204613841524</v>
      </c>
      <c r="F89" s="167">
        <f>Table5[[#This Row],[Net Power '[kW']]]/Table5[[#This Row],[System Gross Power '[kW']]]</f>
        <v>0.89</v>
      </c>
    </row>
    <row r="90" spans="1:6" x14ac:dyDescent="0.35">
      <c r="A90">
        <v>2000</v>
      </c>
      <c r="B90">
        <f>Table5[[#This Row],[System Gross Power '[kW']]]*0.89</f>
        <v>1780</v>
      </c>
      <c r="C90">
        <v>1106.5</v>
      </c>
      <c r="D90" s="122"/>
      <c r="E90" s="15">
        <f>Table5[[#This Row],[Net Power '[kW']]]/Table5[[#This Row],[System weight '[kg']]]</f>
        <v>1.6086760054225033</v>
      </c>
      <c r="F90" s="167">
        <f>Table5[[#This Row],[Net Power '[kW']]]/Table5[[#This Row],[System Gross Power '[kW']]]</f>
        <v>0.89</v>
      </c>
    </row>
    <row r="91" spans="1:6" x14ac:dyDescent="0.35">
      <c r="A91">
        <v>2250</v>
      </c>
      <c r="B91">
        <f>Table5[[#This Row],[System Gross Power '[kW']]]*0.89</f>
        <v>2002.5</v>
      </c>
      <c r="C91">
        <v>1243.4000000000001</v>
      </c>
      <c r="D91" s="122"/>
      <c r="E91" s="15">
        <f>Table5[[#This Row],[Net Power '[kW']]]/Table5[[#This Row],[System weight '[kg']]]</f>
        <v>1.6105034582596107</v>
      </c>
      <c r="F91" s="167">
        <f>Table5[[#This Row],[Net Power '[kW']]]/Table5[[#This Row],[System Gross Power '[kW']]]</f>
        <v>0.89</v>
      </c>
    </row>
    <row r="92" spans="1:6" x14ac:dyDescent="0.35">
      <c r="A92">
        <v>2400</v>
      </c>
      <c r="B92">
        <f>Table5[[#This Row],[System Gross Power '[kW']]]*0.89</f>
        <v>2136</v>
      </c>
      <c r="C92">
        <v>1325.6</v>
      </c>
      <c r="D92" s="122"/>
      <c r="E92" s="15">
        <f>Table5[[#This Row],[Net Power '[kW']]]/Table5[[#This Row],[System weight '[kg']]]</f>
        <v>1.6113458056729029</v>
      </c>
      <c r="F92" s="167">
        <f>Table5[[#This Row],[Net Power '[kW']]]/Table5[[#This Row],[System Gross Power '[kW']]]</f>
        <v>0.89</v>
      </c>
    </row>
    <row r="93" spans="1:6" x14ac:dyDescent="0.35">
      <c r="A93">
        <v>2500</v>
      </c>
      <c r="B93">
        <f>Table5[[#This Row],[System Gross Power '[kW']]]*0.89</f>
        <v>2225</v>
      </c>
      <c r="C93">
        <v>1380.3</v>
      </c>
      <c r="D93" s="122"/>
      <c r="E93" s="15">
        <f>Table5[[#This Row],[Net Power '[kW']]]/Table5[[#This Row],[System weight '[kg']]]</f>
        <v>1.6119684126639138</v>
      </c>
      <c r="F93" s="167">
        <f>Table5[[#This Row],[Net Power '[kW']]]/Table5[[#This Row],[System Gross Power '[kW']]]</f>
        <v>0.89</v>
      </c>
    </row>
    <row r="94" spans="1:6" x14ac:dyDescent="0.35">
      <c r="D94" s="122"/>
      <c r="E94" s="15"/>
      <c r="F94" s="237"/>
    </row>
    <row r="95" spans="1:6" x14ac:dyDescent="0.35">
      <c r="A95" s="5"/>
    </row>
    <row r="112" spans="4:4" x14ac:dyDescent="0.35">
      <c r="D112" s="192"/>
    </row>
    <row r="113" spans="4:4" x14ac:dyDescent="0.35">
      <c r="D113" s="192"/>
    </row>
    <row r="114" spans="4:4" x14ac:dyDescent="0.35">
      <c r="D114" s="192"/>
    </row>
  </sheetData>
  <mergeCells count="1">
    <mergeCell ref="B24:D24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K33"/>
  <sheetViews>
    <sheetView zoomScaleNormal="100" workbookViewId="0">
      <selection activeCell="B6" sqref="B6"/>
    </sheetView>
  </sheetViews>
  <sheetFormatPr defaultRowHeight="14.5" x14ac:dyDescent="0.35"/>
  <cols>
    <col min="1" max="1" width="25.90625" bestFit="1" customWidth="1"/>
    <col min="2" max="3" width="12.08984375" bestFit="1" customWidth="1"/>
    <col min="4" max="6" width="12" bestFit="1" customWidth="1"/>
  </cols>
  <sheetData>
    <row r="1" spans="1:6" s="3" customFormat="1" ht="21" x14ac:dyDescent="0.5">
      <c r="A1" s="2" t="s">
        <v>96</v>
      </c>
    </row>
    <row r="3" spans="1:6" ht="15" thickBot="1" x14ac:dyDescent="0.4"/>
    <row r="4" spans="1:6" ht="15" thickBot="1" x14ac:dyDescent="0.4">
      <c r="A4" s="63" t="s">
        <v>366</v>
      </c>
      <c r="B4" s="26">
        <v>100</v>
      </c>
      <c r="C4" s="27" t="s">
        <v>15</v>
      </c>
    </row>
    <row r="5" spans="1:6" ht="15" thickBot="1" x14ac:dyDescent="0.4">
      <c r="A5" s="63" t="s">
        <v>71</v>
      </c>
      <c r="B5" s="26">
        <v>3.5</v>
      </c>
      <c r="C5" s="27" t="s">
        <v>48</v>
      </c>
    </row>
    <row r="6" spans="1:6" ht="15" thickBot="1" x14ac:dyDescent="0.4">
      <c r="A6" s="63" t="s">
        <v>174</v>
      </c>
      <c r="B6" s="26">
        <v>3.37</v>
      </c>
      <c r="C6" s="27" t="s">
        <v>175</v>
      </c>
    </row>
    <row r="10" spans="1:6" x14ac:dyDescent="0.35">
      <c r="A10" s="64" t="s">
        <v>63</v>
      </c>
    </row>
    <row r="11" spans="1:6" x14ac:dyDescent="0.35">
      <c r="A11" s="4" t="s">
        <v>64</v>
      </c>
    </row>
    <row r="13" spans="1:6" x14ac:dyDescent="0.35">
      <c r="A13" s="19" t="s">
        <v>317</v>
      </c>
      <c r="B13" t="s">
        <v>300</v>
      </c>
      <c r="C13" t="s">
        <v>301</v>
      </c>
      <c r="D13" t="s">
        <v>302</v>
      </c>
      <c r="E13" s="155" t="s">
        <v>54</v>
      </c>
      <c r="F13" s="156" t="s">
        <v>55</v>
      </c>
    </row>
    <row r="14" spans="1:6" x14ac:dyDescent="0.35">
      <c r="A14" s="19" t="s">
        <v>56</v>
      </c>
      <c r="B14">
        <v>49</v>
      </c>
      <c r="C14">
        <v>63</v>
      </c>
      <c r="D14">
        <v>81</v>
      </c>
      <c r="E14" s="157">
        <v>98</v>
      </c>
      <c r="F14" s="158">
        <v>125</v>
      </c>
    </row>
    <row r="15" spans="1:6" x14ac:dyDescent="0.35">
      <c r="A15" s="19" t="s">
        <v>57</v>
      </c>
      <c r="B15" t="s">
        <v>303</v>
      </c>
      <c r="C15" t="s">
        <v>304</v>
      </c>
      <c r="D15" t="s">
        <v>305</v>
      </c>
      <c r="E15" s="159" t="s">
        <v>58</v>
      </c>
      <c r="F15" s="160" t="s">
        <v>59</v>
      </c>
    </row>
    <row r="16" spans="1:6" x14ac:dyDescent="0.35">
      <c r="A16" s="19" t="s">
        <v>60</v>
      </c>
      <c r="B16">
        <v>21</v>
      </c>
      <c r="C16">
        <v>25</v>
      </c>
      <c r="D16">
        <v>29</v>
      </c>
      <c r="E16" s="157">
        <v>34</v>
      </c>
      <c r="F16" s="158">
        <v>43</v>
      </c>
    </row>
    <row r="17" spans="1:11" x14ac:dyDescent="0.35">
      <c r="A17" s="19" t="s">
        <v>61</v>
      </c>
      <c r="B17" s="15">
        <f>B14/B16</f>
        <v>2.3333333333333335</v>
      </c>
      <c r="C17" s="15">
        <f t="shared" ref="C17:D17" si="0">C14/C16</f>
        <v>2.52</v>
      </c>
      <c r="D17" s="15">
        <f t="shared" si="0"/>
        <v>2.7931034482758621</v>
      </c>
      <c r="E17" s="161">
        <f>E14/E16</f>
        <v>2.8823529411764706</v>
      </c>
      <c r="F17" s="162">
        <f>F14/F16</f>
        <v>2.9069767441860463</v>
      </c>
    </row>
    <row r="18" spans="1:11" x14ac:dyDescent="0.35">
      <c r="A18" t="s">
        <v>62</v>
      </c>
      <c r="B18" s="15">
        <f>B14/(420*271*156/1000000)</f>
        <v>2.7596429810451952</v>
      </c>
      <c r="C18" s="15">
        <f>C14/(420*321*156/1000000)</f>
        <v>2.9954469206805654</v>
      </c>
      <c r="D18" s="15">
        <f>D14/(420*383*156/1000000)</f>
        <v>3.227842653430121</v>
      </c>
      <c r="E18" s="163">
        <f>E14/(420*444*156*0.000001)</f>
        <v>3.3687533687533691</v>
      </c>
      <c r="F18" s="164">
        <f>F14/(420*568*156*0.000001)</f>
        <v>3.3588281827718451</v>
      </c>
    </row>
    <row r="19" spans="1:11" x14ac:dyDescent="0.35">
      <c r="A19" t="s">
        <v>306</v>
      </c>
      <c r="B19">
        <v>167</v>
      </c>
      <c r="C19">
        <v>215</v>
      </c>
      <c r="D19">
        <v>275</v>
      </c>
      <c r="E19">
        <v>335</v>
      </c>
      <c r="F19">
        <v>455</v>
      </c>
    </row>
    <row r="20" spans="1:11" x14ac:dyDescent="0.35">
      <c r="A20" t="s">
        <v>314</v>
      </c>
      <c r="B20">
        <f>B14/B19</f>
        <v>0.29341317365269459</v>
      </c>
      <c r="C20">
        <f t="shared" ref="C20" si="1">C14/C19</f>
        <v>0.2930232558139535</v>
      </c>
      <c r="D20">
        <f t="shared" ref="D20" si="2">D14/D19</f>
        <v>0.29454545454545455</v>
      </c>
      <c r="E20">
        <f t="shared" ref="E20" si="3">E14/E19</f>
        <v>0.29253731343283584</v>
      </c>
      <c r="F20">
        <f t="shared" ref="F20" si="4">F14/F19</f>
        <v>0.27472527472527475</v>
      </c>
    </row>
    <row r="21" spans="1:11" x14ac:dyDescent="0.35">
      <c r="A21" t="s">
        <v>315</v>
      </c>
      <c r="B21">
        <f>300/0.52</f>
        <v>576.92307692307691</v>
      </c>
      <c r="C21">
        <f t="shared" ref="C21:F21" si="5">300/0.52</f>
        <v>576.92307692307691</v>
      </c>
      <c r="D21">
        <f t="shared" si="5"/>
        <v>576.92307692307691</v>
      </c>
      <c r="E21">
        <f t="shared" si="5"/>
        <v>576.92307692307691</v>
      </c>
      <c r="F21">
        <f t="shared" si="5"/>
        <v>576.92307692307691</v>
      </c>
    </row>
    <row r="22" spans="1:11" x14ac:dyDescent="0.35">
      <c r="A22" s="32" t="s">
        <v>316</v>
      </c>
      <c r="B22" s="168">
        <f>B14*1000/B21/B19</f>
        <v>0.50858283433133733</v>
      </c>
      <c r="C22" s="168">
        <f t="shared" ref="C22:F22" si="6">C14*1000/C21/C19</f>
        <v>0.50790697674418606</v>
      </c>
      <c r="D22" s="168">
        <f t="shared" si="6"/>
        <v>0.51054545454545452</v>
      </c>
      <c r="E22" s="168">
        <f t="shared" si="6"/>
        <v>0.50706467661691546</v>
      </c>
      <c r="F22" s="168">
        <f t="shared" si="6"/>
        <v>0.47619047619047622</v>
      </c>
    </row>
    <row r="24" spans="1:11" x14ac:dyDescent="0.35">
      <c r="A24" s="19" t="s">
        <v>318</v>
      </c>
      <c r="B24" t="s">
        <v>297</v>
      </c>
      <c r="C24" t="s">
        <v>298</v>
      </c>
      <c r="D24" t="s">
        <v>299</v>
      </c>
      <c r="E24" s="155" t="s">
        <v>307</v>
      </c>
      <c r="F24" s="156" t="s">
        <v>308</v>
      </c>
    </row>
    <row r="25" spans="1:11" x14ac:dyDescent="0.35">
      <c r="A25" s="19" t="s">
        <v>56</v>
      </c>
      <c r="B25">
        <v>3</v>
      </c>
      <c r="C25">
        <v>6.5</v>
      </c>
      <c r="D25">
        <v>10</v>
      </c>
      <c r="E25" s="157">
        <v>26</v>
      </c>
      <c r="F25" s="158">
        <v>35.5</v>
      </c>
    </row>
    <row r="26" spans="1:11" x14ac:dyDescent="0.35">
      <c r="A26" s="19" t="s">
        <v>57</v>
      </c>
      <c r="B26" t="s">
        <v>309</v>
      </c>
      <c r="C26" t="s">
        <v>310</v>
      </c>
      <c r="D26" t="s">
        <v>311</v>
      </c>
      <c r="E26" s="159" t="s">
        <v>312</v>
      </c>
      <c r="F26" s="160" t="s">
        <v>313</v>
      </c>
    </row>
    <row r="27" spans="1:11" x14ac:dyDescent="0.35">
      <c r="A27" s="19" t="s">
        <v>60</v>
      </c>
      <c r="B27">
        <v>11.2</v>
      </c>
      <c r="C27">
        <v>13.7</v>
      </c>
      <c r="D27">
        <v>29</v>
      </c>
      <c r="E27" s="157">
        <v>34</v>
      </c>
      <c r="F27" s="158">
        <v>43</v>
      </c>
    </row>
    <row r="28" spans="1:11" x14ac:dyDescent="0.35">
      <c r="A28" s="19" t="s">
        <v>61</v>
      </c>
      <c r="B28" s="15">
        <f>B25/B27</f>
        <v>0.26785714285714285</v>
      </c>
      <c r="C28" s="15">
        <f t="shared" ref="C28:F28" si="7">C25/C27</f>
        <v>0.47445255474452558</v>
      </c>
      <c r="D28" s="15">
        <f t="shared" si="7"/>
        <v>0.34482758620689657</v>
      </c>
      <c r="E28" s="15">
        <f t="shared" si="7"/>
        <v>0.76470588235294112</v>
      </c>
      <c r="F28" s="15">
        <f t="shared" si="7"/>
        <v>0.82558139534883723</v>
      </c>
    </row>
    <row r="29" spans="1:11" x14ac:dyDescent="0.35">
      <c r="A29" t="s">
        <v>62</v>
      </c>
      <c r="B29" s="15"/>
      <c r="C29" s="15"/>
      <c r="D29" s="15"/>
      <c r="E29" s="163"/>
      <c r="F29" s="164"/>
    </row>
    <row r="30" spans="1:11" x14ac:dyDescent="0.35">
      <c r="A30" t="s">
        <v>306</v>
      </c>
      <c r="B30">
        <v>24</v>
      </c>
      <c r="C30">
        <v>48</v>
      </c>
      <c r="D30">
        <v>72</v>
      </c>
      <c r="E30">
        <v>192</v>
      </c>
      <c r="F30">
        <v>264</v>
      </c>
      <c r="K30" s="167"/>
    </row>
    <row r="31" spans="1:11" x14ac:dyDescent="0.35">
      <c r="A31" t="s">
        <v>314</v>
      </c>
      <c r="B31">
        <f>B25/B30</f>
        <v>0.125</v>
      </c>
      <c r="C31">
        <f t="shared" ref="C31:F31" si="8">C25/C30</f>
        <v>0.13541666666666666</v>
      </c>
      <c r="D31">
        <f t="shared" si="8"/>
        <v>0.1388888888888889</v>
      </c>
      <c r="E31">
        <f t="shared" si="8"/>
        <v>0.13541666666666666</v>
      </c>
      <c r="F31">
        <f t="shared" si="8"/>
        <v>0.13446969696969696</v>
      </c>
    </row>
    <row r="32" spans="1:11" x14ac:dyDescent="0.35">
      <c r="A32" t="s">
        <v>315</v>
      </c>
      <c r="B32">
        <f>120/0.52</f>
        <v>230.76923076923077</v>
      </c>
      <c r="C32">
        <f t="shared" ref="C32:F32" si="9">120/0.52</f>
        <v>230.76923076923077</v>
      </c>
      <c r="D32">
        <f t="shared" si="9"/>
        <v>230.76923076923077</v>
      </c>
      <c r="E32">
        <f t="shared" si="9"/>
        <v>230.76923076923077</v>
      </c>
      <c r="F32">
        <f t="shared" si="9"/>
        <v>230.76923076923077</v>
      </c>
    </row>
    <row r="33" spans="1:6" x14ac:dyDescent="0.35">
      <c r="A33" t="s">
        <v>316</v>
      </c>
      <c r="B33" s="15">
        <f>B25*1000/B30/B32</f>
        <v>0.54166666666666663</v>
      </c>
      <c r="C33" s="15">
        <f t="shared" ref="C33:F33" si="10">C25*1000/C30/C32</f>
        <v>0.58680555555555547</v>
      </c>
      <c r="D33" s="15">
        <f t="shared" si="10"/>
        <v>0.60185185185185186</v>
      </c>
      <c r="E33" s="15">
        <f t="shared" si="10"/>
        <v>0.58680555555555547</v>
      </c>
      <c r="F33" s="15">
        <f t="shared" si="10"/>
        <v>0.58270202020202022</v>
      </c>
    </row>
  </sheetData>
  <hyperlinks>
    <hyperlink ref="A11" r:id="rId1"/>
  </hyperlinks>
  <pageMargins left="0.7" right="0.7" top="0.75" bottom="0.75" header="0.3" footer="0.3"/>
  <pageSetup orientation="portrait" r:id="rId2"/>
  <drawing r:id="rId3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D40"/>
  <sheetViews>
    <sheetView workbookViewId="0">
      <selection activeCell="F71" sqref="F71"/>
    </sheetView>
  </sheetViews>
  <sheetFormatPr defaultRowHeight="14.5" x14ac:dyDescent="0.35"/>
  <cols>
    <col min="1" max="1" width="33" customWidth="1"/>
    <col min="2" max="2" width="14.54296875" bestFit="1" customWidth="1"/>
    <col min="3" max="3" width="12.08984375" customWidth="1"/>
    <col min="4" max="4" width="21.90625" bestFit="1" customWidth="1"/>
  </cols>
  <sheetData>
    <row r="1" spans="1:4" s="3" customFormat="1" ht="21" x14ac:dyDescent="0.5">
      <c r="A1" s="2" t="s">
        <v>0</v>
      </c>
    </row>
    <row r="2" spans="1:4" ht="15" thickBot="1" x14ac:dyDescent="0.4"/>
    <row r="3" spans="1:4" ht="15" thickBot="1" x14ac:dyDescent="0.4">
      <c r="A3" s="63" t="s">
        <v>396</v>
      </c>
      <c r="B3" s="26">
        <v>100</v>
      </c>
      <c r="C3" s="27" t="s">
        <v>15</v>
      </c>
    </row>
    <row r="4" spans="1:4" ht="15" thickBot="1" x14ac:dyDescent="0.4">
      <c r="A4" s="63" t="s">
        <v>397</v>
      </c>
      <c r="B4" s="26">
        <v>7</v>
      </c>
      <c r="C4" s="27" t="s">
        <v>18</v>
      </c>
      <c r="D4" t="s">
        <v>407</v>
      </c>
    </row>
    <row r="7" spans="1:4" x14ac:dyDescent="0.35">
      <c r="A7" s="17" t="s">
        <v>1</v>
      </c>
    </row>
    <row r="8" spans="1:4" x14ac:dyDescent="0.35">
      <c r="A8" s="4" t="s">
        <v>2</v>
      </c>
    </row>
    <row r="9" spans="1:4" x14ac:dyDescent="0.35">
      <c r="A9" s="201" t="s">
        <v>5</v>
      </c>
      <c r="B9" s="202" t="s">
        <v>3</v>
      </c>
      <c r="C9" s="202" t="s">
        <v>4</v>
      </c>
      <c r="D9" s="203" t="s">
        <v>70</v>
      </c>
    </row>
    <row r="10" spans="1:4" x14ac:dyDescent="0.35">
      <c r="A10" s="49">
        <v>0.7</v>
      </c>
      <c r="B10" s="50">
        <v>0.4</v>
      </c>
      <c r="C10" s="50">
        <v>0.6</v>
      </c>
      <c r="D10" s="204">
        <f t="shared" ref="D10:D15" si="0">A10/B10</f>
        <v>1.7499999999999998</v>
      </c>
    </row>
    <row r="11" spans="1:4" x14ac:dyDescent="0.35">
      <c r="A11" s="49">
        <v>2</v>
      </c>
      <c r="B11" s="50">
        <v>0.6</v>
      </c>
      <c r="C11" s="50">
        <v>1</v>
      </c>
      <c r="D11" s="204">
        <f t="shared" si="0"/>
        <v>3.3333333333333335</v>
      </c>
    </row>
    <row r="12" spans="1:4" x14ac:dyDescent="0.35">
      <c r="A12" s="49">
        <v>7</v>
      </c>
      <c r="B12" s="50">
        <v>3</v>
      </c>
      <c r="C12" s="50">
        <v>4</v>
      </c>
      <c r="D12" s="204">
        <f t="shared" si="0"/>
        <v>2.3333333333333335</v>
      </c>
    </row>
    <row r="13" spans="1:4" x14ac:dyDescent="0.35">
      <c r="A13" s="49">
        <v>10</v>
      </c>
      <c r="B13" s="50">
        <v>3</v>
      </c>
      <c r="C13" s="50">
        <v>4</v>
      </c>
      <c r="D13" s="204">
        <f t="shared" si="0"/>
        <v>3.3333333333333335</v>
      </c>
    </row>
    <row r="14" spans="1:4" x14ac:dyDescent="0.35">
      <c r="A14" s="49">
        <v>30</v>
      </c>
      <c r="B14" s="50">
        <v>5</v>
      </c>
      <c r="C14" s="50">
        <v>7</v>
      </c>
      <c r="D14" s="204">
        <f t="shared" si="0"/>
        <v>6</v>
      </c>
    </row>
    <row r="15" spans="1:4" x14ac:dyDescent="0.35">
      <c r="A15" s="49">
        <v>70</v>
      </c>
      <c r="B15" s="50">
        <v>6</v>
      </c>
      <c r="C15" s="50">
        <v>11</v>
      </c>
      <c r="D15" s="204">
        <f t="shared" si="0"/>
        <v>11.666666666666666</v>
      </c>
    </row>
    <row r="16" spans="1:4" x14ac:dyDescent="0.35">
      <c r="A16" s="51">
        <v>110</v>
      </c>
      <c r="B16" s="54">
        <v>7</v>
      </c>
      <c r="C16" s="52">
        <v>13</v>
      </c>
      <c r="D16" s="53">
        <f>A16/B16</f>
        <v>15.714285714285714</v>
      </c>
    </row>
    <row r="37" spans="1:3" x14ac:dyDescent="0.35">
      <c r="A37" s="17" t="s">
        <v>6</v>
      </c>
    </row>
    <row r="38" spans="1:3" x14ac:dyDescent="0.35">
      <c r="A38" s="4" t="s">
        <v>7</v>
      </c>
    </row>
    <row r="40" spans="1:3" x14ac:dyDescent="0.35">
      <c r="A40" t="s">
        <v>115</v>
      </c>
      <c r="B40">
        <f>80/5</f>
        <v>16</v>
      </c>
      <c r="C40" t="s">
        <v>48</v>
      </c>
    </row>
  </sheetData>
  <hyperlinks>
    <hyperlink ref="A8" r:id="rId1"/>
    <hyperlink ref="A38" r:id="rId2"/>
  </hyperlinks>
  <pageMargins left="0.7" right="0.7" top="0.75" bottom="0.75" header="0.3" footer="0.3"/>
  <pageSetup orientation="portrait" r:id="rId3"/>
  <drawing r:id="rId4"/>
  <legacy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S113"/>
  <sheetViews>
    <sheetView zoomScale="85" zoomScaleNormal="85" workbookViewId="0">
      <selection activeCell="D13" sqref="D13"/>
    </sheetView>
  </sheetViews>
  <sheetFormatPr defaultRowHeight="14.5" x14ac:dyDescent="0.35"/>
  <cols>
    <col min="1" max="1" width="25.6328125" bestFit="1" customWidth="1"/>
    <col min="2" max="2" width="14.08984375" bestFit="1" customWidth="1"/>
    <col min="3" max="3" width="23.6328125" customWidth="1"/>
    <col min="4" max="4" width="24.90625" customWidth="1"/>
    <col min="5" max="5" width="23.90625" customWidth="1"/>
    <col min="6" max="6" width="18.90625" customWidth="1"/>
    <col min="7" max="7" width="22.54296875" customWidth="1"/>
    <col min="8" max="8" width="22.453125" customWidth="1"/>
    <col min="9" max="9" width="21.08984375" customWidth="1"/>
    <col min="10" max="10" width="18.54296875" customWidth="1"/>
    <col min="11" max="11" width="22.54296875" customWidth="1"/>
    <col min="12" max="12" width="32.453125" customWidth="1"/>
    <col min="13" max="13" width="24.6328125" customWidth="1"/>
    <col min="14" max="14" width="29.6328125" customWidth="1"/>
    <col min="15" max="15" width="26.90625" bestFit="1" customWidth="1"/>
    <col min="16" max="16" width="22.453125" bestFit="1" customWidth="1"/>
    <col min="17" max="17" width="19.453125" bestFit="1" customWidth="1"/>
    <col min="18" max="18" width="25.36328125" bestFit="1" customWidth="1"/>
  </cols>
  <sheetData>
    <row r="1" spans="1:10" s="3" customFormat="1" ht="21" x14ac:dyDescent="0.5">
      <c r="A1" s="2" t="s">
        <v>72</v>
      </c>
    </row>
    <row r="2" spans="1:10" x14ac:dyDescent="0.35">
      <c r="A2" t="s">
        <v>107</v>
      </c>
    </row>
    <row r="3" spans="1:10" x14ac:dyDescent="0.35">
      <c r="A3" s="4"/>
    </row>
    <row r="4" spans="1:10" s="105" customFormat="1" ht="15" thickBot="1" x14ac:dyDescent="0.4"/>
    <row r="5" spans="1:10" ht="15" thickTop="1" x14ac:dyDescent="0.35">
      <c r="A5" s="78"/>
      <c r="B5" s="79"/>
      <c r="C5" s="19"/>
      <c r="D5" s="19"/>
      <c r="E5" s="19"/>
      <c r="F5" s="19"/>
      <c r="G5" s="19"/>
      <c r="H5" s="19"/>
      <c r="I5" s="19"/>
      <c r="J5" s="19"/>
    </row>
    <row r="6" spans="1:10" x14ac:dyDescent="0.35">
      <c r="A6" s="64" t="s">
        <v>369</v>
      </c>
      <c r="D6" s="19"/>
      <c r="E6" s="19"/>
      <c r="F6" s="19"/>
      <c r="G6" s="19"/>
      <c r="H6" s="19"/>
      <c r="I6" s="19"/>
      <c r="J6" s="19"/>
    </row>
    <row r="7" spans="1:10" x14ac:dyDescent="0.35">
      <c r="A7" s="183" t="s">
        <v>370</v>
      </c>
      <c r="B7" s="55">
        <v>0.52200000000000002</v>
      </c>
      <c r="C7" s="56" t="s">
        <v>399</v>
      </c>
      <c r="D7" s="19"/>
      <c r="E7" s="19"/>
      <c r="F7" s="19"/>
      <c r="G7" s="19"/>
      <c r="H7" s="19"/>
      <c r="I7" s="19"/>
      <c r="J7" s="19"/>
    </row>
    <row r="8" spans="1:10" x14ac:dyDescent="0.35">
      <c r="A8" s="58" t="s">
        <v>371</v>
      </c>
      <c r="B8" s="19">
        <v>1</v>
      </c>
      <c r="C8" s="57" t="s">
        <v>400</v>
      </c>
      <c r="D8" s="19"/>
      <c r="E8" s="19"/>
      <c r="F8" s="19"/>
      <c r="G8" s="19"/>
      <c r="H8" s="19"/>
      <c r="I8" s="19"/>
      <c r="J8" s="19"/>
    </row>
    <row r="9" spans="1:10" x14ac:dyDescent="0.35">
      <c r="A9" s="184" t="s">
        <v>372</v>
      </c>
      <c r="B9" s="61">
        <v>21.7</v>
      </c>
      <c r="C9" s="62" t="s">
        <v>373</v>
      </c>
      <c r="D9" s="19"/>
      <c r="E9" s="19"/>
      <c r="F9" s="19"/>
      <c r="H9" s="19"/>
      <c r="I9" s="19"/>
      <c r="J9" s="19"/>
    </row>
    <row r="10" spans="1:10" x14ac:dyDescent="0.35">
      <c r="D10" s="19"/>
      <c r="E10" s="19"/>
      <c r="F10" s="19"/>
      <c r="H10" s="19"/>
      <c r="I10" s="19"/>
      <c r="J10" s="19"/>
    </row>
    <row r="11" spans="1:10" x14ac:dyDescent="0.35">
      <c r="A11" s="39" t="s">
        <v>374</v>
      </c>
      <c r="B11" s="224" t="s">
        <v>408</v>
      </c>
      <c r="C11" s="225"/>
      <c r="D11" s="226" t="s">
        <v>377</v>
      </c>
      <c r="E11" s="227"/>
      <c r="F11" s="19"/>
      <c r="H11" s="19"/>
      <c r="I11" s="19"/>
      <c r="J11" s="19"/>
    </row>
    <row r="12" spans="1:10" x14ac:dyDescent="0.35">
      <c r="A12" s="78" t="s">
        <v>354</v>
      </c>
      <c r="B12" s="19" t="s">
        <v>101</v>
      </c>
      <c r="C12" s="19" t="s">
        <v>114</v>
      </c>
      <c r="D12" s="19" t="s">
        <v>375</v>
      </c>
      <c r="E12" s="19" t="s">
        <v>376</v>
      </c>
      <c r="F12" s="19"/>
      <c r="H12" s="19"/>
      <c r="I12" s="19"/>
      <c r="J12" s="19"/>
    </row>
    <row r="13" spans="1:10" x14ac:dyDescent="0.35">
      <c r="A13" s="207">
        <v>100</v>
      </c>
      <c r="B13" s="205">
        <v>12.4438179567767</v>
      </c>
      <c r="C13" s="205">
        <v>10.5351309291426</v>
      </c>
      <c r="D13" s="185">
        <v>12.4438179567767</v>
      </c>
      <c r="E13" s="185">
        <v>10.5351309291426</v>
      </c>
      <c r="F13" s="19"/>
      <c r="H13" s="19"/>
      <c r="I13" s="19"/>
      <c r="J13" s="19"/>
    </row>
    <row r="14" spans="1:10" x14ac:dyDescent="0.35">
      <c r="A14" s="207">
        <v>200</v>
      </c>
      <c r="B14" s="205">
        <v>13.6352359135534</v>
      </c>
      <c r="C14" s="205">
        <v>21.0702618582852</v>
      </c>
      <c r="D14" s="185">
        <v>24.8876359135534</v>
      </c>
      <c r="E14" s="185">
        <v>21.0702618582852</v>
      </c>
      <c r="F14" s="19"/>
      <c r="H14" s="19"/>
      <c r="I14" s="19"/>
      <c r="J14" s="19"/>
    </row>
    <row r="15" spans="1:10" x14ac:dyDescent="0.35">
      <c r="A15" s="207">
        <v>300</v>
      </c>
      <c r="B15" s="205">
        <v>14.826653870330199</v>
      </c>
      <c r="C15" s="205">
        <v>31.6053927874278</v>
      </c>
      <c r="D15" s="185">
        <v>37.331453870330201</v>
      </c>
      <c r="E15" s="185">
        <v>31.6053927874278</v>
      </c>
      <c r="F15" s="19"/>
      <c r="H15" s="19"/>
      <c r="I15" s="19"/>
      <c r="J15" s="19"/>
    </row>
    <row r="16" spans="1:10" x14ac:dyDescent="0.35">
      <c r="A16" s="207">
        <v>400</v>
      </c>
      <c r="B16" s="205">
        <v>16.018071827106901</v>
      </c>
      <c r="C16" s="205">
        <v>42.140523716570399</v>
      </c>
      <c r="D16" s="185">
        <v>49.775271827106899</v>
      </c>
      <c r="E16" s="185">
        <v>42.140523716570399</v>
      </c>
      <c r="F16" s="19"/>
      <c r="H16" s="19"/>
      <c r="I16" s="19"/>
      <c r="J16" s="19"/>
    </row>
    <row r="17" spans="1:10" x14ac:dyDescent="0.35">
      <c r="A17" s="207">
        <v>500</v>
      </c>
      <c r="B17" s="205">
        <v>17.209489783883601</v>
      </c>
      <c r="C17" s="206">
        <v>52.675654645713003</v>
      </c>
      <c r="D17" s="122">
        <v>62.219089783883597</v>
      </c>
      <c r="E17" s="122">
        <v>52.675654645713003</v>
      </c>
      <c r="F17" s="19"/>
      <c r="H17" s="19"/>
      <c r="I17" s="19"/>
      <c r="J17" s="19"/>
    </row>
    <row r="18" spans="1:10" x14ac:dyDescent="0.35">
      <c r="A18" s="207">
        <v>600</v>
      </c>
      <c r="B18" s="205">
        <v>18.400907740660401</v>
      </c>
      <c r="C18" s="206">
        <v>63.210785574855599</v>
      </c>
      <c r="D18" s="122">
        <v>74.662907740660401</v>
      </c>
      <c r="E18" s="122">
        <v>63.210785574855599</v>
      </c>
      <c r="F18" s="19"/>
      <c r="H18" s="19"/>
      <c r="I18" s="19"/>
      <c r="J18" s="19"/>
    </row>
    <row r="19" spans="1:10" x14ac:dyDescent="0.35">
      <c r="A19" s="207">
        <v>700</v>
      </c>
      <c r="B19" s="206">
        <v>19.592325697437101</v>
      </c>
      <c r="C19" s="206">
        <v>73.745916503998203</v>
      </c>
      <c r="D19" s="122">
        <v>87.106725697437099</v>
      </c>
      <c r="E19" s="122">
        <v>73.745916503998203</v>
      </c>
      <c r="F19" s="19"/>
      <c r="H19" s="19"/>
      <c r="I19" s="19"/>
      <c r="J19" s="19"/>
    </row>
    <row r="20" spans="1:10" x14ac:dyDescent="0.35">
      <c r="A20" s="207">
        <v>800</v>
      </c>
      <c r="B20" s="206">
        <v>20.7837436542139</v>
      </c>
      <c r="C20" s="206">
        <v>84.281047433140799</v>
      </c>
      <c r="D20" s="122">
        <v>99.550543654213897</v>
      </c>
      <c r="E20" s="122">
        <v>84.281047433140799</v>
      </c>
      <c r="F20" s="19"/>
      <c r="H20" s="19"/>
      <c r="I20" s="19"/>
      <c r="J20" s="19"/>
    </row>
    <row r="21" spans="1:10" x14ac:dyDescent="0.35">
      <c r="A21" s="207">
        <v>900</v>
      </c>
      <c r="B21" s="206">
        <v>21.9751616109906</v>
      </c>
      <c r="C21" s="206">
        <v>94.816178362283395</v>
      </c>
      <c r="D21" s="122">
        <v>111.99436161099</v>
      </c>
      <c r="E21" s="122">
        <v>94.816178362283395</v>
      </c>
      <c r="F21" s="19"/>
      <c r="H21" s="19"/>
      <c r="I21" s="19"/>
      <c r="J21" s="19"/>
    </row>
    <row r="22" spans="1:10" x14ac:dyDescent="0.35">
      <c r="A22" s="207">
        <v>1000</v>
      </c>
      <c r="B22" s="206">
        <v>23.1665795677673</v>
      </c>
      <c r="C22" s="206">
        <v>105.35130929142601</v>
      </c>
      <c r="D22" s="122">
        <v>124.43817956776699</v>
      </c>
      <c r="E22" s="122">
        <v>105.35130929142601</v>
      </c>
      <c r="F22" s="19"/>
      <c r="H22" s="19"/>
      <c r="I22" s="19"/>
      <c r="J22" s="19"/>
    </row>
    <row r="23" spans="1:10" x14ac:dyDescent="0.35">
      <c r="A23" s="207">
        <v>1100</v>
      </c>
      <c r="B23" s="206">
        <v>24.3579975245441</v>
      </c>
      <c r="C23" s="206">
        <v>115.88644022056801</v>
      </c>
      <c r="D23" s="122">
        <v>136.881997524544</v>
      </c>
      <c r="E23" s="122">
        <v>115.88644022056801</v>
      </c>
      <c r="F23" s="19"/>
      <c r="H23" s="19"/>
      <c r="I23" s="19"/>
      <c r="J23" s="19"/>
    </row>
    <row r="24" spans="1:10" x14ac:dyDescent="0.35">
      <c r="A24" s="207">
        <v>1200</v>
      </c>
      <c r="B24" s="206">
        <v>25.5494154813208</v>
      </c>
      <c r="C24" s="206">
        <v>126.421571149711</v>
      </c>
      <c r="D24" s="122">
        <v>149.32581548132001</v>
      </c>
      <c r="E24" s="122">
        <v>126.421571149711</v>
      </c>
      <c r="F24" s="19"/>
      <c r="H24" s="19"/>
      <c r="I24" s="19"/>
      <c r="J24" s="19"/>
    </row>
    <row r="25" spans="1:10" x14ac:dyDescent="0.35">
      <c r="A25" s="207">
        <v>1300</v>
      </c>
      <c r="B25" s="206">
        <v>26.7408334380975</v>
      </c>
      <c r="C25" s="206">
        <v>136.956702078853</v>
      </c>
      <c r="D25" s="122">
        <v>161.769633438097</v>
      </c>
      <c r="E25" s="122">
        <v>136.956702078853</v>
      </c>
      <c r="F25" s="19"/>
      <c r="H25" s="19"/>
      <c r="I25" s="19"/>
      <c r="J25" s="19"/>
    </row>
    <row r="26" spans="1:10" x14ac:dyDescent="0.35">
      <c r="A26" s="207">
        <v>1400</v>
      </c>
      <c r="B26" s="206">
        <v>27.932251394874299</v>
      </c>
      <c r="C26" s="206">
        <v>147.49183300799601</v>
      </c>
      <c r="D26" s="122">
        <v>174.213451394874</v>
      </c>
      <c r="E26" s="122">
        <v>147.49183300799601</v>
      </c>
      <c r="F26" s="19"/>
      <c r="H26" s="19"/>
      <c r="I26" s="19"/>
      <c r="J26" s="19"/>
    </row>
    <row r="27" spans="1:10" x14ac:dyDescent="0.35">
      <c r="A27" s="207">
        <v>1500</v>
      </c>
      <c r="B27" s="206">
        <v>29.123669351650999</v>
      </c>
      <c r="C27" s="206">
        <v>158.02696393713899</v>
      </c>
      <c r="D27" s="122">
        <v>186.657269351651</v>
      </c>
      <c r="E27" s="122">
        <v>158.02696393713899</v>
      </c>
      <c r="F27" s="19"/>
      <c r="H27" s="19"/>
      <c r="I27" s="19"/>
      <c r="J27" s="19"/>
    </row>
    <row r="28" spans="1:10" x14ac:dyDescent="0.35">
      <c r="A28" s="207">
        <v>1600</v>
      </c>
      <c r="B28" s="206">
        <v>30.315087308427799</v>
      </c>
      <c r="C28" s="206">
        <v>168.562094866281</v>
      </c>
      <c r="D28" s="122">
        <v>199.101087308427</v>
      </c>
      <c r="E28" s="122">
        <v>168.562094866281</v>
      </c>
      <c r="F28" s="19"/>
      <c r="H28" s="19"/>
      <c r="I28" s="19"/>
      <c r="J28" s="19"/>
    </row>
    <row r="29" spans="1:10" x14ac:dyDescent="0.35">
      <c r="A29" s="207">
        <v>1700</v>
      </c>
      <c r="B29" s="206">
        <v>31.506505265204499</v>
      </c>
      <c r="C29" s="206">
        <v>179.09722579542401</v>
      </c>
      <c r="D29" s="122">
        <v>211.54490526520399</v>
      </c>
      <c r="E29" s="122">
        <v>179.09722579542401</v>
      </c>
      <c r="F29" s="19"/>
      <c r="H29" s="19"/>
      <c r="I29" s="19"/>
      <c r="J29" s="19"/>
    </row>
    <row r="30" spans="1:10" x14ac:dyDescent="0.35">
      <c r="A30" s="207">
        <v>1800</v>
      </c>
      <c r="B30" s="206">
        <v>32.697923221981199</v>
      </c>
      <c r="C30" s="206">
        <v>189.63235672456599</v>
      </c>
      <c r="D30" s="122">
        <v>223.98872322198099</v>
      </c>
      <c r="E30" s="122">
        <v>189.63235672456599</v>
      </c>
      <c r="F30" s="19"/>
      <c r="H30" s="19"/>
      <c r="I30" s="19"/>
      <c r="J30" s="19"/>
    </row>
    <row r="31" spans="1:10" x14ac:dyDescent="0.35">
      <c r="A31" s="207">
        <v>1900</v>
      </c>
      <c r="B31" s="206">
        <v>33.889341178758002</v>
      </c>
      <c r="C31" s="206">
        <v>200.167487653709</v>
      </c>
      <c r="D31" s="122">
        <v>236.43254117875799</v>
      </c>
      <c r="E31" s="122">
        <v>200.167487653709</v>
      </c>
      <c r="F31" s="19"/>
      <c r="H31" s="19"/>
      <c r="I31" s="19"/>
      <c r="J31" s="19"/>
    </row>
    <row r="32" spans="1:10" x14ac:dyDescent="0.35">
      <c r="A32" s="207">
        <v>2000</v>
      </c>
      <c r="B32" s="206">
        <v>35.080759135534699</v>
      </c>
      <c r="C32" s="206">
        <v>210.70261858285201</v>
      </c>
      <c r="D32" s="122">
        <v>248.87635913553399</v>
      </c>
      <c r="E32" s="122">
        <v>210.70261858285201</v>
      </c>
      <c r="F32" s="19"/>
      <c r="H32" s="19"/>
      <c r="I32" s="19"/>
      <c r="J32" s="19"/>
    </row>
    <row r="33" spans="1:10" x14ac:dyDescent="0.35">
      <c r="A33" s="207">
        <v>2100</v>
      </c>
      <c r="B33" s="206">
        <v>36.272177092311402</v>
      </c>
      <c r="C33" s="206">
        <v>221.237749511994</v>
      </c>
      <c r="D33" s="122">
        <v>261.32017709231098</v>
      </c>
      <c r="E33" s="122">
        <v>221.237749511994</v>
      </c>
      <c r="F33" s="19"/>
      <c r="H33" s="19"/>
      <c r="I33" s="19"/>
      <c r="J33" s="19"/>
    </row>
    <row r="34" spans="1:10" x14ac:dyDescent="0.35">
      <c r="A34" s="207">
        <v>2200</v>
      </c>
      <c r="B34" s="206">
        <v>37.463595049088198</v>
      </c>
      <c r="C34" s="206">
        <v>231.772880441137</v>
      </c>
      <c r="D34" s="122">
        <v>273.76399504908801</v>
      </c>
      <c r="E34" s="122">
        <v>231.772880441137</v>
      </c>
      <c r="F34" s="19"/>
      <c r="G34" s="19"/>
      <c r="H34" s="19"/>
      <c r="I34" s="19"/>
      <c r="J34" s="19"/>
    </row>
    <row r="35" spans="1:10" x14ac:dyDescent="0.35">
      <c r="A35" s="207">
        <v>2300</v>
      </c>
      <c r="B35" s="206">
        <v>38.655013005864902</v>
      </c>
      <c r="C35" s="206">
        <v>242.30801137027899</v>
      </c>
      <c r="D35" s="122">
        <v>286.20781300586498</v>
      </c>
      <c r="E35" s="122">
        <v>242.30801137028001</v>
      </c>
      <c r="F35" s="19"/>
      <c r="G35" s="19"/>
      <c r="H35" s="19"/>
      <c r="I35" s="19"/>
      <c r="J35" s="19"/>
    </row>
    <row r="36" spans="1:10" x14ac:dyDescent="0.35">
      <c r="A36" s="207">
        <v>2400</v>
      </c>
      <c r="B36" s="206">
        <v>39.846430962641698</v>
      </c>
      <c r="C36" s="206">
        <v>252.843142299422</v>
      </c>
      <c r="D36" s="122">
        <v>298.65163096264098</v>
      </c>
      <c r="E36" s="122">
        <v>252.843142299422</v>
      </c>
      <c r="F36" s="19"/>
      <c r="G36" s="19"/>
      <c r="H36" s="19"/>
      <c r="I36" s="19"/>
      <c r="J36" s="19"/>
    </row>
    <row r="37" spans="1:10" x14ac:dyDescent="0.35">
      <c r="A37" s="207">
        <v>2500</v>
      </c>
      <c r="B37" s="206">
        <v>41.037848919418401</v>
      </c>
      <c r="C37" s="206">
        <v>263.37827322856498</v>
      </c>
      <c r="D37" s="122">
        <v>311.095448919418</v>
      </c>
      <c r="E37" s="122">
        <v>263.37827322856498</v>
      </c>
    </row>
    <row r="39" spans="1:10" x14ac:dyDescent="0.35">
      <c r="A39" s="193" t="s">
        <v>381</v>
      </c>
    </row>
    <row r="40" spans="1:10" x14ac:dyDescent="0.35">
      <c r="A40" s="1" t="s">
        <v>353</v>
      </c>
      <c r="B40" s="1">
        <v>2000</v>
      </c>
      <c r="C40" s="1" t="s">
        <v>15</v>
      </c>
    </row>
    <row r="41" spans="1:10" x14ac:dyDescent="0.35">
      <c r="A41" s="1" t="s">
        <v>382</v>
      </c>
      <c r="B41" s="194">
        <f>SLOPE(B13:B37,A13:A37)*B40+INTERCEPT(B13:B37,A13:A37)</f>
        <v>35.080759135534706</v>
      </c>
      <c r="C41" s="1" t="s">
        <v>18</v>
      </c>
      <c r="D41" s="1" t="s">
        <v>383</v>
      </c>
    </row>
    <row r="42" spans="1:10" x14ac:dyDescent="0.35">
      <c r="A42" s="1" t="s">
        <v>53</v>
      </c>
      <c r="B42" s="195">
        <f>SLOPE(C13:C37,A13:A37)*B40+INTERCEPT(C13:C37,A13:A37)</f>
        <v>210.70261858285164</v>
      </c>
      <c r="C42" s="1" t="s">
        <v>15</v>
      </c>
      <c r="D42" s="1" t="s">
        <v>383</v>
      </c>
    </row>
    <row r="43" spans="1:10" x14ac:dyDescent="0.35">
      <c r="B43" s="19"/>
    </row>
    <row r="46" spans="1:10" s="3" customFormat="1" ht="21" x14ac:dyDescent="0.5">
      <c r="A46" s="2" t="s">
        <v>401</v>
      </c>
    </row>
    <row r="48" spans="1:10" x14ac:dyDescent="0.35">
      <c r="A48" s="48" t="s">
        <v>73</v>
      </c>
      <c r="B48" s="55"/>
      <c r="C48" s="55"/>
      <c r="D48" s="55"/>
      <c r="E48" s="55"/>
      <c r="F48" s="55"/>
      <c r="G48" s="55"/>
      <c r="H48" s="55"/>
      <c r="I48" s="55"/>
      <c r="J48" s="56"/>
    </row>
    <row r="49" spans="1:10" x14ac:dyDescent="0.35">
      <c r="A49" s="8" t="s">
        <v>77</v>
      </c>
      <c r="B49" s="19">
        <v>100</v>
      </c>
      <c r="C49" s="19" t="s">
        <v>15</v>
      </c>
      <c r="D49" s="19"/>
      <c r="E49" s="19"/>
      <c r="F49" s="19"/>
      <c r="G49" s="19"/>
      <c r="H49" s="19"/>
      <c r="I49" s="19"/>
      <c r="J49" s="57"/>
    </row>
    <row r="50" spans="1:10" x14ac:dyDescent="0.35">
      <c r="A50" s="8" t="s">
        <v>74</v>
      </c>
      <c r="B50" s="19">
        <v>1</v>
      </c>
      <c r="C50" s="19" t="s">
        <v>75</v>
      </c>
      <c r="D50" s="19"/>
      <c r="E50" s="19"/>
      <c r="F50" s="19"/>
      <c r="G50" s="19"/>
      <c r="H50" s="19"/>
      <c r="I50" s="19"/>
      <c r="J50" s="57"/>
    </row>
    <row r="51" spans="1:10" x14ac:dyDescent="0.35">
      <c r="A51" s="8" t="s">
        <v>76</v>
      </c>
      <c r="B51" s="19">
        <v>2</v>
      </c>
      <c r="C51" s="19"/>
      <c r="D51" s="19"/>
      <c r="E51" s="19"/>
      <c r="F51" s="19"/>
      <c r="G51" s="19"/>
      <c r="H51" s="19"/>
      <c r="I51" s="19"/>
      <c r="J51" s="57"/>
    </row>
    <row r="52" spans="1:10" x14ac:dyDescent="0.35">
      <c r="A52" s="8"/>
      <c r="B52" s="19"/>
      <c r="C52" s="19"/>
      <c r="D52" s="19"/>
      <c r="E52" s="19"/>
      <c r="F52" s="19"/>
      <c r="G52" s="19"/>
      <c r="H52" s="19"/>
      <c r="I52" s="19"/>
      <c r="J52" s="57"/>
    </row>
    <row r="53" spans="1:10" x14ac:dyDescent="0.35">
      <c r="A53" s="8"/>
      <c r="B53" s="19"/>
      <c r="C53" s="19"/>
      <c r="D53" s="19"/>
      <c r="E53" s="19"/>
      <c r="F53" s="19"/>
      <c r="G53" s="19"/>
      <c r="H53" s="19"/>
      <c r="I53" s="19"/>
      <c r="J53" s="57"/>
    </row>
    <row r="54" spans="1:10" x14ac:dyDescent="0.35">
      <c r="A54" s="7" t="s">
        <v>100</v>
      </c>
      <c r="B54" s="19"/>
      <c r="C54" s="19"/>
      <c r="D54" s="19"/>
      <c r="E54" s="19"/>
      <c r="F54" s="19"/>
      <c r="G54" s="19"/>
      <c r="H54" s="19"/>
      <c r="I54" s="19"/>
      <c r="J54" s="57"/>
    </row>
    <row r="55" spans="1:10" x14ac:dyDescent="0.35">
      <c r="A55" s="8" t="s">
        <v>79</v>
      </c>
      <c r="B55" s="19">
        <f>0.11*1000</f>
        <v>110</v>
      </c>
      <c r="C55" s="19" t="s">
        <v>99</v>
      </c>
      <c r="D55" s="19" t="s">
        <v>398</v>
      </c>
      <c r="E55" s="19"/>
      <c r="F55" s="19"/>
      <c r="G55" s="19"/>
      <c r="H55" s="19"/>
      <c r="I55" s="19"/>
      <c r="J55" s="57"/>
    </row>
    <row r="56" spans="1:10" x14ac:dyDescent="0.35">
      <c r="A56" s="8" t="s">
        <v>53</v>
      </c>
      <c r="B56" s="19">
        <v>11.1</v>
      </c>
      <c r="C56" s="19" t="s">
        <v>15</v>
      </c>
      <c r="D56" s="19" t="s">
        <v>398</v>
      </c>
      <c r="E56" s="19"/>
      <c r="F56" s="19"/>
      <c r="G56" s="19"/>
      <c r="H56" s="19"/>
      <c r="I56" s="19"/>
      <c r="J56" s="57"/>
    </row>
    <row r="57" spans="1:10" x14ac:dyDescent="0.35">
      <c r="A57" s="8"/>
      <c r="B57" s="19"/>
      <c r="C57" s="19"/>
      <c r="D57" s="19"/>
      <c r="E57" s="19"/>
      <c r="F57" s="19"/>
      <c r="G57" s="19"/>
      <c r="H57" s="19"/>
      <c r="I57" s="19"/>
      <c r="J57" s="57"/>
    </row>
    <row r="58" spans="1:10" x14ac:dyDescent="0.35">
      <c r="A58" s="7" t="s">
        <v>101</v>
      </c>
      <c r="B58" s="19">
        <v>12.6</v>
      </c>
      <c r="C58" s="19" t="s">
        <v>106</v>
      </c>
      <c r="D58" s="19"/>
      <c r="E58" s="19"/>
      <c r="F58" s="19"/>
      <c r="G58" s="19"/>
      <c r="H58" s="19"/>
      <c r="I58" s="19"/>
      <c r="J58" s="57"/>
    </row>
    <row r="59" spans="1:10" x14ac:dyDescent="0.35">
      <c r="A59" s="8"/>
      <c r="B59" s="19">
        <v>10</v>
      </c>
      <c r="C59" s="19" t="s">
        <v>225</v>
      </c>
      <c r="D59" s="19"/>
      <c r="E59" s="19"/>
      <c r="F59" s="19"/>
      <c r="G59" s="19"/>
      <c r="H59" s="19"/>
      <c r="I59" s="19"/>
      <c r="J59" s="57"/>
    </row>
    <row r="60" spans="1:10" x14ac:dyDescent="0.35">
      <c r="A60" s="8"/>
      <c r="B60" s="19">
        <v>15</v>
      </c>
      <c r="C60" s="19" t="s">
        <v>226</v>
      </c>
      <c r="D60" s="19"/>
      <c r="E60" s="19"/>
      <c r="F60" s="19"/>
      <c r="G60" s="19"/>
      <c r="H60" s="19"/>
      <c r="I60" s="19"/>
      <c r="J60" s="57"/>
    </row>
    <row r="61" spans="1:10" x14ac:dyDescent="0.35">
      <c r="A61" s="58"/>
      <c r="B61" s="38">
        <v>8.5</v>
      </c>
      <c r="C61" s="38" t="s">
        <v>203</v>
      </c>
      <c r="H61" s="19"/>
      <c r="I61" s="19"/>
      <c r="J61" s="57"/>
    </row>
    <row r="62" spans="1:10" x14ac:dyDescent="0.35">
      <c r="A62" s="59" t="s">
        <v>102</v>
      </c>
      <c r="B62" s="60">
        <f>AVERAGE(B58:B61)</f>
        <v>11.525</v>
      </c>
      <c r="C62" s="61"/>
      <c r="D62" s="61"/>
      <c r="E62" s="61"/>
      <c r="F62" s="61"/>
      <c r="G62" s="61"/>
      <c r="H62" s="61"/>
      <c r="I62" s="61"/>
      <c r="J62" s="62"/>
    </row>
    <row r="63" spans="1:10" x14ac:dyDescent="0.35">
      <c r="A63" s="58"/>
      <c r="B63" s="79"/>
      <c r="C63" s="19"/>
      <c r="D63" s="19"/>
      <c r="E63" s="19"/>
      <c r="F63" s="19"/>
      <c r="G63" s="19"/>
      <c r="H63" s="19"/>
      <c r="I63" s="19"/>
      <c r="J63" s="57"/>
    </row>
    <row r="64" spans="1:10" x14ac:dyDescent="0.35">
      <c r="A64" s="18" t="s">
        <v>4</v>
      </c>
      <c r="B64" s="104">
        <f>400*220*80*0.000001</f>
        <v>7.04</v>
      </c>
      <c r="C64" s="38" t="s">
        <v>203</v>
      </c>
      <c r="D64" s="19"/>
      <c r="E64" s="19"/>
      <c r="F64" s="19"/>
      <c r="G64" s="19"/>
      <c r="H64" s="19"/>
      <c r="I64" s="19"/>
      <c r="J64" s="57"/>
    </row>
    <row r="65" spans="1:15" x14ac:dyDescent="0.35">
      <c r="A65" s="18"/>
      <c r="B65" s="104">
        <f>310.7*154.4*191.5*0.000001</f>
        <v>9.1866533199999996</v>
      </c>
      <c r="C65" s="19" t="s">
        <v>225</v>
      </c>
      <c r="D65" s="19"/>
      <c r="E65" s="19"/>
      <c r="F65" s="19"/>
      <c r="G65" s="19"/>
      <c r="H65" s="19"/>
      <c r="I65" s="19"/>
      <c r="J65" s="57"/>
    </row>
    <row r="66" spans="1:15" x14ac:dyDescent="0.35">
      <c r="A66" s="80"/>
      <c r="B66" s="60">
        <f>AVERAGE(B64:B65)</f>
        <v>8.1133266600000002</v>
      </c>
      <c r="C66" s="61"/>
      <c r="D66" s="61"/>
      <c r="E66" s="61"/>
      <c r="F66" s="61"/>
      <c r="G66" s="61"/>
      <c r="H66" s="61"/>
      <c r="I66" s="61"/>
      <c r="J66" s="62"/>
    </row>
    <row r="71" spans="1:15" s="3" customFormat="1" ht="21" x14ac:dyDescent="0.5">
      <c r="A71" s="2" t="s">
        <v>222</v>
      </c>
    </row>
    <row r="72" spans="1:15" x14ac:dyDescent="0.35">
      <c r="O72" s="103"/>
    </row>
    <row r="90" spans="4:4" x14ac:dyDescent="0.35">
      <c r="D90" s="122"/>
    </row>
    <row r="91" spans="4:4" x14ac:dyDescent="0.35">
      <c r="D91" s="122"/>
    </row>
    <row r="92" spans="4:4" x14ac:dyDescent="0.35">
      <c r="D92" s="122"/>
    </row>
    <row r="93" spans="4:4" x14ac:dyDescent="0.35">
      <c r="D93" s="122"/>
    </row>
    <row r="94" spans="4:4" x14ac:dyDescent="0.35">
      <c r="D94" s="122"/>
    </row>
    <row r="96" spans="4:4" ht="15" thickBot="1" x14ac:dyDescent="0.4"/>
    <row r="97" spans="1:19" x14ac:dyDescent="0.35">
      <c r="A97" s="121" t="s">
        <v>242</v>
      </c>
      <c r="K97" s="221" t="s">
        <v>246</v>
      </c>
      <c r="L97" s="222"/>
      <c r="M97" s="222"/>
      <c r="N97" s="223"/>
      <c r="O97" s="221" t="s">
        <v>247</v>
      </c>
      <c r="P97" s="222"/>
      <c r="Q97" s="222"/>
      <c r="R97" s="223"/>
    </row>
    <row r="98" spans="1:19" x14ac:dyDescent="0.35">
      <c r="A98" s="5" t="s">
        <v>204</v>
      </c>
      <c r="B98" s="5" t="s">
        <v>215</v>
      </c>
      <c r="C98" s="5" t="s">
        <v>214</v>
      </c>
      <c r="D98" s="5" t="s">
        <v>216</v>
      </c>
      <c r="E98" s="5" t="s">
        <v>217</v>
      </c>
      <c r="F98" s="5" t="s">
        <v>221</v>
      </c>
      <c r="G98" s="5" t="s">
        <v>218</v>
      </c>
      <c r="H98" s="5" t="s">
        <v>212</v>
      </c>
      <c r="I98" s="5" t="s">
        <v>219</v>
      </c>
      <c r="J98" s="5" t="s">
        <v>213</v>
      </c>
      <c r="K98" s="123" t="s">
        <v>245</v>
      </c>
      <c r="L98" s="18" t="s">
        <v>220</v>
      </c>
      <c r="M98" s="18" t="s">
        <v>224</v>
      </c>
      <c r="N98" s="124" t="s">
        <v>241</v>
      </c>
      <c r="O98" s="123" t="s">
        <v>245</v>
      </c>
      <c r="P98" s="18" t="s">
        <v>220</v>
      </c>
      <c r="Q98" s="18" t="s">
        <v>224</v>
      </c>
      <c r="R98" s="124" t="s">
        <v>241</v>
      </c>
      <c r="S98" s="5" t="s">
        <v>244</v>
      </c>
    </row>
    <row r="99" spans="1:19" x14ac:dyDescent="0.35">
      <c r="A99">
        <v>0</v>
      </c>
      <c r="B99">
        <f>0.3048*A99</f>
        <v>0</v>
      </c>
      <c r="C99" t="e">
        <f ca="1">[1]!Tstatic(B99,0)</f>
        <v>#NAME?</v>
      </c>
      <c r="D99">
        <v>55</v>
      </c>
      <c r="E99" s="69">
        <f>273.15+D99</f>
        <v>328.15</v>
      </c>
      <c r="F99">
        <v>0</v>
      </c>
      <c r="G99" t="e">
        <f ca="1">[1]!Mach_Vtas(B99,F99,E99-C99)</f>
        <v>#NAME?</v>
      </c>
      <c r="H99" s="102" t="e">
        <f ca="1">[1]!Pstatic(B99)</f>
        <v>#NAME?</v>
      </c>
      <c r="I99" s="102" t="e">
        <f ca="1">[1]!Pdyn(H99,G99)</f>
        <v>#NAME?</v>
      </c>
      <c r="J99" s="102" t="e">
        <f ca="1">[1]!Ptotal(H99,G99)</f>
        <v>#NAME?</v>
      </c>
      <c r="K99" s="125">
        <v>101325</v>
      </c>
      <c r="L99" s="126">
        <v>11.25</v>
      </c>
      <c r="M99" s="19">
        <v>0</v>
      </c>
      <c r="N99" s="127">
        <v>54.85</v>
      </c>
      <c r="O99" s="125">
        <v>101325</v>
      </c>
      <c r="P99" s="126">
        <v>12</v>
      </c>
      <c r="Q99" s="19">
        <v>7.1</v>
      </c>
      <c r="R99" s="127">
        <v>112.4</v>
      </c>
      <c r="S99">
        <v>80</v>
      </c>
    </row>
    <row r="100" spans="1:19" x14ac:dyDescent="0.35">
      <c r="A100">
        <v>5000</v>
      </c>
      <c r="B100">
        <f t="shared" ref="B100:B103" si="0">0.3048*A100</f>
        <v>1524</v>
      </c>
      <c r="C100" t="e">
        <f ca="1">[1]!Tstatic(B100,0)</f>
        <v>#NAME?</v>
      </c>
      <c r="D100" s="69" t="e">
        <f ca="1">[1]!Interpolation_lin(($A$99,$A$105),($D$99,$D$105),A100)</f>
        <v>#NAME?</v>
      </c>
      <c r="E100" s="69" t="e">
        <f t="shared" ref="E100:E103" ca="1" si="1">273.15+D100</f>
        <v>#NAME?</v>
      </c>
      <c r="F100">
        <v>94</v>
      </c>
      <c r="G100" t="e">
        <f ca="1">[1]!Mach_Vtas(B100,F100,E100-C100)</f>
        <v>#NAME?</v>
      </c>
      <c r="H100" s="102" t="e">
        <f ca="1">[1]!Pstatic(B100)</f>
        <v>#NAME?</v>
      </c>
      <c r="I100" s="102" t="e">
        <f ca="1">[1]!Pdyn(H100,G100)</f>
        <v>#NAME?</v>
      </c>
      <c r="J100" s="102" t="e">
        <f ca="1">[1]!Ptotal(H100,G100)</f>
        <v>#NAME?</v>
      </c>
      <c r="K100" s="125">
        <v>101325</v>
      </c>
      <c r="L100" s="19">
        <v>11.46</v>
      </c>
      <c r="M100" s="19">
        <v>1.86</v>
      </c>
      <c r="N100" s="127">
        <v>62.02</v>
      </c>
      <c r="O100" s="125">
        <v>101325</v>
      </c>
      <c r="P100" s="19">
        <v>12.3</v>
      </c>
      <c r="Q100" s="19">
        <v>9.1</v>
      </c>
      <c r="R100" s="127">
        <v>121.4</v>
      </c>
      <c r="S100">
        <v>80</v>
      </c>
    </row>
    <row r="101" spans="1:19" x14ac:dyDescent="0.35">
      <c r="A101">
        <v>10000</v>
      </c>
      <c r="B101">
        <f t="shared" si="0"/>
        <v>3048</v>
      </c>
      <c r="C101" t="e">
        <f ca="1">[1]!Tstatic(B101,0)</f>
        <v>#NAME?</v>
      </c>
      <c r="D101" s="69" t="e">
        <f ca="1">[1]!Interpolation_lin(($A$99,$A$105),($D$99,$D$105),A101)</f>
        <v>#NAME?</v>
      </c>
      <c r="E101" s="69" t="e">
        <f t="shared" ca="1" si="1"/>
        <v>#NAME?</v>
      </c>
      <c r="F101">
        <v>101</v>
      </c>
      <c r="G101" t="e">
        <f ca="1">[1]!Mach_Vtas(B101,F101,E101-C101)</f>
        <v>#NAME?</v>
      </c>
      <c r="H101" s="102" t="e">
        <f ca="1">[1]!Pstatic(B101)</f>
        <v>#NAME?</v>
      </c>
      <c r="I101" s="102" t="e">
        <f ca="1">[1]!Pdyn(H101,G101)</f>
        <v>#NAME?</v>
      </c>
      <c r="J101" s="102" t="e">
        <f ca="1">[1]!Ptotal(H101,G101)</f>
        <v>#NAME?</v>
      </c>
      <c r="K101" s="125">
        <v>101325</v>
      </c>
      <c r="L101" s="19">
        <v>11.8</v>
      </c>
      <c r="M101" s="19">
        <v>4.82</v>
      </c>
      <c r="N101" s="127">
        <v>77.2</v>
      </c>
      <c r="O101" s="125">
        <v>101325</v>
      </c>
      <c r="P101" s="19">
        <v>12.6</v>
      </c>
      <c r="Q101" s="19">
        <v>12.3</v>
      </c>
      <c r="R101" s="127">
        <v>137.9</v>
      </c>
      <c r="S101">
        <v>80</v>
      </c>
    </row>
    <row r="102" spans="1:19" x14ac:dyDescent="0.35">
      <c r="A102">
        <v>15000</v>
      </c>
      <c r="B102">
        <f t="shared" si="0"/>
        <v>4572</v>
      </c>
      <c r="C102" t="e">
        <f ca="1">[1]!Tstatic(B102,0)</f>
        <v>#NAME?</v>
      </c>
      <c r="D102" s="69" t="e">
        <f ca="1">[1]!Interpolation_lin(($A$99,$A$105),($D$99,$D$105),A102)</f>
        <v>#NAME?</v>
      </c>
      <c r="E102" s="69" t="e">
        <f t="shared" ca="1" si="1"/>
        <v>#NAME?</v>
      </c>
      <c r="F102">
        <v>110</v>
      </c>
      <c r="G102" t="e">
        <f ca="1">[1]!Mach_Vtas(B102,F102,E102-C102)</f>
        <v>#NAME?</v>
      </c>
      <c r="H102" s="102" t="e">
        <f ca="1">[1]!Pstatic(B102)</f>
        <v>#NAME?</v>
      </c>
      <c r="I102" s="102" t="e">
        <f ca="1">[1]!Pdyn(H102,G102)</f>
        <v>#NAME?</v>
      </c>
      <c r="J102" s="102" t="e">
        <f ca="1">[1]!Ptotal(H102,G102)</f>
        <v>#NAME?</v>
      </c>
      <c r="K102" s="125">
        <v>101325</v>
      </c>
      <c r="L102" s="19">
        <v>12.14</v>
      </c>
      <c r="M102" s="19">
        <v>7.84</v>
      </c>
      <c r="N102" s="127">
        <v>93.89</v>
      </c>
      <c r="O102" s="125">
        <v>101325</v>
      </c>
      <c r="P102" s="19">
        <v>13</v>
      </c>
      <c r="Q102" s="19">
        <v>15.5</v>
      </c>
      <c r="R102" s="127">
        <v>156</v>
      </c>
      <c r="S102">
        <v>80</v>
      </c>
    </row>
    <row r="103" spans="1:19" ht="15" thickBot="1" x14ac:dyDescent="0.4">
      <c r="A103">
        <v>20000</v>
      </c>
      <c r="B103">
        <f t="shared" si="0"/>
        <v>6096</v>
      </c>
      <c r="C103" t="e">
        <f ca="1">[1]!Tstatic(B103,0)</f>
        <v>#NAME?</v>
      </c>
      <c r="D103" s="69" t="e">
        <f ca="1">[1]!Interpolation_lin(($A$99,$A$105),($D$99,$D$105),A103)</f>
        <v>#NAME?</v>
      </c>
      <c r="E103" s="69" t="e">
        <f t="shared" ca="1" si="1"/>
        <v>#NAME?</v>
      </c>
      <c r="F103">
        <v>140</v>
      </c>
      <c r="G103" t="e">
        <f ca="1">[1]!Mach_Vtas(B103,F103,E103-C103)</f>
        <v>#NAME?</v>
      </c>
      <c r="H103" s="102" t="e">
        <f ca="1">[1]!Pstatic(B103)</f>
        <v>#NAME?</v>
      </c>
      <c r="I103" s="102" t="e">
        <f ca="1">[1]!Pdyn(H103,G103)</f>
        <v>#NAME?</v>
      </c>
      <c r="J103" s="102" t="e">
        <f ca="1">[1]!Ptotal(H103,G103)</f>
        <v>#NAME?</v>
      </c>
      <c r="K103" s="128">
        <v>101325</v>
      </c>
      <c r="L103" s="129">
        <v>12.43</v>
      </c>
      <c r="M103" s="129">
        <v>10.41</v>
      </c>
      <c r="N103" s="130">
        <v>106.76</v>
      </c>
      <c r="O103" s="128">
        <v>101325</v>
      </c>
      <c r="P103" s="129">
        <v>13.3</v>
      </c>
      <c r="Q103" s="129">
        <v>18.2</v>
      </c>
      <c r="R103" s="130">
        <v>170.2</v>
      </c>
      <c r="S103">
        <v>80</v>
      </c>
    </row>
    <row r="104" spans="1:19" x14ac:dyDescent="0.35">
      <c r="A104">
        <v>25000</v>
      </c>
      <c r="D104" s="69" t="e">
        <f ca="1">[1]!Interpolation_lin(($A$99,$A$105),($D$99,$D$105),A104)</f>
        <v>#NAME?</v>
      </c>
    </row>
    <row r="105" spans="1:19" x14ac:dyDescent="0.35">
      <c r="A105">
        <v>30000</v>
      </c>
      <c r="D105">
        <v>5</v>
      </c>
    </row>
    <row r="106" spans="1:19" ht="15" thickBot="1" x14ac:dyDescent="0.4"/>
    <row r="107" spans="1:19" x14ac:dyDescent="0.35">
      <c r="A107" s="121" t="s">
        <v>243</v>
      </c>
      <c r="K107" s="221" t="s">
        <v>246</v>
      </c>
      <c r="L107" s="222"/>
      <c r="M107" s="222"/>
      <c r="N107" s="223"/>
      <c r="O107" s="221" t="s">
        <v>247</v>
      </c>
      <c r="P107" s="222"/>
      <c r="Q107" s="222"/>
      <c r="R107" s="223"/>
    </row>
    <row r="108" spans="1:19" x14ac:dyDescent="0.35">
      <c r="A108" s="5" t="s">
        <v>204</v>
      </c>
      <c r="B108" s="5" t="s">
        <v>215</v>
      </c>
      <c r="C108" s="5" t="s">
        <v>214</v>
      </c>
      <c r="D108" s="5" t="s">
        <v>216</v>
      </c>
      <c r="E108" s="5" t="s">
        <v>217</v>
      </c>
      <c r="F108" s="5" t="s">
        <v>221</v>
      </c>
      <c r="G108" s="5" t="s">
        <v>218</v>
      </c>
      <c r="H108" s="5" t="s">
        <v>212</v>
      </c>
      <c r="I108" s="5" t="s">
        <v>219</v>
      </c>
      <c r="J108" s="5" t="s">
        <v>213</v>
      </c>
      <c r="K108" s="123" t="s">
        <v>245</v>
      </c>
      <c r="L108" s="18" t="s">
        <v>220</v>
      </c>
      <c r="M108" s="18" t="s">
        <v>224</v>
      </c>
      <c r="N108" s="124" t="s">
        <v>241</v>
      </c>
      <c r="O108" s="123" t="s">
        <v>245</v>
      </c>
      <c r="P108" s="18" t="s">
        <v>220</v>
      </c>
      <c r="Q108" s="18" t="s">
        <v>224</v>
      </c>
      <c r="R108" s="124" t="s">
        <v>241</v>
      </c>
      <c r="S108" s="5" t="s">
        <v>244</v>
      </c>
    </row>
    <row r="109" spans="1:19" x14ac:dyDescent="0.35">
      <c r="A109">
        <v>0</v>
      </c>
      <c r="B109">
        <f>0.3048*A109</f>
        <v>0</v>
      </c>
      <c r="C109" t="e">
        <f ca="1">[1]!Tstatic(B109,0)</f>
        <v>#NAME?</v>
      </c>
      <c r="D109" s="15" t="e">
        <f ca="1">E109-273.15</f>
        <v>#NAME?</v>
      </c>
      <c r="E109" s="69" t="e">
        <f ca="1">[1]!Ttotal(C109,G109)</f>
        <v>#NAME?</v>
      </c>
      <c r="F109">
        <v>0</v>
      </c>
      <c r="G109" t="e">
        <f ca="1">[1]!Mach_Vtas(B109,F109,0)</f>
        <v>#NAME?</v>
      </c>
      <c r="H109" s="102" t="e">
        <f ca="1">[1]!Pstatic(B109)</f>
        <v>#NAME?</v>
      </c>
      <c r="I109" s="102" t="e">
        <f ca="1">[1]!Pdyn(H109,G109)</f>
        <v>#NAME?</v>
      </c>
      <c r="J109" s="102" t="e">
        <f ca="1">[1]!Ptotal(H109,G109)</f>
        <v>#NAME?</v>
      </c>
      <c r="K109" s="125">
        <v>101325</v>
      </c>
      <c r="L109" s="126">
        <v>11.25</v>
      </c>
      <c r="M109" s="19">
        <v>0</v>
      </c>
      <c r="N109" s="127">
        <v>14.85</v>
      </c>
      <c r="O109" s="125">
        <v>101325</v>
      </c>
      <c r="P109" s="126">
        <v>11.95</v>
      </c>
      <c r="Q109" s="19">
        <v>6.2</v>
      </c>
      <c r="R109" s="127">
        <v>65.400000000000006</v>
      </c>
      <c r="S109">
        <v>80</v>
      </c>
    </row>
    <row r="110" spans="1:19" x14ac:dyDescent="0.35">
      <c r="A110">
        <v>5000</v>
      </c>
      <c r="B110">
        <f t="shared" ref="B110:B113" si="2">0.3048*A110</f>
        <v>1524</v>
      </c>
      <c r="C110" t="e">
        <f ca="1">[1]!Tstatic(B110,0)</f>
        <v>#NAME?</v>
      </c>
      <c r="D110" s="15" t="e">
        <f t="shared" ref="D110:D112" ca="1" si="3">E110-273.15</f>
        <v>#NAME?</v>
      </c>
      <c r="E110" s="69" t="e">
        <f ca="1">[1]!Ttotal(C110,G110)</f>
        <v>#NAME?</v>
      </c>
      <c r="F110">
        <v>94</v>
      </c>
      <c r="G110" t="e">
        <f ca="1">[1]!Mach_Vtas(B110,F110,0)</f>
        <v>#NAME?</v>
      </c>
      <c r="H110" s="102" t="e">
        <f ca="1">[1]!Pstatic(B110)</f>
        <v>#NAME?</v>
      </c>
      <c r="I110" s="102" t="e">
        <f ca="1">[1]!Pdyn(H110,G110)</f>
        <v>#NAME?</v>
      </c>
      <c r="J110" s="102" t="e">
        <f ca="1">[1]!Ptotal(H110,G110)</f>
        <v>#NAME?</v>
      </c>
      <c r="K110" s="125">
        <v>101325</v>
      </c>
      <c r="L110" s="19">
        <v>11.44</v>
      </c>
      <c r="M110" s="19">
        <v>1.66</v>
      </c>
      <c r="N110" s="127">
        <v>23.4</v>
      </c>
      <c r="O110" s="125">
        <v>101325</v>
      </c>
      <c r="P110" s="19">
        <v>12.15</v>
      </c>
      <c r="Q110" s="19">
        <v>7.9</v>
      </c>
      <c r="R110" s="127">
        <v>74.7</v>
      </c>
      <c r="S110">
        <v>80</v>
      </c>
    </row>
    <row r="111" spans="1:19" x14ac:dyDescent="0.35">
      <c r="A111">
        <v>10000</v>
      </c>
      <c r="B111">
        <f t="shared" si="2"/>
        <v>3048</v>
      </c>
      <c r="C111" t="e">
        <f ca="1">[1]!Tstatic(B111,0)</f>
        <v>#NAME?</v>
      </c>
      <c r="D111" s="15" t="e">
        <f t="shared" ca="1" si="3"/>
        <v>#NAME?</v>
      </c>
      <c r="E111" s="69" t="e">
        <f ca="1">[1]!Ttotal(C111,G111)</f>
        <v>#NAME?</v>
      </c>
      <c r="F111">
        <v>101</v>
      </c>
      <c r="G111" t="e">
        <f ca="1">[1]!Mach_Vtas(B111,F111,0)</f>
        <v>#NAME?</v>
      </c>
      <c r="H111" s="102" t="e">
        <f ca="1">[1]!Pstatic(B111)</f>
        <v>#NAME?</v>
      </c>
      <c r="I111" s="102" t="e">
        <f ca="1">[1]!Pdyn(H111,G111)</f>
        <v>#NAME?</v>
      </c>
      <c r="J111" s="102" t="e">
        <f ca="1">[1]!Ptotal(H111,G111)</f>
        <v>#NAME?</v>
      </c>
      <c r="K111" s="125">
        <v>101325</v>
      </c>
      <c r="L111" s="19">
        <v>11.73</v>
      </c>
      <c r="M111" s="19">
        <v>4.21</v>
      </c>
      <c r="N111" s="127">
        <v>34.200000000000003</v>
      </c>
      <c r="O111" s="125">
        <v>101325</v>
      </c>
      <c r="P111" s="19">
        <v>12.45</v>
      </c>
      <c r="Q111" s="19">
        <v>10.6</v>
      </c>
      <c r="R111" s="127">
        <v>86.4</v>
      </c>
      <c r="S111">
        <v>80</v>
      </c>
    </row>
    <row r="112" spans="1:19" x14ac:dyDescent="0.35">
      <c r="A112">
        <v>15000</v>
      </c>
      <c r="B112">
        <f t="shared" si="2"/>
        <v>4572</v>
      </c>
      <c r="C112" t="e">
        <f ca="1">[1]!Tstatic(B112,0)</f>
        <v>#NAME?</v>
      </c>
      <c r="D112" s="15" t="e">
        <f t="shared" ca="1" si="3"/>
        <v>#NAME?</v>
      </c>
      <c r="E112" s="69" t="e">
        <f ca="1">[1]!Ttotal(C112,G112)</f>
        <v>#NAME?</v>
      </c>
      <c r="F112">
        <v>110</v>
      </c>
      <c r="G112" t="e">
        <f ca="1">[1]!Mach_Vtas(B112,F112,0)</f>
        <v>#NAME?</v>
      </c>
      <c r="H112" s="102" t="e">
        <f ca="1">[1]!Pstatic(B112)</f>
        <v>#NAME?</v>
      </c>
      <c r="I112" s="102" t="e">
        <f ca="1">[1]!Pdyn(H112,G112)</f>
        <v>#NAME?</v>
      </c>
      <c r="J112" s="102" t="e">
        <f ca="1">[1]!Ptotal(H112,G112)</f>
        <v>#NAME?</v>
      </c>
      <c r="K112" s="125">
        <v>101325</v>
      </c>
      <c r="L112" s="19">
        <v>12.02</v>
      </c>
      <c r="M112" s="19">
        <v>6.76</v>
      </c>
      <c r="N112" s="127">
        <v>46</v>
      </c>
      <c r="O112" s="125">
        <v>101325</v>
      </c>
      <c r="P112" s="19">
        <v>12.75</v>
      </c>
      <c r="Q112" s="19">
        <v>13.3</v>
      </c>
      <c r="R112" s="127">
        <v>99.1</v>
      </c>
      <c r="S112">
        <v>80</v>
      </c>
    </row>
    <row r="113" spans="1:19" ht="15" thickBot="1" x14ac:dyDescent="0.4">
      <c r="A113">
        <v>20000</v>
      </c>
      <c r="B113">
        <f t="shared" si="2"/>
        <v>6096</v>
      </c>
      <c r="C113" t="e">
        <f ca="1">[1]!Tstatic(B113,0)</f>
        <v>#NAME?</v>
      </c>
      <c r="D113" s="122" t="e">
        <f ca="1">E113-273.15</f>
        <v>#NAME?</v>
      </c>
      <c r="E113" s="69" t="e">
        <f ca="1">[1]!Ttotal(C113,G113)</f>
        <v>#NAME?</v>
      </c>
      <c r="F113">
        <v>140</v>
      </c>
      <c r="G113" t="e">
        <f ca="1">[1]!Mach_Vtas(B113,F113,0)</f>
        <v>#NAME?</v>
      </c>
      <c r="H113" s="102" t="e">
        <f ca="1">[1]!Pstatic(B113)</f>
        <v>#NAME?</v>
      </c>
      <c r="I113" s="102" t="e">
        <f ca="1">[1]!Pdyn(H113,G113)</f>
        <v>#NAME?</v>
      </c>
      <c r="J113" s="102" t="e">
        <f ca="1">[1]!Ptotal(H113,G113)</f>
        <v>#NAME?</v>
      </c>
      <c r="K113" s="128">
        <v>101325</v>
      </c>
      <c r="L113" s="129">
        <v>12.26</v>
      </c>
      <c r="M113" s="129">
        <v>8.9</v>
      </c>
      <c r="N113" s="130">
        <v>57.4</v>
      </c>
      <c r="O113" s="128">
        <v>101325</v>
      </c>
      <c r="P113" s="129">
        <v>13</v>
      </c>
      <c r="Q113" s="129">
        <v>15.5</v>
      </c>
      <c r="R113" s="130">
        <v>111.6</v>
      </c>
      <c r="S113">
        <v>80</v>
      </c>
    </row>
  </sheetData>
  <mergeCells count="6">
    <mergeCell ref="K97:N97"/>
    <mergeCell ref="O97:R97"/>
    <mergeCell ref="K107:N107"/>
    <mergeCell ref="O107:R107"/>
    <mergeCell ref="B11:C11"/>
    <mergeCell ref="D11:E11"/>
  </mergeCells>
  <pageMargins left="0.7" right="0.7" top="0.75" bottom="0.75" header="0.3" footer="0.3"/>
  <pageSetup orientation="portrait" r:id="rId1"/>
  <drawing r:id="rId2"/>
  <legacyDrawing r:id="rId3"/>
  <tableParts count="1"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E41"/>
  <sheetViews>
    <sheetView workbookViewId="0">
      <selection activeCell="F71" sqref="F71"/>
    </sheetView>
  </sheetViews>
  <sheetFormatPr defaultRowHeight="14.5" x14ac:dyDescent="0.35"/>
  <cols>
    <col min="1" max="1" width="14.6328125" customWidth="1"/>
    <col min="2" max="2" width="6.453125" customWidth="1"/>
  </cols>
  <sheetData>
    <row r="1" spans="1:5" s="3" customFormat="1" ht="21" x14ac:dyDescent="0.5">
      <c r="A1" s="2" t="s">
        <v>44</v>
      </c>
    </row>
    <row r="2" spans="1:5" x14ac:dyDescent="0.35">
      <c r="A2" s="1" t="s">
        <v>46</v>
      </c>
    </row>
    <row r="3" spans="1:5" x14ac:dyDescent="0.35">
      <c r="A3" s="4" t="s">
        <v>47</v>
      </c>
    </row>
    <row r="4" spans="1:5" ht="15" thickBot="1" x14ac:dyDescent="0.4"/>
    <row r="5" spans="1:5" ht="15" thickBot="1" x14ac:dyDescent="0.4">
      <c r="A5" s="63" t="s">
        <v>71</v>
      </c>
      <c r="B5" s="26">
        <v>26</v>
      </c>
      <c r="C5" s="27" t="s">
        <v>48</v>
      </c>
      <c r="E5" s="165" t="s">
        <v>402</v>
      </c>
    </row>
    <row r="6" spans="1:5" ht="15" thickBot="1" x14ac:dyDescent="0.4">
      <c r="A6" s="46" t="s">
        <v>49</v>
      </c>
      <c r="B6" s="47">
        <v>0.97909999999999997</v>
      </c>
      <c r="C6" s="45"/>
    </row>
    <row r="7" spans="1:5" ht="15" thickBot="1" x14ac:dyDescent="0.4">
      <c r="A7" s="63" t="s">
        <v>174</v>
      </c>
      <c r="B7" s="26">
        <v>25</v>
      </c>
      <c r="C7" s="27" t="s">
        <v>175</v>
      </c>
    </row>
    <row r="10" spans="1:5" s="3" customFormat="1" ht="21" x14ac:dyDescent="0.5">
      <c r="A10" s="2" t="s">
        <v>45</v>
      </c>
    </row>
    <row r="11" spans="1:5" x14ac:dyDescent="0.35">
      <c r="A11" s="1" t="s">
        <v>9</v>
      </c>
    </row>
    <row r="12" spans="1:5" x14ac:dyDescent="0.35">
      <c r="A12" s="4" t="s">
        <v>8</v>
      </c>
    </row>
    <row r="13" spans="1:5" ht="15" thickBot="1" x14ac:dyDescent="0.4"/>
    <row r="14" spans="1:5" ht="15" thickBot="1" x14ac:dyDescent="0.4">
      <c r="A14" s="63" t="s">
        <v>71</v>
      </c>
      <c r="B14" s="26">
        <v>62</v>
      </c>
      <c r="C14" s="27" t="s">
        <v>48</v>
      </c>
    </row>
    <row r="15" spans="1:5" ht="15" thickBot="1" x14ac:dyDescent="0.4">
      <c r="A15" s="46" t="s">
        <v>49</v>
      </c>
      <c r="B15" s="47">
        <v>0.98899999999999999</v>
      </c>
      <c r="C15" s="45"/>
    </row>
    <row r="16" spans="1:5" ht="15" thickBot="1" x14ac:dyDescent="0.4">
      <c r="A16" s="46" t="s">
        <v>174</v>
      </c>
      <c r="B16" s="26">
        <v>143</v>
      </c>
      <c r="C16" s="45" t="s">
        <v>175</v>
      </c>
    </row>
    <row r="36" spans="1:3" x14ac:dyDescent="0.35">
      <c r="A36" t="s">
        <v>110</v>
      </c>
    </row>
    <row r="37" spans="1:3" x14ac:dyDescent="0.35">
      <c r="A37" s="1" t="s">
        <v>111</v>
      </c>
    </row>
    <row r="38" spans="1:3" x14ac:dyDescent="0.35">
      <c r="A38" s="4" t="s">
        <v>112</v>
      </c>
    </row>
    <row r="39" spans="1:3" ht="15" thickBot="1" x14ac:dyDescent="0.4"/>
    <row r="40" spans="1:3" ht="15" thickBot="1" x14ac:dyDescent="0.4">
      <c r="A40" s="63" t="s">
        <v>71</v>
      </c>
      <c r="B40" s="26">
        <f>1/0.016</f>
        <v>62.5</v>
      </c>
      <c r="C40" s="27" t="s">
        <v>48</v>
      </c>
    </row>
    <row r="41" spans="1:3" ht="15" thickBot="1" x14ac:dyDescent="0.4">
      <c r="A41" s="46" t="s">
        <v>49</v>
      </c>
      <c r="B41" s="47">
        <v>0.98</v>
      </c>
      <c r="C41" s="45"/>
    </row>
  </sheetData>
  <hyperlinks>
    <hyperlink ref="A12" r:id="rId1"/>
    <hyperlink ref="A3" r:id="rId2"/>
    <hyperlink ref="A38" r:id="rId3"/>
  </hyperlinks>
  <pageMargins left="0.7" right="0.7" top="0.75" bottom="0.75" header="0.3" footer="0.3"/>
  <pageSetup orientation="portrait" r:id="rId4"/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19"/>
  <sheetViews>
    <sheetView workbookViewId="0">
      <selection activeCell="B9" sqref="B9"/>
    </sheetView>
  </sheetViews>
  <sheetFormatPr defaultRowHeight="14.5" x14ac:dyDescent="0.35"/>
  <cols>
    <col min="1" max="1" width="13.54296875" customWidth="1"/>
  </cols>
  <sheetData>
    <row r="1" spans="1:14" s="6" customFormat="1" ht="18.5" x14ac:dyDescent="0.45">
      <c r="A1" s="6" t="s">
        <v>132</v>
      </c>
      <c r="M1" s="22"/>
      <c r="N1" s="22"/>
    </row>
    <row r="3" spans="1:14" x14ac:dyDescent="0.35">
      <c r="A3" s="5" t="s">
        <v>131</v>
      </c>
    </row>
    <row r="4" spans="1:14" ht="15" thickBot="1" x14ac:dyDescent="0.4">
      <c r="A4" s="70" t="s">
        <v>135</v>
      </c>
    </row>
    <row r="5" spans="1:14" ht="15" thickBot="1" x14ac:dyDescent="0.4">
      <c r="A5" s="208" t="s">
        <v>116</v>
      </c>
      <c r="B5" s="209">
        <v>1</v>
      </c>
      <c r="C5" s="210" t="s">
        <v>18</v>
      </c>
    </row>
    <row r="6" spans="1:14" x14ac:dyDescent="0.35">
      <c r="A6" t="s">
        <v>57</v>
      </c>
      <c r="B6" t="s">
        <v>133</v>
      </c>
      <c r="C6" t="s">
        <v>134</v>
      </c>
    </row>
    <row r="8" spans="1:14" ht="15" thickBot="1" x14ac:dyDescent="0.4">
      <c r="A8" s="70" t="s">
        <v>136</v>
      </c>
    </row>
    <row r="9" spans="1:14" ht="15" thickBot="1" x14ac:dyDescent="0.4">
      <c r="A9" s="208" t="s">
        <v>116</v>
      </c>
      <c r="B9" s="209">
        <v>2.5</v>
      </c>
      <c r="C9" s="210" t="s">
        <v>18</v>
      </c>
      <c r="D9" t="s">
        <v>137</v>
      </c>
    </row>
    <row r="13" spans="1:14" s="6" customFormat="1" ht="18.5" x14ac:dyDescent="0.45">
      <c r="A13" s="6" t="s">
        <v>130</v>
      </c>
      <c r="M13" s="22"/>
      <c r="N13" s="22"/>
    </row>
    <row r="14" spans="1:14" x14ac:dyDescent="0.35">
      <c r="A14" s="1" t="s">
        <v>138</v>
      </c>
    </row>
    <row r="15" spans="1:14" x14ac:dyDescent="0.35">
      <c r="A15" s="4" t="s">
        <v>139</v>
      </c>
    </row>
    <row r="18" spans="1:14" s="6" customFormat="1" ht="18.5" x14ac:dyDescent="0.45">
      <c r="A18" s="6" t="s">
        <v>201</v>
      </c>
      <c r="M18" s="22"/>
      <c r="N18" s="22"/>
    </row>
    <row r="19" spans="1:14" x14ac:dyDescent="0.35">
      <c r="A19" t="s">
        <v>403</v>
      </c>
    </row>
  </sheetData>
  <hyperlinks>
    <hyperlink ref="A15" r:id="rId1"/>
  </hyperlinks>
  <pageMargins left="0.7" right="0.7" top="0.75" bottom="0.75" header="0.3" footer="0.3"/>
  <pageSetup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/>
  </sheetPr>
  <dimension ref="A1:N26"/>
  <sheetViews>
    <sheetView workbookViewId="0">
      <selection activeCell="B22" sqref="B22"/>
    </sheetView>
  </sheetViews>
  <sheetFormatPr defaultRowHeight="14.5" x14ac:dyDescent="0.35"/>
  <cols>
    <col min="1" max="1" width="21" customWidth="1"/>
    <col min="2" max="2" width="14" customWidth="1"/>
  </cols>
  <sheetData>
    <row r="1" spans="1:14" s="6" customFormat="1" ht="18.5" x14ac:dyDescent="0.45">
      <c r="A1" s="6" t="s">
        <v>145</v>
      </c>
      <c r="M1" s="22"/>
      <c r="N1" s="22"/>
    </row>
    <row r="3" spans="1:14" x14ac:dyDescent="0.35">
      <c r="A3" t="s">
        <v>146</v>
      </c>
    </row>
    <row r="4" spans="1:14" x14ac:dyDescent="0.35">
      <c r="A4" s="4" t="s">
        <v>147</v>
      </c>
    </row>
    <row r="6" spans="1:14" x14ac:dyDescent="0.35">
      <c r="A6" s="5" t="s">
        <v>93</v>
      </c>
    </row>
    <row r="7" spans="1:14" x14ac:dyDescent="0.35">
      <c r="A7" t="s">
        <v>148</v>
      </c>
      <c r="B7">
        <v>9000</v>
      </c>
      <c r="C7" t="s">
        <v>149</v>
      </c>
    </row>
    <row r="8" spans="1:14" x14ac:dyDescent="0.35">
      <c r="A8" t="s">
        <v>150</v>
      </c>
      <c r="B8" t="s">
        <v>151</v>
      </c>
      <c r="C8" t="s">
        <v>171</v>
      </c>
    </row>
    <row r="9" spans="1:14" x14ac:dyDescent="0.35">
      <c r="A9" t="s">
        <v>152</v>
      </c>
      <c r="B9">
        <v>4</v>
      </c>
      <c r="C9" t="s">
        <v>36</v>
      </c>
    </row>
    <row r="10" spans="1:14" x14ac:dyDescent="0.35">
      <c r="A10" t="s">
        <v>153</v>
      </c>
      <c r="B10">
        <v>2</v>
      </c>
      <c r="C10" t="s">
        <v>36</v>
      </c>
    </row>
    <row r="11" spans="1:14" x14ac:dyDescent="0.35">
      <c r="A11" t="s">
        <v>154</v>
      </c>
      <c r="B11" t="s">
        <v>155</v>
      </c>
    </row>
    <row r="12" spans="1:14" x14ac:dyDescent="0.35">
      <c r="A12" t="s">
        <v>156</v>
      </c>
      <c r="B12" t="s">
        <v>157</v>
      </c>
    </row>
    <row r="13" spans="1:14" x14ac:dyDescent="0.35">
      <c r="A13" t="s">
        <v>158</v>
      </c>
      <c r="B13">
        <v>3</v>
      </c>
      <c r="C13" t="s">
        <v>159</v>
      </c>
    </row>
    <row r="14" spans="1:14" x14ac:dyDescent="0.35">
      <c r="A14" t="s">
        <v>161</v>
      </c>
      <c r="B14">
        <v>22</v>
      </c>
      <c r="C14" t="s">
        <v>160</v>
      </c>
    </row>
    <row r="15" spans="1:14" x14ac:dyDescent="0.35">
      <c r="A15" t="s">
        <v>162</v>
      </c>
      <c r="B15">
        <v>273</v>
      </c>
      <c r="C15" t="s">
        <v>160</v>
      </c>
    </row>
    <row r="18" spans="1:4" ht="15" thickBot="1" x14ac:dyDescent="0.4">
      <c r="A18" s="5" t="s">
        <v>94</v>
      </c>
    </row>
    <row r="19" spans="1:4" x14ac:dyDescent="0.35">
      <c r="A19" s="211" t="s">
        <v>163</v>
      </c>
      <c r="B19" s="212">
        <v>75</v>
      </c>
      <c r="C19" s="213" t="s">
        <v>18</v>
      </c>
    </row>
    <row r="20" spans="1:4" ht="15" thickBot="1" x14ac:dyDescent="0.4">
      <c r="A20" s="214" t="s">
        <v>164</v>
      </c>
      <c r="B20" s="215">
        <v>152</v>
      </c>
      <c r="C20" s="216" t="s">
        <v>18</v>
      </c>
      <c r="D20" s="1" t="s">
        <v>404</v>
      </c>
    </row>
    <row r="21" spans="1:4" x14ac:dyDescent="0.35">
      <c r="A21" t="s">
        <v>165</v>
      </c>
      <c r="B21" s="77">
        <f>B19/(B19+B20)</f>
        <v>0.33039647577092512</v>
      </c>
    </row>
    <row r="22" spans="1:4" x14ac:dyDescent="0.35">
      <c r="A22" t="s">
        <v>166</v>
      </c>
      <c r="B22">
        <v>3000</v>
      </c>
      <c r="C22" t="s">
        <v>39</v>
      </c>
    </row>
    <row r="23" spans="1:4" x14ac:dyDescent="0.35">
      <c r="A23" t="s">
        <v>172</v>
      </c>
      <c r="B23">
        <v>2.4</v>
      </c>
      <c r="C23" t="s">
        <v>38</v>
      </c>
    </row>
    <row r="24" spans="1:4" x14ac:dyDescent="0.35">
      <c r="A24" t="s">
        <v>173</v>
      </c>
      <c r="B24">
        <f>0.5182*2</f>
        <v>1.0364</v>
      </c>
      <c r="C24" t="s">
        <v>38</v>
      </c>
    </row>
    <row r="25" spans="1:4" x14ac:dyDescent="0.35">
      <c r="A25" t="s">
        <v>167</v>
      </c>
      <c r="B25">
        <v>10.5</v>
      </c>
      <c r="C25" t="s">
        <v>168</v>
      </c>
    </row>
    <row r="26" spans="1:4" x14ac:dyDescent="0.35">
      <c r="A26" t="s">
        <v>169</v>
      </c>
      <c r="B26">
        <v>2</v>
      </c>
      <c r="C26" t="s">
        <v>170</v>
      </c>
    </row>
  </sheetData>
  <hyperlinks>
    <hyperlink ref="A4" r:id="rId1" display="S:\ENGINEERING\CUSTOMIZED_ENGINEERING\PRELIM_DESIGN_INTERNSHIPS\2020_F_Pollet\PART IV - MODELISATIONS\Feeding Lines"/>
  </hyperlinks>
  <pageMargins left="0.7" right="0.7" top="0.75" bottom="0.75" header="0.3" footer="0.3"/>
  <pageSetup orientation="portrait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4"/>
  </sheetPr>
  <dimension ref="A1:AP72"/>
  <sheetViews>
    <sheetView topLeftCell="A46" zoomScaleNormal="100" workbookViewId="0">
      <selection activeCell="F71" sqref="F71"/>
    </sheetView>
  </sheetViews>
  <sheetFormatPr defaultRowHeight="14.5" x14ac:dyDescent="0.35"/>
  <cols>
    <col min="1" max="1" width="48.08984375" customWidth="1"/>
    <col min="2" max="2" width="12.54296875" customWidth="1"/>
    <col min="3" max="3" width="10.54296875" bestFit="1" customWidth="1"/>
    <col min="4" max="4" width="10.36328125" customWidth="1"/>
    <col min="5" max="5" width="12.08984375" bestFit="1" customWidth="1"/>
    <col min="6" max="6" width="16.36328125" bestFit="1" customWidth="1"/>
    <col min="7" max="7" width="10.54296875" bestFit="1" customWidth="1"/>
    <col min="8" max="8" width="11.54296875" bestFit="1" customWidth="1"/>
    <col min="9" max="9" width="12.54296875" bestFit="1" customWidth="1"/>
    <col min="13" max="13" width="10.08984375" style="19" customWidth="1"/>
    <col min="14" max="14" width="22.36328125" style="19" customWidth="1"/>
  </cols>
  <sheetData>
    <row r="1" spans="1:14" s="6" customFormat="1" ht="18.5" x14ac:dyDescent="0.45">
      <c r="A1" s="6" t="s">
        <v>108</v>
      </c>
      <c r="M1" s="22"/>
      <c r="N1" s="22"/>
    </row>
    <row r="2" spans="1:14" x14ac:dyDescent="0.35">
      <c r="A2" s="17" t="s">
        <v>43</v>
      </c>
    </row>
    <row r="3" spans="1:14" x14ac:dyDescent="0.35">
      <c r="A3" s="1" t="s">
        <v>42</v>
      </c>
    </row>
    <row r="4" spans="1:14" x14ac:dyDescent="0.35">
      <c r="A4" s="16">
        <v>2018</v>
      </c>
    </row>
    <row r="27" spans="1:14" s="6" customFormat="1" ht="18.5" x14ac:dyDescent="0.45">
      <c r="A27" s="6" t="s">
        <v>405</v>
      </c>
      <c r="M27" s="22"/>
      <c r="N27" s="22"/>
    </row>
    <row r="28" spans="1:14" ht="15" thickBot="1" x14ac:dyDescent="0.4">
      <c r="A28" s="8"/>
    </row>
    <row r="29" spans="1:14" ht="29.5" thickBot="1" x14ac:dyDescent="0.4">
      <c r="A29" s="25" t="s">
        <v>65</v>
      </c>
      <c r="B29" s="26">
        <v>0.18</v>
      </c>
      <c r="C29" s="27" t="s">
        <v>21</v>
      </c>
    </row>
    <row r="30" spans="1:14" x14ac:dyDescent="0.35">
      <c r="A30" s="8"/>
    </row>
    <row r="31" spans="1:14" x14ac:dyDescent="0.35">
      <c r="A31" s="8"/>
    </row>
    <row r="32" spans="1:14" x14ac:dyDescent="0.35">
      <c r="A32" s="7" t="s">
        <v>12</v>
      </c>
      <c r="B32" s="1" t="s">
        <v>13</v>
      </c>
    </row>
    <row r="33" spans="1:42" x14ac:dyDescent="0.35">
      <c r="A33" s="8" t="s">
        <v>16</v>
      </c>
      <c r="B33">
        <v>100</v>
      </c>
      <c r="C33" t="s">
        <v>15</v>
      </c>
      <c r="I33">
        <v>6.5</v>
      </c>
      <c r="J33">
        <v>2</v>
      </c>
    </row>
    <row r="34" spans="1:42" x14ac:dyDescent="0.35">
      <c r="A34" s="8" t="s">
        <v>19</v>
      </c>
      <c r="B34">
        <v>89</v>
      </c>
      <c r="C34" t="s">
        <v>15</v>
      </c>
      <c r="I34">
        <v>11.8</v>
      </c>
      <c r="J34">
        <v>7.5</v>
      </c>
    </row>
    <row r="35" spans="1:42" x14ac:dyDescent="0.35">
      <c r="A35" s="11" t="s">
        <v>22</v>
      </c>
      <c r="B35">
        <v>17.2</v>
      </c>
      <c r="C35" t="s">
        <v>18</v>
      </c>
      <c r="I35">
        <v>19.899999999999999</v>
      </c>
      <c r="J35">
        <v>230</v>
      </c>
    </row>
    <row r="36" spans="1:42" x14ac:dyDescent="0.35">
      <c r="A36" s="8" t="s">
        <v>20</v>
      </c>
      <c r="B36" s="12">
        <f>B35/B33</f>
        <v>0.17199999999999999</v>
      </c>
      <c r="C36" t="s">
        <v>21</v>
      </c>
      <c r="E36">
        <f>B33/B35</f>
        <v>5.8139534883720936</v>
      </c>
      <c r="I36">
        <v>24</v>
      </c>
      <c r="J36">
        <v>165</v>
      </c>
    </row>
    <row r="37" spans="1:42" x14ac:dyDescent="0.35">
      <c r="A37" s="8"/>
    </row>
    <row r="38" spans="1:42" x14ac:dyDescent="0.35">
      <c r="A38" s="7" t="s">
        <v>26</v>
      </c>
      <c r="B38" s="1" t="s">
        <v>27</v>
      </c>
    </row>
    <row r="39" spans="1:42" x14ac:dyDescent="0.35">
      <c r="A39" s="8" t="s">
        <v>16</v>
      </c>
      <c r="B39">
        <v>600</v>
      </c>
      <c r="C39" t="s">
        <v>15</v>
      </c>
    </row>
    <row r="40" spans="1:42" x14ac:dyDescent="0.35">
      <c r="A40" s="8" t="s">
        <v>19</v>
      </c>
      <c r="B40">
        <v>500</v>
      </c>
      <c r="C40" t="s">
        <v>15</v>
      </c>
    </row>
    <row r="41" spans="1:42" x14ac:dyDescent="0.35">
      <c r="A41" s="11" t="s">
        <v>22</v>
      </c>
      <c r="B41">
        <v>110</v>
      </c>
      <c r="C41" t="s">
        <v>18</v>
      </c>
    </row>
    <row r="42" spans="1:42" x14ac:dyDescent="0.35">
      <c r="A42" s="8" t="s">
        <v>20</v>
      </c>
      <c r="B42" s="12">
        <f>B41/B39</f>
        <v>0.18333333333333332</v>
      </c>
      <c r="C42" t="s">
        <v>21</v>
      </c>
    </row>
    <row r="45" spans="1:42" s="6" customFormat="1" ht="18.5" x14ac:dyDescent="0.45">
      <c r="A45" s="6" t="s">
        <v>406</v>
      </c>
      <c r="M45" s="22"/>
      <c r="N45" s="22"/>
    </row>
    <row r="46" spans="1:42" s="19" customFormat="1" x14ac:dyDescent="0.35">
      <c r="A46" t="s">
        <v>80</v>
      </c>
      <c r="B46"/>
      <c r="C46"/>
      <c r="D46"/>
      <c r="E46"/>
      <c r="F46"/>
      <c r="G46"/>
      <c r="H46"/>
      <c r="I46"/>
      <c r="J46"/>
      <c r="K46"/>
      <c r="L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</row>
    <row r="47" spans="1:42" s="19" customFormat="1" x14ac:dyDescent="0.35">
      <c r="A47" s="4" t="s">
        <v>67</v>
      </c>
      <c r="B47"/>
      <c r="C47"/>
      <c r="D47"/>
      <c r="E47"/>
      <c r="F47"/>
      <c r="G47"/>
      <c r="H47"/>
      <c r="I47"/>
      <c r="J47"/>
      <c r="K47"/>
      <c r="L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</row>
    <row r="49" spans="1:42" s="19" customFormat="1" x14ac:dyDescent="0.35">
      <c r="A49" s="5" t="s">
        <v>73</v>
      </c>
      <c r="B49" s="1" t="s">
        <v>240</v>
      </c>
      <c r="C49"/>
      <c r="D49"/>
      <c r="E49"/>
      <c r="F49"/>
      <c r="G49"/>
      <c r="H49"/>
      <c r="I49"/>
      <c r="J49"/>
      <c r="K49"/>
      <c r="L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</row>
    <row r="50" spans="1:42" s="19" customFormat="1" x14ac:dyDescent="0.35">
      <c r="A50" t="s">
        <v>77</v>
      </c>
      <c r="B50">
        <v>100</v>
      </c>
      <c r="C50" t="s">
        <v>15</v>
      </c>
      <c r="D50"/>
      <c r="E50"/>
      <c r="F50"/>
      <c r="G50"/>
      <c r="H50"/>
      <c r="I50"/>
      <c r="J50"/>
      <c r="K50"/>
      <c r="L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</row>
    <row r="51" spans="1:42" s="19" customFormat="1" x14ac:dyDescent="0.35">
      <c r="A51" t="s">
        <v>81</v>
      </c>
      <c r="B51">
        <v>70</v>
      </c>
      <c r="C51" t="s">
        <v>37</v>
      </c>
      <c r="D51"/>
      <c r="E51"/>
      <c r="F51"/>
      <c r="G51"/>
      <c r="H51"/>
      <c r="I51"/>
      <c r="J51"/>
      <c r="K51"/>
      <c r="L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</row>
    <row r="52" spans="1:42" s="19" customFormat="1" x14ac:dyDescent="0.35">
      <c r="A52" t="s">
        <v>82</v>
      </c>
      <c r="B52">
        <v>80</v>
      </c>
      <c r="C52" t="s">
        <v>37</v>
      </c>
      <c r="D52"/>
      <c r="E52"/>
      <c r="F52"/>
      <c r="G52"/>
      <c r="H52"/>
      <c r="I52"/>
      <c r="J52"/>
      <c r="K52"/>
      <c r="L52"/>
      <c r="M52" s="38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</row>
    <row r="53" spans="1:42" s="19" customFormat="1" x14ac:dyDescent="0.35">
      <c r="A53" t="s">
        <v>83</v>
      </c>
      <c r="B53">
        <v>2</v>
      </c>
      <c r="C53" t="s">
        <v>36</v>
      </c>
      <c r="D53"/>
      <c r="E53"/>
      <c r="F53"/>
      <c r="G53"/>
      <c r="H53"/>
      <c r="I53"/>
      <c r="J53"/>
      <c r="K53"/>
      <c r="L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</row>
    <row r="54" spans="1:42" s="19" customFormat="1" x14ac:dyDescent="0.35">
      <c r="A54" t="s">
        <v>84</v>
      </c>
      <c r="B54">
        <v>3200</v>
      </c>
      <c r="C54" t="s">
        <v>86</v>
      </c>
      <c r="D54" s="1" t="s">
        <v>85</v>
      </c>
      <c r="E54"/>
      <c r="F54"/>
      <c r="G54"/>
      <c r="H54"/>
      <c r="I54"/>
      <c r="J54"/>
      <c r="K54"/>
      <c r="L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</row>
    <row r="55" spans="1:42" s="19" customFormat="1" x14ac:dyDescent="0.35">
      <c r="A55" t="s">
        <v>87</v>
      </c>
      <c r="B55">
        <v>1250</v>
      </c>
      <c r="C55" t="s">
        <v>41</v>
      </c>
      <c r="D55"/>
      <c r="E55"/>
      <c r="F55"/>
      <c r="G55"/>
      <c r="H55"/>
      <c r="I55"/>
      <c r="J55"/>
      <c r="K55"/>
      <c r="L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</row>
    <row r="56" spans="1:42" s="19" customFormat="1" x14ac:dyDescent="0.35">
      <c r="A56" t="s">
        <v>88</v>
      </c>
      <c r="B56">
        <v>1.2</v>
      </c>
      <c r="C56" s="1" t="s">
        <v>89</v>
      </c>
      <c r="D56"/>
      <c r="E56"/>
      <c r="F56"/>
      <c r="G56"/>
      <c r="H56"/>
      <c r="I56"/>
      <c r="J56"/>
      <c r="K56"/>
      <c r="L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</row>
    <row r="58" spans="1:42" s="19" customFormat="1" x14ac:dyDescent="0.35">
      <c r="A58" s="5" t="s">
        <v>78</v>
      </c>
      <c r="B58"/>
      <c r="C58"/>
      <c r="D58"/>
      <c r="E58"/>
      <c r="F58"/>
      <c r="G58"/>
      <c r="H58"/>
      <c r="I58"/>
      <c r="J58"/>
      <c r="K58"/>
      <c r="L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</row>
    <row r="59" spans="1:42" s="19" customFormat="1" ht="15" thickBot="1" x14ac:dyDescent="0.4">
      <c r="A59" t="s">
        <v>90</v>
      </c>
      <c r="B59">
        <v>92.3</v>
      </c>
      <c r="C59" t="s">
        <v>15</v>
      </c>
      <c r="D59"/>
      <c r="E59"/>
      <c r="F59"/>
      <c r="G59"/>
      <c r="H59"/>
      <c r="I59"/>
      <c r="J59"/>
      <c r="K59"/>
      <c r="L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</row>
    <row r="60" spans="1:42" s="19" customFormat="1" ht="15" thickBot="1" x14ac:dyDescent="0.4">
      <c r="A60" s="208" t="s">
        <v>91</v>
      </c>
      <c r="B60" s="209">
        <v>0.7</v>
      </c>
      <c r="C60" s="210" t="s">
        <v>15</v>
      </c>
      <c r="D60" s="1" t="s">
        <v>407</v>
      </c>
      <c r="E60"/>
      <c r="F60"/>
      <c r="G60"/>
      <c r="H60"/>
      <c r="I60"/>
      <c r="J60"/>
      <c r="K60"/>
      <c r="L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</row>
    <row r="62" spans="1:42" s="105" customFormat="1" ht="15" thickBot="1" x14ac:dyDescent="0.4"/>
    <row r="63" spans="1:42" s="6" customFormat="1" ht="19" thickTop="1" x14ac:dyDescent="0.45">
      <c r="A63" s="6" t="s">
        <v>409</v>
      </c>
      <c r="M63" s="22"/>
      <c r="N63" s="22"/>
    </row>
    <row r="64" spans="1:42" x14ac:dyDescent="0.35">
      <c r="A64" s="177" t="s">
        <v>333</v>
      </c>
      <c r="B64" s="55"/>
      <c r="C64" s="56"/>
      <c r="L64" s="19"/>
      <c r="N64"/>
    </row>
    <row r="65" spans="1:14" x14ac:dyDescent="0.35">
      <c r="A65" s="8" t="s">
        <v>25</v>
      </c>
      <c r="B65" s="19">
        <f>'Power &amp; Mass breakdown'!B4</f>
        <v>2500</v>
      </c>
      <c r="C65" s="57" t="s">
        <v>15</v>
      </c>
      <c r="L65" s="19"/>
      <c r="N65"/>
    </row>
    <row r="66" spans="1:14" x14ac:dyDescent="0.35">
      <c r="A66" s="8" t="s">
        <v>332</v>
      </c>
      <c r="B66" s="19">
        <f>0.0000000105*B65*1000/0.65</f>
        <v>4.038461538461538E-2</v>
      </c>
      <c r="C66" s="57" t="s">
        <v>265</v>
      </c>
      <c r="L66" s="19"/>
      <c r="N66"/>
    </row>
    <row r="67" spans="1:14" x14ac:dyDescent="0.35">
      <c r="A67" s="8" t="s">
        <v>331</v>
      </c>
      <c r="B67" s="19">
        <f>461</f>
        <v>461</v>
      </c>
      <c r="C67" s="57" t="s">
        <v>330</v>
      </c>
      <c r="H67" s="167"/>
      <c r="L67" s="19"/>
      <c r="N67"/>
    </row>
    <row r="68" spans="1:14" x14ac:dyDescent="0.35">
      <c r="A68" s="8" t="s">
        <v>387</v>
      </c>
      <c r="B68" s="19">
        <v>15</v>
      </c>
      <c r="C68" s="57" t="s">
        <v>388</v>
      </c>
      <c r="H68" s="167"/>
      <c r="L68" s="19"/>
      <c r="N68"/>
    </row>
    <row r="69" spans="1:14" x14ac:dyDescent="0.35">
      <c r="A69" s="8" t="s">
        <v>372</v>
      </c>
      <c r="B69" s="19">
        <v>20</v>
      </c>
      <c r="C69" s="57" t="s">
        <v>160</v>
      </c>
      <c r="H69" s="167"/>
      <c r="L69" s="19"/>
      <c r="N69"/>
    </row>
    <row r="70" spans="1:14" x14ac:dyDescent="0.35">
      <c r="A70" s="8" t="s">
        <v>389</v>
      </c>
      <c r="B70" s="19">
        <f>273.15+80</f>
        <v>353.15</v>
      </c>
      <c r="C70" s="57" t="s">
        <v>160</v>
      </c>
      <c r="H70" s="167"/>
      <c r="L70" s="19"/>
      <c r="N70"/>
    </row>
    <row r="71" spans="1:14" x14ac:dyDescent="0.35">
      <c r="A71" s="8" t="s">
        <v>334</v>
      </c>
      <c r="B71" s="179">
        <f>B66*B67+B66*B68*(B70-B69)</f>
        <v>220.4293269230769</v>
      </c>
      <c r="C71" s="57" t="s">
        <v>15</v>
      </c>
      <c r="L71" s="19"/>
      <c r="N71"/>
    </row>
    <row r="72" spans="1:14" x14ac:dyDescent="0.35">
      <c r="A72" s="21" t="s">
        <v>410</v>
      </c>
      <c r="B72" s="178">
        <f>B71/SHX_old!B7</f>
        <v>0.12595961538461536</v>
      </c>
      <c r="C72" s="62"/>
      <c r="E72" s="167"/>
      <c r="L72" s="19"/>
      <c r="N72"/>
    </row>
  </sheetData>
  <hyperlinks>
    <hyperlink ref="A47" r:id="rId1"/>
  </hyperlinks>
  <pageMargins left="0.7" right="0.7" top="0.75" bottom="0.75" header="0.3" footer="0.3"/>
  <pageSetup orientation="portrait" r:id="rId2"/>
  <drawing r:id="rId3"/>
  <legacy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1"/>
  <sheetViews>
    <sheetView topLeftCell="A13" workbookViewId="0">
      <selection activeCell="K30" sqref="K30"/>
    </sheetView>
  </sheetViews>
  <sheetFormatPr defaultRowHeight="14.5" x14ac:dyDescent="0.35"/>
  <sheetData/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499984740745262"/>
  </sheetPr>
  <dimension ref="A1:AP179"/>
  <sheetViews>
    <sheetView topLeftCell="A76" zoomScaleNormal="100" workbookViewId="0">
      <selection activeCell="F26" sqref="F26"/>
    </sheetView>
  </sheetViews>
  <sheetFormatPr defaultRowHeight="14.5" x14ac:dyDescent="0.35"/>
  <cols>
    <col min="1" max="1" width="48.08984375" customWidth="1"/>
    <col min="2" max="2" width="12.54296875" customWidth="1"/>
    <col min="3" max="3" width="10.54296875" bestFit="1" customWidth="1"/>
    <col min="4" max="4" width="10.36328125" customWidth="1"/>
    <col min="5" max="5" width="12.08984375" bestFit="1" customWidth="1"/>
    <col min="6" max="6" width="16.36328125" bestFit="1" customWidth="1"/>
    <col min="7" max="7" width="10.54296875" bestFit="1" customWidth="1"/>
    <col min="8" max="8" width="11.54296875" bestFit="1" customWidth="1"/>
    <col min="9" max="9" width="12.54296875" bestFit="1" customWidth="1"/>
    <col min="13" max="13" width="10.08984375" style="19" customWidth="1"/>
    <col min="14" max="14" width="22.36328125" style="19" customWidth="1"/>
  </cols>
  <sheetData>
    <row r="1" spans="1:42" s="6" customFormat="1" ht="18.5" x14ac:dyDescent="0.45">
      <c r="A1" s="6" t="s">
        <v>108</v>
      </c>
      <c r="M1" s="22"/>
      <c r="N1" s="22"/>
    </row>
    <row r="3" spans="1:42" s="6" customFormat="1" ht="18.5" x14ac:dyDescent="0.45">
      <c r="A3" s="6" t="s">
        <v>263</v>
      </c>
      <c r="M3" s="22"/>
      <c r="N3" s="22"/>
    </row>
    <row r="4" spans="1:42" x14ac:dyDescent="0.35">
      <c r="B4" s="4" t="s">
        <v>199</v>
      </c>
      <c r="O4" s="19"/>
      <c r="P4" s="19"/>
      <c r="Q4" s="19"/>
    </row>
    <row r="5" spans="1:42" x14ac:dyDescent="0.35">
      <c r="A5" s="83" t="s">
        <v>192</v>
      </c>
      <c r="B5" s="4" t="s">
        <v>186</v>
      </c>
      <c r="O5" s="19"/>
      <c r="P5" s="19"/>
      <c r="Q5" s="19"/>
      <c r="AP5">
        <v>0</v>
      </c>
    </row>
    <row r="6" spans="1:42" x14ac:dyDescent="0.35">
      <c r="A6" s="95" t="s">
        <v>118</v>
      </c>
      <c r="B6" s="20" t="s">
        <v>193</v>
      </c>
      <c r="C6" s="20" t="s">
        <v>194</v>
      </c>
      <c r="D6" s="20" t="s">
        <v>258</v>
      </c>
      <c r="E6" s="20" t="s">
        <v>195</v>
      </c>
      <c r="F6" s="20" t="s">
        <v>257</v>
      </c>
      <c r="G6" s="20" t="s">
        <v>196</v>
      </c>
      <c r="H6" s="20" t="s">
        <v>197</v>
      </c>
      <c r="I6" s="20" t="s">
        <v>198</v>
      </c>
      <c r="O6" s="19"/>
      <c r="P6" s="19"/>
      <c r="Q6" s="19"/>
    </row>
    <row r="7" spans="1:42" x14ac:dyDescent="0.35">
      <c r="A7" s="95" t="s">
        <v>188</v>
      </c>
      <c r="B7" s="20">
        <v>0.93</v>
      </c>
      <c r="C7" s="20">
        <v>1.38</v>
      </c>
      <c r="D7" s="20">
        <v>1.85</v>
      </c>
      <c r="E7" s="20">
        <v>2.7</v>
      </c>
      <c r="F7" s="20">
        <v>3</v>
      </c>
      <c r="G7" s="20">
        <v>3.4</v>
      </c>
      <c r="H7" s="20">
        <v>5.55</v>
      </c>
      <c r="I7" s="20">
        <v>8.1999999999999993</v>
      </c>
      <c r="O7" s="19"/>
      <c r="P7" s="19"/>
      <c r="Q7" s="19"/>
    </row>
    <row r="8" spans="1:42" x14ac:dyDescent="0.35">
      <c r="A8" s="95" t="s">
        <v>191</v>
      </c>
      <c r="B8" s="20">
        <v>250</v>
      </c>
      <c r="C8" s="20">
        <v>350</v>
      </c>
      <c r="D8" s="20">
        <v>500</v>
      </c>
      <c r="E8" s="20">
        <v>700</v>
      </c>
      <c r="F8" s="20">
        <v>700</v>
      </c>
      <c r="G8" s="20">
        <v>700</v>
      </c>
      <c r="H8" s="20">
        <v>800</v>
      </c>
      <c r="I8" s="20">
        <v>950</v>
      </c>
      <c r="O8" s="19"/>
      <c r="P8" s="19"/>
      <c r="Q8" s="19"/>
    </row>
    <row r="9" spans="1:42" x14ac:dyDescent="0.35">
      <c r="A9" s="95" t="s">
        <v>205</v>
      </c>
      <c r="B9" s="229">
        <v>75</v>
      </c>
      <c r="C9" s="230"/>
      <c r="D9" s="230"/>
      <c r="E9" s="230"/>
      <c r="F9" s="230"/>
      <c r="G9" s="230"/>
      <c r="H9" s="230"/>
      <c r="I9" s="230"/>
      <c r="O9" s="19"/>
      <c r="P9" s="19"/>
      <c r="Q9" s="19"/>
    </row>
    <row r="10" spans="1:42" x14ac:dyDescent="0.35">
      <c r="A10" s="95" t="s">
        <v>189</v>
      </c>
      <c r="B10" s="231">
        <f>B9-'Power &amp; Mass breakdown'!B7</f>
        <v>51</v>
      </c>
      <c r="C10" s="232"/>
      <c r="D10" s="232"/>
      <c r="E10" s="232"/>
      <c r="F10" s="232"/>
      <c r="G10" s="232"/>
      <c r="H10" s="232"/>
      <c r="I10" s="232"/>
      <c r="O10" s="19"/>
      <c r="P10" s="19"/>
      <c r="Q10" s="19"/>
    </row>
    <row r="11" spans="1:42" x14ac:dyDescent="0.35">
      <c r="A11" s="95" t="s">
        <v>190</v>
      </c>
      <c r="B11" s="28">
        <f t="shared" ref="B11:I11" si="0">B7*$B$10</f>
        <v>47.43</v>
      </c>
      <c r="C11" s="28">
        <f t="shared" si="0"/>
        <v>70.38</v>
      </c>
      <c r="D11" s="28">
        <f t="shared" si="0"/>
        <v>94.350000000000009</v>
      </c>
      <c r="E11" s="28">
        <f t="shared" si="0"/>
        <v>137.70000000000002</v>
      </c>
      <c r="F11" s="28">
        <f t="shared" si="0"/>
        <v>153</v>
      </c>
      <c r="G11" s="28">
        <f t="shared" si="0"/>
        <v>173.4</v>
      </c>
      <c r="H11" s="28">
        <f t="shared" si="0"/>
        <v>283.05</v>
      </c>
      <c r="I11" s="28">
        <f t="shared" si="0"/>
        <v>418.2</v>
      </c>
      <c r="N11" s="24"/>
      <c r="O11" s="19"/>
      <c r="P11" s="19"/>
      <c r="Q11" s="19"/>
    </row>
    <row r="12" spans="1:42" x14ac:dyDescent="0.35">
      <c r="A12" s="96" t="s">
        <v>229</v>
      </c>
      <c r="B12" s="94">
        <v>35</v>
      </c>
      <c r="C12" s="94">
        <v>61</v>
      </c>
      <c r="D12" s="94">
        <v>73</v>
      </c>
      <c r="E12" s="94">
        <v>87</v>
      </c>
      <c r="F12" s="94">
        <v>115</v>
      </c>
      <c r="G12" s="94">
        <v>135</v>
      </c>
      <c r="H12" s="94">
        <v>180</v>
      </c>
      <c r="I12" s="94">
        <v>232</v>
      </c>
      <c r="N12" s="24"/>
      <c r="O12" s="19"/>
      <c r="P12" s="19"/>
      <c r="Q12" s="19"/>
    </row>
    <row r="13" spans="1:42" ht="19.5" customHeight="1" x14ac:dyDescent="0.35">
      <c r="A13" s="95" t="s">
        <v>227</v>
      </c>
      <c r="B13" s="20">
        <v>43</v>
      </c>
      <c r="C13" s="20">
        <v>69</v>
      </c>
      <c r="D13" s="20">
        <v>81</v>
      </c>
      <c r="E13" s="20">
        <v>100</v>
      </c>
      <c r="F13" s="20">
        <v>128</v>
      </c>
      <c r="G13" s="20">
        <v>148</v>
      </c>
      <c r="H13" s="20">
        <v>217</v>
      </c>
      <c r="I13" s="20">
        <v>343</v>
      </c>
      <c r="N13" s="24"/>
      <c r="O13" s="19"/>
      <c r="P13" s="19"/>
      <c r="Q13" s="19"/>
    </row>
    <row r="14" spans="1:42" x14ac:dyDescent="0.35">
      <c r="A14" s="95" t="s">
        <v>252</v>
      </c>
      <c r="B14" s="28">
        <f>0.601*0.7*0.18/2*1000</f>
        <v>37.862999999999992</v>
      </c>
      <c r="C14" s="28">
        <f>0.666*0.79*0.24/2*1000</f>
        <v>63.136800000000008</v>
      </c>
      <c r="D14" s="28">
        <f>0.791*0.94*0.34/2*1000</f>
        <v>126.40180000000001</v>
      </c>
      <c r="E14" s="28">
        <f>0.884*0.99*0.34/2*1000</f>
        <v>148.77720000000002</v>
      </c>
      <c r="F14" s="28">
        <f>0.992*1.04*0.41/2*1000</f>
        <v>211.49439999999998</v>
      </c>
      <c r="G14" s="28">
        <f>0.989*1.09*0.41/2*1000</f>
        <v>220.99205000000003</v>
      </c>
      <c r="H14" s="28">
        <f>1.22*1.24*0.41/2*1000</f>
        <v>310.12399999999997</v>
      </c>
      <c r="I14" s="28">
        <f>1.524*1.34*0.41/2*1000</f>
        <v>418.64279999999997</v>
      </c>
      <c r="N14" s="24"/>
      <c r="O14" s="19"/>
      <c r="P14" s="19"/>
      <c r="Q14" s="19"/>
    </row>
    <row r="15" spans="1:42" x14ac:dyDescent="0.35">
      <c r="A15" s="95" t="s">
        <v>253</v>
      </c>
      <c r="B15" s="198">
        <f>0.601*0.7</f>
        <v>0.42069999999999996</v>
      </c>
      <c r="C15" s="198">
        <f>0.666*0.79</f>
        <v>0.52614000000000005</v>
      </c>
      <c r="D15" s="198">
        <f>0.791*0.94</f>
        <v>0.74353999999999998</v>
      </c>
      <c r="E15" s="198">
        <f>0.884*0.99</f>
        <v>0.87516000000000005</v>
      </c>
      <c r="F15" s="198">
        <f>0.992*1.04</f>
        <v>1.0316799999999999</v>
      </c>
      <c r="G15" s="198">
        <f>0.989*1.09</f>
        <v>1.0780100000000001</v>
      </c>
      <c r="H15" s="198">
        <f>1.22*1.24</f>
        <v>1.5127999999999999</v>
      </c>
      <c r="I15" s="198">
        <f>1.524*1.34</f>
        <v>2.04216</v>
      </c>
      <c r="N15" s="24"/>
      <c r="O15" s="19"/>
      <c r="P15" s="19"/>
      <c r="Q15" s="19"/>
    </row>
    <row r="16" spans="1:42" x14ac:dyDescent="0.35">
      <c r="A16" s="95" t="s">
        <v>228</v>
      </c>
      <c r="B16" s="20">
        <v>0.75</v>
      </c>
      <c r="C16" s="20">
        <v>0.75</v>
      </c>
      <c r="D16" s="20">
        <v>0.75</v>
      </c>
      <c r="E16" s="20">
        <v>2.2000000000000002</v>
      </c>
      <c r="F16" s="20">
        <v>2.2000000000000002</v>
      </c>
      <c r="G16" s="20">
        <v>2.2000000000000002</v>
      </c>
      <c r="H16" s="20">
        <v>5.5</v>
      </c>
      <c r="I16" s="20">
        <v>11</v>
      </c>
      <c r="N16" s="24"/>
      <c r="O16" s="19"/>
      <c r="P16" s="19"/>
      <c r="Q16" s="19"/>
    </row>
    <row r="17" spans="1:17" x14ac:dyDescent="0.35">
      <c r="A17" s="175" t="s">
        <v>288</v>
      </c>
      <c r="B17" s="176">
        <f>3*B16^(3/2)</f>
        <v>1.948557158514987</v>
      </c>
      <c r="C17" s="176">
        <f t="shared" ref="C17:I17" si="1">3*C16^(3/2)</f>
        <v>1.948557158514987</v>
      </c>
      <c r="D17" s="176">
        <f t="shared" si="1"/>
        <v>1.948557158514987</v>
      </c>
      <c r="E17" s="176">
        <f t="shared" si="1"/>
        <v>9.7893820029662777</v>
      </c>
      <c r="F17" s="176">
        <f t="shared" si="1"/>
        <v>9.7893820029662777</v>
      </c>
      <c r="G17" s="176">
        <f t="shared" si="1"/>
        <v>9.7893820029662777</v>
      </c>
      <c r="H17" s="176">
        <f t="shared" si="1"/>
        <v>38.695930018543294</v>
      </c>
      <c r="I17" s="176">
        <f t="shared" si="1"/>
        <v>109.44861808172823</v>
      </c>
      <c r="N17" s="24"/>
      <c r="O17" s="19"/>
      <c r="P17" s="19"/>
      <c r="Q17" s="19"/>
    </row>
    <row r="18" spans="1:17" x14ac:dyDescent="0.35">
      <c r="A18" s="181" t="s">
        <v>358</v>
      </c>
      <c r="B18" s="182">
        <f>B11/B12</f>
        <v>1.3551428571428572</v>
      </c>
      <c r="C18" s="182">
        <f t="shared" ref="C18:I18" si="2">C11/C13</f>
        <v>1.02</v>
      </c>
      <c r="D18" s="182">
        <f t="shared" si="2"/>
        <v>1.164814814814815</v>
      </c>
      <c r="E18" s="182">
        <f t="shared" si="2"/>
        <v>1.3770000000000002</v>
      </c>
      <c r="F18" s="182">
        <f t="shared" si="2"/>
        <v>1.1953125</v>
      </c>
      <c r="G18" s="182">
        <f t="shared" si="2"/>
        <v>1.1716216216216218</v>
      </c>
      <c r="H18" s="182">
        <f t="shared" si="2"/>
        <v>1.3043778801843318</v>
      </c>
      <c r="I18" s="182">
        <f t="shared" si="2"/>
        <v>1.2192419825072887</v>
      </c>
      <c r="N18" s="24"/>
      <c r="O18" s="19"/>
      <c r="P18" s="19"/>
      <c r="Q18" s="19"/>
    </row>
    <row r="19" spans="1:17" x14ac:dyDescent="0.35">
      <c r="A19" s="38"/>
      <c r="B19" s="167">
        <f>(B13-B12)/B13</f>
        <v>0.18604651162790697</v>
      </c>
      <c r="C19" s="167">
        <f t="shared" ref="C19:I19" si="3">(C13-C12)/C13</f>
        <v>0.11594202898550725</v>
      </c>
      <c r="D19" s="167">
        <f t="shared" si="3"/>
        <v>9.8765432098765427E-2</v>
      </c>
      <c r="E19" s="167">
        <f t="shared" si="3"/>
        <v>0.13</v>
      </c>
      <c r="F19" s="167">
        <f t="shared" si="3"/>
        <v>0.1015625</v>
      </c>
      <c r="G19" s="167">
        <f t="shared" si="3"/>
        <v>8.7837837837837843E-2</v>
      </c>
      <c r="H19" s="167">
        <f t="shared" si="3"/>
        <v>0.17050691244239632</v>
      </c>
      <c r="I19" s="167">
        <f t="shared" si="3"/>
        <v>0.32361516034985421</v>
      </c>
      <c r="N19" s="24"/>
      <c r="O19" s="19"/>
      <c r="P19" s="19"/>
      <c r="Q19" s="19"/>
    </row>
    <row r="20" spans="1:17" ht="15" thickBot="1" x14ac:dyDescent="0.4">
      <c r="A20" s="139" t="s">
        <v>248</v>
      </c>
      <c r="B20" s="140">
        <v>10</v>
      </c>
      <c r="C20" s="19"/>
      <c r="D20" s="19"/>
      <c r="E20" s="19"/>
      <c r="F20" s="19"/>
      <c r="G20" s="19"/>
      <c r="N20" s="24"/>
      <c r="O20" s="19"/>
      <c r="P20" s="19"/>
      <c r="Q20" s="19"/>
    </row>
    <row r="21" spans="1:17" s="19" customFormat="1" ht="18.5" x14ac:dyDescent="0.45">
      <c r="A21" s="137" t="s">
        <v>249</v>
      </c>
      <c r="B21" s="138">
        <f>SLOPE(B12:I12,B11:I11)*('Power &amp; Mass breakdown'!B13/B20)+INTERCEPT(B12:I12,B11:I11)</f>
        <v>116.22294721878123</v>
      </c>
      <c r="C21" s="138">
        <f>B20*B21</f>
        <v>1162.2294721878122</v>
      </c>
      <c r="D21" s="133" t="s">
        <v>18</v>
      </c>
      <c r="E21" s="31"/>
      <c r="F21" t="s">
        <v>390</v>
      </c>
      <c r="G21"/>
      <c r="H21"/>
      <c r="N21" s="24"/>
    </row>
    <row r="22" spans="1:17" x14ac:dyDescent="0.35">
      <c r="A22" s="135" t="s">
        <v>250</v>
      </c>
      <c r="B22" s="132">
        <f>SLOPE(B14:I14,B11:I11)*('Power &amp; Mass breakdown'!B13/B20)+INTERCEPT(B14:I14,B11:I11)</f>
        <v>195.01932252261022</v>
      </c>
      <c r="C22" s="132">
        <f>B20*B22</f>
        <v>1950.1932252261022</v>
      </c>
      <c r="D22" s="136" t="s">
        <v>40</v>
      </c>
      <c r="E22" s="38"/>
      <c r="F22" t="s">
        <v>391</v>
      </c>
      <c r="N22" s="24"/>
      <c r="O22" s="19"/>
      <c r="P22" s="19"/>
      <c r="Q22" s="19"/>
    </row>
    <row r="23" spans="1:17" x14ac:dyDescent="0.35">
      <c r="A23" s="135" t="s">
        <v>254</v>
      </c>
      <c r="B23" s="141">
        <f>SLOPE(B15:I15,B11:I11)*('Power &amp; Mass breakdown'!B13/B20)+INTERCEPT(B15:I15,B11:I11)</f>
        <v>1.0408662812037628</v>
      </c>
      <c r="C23" s="132">
        <f>B20*B23</f>
        <v>10.408662812037628</v>
      </c>
      <c r="D23" s="136" t="s">
        <v>255</v>
      </c>
      <c r="E23" s="38"/>
      <c r="N23" s="24"/>
      <c r="O23" s="19"/>
      <c r="P23" s="19"/>
      <c r="Q23" s="19"/>
    </row>
    <row r="24" spans="1:17" x14ac:dyDescent="0.35">
      <c r="A24" s="135" t="s">
        <v>251</v>
      </c>
      <c r="B24" s="141">
        <f>('Power &amp; Mass breakdown'!B13/B20)/I11*I16</f>
        <v>4.6030607364897183</v>
      </c>
      <c r="C24" s="132">
        <f>B20*B24</f>
        <v>46.030607364897179</v>
      </c>
      <c r="D24" s="136" t="s">
        <v>15</v>
      </c>
      <c r="E24" s="38"/>
      <c r="F24">
        <f>SLOPE(B8:I8,B11:I11)*('Power &amp; Mass breakdown'!B13/B20)+INTERCEPT(B8:I8,B11:I11)</f>
        <v>623.50586444100759</v>
      </c>
      <c r="G24" s="192">
        <f>F24*B20</f>
        <v>6235.0586444100754</v>
      </c>
      <c r="N24" s="24"/>
      <c r="O24" s="19"/>
      <c r="P24" s="19"/>
      <c r="Q24" s="19"/>
    </row>
    <row r="25" spans="1:17" ht="15" thickBot="1" x14ac:dyDescent="0.4">
      <c r="A25" s="46" t="s">
        <v>256</v>
      </c>
      <c r="B25" s="131">
        <f>'Power &amp; Mass breakdown'!B13/Cooling_old!B20</f>
        <v>175</v>
      </c>
      <c r="C25" s="131">
        <f>B20*B25</f>
        <v>1750</v>
      </c>
      <c r="D25" s="134" t="s">
        <v>15</v>
      </c>
      <c r="N25" s="24"/>
      <c r="O25" s="19"/>
      <c r="P25" s="19"/>
      <c r="Q25" s="19"/>
    </row>
    <row r="26" spans="1:17" s="105" customFormat="1" ht="15" thickBot="1" x14ac:dyDescent="0.4"/>
    <row r="27" spans="1:17" s="19" customFormat="1" ht="15" thickTop="1" x14ac:dyDescent="0.35"/>
    <row r="28" spans="1:17" s="6" customFormat="1" ht="18.5" x14ac:dyDescent="0.45">
      <c r="A28" s="6" t="s">
        <v>109</v>
      </c>
      <c r="M28" s="22"/>
      <c r="N28" s="22"/>
    </row>
    <row r="29" spans="1:17" ht="15" thickBot="1" x14ac:dyDescent="0.4">
      <c r="A29" s="8"/>
    </row>
    <row r="30" spans="1:17" ht="29.5" thickBot="1" x14ac:dyDescent="0.4">
      <c r="A30" s="25" t="s">
        <v>65</v>
      </c>
      <c r="B30" s="26">
        <v>0.18</v>
      </c>
      <c r="C30" s="27" t="s">
        <v>21</v>
      </c>
    </row>
    <row r="31" spans="1:17" x14ac:dyDescent="0.35">
      <c r="A31" s="8"/>
    </row>
    <row r="32" spans="1:17" x14ac:dyDescent="0.35">
      <c r="A32" s="8"/>
    </row>
    <row r="33" spans="1:14" x14ac:dyDescent="0.35">
      <c r="A33" s="7" t="s">
        <v>12</v>
      </c>
      <c r="B33" s="1" t="s">
        <v>13</v>
      </c>
    </row>
    <row r="34" spans="1:14" x14ac:dyDescent="0.35">
      <c r="A34" s="8" t="s">
        <v>16</v>
      </c>
      <c r="B34">
        <v>100</v>
      </c>
      <c r="C34" t="s">
        <v>15</v>
      </c>
      <c r="I34">
        <v>6.5</v>
      </c>
      <c r="J34">
        <v>2</v>
      </c>
    </row>
    <row r="35" spans="1:14" x14ac:dyDescent="0.35">
      <c r="A35" s="8" t="s">
        <v>19</v>
      </c>
      <c r="B35">
        <v>89</v>
      </c>
      <c r="C35" t="s">
        <v>15</v>
      </c>
      <c r="I35">
        <v>11.8</v>
      </c>
      <c r="J35">
        <v>7.5</v>
      </c>
    </row>
    <row r="36" spans="1:14" x14ac:dyDescent="0.35">
      <c r="A36" s="11" t="s">
        <v>22</v>
      </c>
      <c r="B36">
        <v>17.2</v>
      </c>
      <c r="C36" t="s">
        <v>18</v>
      </c>
      <c r="I36">
        <v>19.899999999999999</v>
      </c>
      <c r="J36">
        <v>230</v>
      </c>
    </row>
    <row r="37" spans="1:14" x14ac:dyDescent="0.35">
      <c r="A37" s="8" t="s">
        <v>20</v>
      </c>
      <c r="B37" s="12">
        <f>B36/B34</f>
        <v>0.17199999999999999</v>
      </c>
      <c r="C37" t="s">
        <v>21</v>
      </c>
      <c r="E37">
        <f>B34/B36</f>
        <v>5.8139534883720936</v>
      </c>
      <c r="I37">
        <v>24</v>
      </c>
      <c r="J37">
        <v>165</v>
      </c>
    </row>
    <row r="38" spans="1:14" x14ac:dyDescent="0.35">
      <c r="A38" s="8"/>
    </row>
    <row r="39" spans="1:14" x14ac:dyDescent="0.35">
      <c r="A39" s="7" t="s">
        <v>26</v>
      </c>
      <c r="B39" s="1" t="s">
        <v>27</v>
      </c>
    </row>
    <row r="40" spans="1:14" x14ac:dyDescent="0.35">
      <c r="A40" s="8" t="s">
        <v>16</v>
      </c>
      <c r="B40">
        <v>600</v>
      </c>
      <c r="C40" t="s">
        <v>15</v>
      </c>
    </row>
    <row r="41" spans="1:14" x14ac:dyDescent="0.35">
      <c r="A41" s="8" t="s">
        <v>19</v>
      </c>
      <c r="B41">
        <v>500</v>
      </c>
      <c r="C41" t="s">
        <v>15</v>
      </c>
    </row>
    <row r="42" spans="1:14" x14ac:dyDescent="0.35">
      <c r="A42" s="11" t="s">
        <v>22</v>
      </c>
      <c r="B42">
        <v>110</v>
      </c>
      <c r="C42" t="s">
        <v>18</v>
      </c>
    </row>
    <row r="43" spans="1:14" x14ac:dyDescent="0.35">
      <c r="A43" s="8" t="s">
        <v>20</v>
      </c>
      <c r="B43" s="12">
        <f>B42/B40</f>
        <v>0.18333333333333332</v>
      </c>
      <c r="C43" t="s">
        <v>21</v>
      </c>
    </row>
    <row r="47" spans="1:14" s="6" customFormat="1" ht="18.5" x14ac:dyDescent="0.45">
      <c r="A47" s="6" t="s">
        <v>385</v>
      </c>
      <c r="M47" s="22"/>
      <c r="N47" s="22"/>
    </row>
    <row r="48" spans="1:14" x14ac:dyDescent="0.35">
      <c r="A48" t="s">
        <v>80</v>
      </c>
    </row>
    <row r="49" spans="1:13" x14ac:dyDescent="0.35">
      <c r="A49" s="4" t="s">
        <v>67</v>
      </c>
    </row>
    <row r="51" spans="1:13" x14ac:dyDescent="0.35">
      <c r="A51" s="5" t="s">
        <v>73</v>
      </c>
      <c r="B51" s="1" t="s">
        <v>240</v>
      </c>
    </row>
    <row r="52" spans="1:13" x14ac:dyDescent="0.35">
      <c r="A52" t="s">
        <v>77</v>
      </c>
      <c r="B52">
        <v>100</v>
      </c>
      <c r="C52" t="s">
        <v>15</v>
      </c>
    </row>
    <row r="53" spans="1:13" x14ac:dyDescent="0.35">
      <c r="A53" t="s">
        <v>81</v>
      </c>
      <c r="B53">
        <v>70</v>
      </c>
      <c r="C53" t="s">
        <v>37</v>
      </c>
    </row>
    <row r="54" spans="1:13" x14ac:dyDescent="0.35">
      <c r="A54" t="s">
        <v>82</v>
      </c>
      <c r="B54">
        <v>80</v>
      </c>
      <c r="C54" t="s">
        <v>37</v>
      </c>
      <c r="M54" s="38"/>
    </row>
    <row r="55" spans="1:13" x14ac:dyDescent="0.35">
      <c r="A55" t="s">
        <v>83</v>
      </c>
      <c r="B55">
        <v>2</v>
      </c>
      <c r="C55" t="s">
        <v>36</v>
      </c>
    </row>
    <row r="56" spans="1:13" x14ac:dyDescent="0.35">
      <c r="A56" t="s">
        <v>84</v>
      </c>
      <c r="B56">
        <v>3200</v>
      </c>
      <c r="C56" t="s">
        <v>86</v>
      </c>
      <c r="D56" s="1" t="s">
        <v>85</v>
      </c>
    </row>
    <row r="57" spans="1:13" x14ac:dyDescent="0.35">
      <c r="A57" t="s">
        <v>87</v>
      </c>
      <c r="B57">
        <v>1250</v>
      </c>
      <c r="C57" t="s">
        <v>41</v>
      </c>
    </row>
    <row r="58" spans="1:13" x14ac:dyDescent="0.35">
      <c r="A58" t="s">
        <v>88</v>
      </c>
      <c r="B58">
        <v>1.2</v>
      </c>
      <c r="C58" s="1" t="s">
        <v>89</v>
      </c>
    </row>
    <row r="60" spans="1:13" x14ac:dyDescent="0.35">
      <c r="A60" s="5" t="s">
        <v>78</v>
      </c>
    </row>
    <row r="61" spans="1:13" x14ac:dyDescent="0.35">
      <c r="A61" t="s">
        <v>90</v>
      </c>
      <c r="B61">
        <v>92.3</v>
      </c>
      <c r="C61" t="s">
        <v>15</v>
      </c>
    </row>
    <row r="62" spans="1:13" x14ac:dyDescent="0.35">
      <c r="A62" t="s">
        <v>91</v>
      </c>
      <c r="B62">
        <v>0.7</v>
      </c>
      <c r="C62" t="s">
        <v>15</v>
      </c>
    </row>
    <row r="64" spans="1:13" s="105" customFormat="1" ht="15" thickBot="1" x14ac:dyDescent="0.4"/>
    <row r="65" spans="1:17" s="19" customFormat="1" ht="15" thickTop="1" x14ac:dyDescent="0.35"/>
    <row r="66" spans="1:17" s="19" customFormat="1" x14ac:dyDescent="0.35"/>
    <row r="67" spans="1:17" s="6" customFormat="1" ht="18.5" x14ac:dyDescent="0.45">
      <c r="A67" s="6" t="s">
        <v>264</v>
      </c>
      <c r="M67" s="22"/>
      <c r="N67" s="22"/>
    </row>
    <row r="68" spans="1:17" s="19" customFormat="1" x14ac:dyDescent="0.35"/>
    <row r="69" spans="1:17" x14ac:dyDescent="0.35">
      <c r="O69" s="19"/>
      <c r="P69" s="19"/>
      <c r="Q69" s="19"/>
    </row>
    <row r="70" spans="1:17" ht="15" thickBot="1" x14ac:dyDescent="0.4">
      <c r="A70" s="5" t="s">
        <v>185</v>
      </c>
      <c r="B70" s="4" t="s">
        <v>176</v>
      </c>
      <c r="E70" s="217" t="s">
        <v>412</v>
      </c>
      <c r="O70" s="19"/>
      <c r="P70" s="19"/>
      <c r="Q70" s="19"/>
    </row>
    <row r="71" spans="1:17" x14ac:dyDescent="0.35">
      <c r="A71" s="84" t="s">
        <v>126</v>
      </c>
      <c r="B71" s="85">
        <f>MIN(B83:F83)</f>
        <v>0.38358930602957908</v>
      </c>
      <c r="C71" s="86" t="s">
        <v>21</v>
      </c>
      <c r="O71" s="19"/>
      <c r="P71" s="19"/>
      <c r="Q71" s="19"/>
    </row>
    <row r="72" spans="1:17" ht="29" x14ac:dyDescent="0.35">
      <c r="A72" s="87" t="s">
        <v>127</v>
      </c>
      <c r="B72" s="88">
        <v>0.29930000000000001</v>
      </c>
      <c r="C72" s="89" t="s">
        <v>128</v>
      </c>
      <c r="O72" s="19"/>
      <c r="P72" s="19"/>
      <c r="Q72" s="19"/>
    </row>
    <row r="73" spans="1:17" x14ac:dyDescent="0.35">
      <c r="A73" s="90"/>
      <c r="B73" s="91">
        <v>57.478000000000002</v>
      </c>
      <c r="C73" s="92" t="s">
        <v>129</v>
      </c>
      <c r="O73" s="19"/>
      <c r="P73" s="19"/>
      <c r="Q73" s="19"/>
    </row>
    <row r="74" spans="1:17" ht="15" thickBot="1" x14ac:dyDescent="0.4">
      <c r="A74" s="93"/>
      <c r="B74" s="93"/>
      <c r="C74" s="93"/>
      <c r="O74" s="19"/>
      <c r="P74" s="19"/>
      <c r="Q74" s="19"/>
    </row>
    <row r="75" spans="1:17" x14ac:dyDescent="0.35">
      <c r="A75" s="84" t="s">
        <v>182</v>
      </c>
      <c r="B75" s="85">
        <f>MIN(B85:F85)</f>
        <v>0.22798528156996584</v>
      </c>
      <c r="C75" s="86" t="s">
        <v>183</v>
      </c>
      <c r="O75" s="19"/>
      <c r="P75" s="19"/>
      <c r="Q75" s="19"/>
    </row>
    <row r="76" spans="1:17" ht="29" x14ac:dyDescent="0.35">
      <c r="A76" s="87" t="s">
        <v>178</v>
      </c>
      <c r="B76" s="88">
        <v>0.16739999999999999</v>
      </c>
      <c r="C76" s="89" t="s">
        <v>128</v>
      </c>
      <c r="O76" s="19"/>
      <c r="P76" s="19"/>
      <c r="Q76" s="19"/>
    </row>
    <row r="77" spans="1:17" x14ac:dyDescent="0.35">
      <c r="A77" s="90"/>
      <c r="B77" s="91">
        <v>39.86</v>
      </c>
      <c r="C77" s="92" t="s">
        <v>129</v>
      </c>
      <c r="O77" s="19"/>
      <c r="P77" s="19"/>
      <c r="Q77" s="19"/>
    </row>
    <row r="78" spans="1:17" x14ac:dyDescent="0.35">
      <c r="O78" s="19"/>
      <c r="P78" s="19"/>
      <c r="Q78" s="19"/>
    </row>
    <row r="79" spans="1:17" x14ac:dyDescent="0.35">
      <c r="A79" s="32" t="s">
        <v>118</v>
      </c>
      <c r="B79" s="10" t="s">
        <v>121</v>
      </c>
      <c r="C79" s="10" t="s">
        <v>117</v>
      </c>
      <c r="D79" s="10" t="s">
        <v>120</v>
      </c>
      <c r="E79" s="10" t="s">
        <v>122</v>
      </c>
      <c r="F79" s="10" t="s">
        <v>123</v>
      </c>
      <c r="O79" s="19"/>
      <c r="P79" s="19"/>
      <c r="Q79" s="19"/>
    </row>
    <row r="80" spans="1:17" x14ac:dyDescent="0.35">
      <c r="A80" s="39" t="s">
        <v>187</v>
      </c>
      <c r="B80">
        <v>140.63999999999999</v>
      </c>
      <c r="C80">
        <v>175.8</v>
      </c>
      <c r="D80">
        <v>175.8</v>
      </c>
      <c r="E80">
        <v>527.4</v>
      </c>
      <c r="F80">
        <v>703.2</v>
      </c>
      <c r="O80" s="19"/>
      <c r="P80" s="19"/>
      <c r="Q80" s="19"/>
    </row>
    <row r="81" spans="1:17" x14ac:dyDescent="0.35">
      <c r="A81" s="39" t="s">
        <v>119</v>
      </c>
      <c r="B81">
        <v>220</v>
      </c>
      <c r="C81">
        <v>222</v>
      </c>
      <c r="D81">
        <v>220</v>
      </c>
      <c r="E81">
        <v>210</v>
      </c>
      <c r="F81">
        <v>180</v>
      </c>
      <c r="O81" s="19"/>
      <c r="P81" s="19"/>
      <c r="Q81" s="19"/>
    </row>
    <row r="82" spans="1:17" x14ac:dyDescent="0.35">
      <c r="A82" s="39" t="s">
        <v>60</v>
      </c>
      <c r="B82">
        <f>6.89+0.404*B81</f>
        <v>95.77000000000001</v>
      </c>
      <c r="C82">
        <f>7.36+0.473*C81</f>
        <v>112.366</v>
      </c>
      <c r="D82">
        <f>7.3+0.48*D81</f>
        <v>112.89999999999999</v>
      </c>
      <c r="E82">
        <f>25.32+0.89*E81</f>
        <v>212.22</v>
      </c>
      <c r="F82">
        <f>48.34+1.23*F81</f>
        <v>269.74</v>
      </c>
      <c r="O82" s="19"/>
      <c r="P82" s="19"/>
      <c r="Q82" s="19"/>
    </row>
    <row r="83" spans="1:17" x14ac:dyDescent="0.35">
      <c r="A83" s="39" t="s">
        <v>125</v>
      </c>
      <c r="B83">
        <f>B82/B80</f>
        <v>0.68095847554038691</v>
      </c>
      <c r="C83">
        <f>C82/C80</f>
        <v>0.63916951080773599</v>
      </c>
      <c r="D83">
        <f>D82/D80</f>
        <v>0.64220705346985196</v>
      </c>
      <c r="E83">
        <f>E82/E80</f>
        <v>0.40238907849829353</v>
      </c>
      <c r="F83">
        <f>F82/F80</f>
        <v>0.38358930602957908</v>
      </c>
      <c r="O83" s="19"/>
      <c r="P83" s="19"/>
      <c r="Q83" s="19"/>
    </row>
    <row r="84" spans="1:17" x14ac:dyDescent="0.35">
      <c r="A84" s="39" t="s">
        <v>4</v>
      </c>
      <c r="B84">
        <f>186*613*(14+2.4*B81)*0.000001</f>
        <v>61.797756</v>
      </c>
      <c r="C84">
        <f>247*529*(13+2.4*C81)*0.000001</f>
        <v>71.315865399999993</v>
      </c>
      <c r="D84">
        <f>246*528*(14+2.4*D81)*0.000001</f>
        <v>70.399295999999993</v>
      </c>
      <c r="E84">
        <f>321*751*(14+2.38*E81)*0.000001</f>
        <v>123.86227979999998</v>
      </c>
      <c r="F84">
        <f>375*945*(24+2.38*180)*0.000001</f>
        <v>160.31924999999998</v>
      </c>
      <c r="O84" s="19"/>
      <c r="P84" s="19"/>
      <c r="Q84" s="19"/>
    </row>
    <row r="85" spans="1:17" x14ac:dyDescent="0.35">
      <c r="A85" s="39" t="s">
        <v>177</v>
      </c>
      <c r="B85">
        <f>B84/B80</f>
        <v>0.43940383959044371</v>
      </c>
      <c r="C85">
        <f t="shared" ref="C85:F85" si="4">C84/C80</f>
        <v>0.40566476336746293</v>
      </c>
      <c r="D85">
        <f t="shared" si="4"/>
        <v>0.40045105802047776</v>
      </c>
      <c r="E85">
        <f t="shared" si="4"/>
        <v>0.23485453128555173</v>
      </c>
      <c r="F85">
        <f t="shared" si="4"/>
        <v>0.22798528156996584</v>
      </c>
      <c r="O85" s="19"/>
      <c r="P85" s="19"/>
      <c r="Q85" s="19"/>
    </row>
    <row r="86" spans="1:17" x14ac:dyDescent="0.35">
      <c r="O86" s="19"/>
      <c r="P86" s="19"/>
      <c r="Q86" s="19"/>
    </row>
    <row r="87" spans="1:17" x14ac:dyDescent="0.35">
      <c r="O87" s="19"/>
      <c r="P87" s="19"/>
      <c r="Q87" s="19"/>
    </row>
    <row r="88" spans="1:17" x14ac:dyDescent="0.35">
      <c r="O88" s="19"/>
      <c r="P88" s="19"/>
      <c r="Q88" s="19"/>
    </row>
    <row r="89" spans="1:17" x14ac:dyDescent="0.35">
      <c r="A89" s="13" t="s">
        <v>28</v>
      </c>
      <c r="B89" s="1" t="s">
        <v>29</v>
      </c>
    </row>
    <row r="90" spans="1:17" x14ac:dyDescent="0.35">
      <c r="A90" t="s">
        <v>30</v>
      </c>
      <c r="B90" s="1">
        <v>25</v>
      </c>
      <c r="C90" t="s">
        <v>15</v>
      </c>
      <c r="N90" s="18"/>
      <c r="O90" s="1"/>
    </row>
    <row r="91" spans="1:17" x14ac:dyDescent="0.35">
      <c r="A91" t="s">
        <v>31</v>
      </c>
      <c r="B91">
        <v>24.2</v>
      </c>
      <c r="C91" t="s">
        <v>15</v>
      </c>
    </row>
    <row r="92" spans="1:17" x14ac:dyDescent="0.35">
      <c r="A92" s="9" t="s">
        <v>17</v>
      </c>
      <c r="B92">
        <v>24</v>
      </c>
      <c r="C92" t="s">
        <v>18</v>
      </c>
      <c r="D92" t="s">
        <v>32</v>
      </c>
    </row>
    <row r="93" spans="1:17" x14ac:dyDescent="0.35">
      <c r="A93" t="s">
        <v>124</v>
      </c>
      <c r="B93" s="10">
        <v>1</v>
      </c>
      <c r="C93" t="s">
        <v>21</v>
      </c>
      <c r="N93" s="23"/>
    </row>
    <row r="94" spans="1:17" x14ac:dyDescent="0.35">
      <c r="O94" s="12"/>
    </row>
    <row r="95" spans="1:17" x14ac:dyDescent="0.35">
      <c r="A95" s="5" t="s">
        <v>26</v>
      </c>
      <c r="B95" s="1" t="s">
        <v>27</v>
      </c>
    </row>
    <row r="96" spans="1:17" x14ac:dyDescent="0.35">
      <c r="A96" t="s">
        <v>16</v>
      </c>
      <c r="B96">
        <v>600</v>
      </c>
      <c r="C96" t="s">
        <v>15</v>
      </c>
      <c r="N96" s="18"/>
      <c r="O96" s="1"/>
    </row>
    <row r="97" spans="1:15" x14ac:dyDescent="0.35">
      <c r="A97" s="8" t="s">
        <v>19</v>
      </c>
      <c r="B97">
        <v>500</v>
      </c>
      <c r="C97" t="s">
        <v>15</v>
      </c>
    </row>
    <row r="98" spans="1:15" x14ac:dyDescent="0.35">
      <c r="A98" s="9" t="s">
        <v>17</v>
      </c>
      <c r="B98">
        <v>370</v>
      </c>
      <c r="C98" t="s">
        <v>18</v>
      </c>
    </row>
    <row r="99" spans="1:15" x14ac:dyDescent="0.35">
      <c r="A99" t="s">
        <v>124</v>
      </c>
      <c r="B99" s="12">
        <f>B98/B96</f>
        <v>0.6166666666666667</v>
      </c>
      <c r="C99" t="s">
        <v>21</v>
      </c>
      <c r="N99" s="23"/>
    </row>
    <row r="100" spans="1:15" x14ac:dyDescent="0.35">
      <c r="O100" s="12"/>
    </row>
    <row r="101" spans="1:15" ht="15" thickBot="1" x14ac:dyDescent="0.4"/>
    <row r="102" spans="1:15" x14ac:dyDescent="0.35">
      <c r="A102" s="142" t="s">
        <v>10</v>
      </c>
      <c r="B102" s="143" t="s">
        <v>11</v>
      </c>
      <c r="C102" s="144"/>
      <c r="D102" s="144"/>
      <c r="E102" s="144"/>
      <c r="F102" s="144"/>
      <c r="G102" s="145"/>
    </row>
    <row r="103" spans="1:15" x14ac:dyDescent="0.35">
      <c r="A103" s="146" t="s">
        <v>14</v>
      </c>
      <c r="B103" s="147">
        <v>80</v>
      </c>
      <c r="C103" s="147">
        <v>80</v>
      </c>
      <c r="D103" s="147" t="s">
        <v>15</v>
      </c>
      <c r="E103" s="147"/>
      <c r="F103" s="147"/>
      <c r="G103" s="148"/>
    </row>
    <row r="104" spans="1:15" x14ac:dyDescent="0.35">
      <c r="A104" s="149" t="s">
        <v>184</v>
      </c>
      <c r="B104" s="150">
        <v>4.5</v>
      </c>
      <c r="C104" s="147">
        <v>5.9</v>
      </c>
      <c r="D104" s="147" t="s">
        <v>18</v>
      </c>
      <c r="E104" s="147"/>
      <c r="F104" s="147"/>
      <c r="G104" s="148"/>
    </row>
    <row r="105" spans="1:15" x14ac:dyDescent="0.35">
      <c r="A105" s="146" t="s">
        <v>20</v>
      </c>
      <c r="B105" s="150">
        <f>B104/B103</f>
        <v>5.6250000000000001E-2</v>
      </c>
      <c r="C105" s="147">
        <f>C104/B103</f>
        <v>7.375000000000001E-2</v>
      </c>
      <c r="D105" s="147" t="s">
        <v>21</v>
      </c>
      <c r="E105" s="147"/>
      <c r="F105" s="147"/>
      <c r="G105" s="148"/>
    </row>
    <row r="106" spans="1:15" ht="15" thickBot="1" x14ac:dyDescent="0.4">
      <c r="A106" s="151" t="s">
        <v>57</v>
      </c>
      <c r="B106" s="228" t="s">
        <v>259</v>
      </c>
      <c r="C106" s="228"/>
      <c r="D106" s="152" t="s">
        <v>134</v>
      </c>
      <c r="E106" s="153"/>
      <c r="F106" s="153"/>
      <c r="G106" s="130"/>
    </row>
    <row r="109" spans="1:15" x14ac:dyDescent="0.35">
      <c r="A109" s="40" t="s">
        <v>23</v>
      </c>
      <c r="B109" s="41" t="s">
        <v>24</v>
      </c>
      <c r="C109" s="42"/>
      <c r="D109" s="42"/>
      <c r="E109" s="42"/>
      <c r="F109" s="42"/>
    </row>
    <row r="110" spans="1:15" x14ac:dyDescent="0.35">
      <c r="A110" s="42" t="s">
        <v>25</v>
      </c>
      <c r="B110" s="42">
        <v>0.8</v>
      </c>
      <c r="C110" s="42">
        <v>0.8</v>
      </c>
      <c r="D110" s="42" t="s">
        <v>15</v>
      </c>
      <c r="E110" s="42"/>
      <c r="F110" s="42"/>
    </row>
    <row r="111" spans="1:15" x14ac:dyDescent="0.35">
      <c r="A111" s="43" t="s">
        <v>184</v>
      </c>
      <c r="B111" s="44">
        <v>0.5</v>
      </c>
      <c r="C111" s="42">
        <v>1</v>
      </c>
      <c r="D111" s="42" t="s">
        <v>18</v>
      </c>
      <c r="E111" s="42"/>
      <c r="F111" s="42"/>
    </row>
    <row r="112" spans="1:15" x14ac:dyDescent="0.35">
      <c r="A112" s="42" t="s">
        <v>20</v>
      </c>
      <c r="B112" s="44">
        <f>B111/B110</f>
        <v>0.625</v>
      </c>
      <c r="C112" s="42">
        <f>C111/C110</f>
        <v>1.25</v>
      </c>
      <c r="D112" s="42" t="s">
        <v>21</v>
      </c>
      <c r="E112" s="42"/>
      <c r="F112" s="42"/>
    </row>
    <row r="115" spans="1:14" s="6" customFormat="1" ht="18.5" x14ac:dyDescent="0.45">
      <c r="A115" s="6" t="s">
        <v>236</v>
      </c>
      <c r="M115" s="22"/>
      <c r="N115" s="22"/>
    </row>
    <row r="118" spans="1:14" x14ac:dyDescent="0.35">
      <c r="A118" s="5" t="s">
        <v>33</v>
      </c>
    </row>
    <row r="119" spans="1:14" ht="29" x14ac:dyDescent="0.35">
      <c r="A119" s="9" t="s">
        <v>239</v>
      </c>
      <c r="B119">
        <v>1.5</v>
      </c>
      <c r="C119" t="s">
        <v>48</v>
      </c>
    </row>
    <row r="120" spans="1:14" x14ac:dyDescent="0.35">
      <c r="A120" s="14" t="s">
        <v>35</v>
      </c>
      <c r="B120" s="15">
        <v>1.5</v>
      </c>
      <c r="C120" t="s">
        <v>21</v>
      </c>
      <c r="D120" t="s">
        <v>34</v>
      </c>
    </row>
    <row r="127" spans="1:14" ht="15.5" x14ac:dyDescent="0.35">
      <c r="A127" s="120" t="s">
        <v>237</v>
      </c>
      <c r="F127" s="4" t="s">
        <v>238</v>
      </c>
    </row>
    <row r="128" spans="1:14" x14ac:dyDescent="0.35">
      <c r="A128" s="9" t="s">
        <v>71</v>
      </c>
      <c r="B128">
        <f>3/3.8</f>
        <v>0.78947368421052633</v>
      </c>
      <c r="C128" t="s">
        <v>48</v>
      </c>
    </row>
    <row r="138" spans="1:14" s="6" customFormat="1" ht="28.5" customHeight="1" x14ac:dyDescent="0.45">
      <c r="A138" s="6" t="s">
        <v>223</v>
      </c>
    </row>
    <row r="139" spans="1:14" x14ac:dyDescent="0.35">
      <c r="M139"/>
      <c r="N139"/>
    </row>
    <row r="140" spans="1:14" x14ac:dyDescent="0.35">
      <c r="A140" s="5" t="s">
        <v>411</v>
      </c>
      <c r="M140"/>
      <c r="N140"/>
    </row>
    <row r="141" spans="1:14" x14ac:dyDescent="0.35">
      <c r="M141"/>
      <c r="N141"/>
    </row>
    <row r="142" spans="1:14" x14ac:dyDescent="0.35">
      <c r="A142" s="97" t="s">
        <v>207</v>
      </c>
      <c r="B142" s="233">
        <v>1800</v>
      </c>
      <c r="C142" s="233"/>
      <c r="D142" s="233"/>
      <c r="E142" s="233"/>
      <c r="F142" s="234"/>
      <c r="M142"/>
      <c r="N142"/>
    </row>
    <row r="143" spans="1:14" x14ac:dyDescent="0.35">
      <c r="A143" s="8" t="s">
        <v>232</v>
      </c>
      <c r="B143" s="235">
        <f>B142/0.5*0.35</f>
        <v>1260</v>
      </c>
      <c r="C143" s="235"/>
      <c r="D143" s="235"/>
      <c r="E143" s="235"/>
      <c r="F143" s="236"/>
      <c r="M143"/>
      <c r="N143"/>
    </row>
    <row r="144" spans="1:14" x14ac:dyDescent="0.35">
      <c r="A144" s="8" t="s">
        <v>205</v>
      </c>
      <c r="B144" s="235">
        <v>80</v>
      </c>
      <c r="C144" s="235"/>
      <c r="D144" s="235"/>
      <c r="E144" s="235"/>
      <c r="F144" s="236"/>
      <c r="M144"/>
      <c r="N144"/>
    </row>
    <row r="145" spans="1:14" x14ac:dyDescent="0.35">
      <c r="A145" s="97" t="s">
        <v>204</v>
      </c>
      <c r="B145" s="55">
        <v>0</v>
      </c>
      <c r="C145" s="55">
        <v>5000</v>
      </c>
      <c r="D145" s="55">
        <v>10000</v>
      </c>
      <c r="E145" s="55">
        <v>15000</v>
      </c>
      <c r="F145" s="56">
        <v>20000</v>
      </c>
      <c r="M145"/>
      <c r="N145"/>
    </row>
    <row r="146" spans="1:14" x14ac:dyDescent="0.35">
      <c r="A146" s="8" t="s">
        <v>206</v>
      </c>
      <c r="B146" s="19">
        <v>15</v>
      </c>
      <c r="C146" s="19">
        <v>5.0999999999999996</v>
      </c>
      <c r="D146" s="19">
        <v>-4.8</v>
      </c>
      <c r="E146" s="19">
        <v>-14.7</v>
      </c>
      <c r="F146" s="57">
        <v>-24.6</v>
      </c>
      <c r="M146"/>
      <c r="N146"/>
    </row>
    <row r="147" spans="1:14" x14ac:dyDescent="0.35">
      <c r="A147" s="8" t="s">
        <v>208</v>
      </c>
      <c r="B147" s="19">
        <f>B146+30</f>
        <v>45</v>
      </c>
      <c r="C147" s="19">
        <f>C146+30</f>
        <v>35.1</v>
      </c>
      <c r="D147" s="19">
        <f>D146+30</f>
        <v>25.2</v>
      </c>
      <c r="E147" s="19">
        <f>E146+30</f>
        <v>15.3</v>
      </c>
      <c r="F147" s="57">
        <f>F146+30</f>
        <v>5.3999999999999986</v>
      </c>
      <c r="M147"/>
      <c r="N147"/>
    </row>
    <row r="148" spans="1:14" x14ac:dyDescent="0.35">
      <c r="A148" s="8" t="s">
        <v>189</v>
      </c>
      <c r="B148" s="19">
        <f>$B$144-B147</f>
        <v>35</v>
      </c>
      <c r="C148" s="19">
        <f>$B$144-C147</f>
        <v>44.9</v>
      </c>
      <c r="D148" s="19">
        <f>$B$144-D147</f>
        <v>54.8</v>
      </c>
      <c r="E148" s="19">
        <f>$B$144-E147</f>
        <v>64.7</v>
      </c>
      <c r="F148" s="57">
        <f>$B$144-F147</f>
        <v>74.599999999999994</v>
      </c>
      <c r="M148"/>
      <c r="N148"/>
    </row>
    <row r="149" spans="1:14" x14ac:dyDescent="0.35">
      <c r="A149" s="21" t="s">
        <v>209</v>
      </c>
      <c r="B149" s="98">
        <v>1476.5170823122387</v>
      </c>
      <c r="C149" s="98">
        <v>1151.9515123865349</v>
      </c>
      <c r="D149" s="98">
        <v>944.65598414931469</v>
      </c>
      <c r="E149" s="98">
        <v>800.7986546616612</v>
      </c>
      <c r="F149" s="99">
        <v>695.12329734365335</v>
      </c>
      <c r="M149"/>
      <c r="N149"/>
    </row>
    <row r="150" spans="1:14" x14ac:dyDescent="0.35">
      <c r="A150" s="101" t="s">
        <v>204</v>
      </c>
      <c r="B150" s="55">
        <v>0</v>
      </c>
      <c r="C150" s="110">
        <v>5000</v>
      </c>
      <c r="D150" s="55">
        <v>10000</v>
      </c>
      <c r="E150" s="110">
        <v>15000</v>
      </c>
      <c r="F150" s="55">
        <v>20000</v>
      </c>
      <c r="G150" s="114">
        <v>30000</v>
      </c>
      <c r="M150"/>
      <c r="N150"/>
    </row>
    <row r="151" spans="1:14" x14ac:dyDescent="0.35">
      <c r="A151" s="100" t="s">
        <v>210</v>
      </c>
      <c r="B151" s="38">
        <v>55</v>
      </c>
      <c r="C151" s="38">
        <v>47</v>
      </c>
      <c r="D151" s="38">
        <v>38</v>
      </c>
      <c r="E151" s="38">
        <v>30</v>
      </c>
      <c r="F151" s="38">
        <v>22</v>
      </c>
      <c r="G151" s="115">
        <v>5</v>
      </c>
      <c r="M151"/>
      <c r="N151"/>
    </row>
    <row r="152" spans="1:14" x14ac:dyDescent="0.35">
      <c r="A152" s="100" t="s">
        <v>386</v>
      </c>
      <c r="B152" s="38">
        <f>B151-B146</f>
        <v>40</v>
      </c>
      <c r="C152" s="38">
        <f>C151-C146</f>
        <v>41.9</v>
      </c>
      <c r="D152" s="38">
        <f>D151-D146</f>
        <v>42.8</v>
      </c>
      <c r="E152" s="38">
        <f>E151-E146</f>
        <v>44.7</v>
      </c>
      <c r="F152" s="38">
        <f>F151-F146</f>
        <v>46.6</v>
      </c>
      <c r="G152" s="115"/>
      <c r="M152"/>
      <c r="N152"/>
    </row>
    <row r="153" spans="1:14" x14ac:dyDescent="0.35">
      <c r="A153" s="100" t="s">
        <v>189</v>
      </c>
      <c r="B153" s="19">
        <f t="shared" ref="B153:G153" si="5">$B$144-B151</f>
        <v>25</v>
      </c>
      <c r="C153" s="19">
        <f t="shared" si="5"/>
        <v>33</v>
      </c>
      <c r="D153" s="19">
        <f t="shared" si="5"/>
        <v>42</v>
      </c>
      <c r="E153" s="19">
        <f t="shared" si="5"/>
        <v>50</v>
      </c>
      <c r="F153" s="19">
        <f t="shared" si="5"/>
        <v>58</v>
      </c>
      <c r="G153" s="116">
        <f t="shared" si="5"/>
        <v>75</v>
      </c>
      <c r="M153"/>
      <c r="N153"/>
    </row>
    <row r="154" spans="1:14" ht="34.5" customHeight="1" x14ac:dyDescent="0.35">
      <c r="A154" s="111" t="s">
        <v>230</v>
      </c>
      <c r="B154" s="106">
        <v>2065.3249243188702</v>
      </c>
      <c r="C154" s="106">
        <v>1565.7303917071831</v>
      </c>
      <c r="D154" s="106">
        <v>1231.1804814761424</v>
      </c>
      <c r="E154" s="106">
        <v>1034.9112008072657</v>
      </c>
      <c r="F154" s="106">
        <v>877.72944637329192</v>
      </c>
      <c r="G154" s="113">
        <v>691.43995963673058</v>
      </c>
      <c r="M154"/>
      <c r="N154"/>
    </row>
    <row r="155" spans="1:14" ht="31.5" customHeight="1" x14ac:dyDescent="0.35">
      <c r="A155" s="112" t="s">
        <v>231</v>
      </c>
      <c r="B155" s="107">
        <v>1151.2462159434917</v>
      </c>
      <c r="C155" s="106">
        <v>904.61049445005051</v>
      </c>
      <c r="D155" s="107">
        <v>739.45264523569267</v>
      </c>
      <c r="E155" s="106">
        <v>642.56004036326954</v>
      </c>
      <c r="F155" s="107">
        <v>572.3964299384113</v>
      </c>
      <c r="G155" s="113">
        <v>472.99798183652877</v>
      </c>
      <c r="M155"/>
      <c r="N155"/>
    </row>
    <row r="156" spans="1:14" ht="35.25" customHeight="1" x14ac:dyDescent="0.35">
      <c r="A156" s="108" t="s">
        <v>233</v>
      </c>
      <c r="B156" s="109">
        <f>B150/$F$150*B155+(1-B150/$F$150)*B154</f>
        <v>2065.3249243188702</v>
      </c>
      <c r="C156" s="109">
        <f>C150/$F$150*C155+(1-C150/$F$150)*C154</f>
        <v>1400.4504173928999</v>
      </c>
      <c r="D156" s="109">
        <f>D150/$F$150*D155+(1-D150/$F$150)*D154</f>
        <v>985.31656335591754</v>
      </c>
      <c r="E156" s="109">
        <f>E150/$F$150*E155+(1-E150/$F$150)*E154</f>
        <v>740.64783047426863</v>
      </c>
      <c r="F156" s="109">
        <f>F150/$F$150*F155+(1-F150/$F$150)*F154</f>
        <v>572.3964299384113</v>
      </c>
      <c r="G156" s="117">
        <f>G150/$G$150*G155+(1-G150/$G$150)*G154</f>
        <v>472.99798183652877</v>
      </c>
      <c r="M156"/>
      <c r="N156"/>
    </row>
    <row r="157" spans="1:14" x14ac:dyDescent="0.35">
      <c r="M157"/>
      <c r="N157"/>
    </row>
    <row r="158" spans="1:14" x14ac:dyDescent="0.35">
      <c r="M158"/>
      <c r="N158"/>
    </row>
    <row r="159" spans="1:14" x14ac:dyDescent="0.35">
      <c r="M159"/>
      <c r="N159"/>
    </row>
    <row r="160" spans="1:14" x14ac:dyDescent="0.35">
      <c r="M160"/>
      <c r="N160"/>
    </row>
    <row r="161" spans="13:14" x14ac:dyDescent="0.35">
      <c r="M161"/>
      <c r="N161"/>
    </row>
    <row r="162" spans="13:14" x14ac:dyDescent="0.35">
      <c r="M162"/>
      <c r="N162"/>
    </row>
    <row r="163" spans="13:14" x14ac:dyDescent="0.35">
      <c r="M163"/>
      <c r="N163"/>
    </row>
    <row r="164" spans="13:14" x14ac:dyDescent="0.35">
      <c r="M164"/>
      <c r="N164"/>
    </row>
    <row r="165" spans="13:14" x14ac:dyDescent="0.35">
      <c r="M165"/>
      <c r="N165"/>
    </row>
    <row r="166" spans="13:14" x14ac:dyDescent="0.35">
      <c r="M166"/>
      <c r="N166"/>
    </row>
    <row r="167" spans="13:14" x14ac:dyDescent="0.35">
      <c r="M167"/>
      <c r="N167"/>
    </row>
    <row r="168" spans="13:14" x14ac:dyDescent="0.35">
      <c r="M168"/>
      <c r="N168"/>
    </row>
    <row r="169" spans="13:14" x14ac:dyDescent="0.35">
      <c r="M169"/>
      <c r="N169"/>
    </row>
    <row r="170" spans="13:14" x14ac:dyDescent="0.35">
      <c r="M170"/>
      <c r="N170"/>
    </row>
    <row r="171" spans="13:14" x14ac:dyDescent="0.35">
      <c r="M171"/>
      <c r="N171"/>
    </row>
    <row r="172" spans="13:14" x14ac:dyDescent="0.35">
      <c r="M172"/>
      <c r="N172"/>
    </row>
    <row r="173" spans="13:14" x14ac:dyDescent="0.35">
      <c r="M173"/>
      <c r="N173"/>
    </row>
    <row r="174" spans="13:14" x14ac:dyDescent="0.35">
      <c r="M174"/>
      <c r="N174"/>
    </row>
    <row r="175" spans="13:14" x14ac:dyDescent="0.35">
      <c r="M175"/>
      <c r="N175"/>
    </row>
    <row r="176" spans="13:14" x14ac:dyDescent="0.35">
      <c r="M176"/>
      <c r="N176"/>
    </row>
    <row r="177" spans="13:14" x14ac:dyDescent="0.35">
      <c r="M177"/>
      <c r="N177"/>
    </row>
    <row r="178" spans="13:14" x14ac:dyDescent="0.35">
      <c r="M178"/>
      <c r="N178"/>
    </row>
    <row r="179" spans="13:14" x14ac:dyDescent="0.35">
      <c r="M179"/>
      <c r="N179"/>
    </row>
  </sheetData>
  <mergeCells count="6">
    <mergeCell ref="B106:C106"/>
    <mergeCell ref="B9:I9"/>
    <mergeCell ref="B10:I10"/>
    <mergeCell ref="B142:F142"/>
    <mergeCell ref="B144:F144"/>
    <mergeCell ref="B143:F143"/>
  </mergeCells>
  <hyperlinks>
    <hyperlink ref="A49" r:id="rId1"/>
    <hyperlink ref="B70" r:id="rId2"/>
    <hyperlink ref="B5" r:id="rId3"/>
    <hyperlink ref="B4" r:id="rId4"/>
    <hyperlink ref="F127" r:id="rId5"/>
  </hyperlinks>
  <pageMargins left="0.7" right="0.7" top="0.75" bottom="0.75" header="0.3" footer="0.3"/>
  <pageSetup orientation="portrait" r:id="rId6"/>
  <drawing r:id="rId7"/>
  <legacyDrawing r:id="rId8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theme="0" tint="-0.499984740745262"/>
  </sheetPr>
  <dimension ref="A1:N68"/>
  <sheetViews>
    <sheetView workbookViewId="0">
      <selection activeCell="F26" sqref="F26"/>
    </sheetView>
  </sheetViews>
  <sheetFormatPr defaultRowHeight="14.5" x14ac:dyDescent="0.35"/>
  <cols>
    <col min="1" max="1" width="21" customWidth="1"/>
    <col min="2" max="2" width="13.54296875" bestFit="1" customWidth="1"/>
    <col min="3" max="3" width="10" bestFit="1" customWidth="1"/>
    <col min="4" max="4" width="13" customWidth="1"/>
    <col min="5" max="5" width="13.6328125" customWidth="1"/>
    <col min="6" max="6" width="26.36328125" customWidth="1"/>
    <col min="7" max="7" width="28.08984375" bestFit="1" customWidth="1"/>
    <col min="9" max="9" width="25.36328125" bestFit="1" customWidth="1"/>
    <col min="10" max="10" width="9.54296875" bestFit="1" customWidth="1"/>
    <col min="13" max="13" width="12" bestFit="1" customWidth="1"/>
  </cols>
  <sheetData>
    <row r="1" spans="1:14" s="6" customFormat="1" ht="18.5" x14ac:dyDescent="0.45">
      <c r="A1" s="6" t="s">
        <v>260</v>
      </c>
      <c r="M1" s="22"/>
      <c r="N1" s="22"/>
    </row>
    <row r="2" spans="1:14" x14ac:dyDescent="0.35">
      <c r="A2" s="4" t="s">
        <v>286</v>
      </c>
    </row>
    <row r="3" spans="1:14" x14ac:dyDescent="0.35">
      <c r="A3" s="1" t="s">
        <v>347</v>
      </c>
    </row>
    <row r="4" spans="1:14" x14ac:dyDescent="0.35">
      <c r="A4" s="1" t="s">
        <v>268</v>
      </c>
    </row>
    <row r="6" spans="1:14" x14ac:dyDescent="0.35">
      <c r="A6" s="70" t="s">
        <v>266</v>
      </c>
    </row>
    <row r="7" spans="1:14" x14ac:dyDescent="0.35">
      <c r="A7" s="18" t="s">
        <v>261</v>
      </c>
      <c r="B7" s="106">
        <f>'Power &amp; Mass breakdown'!B13</f>
        <v>1750</v>
      </c>
      <c r="C7" s="19" t="s">
        <v>15</v>
      </c>
      <c r="I7" s="5" t="s">
        <v>276</v>
      </c>
      <c r="J7" s="102">
        <v>5.6699999999999998E-8</v>
      </c>
      <c r="K7" t="s">
        <v>267</v>
      </c>
    </row>
    <row r="9" spans="1:14" x14ac:dyDescent="0.35">
      <c r="A9" s="70" t="s">
        <v>270</v>
      </c>
      <c r="I9" s="70" t="s">
        <v>289</v>
      </c>
    </row>
    <row r="10" spans="1:14" x14ac:dyDescent="0.35">
      <c r="A10" s="18" t="s">
        <v>211</v>
      </c>
      <c r="B10" s="19">
        <v>20000</v>
      </c>
      <c r="C10" s="19" t="s">
        <v>234</v>
      </c>
      <c r="I10" s="5" t="s">
        <v>280</v>
      </c>
      <c r="J10" s="102">
        <v>2.436E-2</v>
      </c>
      <c r="K10" t="s">
        <v>279</v>
      </c>
    </row>
    <row r="11" spans="1:14" x14ac:dyDescent="0.35">
      <c r="A11" s="5" t="s">
        <v>291</v>
      </c>
      <c r="B11" s="122" t="e">
        <f ca="1">[1]!Tstatic(B10*0.3048,25)</f>
        <v>#NAME?</v>
      </c>
      <c r="C11" t="s">
        <v>160</v>
      </c>
      <c r="D11" s="1" t="s">
        <v>328</v>
      </c>
      <c r="I11" s="5" t="s">
        <v>281</v>
      </c>
      <c r="J11" s="102" t="e">
        <f ca="1">[1]!Reynolds(B12,B13,B11)</f>
        <v>#NAME?</v>
      </c>
    </row>
    <row r="12" spans="1:14" x14ac:dyDescent="0.35">
      <c r="A12" s="5" t="s">
        <v>269</v>
      </c>
      <c r="B12">
        <v>0.45</v>
      </c>
      <c r="I12" s="5" t="s">
        <v>282</v>
      </c>
      <c r="J12">
        <v>0.71</v>
      </c>
    </row>
    <row r="13" spans="1:14" x14ac:dyDescent="0.35">
      <c r="A13" s="5" t="s">
        <v>290</v>
      </c>
      <c r="B13" s="102" t="e">
        <f ca="1">[1]!Pstatic(B10*0.3048)</f>
        <v>#NAME?</v>
      </c>
      <c r="C13" t="s">
        <v>292</v>
      </c>
      <c r="I13" s="5" t="s">
        <v>293</v>
      </c>
      <c r="J13" t="e">
        <f ca="1">(0.037*J11^0.8*J12)/(1+2.443*J11^(-0.1)*(J12^(2/3)-1))</f>
        <v>#NAME?</v>
      </c>
      <c r="K13" s="1" t="s">
        <v>294</v>
      </c>
    </row>
    <row r="14" spans="1:14" x14ac:dyDescent="0.35">
      <c r="A14" s="5" t="s">
        <v>277</v>
      </c>
      <c r="B14" s="122" t="e">
        <f ca="1">[1]!Ttotal(B11,B12)</f>
        <v>#NAME?</v>
      </c>
      <c r="C14" t="s">
        <v>160</v>
      </c>
      <c r="I14" s="5" t="s">
        <v>295</v>
      </c>
      <c r="J14" s="166" t="e">
        <f ca="1">0.332*J11^0.5*J12^(1/3)</f>
        <v>#NAME?</v>
      </c>
      <c r="K14" s="4" t="s">
        <v>296</v>
      </c>
    </row>
    <row r="15" spans="1:14" x14ac:dyDescent="0.35">
      <c r="J15" s="15"/>
    </row>
    <row r="16" spans="1:14" x14ac:dyDescent="0.35">
      <c r="A16" s="70" t="s">
        <v>272</v>
      </c>
      <c r="J16" s="102"/>
    </row>
    <row r="17" spans="1:10" x14ac:dyDescent="0.35">
      <c r="A17" s="5" t="s">
        <v>319</v>
      </c>
      <c r="B17">
        <f>70+273.15</f>
        <v>343.15</v>
      </c>
      <c r="C17" t="s">
        <v>160</v>
      </c>
      <c r="D17" s="1" t="s">
        <v>336</v>
      </c>
      <c r="J17" s="102"/>
    </row>
    <row r="18" spans="1:10" x14ac:dyDescent="0.35">
      <c r="A18" s="5" t="s">
        <v>321</v>
      </c>
      <c r="B18">
        <v>0.8</v>
      </c>
      <c r="D18" s="1" t="s">
        <v>323</v>
      </c>
    </row>
    <row r="19" spans="1:10" x14ac:dyDescent="0.35">
      <c r="A19" s="5" t="s">
        <v>320</v>
      </c>
      <c r="B19" s="15" t="e">
        <f ca="1">B14+B18*(B17-B14)</f>
        <v>#NAME?</v>
      </c>
      <c r="C19" t="s">
        <v>160</v>
      </c>
      <c r="D19" s="1" t="s">
        <v>322</v>
      </c>
    </row>
    <row r="20" spans="1:10" x14ac:dyDescent="0.35">
      <c r="A20" s="5" t="s">
        <v>287</v>
      </c>
      <c r="B20" s="173" t="e">
        <f ca="1">J13*J10</f>
        <v>#NAME?</v>
      </c>
      <c r="C20" t="s">
        <v>267</v>
      </c>
      <c r="D20" s="1" t="s">
        <v>329</v>
      </c>
    </row>
    <row r="21" spans="1:10" ht="15" x14ac:dyDescent="0.35">
      <c r="A21" s="5" t="s">
        <v>278</v>
      </c>
      <c r="B21">
        <v>0.7</v>
      </c>
      <c r="D21" s="1" t="s">
        <v>327</v>
      </c>
    </row>
    <row r="22" spans="1:10" x14ac:dyDescent="0.35">
      <c r="A22" s="5" t="s">
        <v>274</v>
      </c>
      <c r="B22" s="122" t="e">
        <f ca="1">B20*(B19-B14)+J7*B21*(B19^4-B11^4)</f>
        <v>#NAME?</v>
      </c>
      <c r="C22" t="s">
        <v>262</v>
      </c>
      <c r="I22" s="102"/>
    </row>
    <row r="24" spans="1:10" x14ac:dyDescent="0.35">
      <c r="A24" s="70" t="s">
        <v>271</v>
      </c>
    </row>
    <row r="25" spans="1:10" x14ac:dyDescent="0.35">
      <c r="A25" s="5" t="s">
        <v>275</v>
      </c>
      <c r="B25">
        <f>1135+240*B10/40000</f>
        <v>1255</v>
      </c>
      <c r="C25" t="s">
        <v>262</v>
      </c>
    </row>
    <row r="27" spans="1:10" x14ac:dyDescent="0.35">
      <c r="A27" s="70" t="s">
        <v>285</v>
      </c>
    </row>
    <row r="28" spans="1:10" x14ac:dyDescent="0.35">
      <c r="A28" s="5" t="s">
        <v>348</v>
      </c>
      <c r="B28" s="174" t="e">
        <f ca="1">B7*1000/(B22-B25/2)</f>
        <v>#NAME?</v>
      </c>
      <c r="C28" t="s">
        <v>255</v>
      </c>
      <c r="D28" s="1" t="s">
        <v>349</v>
      </c>
    </row>
    <row r="29" spans="1:10" x14ac:dyDescent="0.35">
      <c r="A29" s="5" t="s">
        <v>362</v>
      </c>
      <c r="B29" s="122" t="e">
        <f ca="1">B7/(B17-B19)</f>
        <v>#NAME?</v>
      </c>
      <c r="C29" t="s">
        <v>361</v>
      </c>
      <c r="D29" s="1" t="s">
        <v>360</v>
      </c>
    </row>
    <row r="30" spans="1:10" x14ac:dyDescent="0.35">
      <c r="A30" s="5" t="s">
        <v>273</v>
      </c>
      <c r="B30" s="15" t="e">
        <f ca="1">-B29*1000*LN(1-B18)/B20</f>
        <v>#NAME?</v>
      </c>
      <c r="C30" t="s">
        <v>255</v>
      </c>
      <c r="D30" s="1" t="s">
        <v>350</v>
      </c>
    </row>
    <row r="31" spans="1:10" x14ac:dyDescent="0.35">
      <c r="A31" s="5" t="s">
        <v>283</v>
      </c>
      <c r="B31" s="154">
        <v>600</v>
      </c>
      <c r="C31" t="s">
        <v>284</v>
      </c>
      <c r="D31" s="1" t="s">
        <v>335</v>
      </c>
    </row>
    <row r="32" spans="1:10" x14ac:dyDescent="0.35">
      <c r="A32" s="5" t="s">
        <v>324</v>
      </c>
      <c r="B32" s="154">
        <v>300</v>
      </c>
      <c r="C32" t="s">
        <v>41</v>
      </c>
      <c r="D32" s="1" t="s">
        <v>325</v>
      </c>
    </row>
    <row r="33" spans="1:14" x14ac:dyDescent="0.35">
      <c r="A33" s="5" t="s">
        <v>326</v>
      </c>
      <c r="B33" s="180" t="e">
        <f ca="1">B32*B30/B31</f>
        <v>#NAME?</v>
      </c>
      <c r="C33" t="s">
        <v>18</v>
      </c>
      <c r="D33" s="1"/>
    </row>
    <row r="34" spans="1:14" x14ac:dyDescent="0.35">
      <c r="A34" s="5"/>
    </row>
    <row r="35" spans="1:14" s="6" customFormat="1" ht="18.5" x14ac:dyDescent="0.45">
      <c r="A35" s="6" t="s">
        <v>351</v>
      </c>
      <c r="M35" s="22"/>
      <c r="N35" s="22"/>
    </row>
    <row r="37" spans="1:14" x14ac:dyDescent="0.35">
      <c r="A37" t="s">
        <v>354</v>
      </c>
      <c r="B37" t="s">
        <v>355</v>
      </c>
      <c r="C37" t="s">
        <v>352</v>
      </c>
      <c r="D37" t="s">
        <v>356</v>
      </c>
      <c r="E37" t="s">
        <v>357</v>
      </c>
      <c r="F37" t="s">
        <v>358</v>
      </c>
      <c r="G37" t="s">
        <v>359</v>
      </c>
    </row>
    <row r="38" spans="1:14" x14ac:dyDescent="0.35">
      <c r="A38">
        <v>1800</v>
      </c>
      <c r="B38">
        <v>1260</v>
      </c>
      <c r="C38" s="167">
        <v>0.5</v>
      </c>
      <c r="D38">
        <v>283.60000000000002</v>
      </c>
      <c r="E38">
        <v>88.98</v>
      </c>
      <c r="F38" s="15">
        <f>Table3[[#This Row],[Q_req '[kW']]]/Table3[[#This Row],[m_shx '[kg']]]</f>
        <v>14.16048550236008</v>
      </c>
      <c r="G38" s="122">
        <f>Table3[[#This Row],[Q_req '[kW']]]/Table3[[#This Row],[A_skin '[m2']]]</f>
        <v>4.4428772919605075</v>
      </c>
    </row>
    <row r="39" spans="1:14" x14ac:dyDescent="0.35">
      <c r="A39">
        <v>1800</v>
      </c>
      <c r="B39">
        <v>1260</v>
      </c>
      <c r="C39" s="167">
        <v>0.6</v>
      </c>
      <c r="D39">
        <v>231</v>
      </c>
      <c r="E39">
        <v>147.02000000000001</v>
      </c>
      <c r="F39" s="15">
        <f>Table3[[#This Row],[Q_req '[kW']]]/Table3[[#This Row],[m_shx '[kg']]]</f>
        <v>8.5702625493130178</v>
      </c>
      <c r="G39" s="122">
        <f>Table3[[#This Row],[Q_req '[kW']]]/Table3[[#This Row],[A_skin '[m2']]]</f>
        <v>5.4545454545454541</v>
      </c>
    </row>
    <row r="40" spans="1:14" x14ac:dyDescent="0.35">
      <c r="A40">
        <v>1800</v>
      </c>
      <c r="B40">
        <v>1260</v>
      </c>
      <c r="C40" s="167">
        <v>0.7</v>
      </c>
      <c r="D40">
        <v>194.8</v>
      </c>
      <c r="E40">
        <v>257.58</v>
      </c>
      <c r="F40" s="15">
        <f>Table3[[#This Row],[Q_req '[kW']]]/Table3[[#This Row],[m_shx '[kg']]]</f>
        <v>4.8916841369671564</v>
      </c>
      <c r="G40" s="122">
        <f>Table3[[#This Row],[Q_req '[kW']]]/Table3[[#This Row],[A_skin '[m2']]]</f>
        <v>6.4681724845995889</v>
      </c>
    </row>
    <row r="41" spans="1:14" x14ac:dyDescent="0.35">
      <c r="A41">
        <v>1800</v>
      </c>
      <c r="B41">
        <v>1260</v>
      </c>
      <c r="C41" s="167">
        <v>0.8</v>
      </c>
      <c r="D41">
        <v>168.4</v>
      </c>
      <c r="E41">
        <v>516.49</v>
      </c>
      <c r="F41" s="15">
        <f>Table3[[#This Row],[Q_req '[kW']]]/Table3[[#This Row],[m_shx '[kg']]]</f>
        <v>2.4395438440240858</v>
      </c>
      <c r="G41" s="122">
        <f>Table3[[#This Row],[Q_req '[kW']]]/Table3[[#This Row],[A_skin '[m2']]]</f>
        <v>7.4821852731591445</v>
      </c>
    </row>
    <row r="42" spans="1:14" x14ac:dyDescent="0.35">
      <c r="A42">
        <v>1800</v>
      </c>
      <c r="B42">
        <v>1260</v>
      </c>
      <c r="C42" s="167">
        <v>0.9</v>
      </c>
      <c r="D42">
        <v>148.30000000000001</v>
      </c>
      <c r="E42">
        <v>1477.85</v>
      </c>
      <c r="F42" s="15">
        <f>Table3[[#This Row],[Q_req '[kW']]]/Table3[[#This Row],[m_shx '[kg']]]</f>
        <v>0.8525899110193863</v>
      </c>
      <c r="G42" s="122">
        <f>Table3[[#This Row],[Q_req '[kW']]]/Table3[[#This Row],[A_skin '[m2']]]</f>
        <v>8.496291301416047</v>
      </c>
    </row>
    <row r="58" spans="1:14" s="6" customFormat="1" ht="18.5" x14ac:dyDescent="0.45">
      <c r="A58" s="6" t="s">
        <v>346</v>
      </c>
      <c r="M58" s="22"/>
      <c r="N58" s="22"/>
    </row>
    <row r="60" spans="1:14" x14ac:dyDescent="0.35">
      <c r="A60" s="1" t="s">
        <v>344</v>
      </c>
      <c r="D60" s="167"/>
    </row>
    <row r="61" spans="1:14" x14ac:dyDescent="0.35">
      <c r="A61" s="5" t="s">
        <v>39</v>
      </c>
      <c r="B61">
        <f>900/1000</f>
        <v>0.9</v>
      </c>
    </row>
    <row r="62" spans="1:14" x14ac:dyDescent="0.35">
      <c r="A62" s="5" t="s">
        <v>337</v>
      </c>
      <c r="B62">
        <f>4/1000</f>
        <v>4.0000000000000001E-3</v>
      </c>
    </row>
    <row r="63" spans="1:14" x14ac:dyDescent="0.35">
      <c r="A63" s="5" t="s">
        <v>339</v>
      </c>
      <c r="B63">
        <f>25/1000</f>
        <v>2.5000000000000001E-2</v>
      </c>
    </row>
    <row r="64" spans="1:14" x14ac:dyDescent="0.35">
      <c r="A64" s="5" t="s">
        <v>338</v>
      </c>
      <c r="B64">
        <f>0.8/1000</f>
        <v>8.0000000000000004E-4</v>
      </c>
    </row>
    <row r="65" spans="1:3" x14ac:dyDescent="0.35">
      <c r="A65" s="5" t="s">
        <v>340</v>
      </c>
      <c r="B65">
        <f>B61*B62*B63</f>
        <v>9.0000000000000019E-5</v>
      </c>
      <c r="C65" t="s">
        <v>341</v>
      </c>
    </row>
    <row r="66" spans="1:3" x14ac:dyDescent="0.35">
      <c r="A66" s="5" t="s">
        <v>273</v>
      </c>
      <c r="B66">
        <f>B61*(B62+2*B63)</f>
        <v>4.8600000000000004E-2</v>
      </c>
      <c r="C66" t="s">
        <v>255</v>
      </c>
    </row>
    <row r="67" spans="1:3" x14ac:dyDescent="0.35">
      <c r="A67" s="5" t="s">
        <v>342</v>
      </c>
      <c r="B67">
        <f>B66/B65</f>
        <v>539.99999999999989</v>
      </c>
      <c r="C67" t="s">
        <v>284</v>
      </c>
    </row>
    <row r="68" spans="1:3" x14ac:dyDescent="0.35">
      <c r="A68" s="5" t="s">
        <v>345</v>
      </c>
      <c r="B68">
        <f>B66/(B61*B62)</f>
        <v>13.5</v>
      </c>
      <c r="C68" t="s">
        <v>343</v>
      </c>
    </row>
  </sheetData>
  <hyperlinks>
    <hyperlink ref="A2" r:id="rId1"/>
    <hyperlink ref="K14" r:id="rId2"/>
  </hyperlinks>
  <pageMargins left="0.7" right="0.7" top="0.75" bottom="0.75" header="0.3" footer="0.3"/>
  <pageSetup orientation="portrait" r:id="rId3"/>
  <drawing r:id="rId4"/>
  <legacyDrawing r:id="rId5"/>
  <tableParts count="1">
    <tablePart r:id="rId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Power &amp; Mass breakdown</vt:lpstr>
      <vt:lpstr>FC stacks</vt:lpstr>
      <vt:lpstr>Humidifier</vt:lpstr>
      <vt:lpstr>Compressor</vt:lpstr>
      <vt:lpstr>Power electronics</vt:lpstr>
      <vt:lpstr>Fuel system</vt:lpstr>
      <vt:lpstr>Tank</vt:lpstr>
      <vt:lpstr>Cooling module</vt:lpstr>
      <vt:lpstr>Layouts</vt:lpstr>
      <vt:lpstr>Cooling_old</vt:lpstr>
      <vt:lpstr>SHX_old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2021-06-04T14:42:21Z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8a0db4f-8132-447e-a8c4-20d2ba9b8ca1_Enabled">
    <vt:lpwstr>true</vt:lpwstr>
  </property>
  <property fmtid="{D5CDD505-2E9C-101B-9397-08002B2CF9AE}" pid="3" name="MSIP_Label_e8a0db4f-8132-447e-a8c4-20d2ba9b8ca1_SetDate">
    <vt:lpwstr>2020-12-10T14:51:57Z</vt:lpwstr>
  </property>
  <property fmtid="{D5CDD505-2E9C-101B-9397-08002B2CF9AE}" pid="4" name="MSIP_Label_e8a0db4f-8132-447e-a8c4-20d2ba9b8ca1_Method">
    <vt:lpwstr>Standard</vt:lpwstr>
  </property>
  <property fmtid="{D5CDD505-2E9C-101B-9397-08002B2CF9AE}" pid="5" name="MSIP_Label_e8a0db4f-8132-447e-a8c4-20d2ba9b8ca1_Name">
    <vt:lpwstr>GENERAL</vt:lpwstr>
  </property>
  <property fmtid="{D5CDD505-2E9C-101B-9397-08002B2CF9AE}" pid="6" name="MSIP_Label_e8a0db4f-8132-447e-a8c4-20d2ba9b8ca1_SiteId">
    <vt:lpwstr>3e6c416a-bb51-43e5-bb57-7e72d96922e9</vt:lpwstr>
  </property>
  <property fmtid="{D5CDD505-2E9C-101B-9397-08002B2CF9AE}" pid="7" name="MSIP_Label_e8a0db4f-8132-447e-a8c4-20d2ba9b8ca1_ActionId">
    <vt:lpwstr>5f76a7d2-8548-45eb-be85-cdf17f4b586d</vt:lpwstr>
  </property>
  <property fmtid="{D5CDD505-2E9C-101B-9397-08002B2CF9AE}" pid="8" name="MSIP_Label_e8a0db4f-8132-447e-a8c4-20d2ba9b8ca1_ContentBits">
    <vt:lpwstr>0</vt:lpwstr>
  </property>
</Properties>
</file>